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19440" windowHeight="7755" tabRatio="893" activeTab="20"/>
  </bookViews>
  <sheets>
    <sheet name="Q1" sheetId="1" r:id="rId1"/>
    <sheet name="Q3" sheetId="2" r:id="rId2"/>
    <sheet name="Q4" sheetId="3" r:id="rId3"/>
    <sheet name="Q5" sheetId="4" r:id="rId4"/>
    <sheet name="Q6" sheetId="5" r:id="rId5"/>
    <sheet name="Q7" sheetId="6" r:id="rId6"/>
    <sheet name="Q8" sheetId="7" r:id="rId7"/>
    <sheet name="Q10" sheetId="8" r:id="rId8"/>
    <sheet name="Q11" sheetId="9" r:id="rId9"/>
    <sheet name="Q12" sheetId="10" r:id="rId10"/>
    <sheet name="TP" sheetId="11" r:id="rId11"/>
    <sheet name="TB" sheetId="12" r:id="rId12"/>
    <sheet name="BTh" sheetId="13" r:id="rId13"/>
    <sheet name="BTa" sheetId="14" r:id="rId14"/>
    <sheet name="GV" sheetId="15" r:id="rId15"/>
    <sheet name="PN" sheetId="16" r:id="rId16"/>
    <sheet name="NB" sheetId="17" r:id="rId17"/>
    <sheet name="CC" sheetId="18" r:id="rId18"/>
    <sheet name="BC" sheetId="19" r:id="rId19"/>
    <sheet name="HM" sheetId="20" r:id="rId20"/>
    <sheet name="CG" sheetId="21" r:id="rId21"/>
    <sheet name="Thủ Đức" sheetId="22" r:id="rId22"/>
  </sheet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6" i="2" l="1"/>
  <c r="Y26" i="2"/>
  <c r="Y45" i="2"/>
  <c r="Y60" i="2"/>
  <c r="Y67" i="2"/>
  <c r="Y70" i="2"/>
  <c r="Y71" i="2"/>
  <c r="Y72" i="2"/>
  <c r="Y73" i="2"/>
  <c r="Y74" i="2"/>
  <c r="Y75" i="2"/>
  <c r="Y76" i="2"/>
  <c r="Y77" i="2"/>
  <c r="Y78" i="2"/>
  <c r="Y7" i="3"/>
  <c r="Y8" i="3"/>
  <c r="Y9" i="3"/>
  <c r="Y10" i="3"/>
  <c r="Y11" i="3"/>
  <c r="Y12" i="3"/>
  <c r="Y13" i="3"/>
  <c r="Y14" i="3"/>
  <c r="Y15" i="3"/>
  <c r="Y16" i="3"/>
  <c r="Y17" i="3"/>
  <c r="Y18" i="3"/>
  <c r="Y19" i="3"/>
  <c r="Y20" i="3"/>
  <c r="Y21" i="3"/>
  <c r="Y22" i="3"/>
  <c r="Y23" i="3"/>
  <c r="Y24" i="3"/>
  <c r="Y25" i="3"/>
  <c r="Y26" i="3"/>
  <c r="Y27" i="3"/>
  <c r="Y28" i="3"/>
  <c r="Y29" i="3"/>
  <c r="Y30" i="3"/>
  <c r="Y61" i="3"/>
  <c r="Y62" i="3"/>
  <c r="Y63" i="3"/>
  <c r="Y64" i="3"/>
  <c r="Y65" i="3"/>
  <c r="Y66" i="3"/>
  <c r="Y67" i="3"/>
  <c r="Y68" i="3"/>
  <c r="Y69" i="3"/>
  <c r="Y70" i="3"/>
  <c r="Y71" i="3"/>
  <c r="Y72" i="3"/>
  <c r="Y73" i="3"/>
  <c r="Y74" i="3"/>
  <c r="Y75" i="3"/>
  <c r="Y76" i="3"/>
  <c r="Y77" i="3"/>
  <c r="Y78" i="3"/>
  <c r="Y6" i="4"/>
  <c r="Y7" i="4"/>
  <c r="Y8" i="4"/>
  <c r="Y9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6" i="4"/>
  <c r="Y37" i="4"/>
  <c r="Y38" i="4"/>
  <c r="Y39" i="4"/>
  <c r="Y40" i="4"/>
  <c r="Y41" i="4"/>
  <c r="Y42" i="4"/>
  <c r="Y43" i="4"/>
  <c r="Y44" i="4"/>
  <c r="Y45" i="4"/>
  <c r="Y46" i="4"/>
  <c r="Y47" i="4"/>
  <c r="Y48" i="4"/>
  <c r="Y49" i="4"/>
  <c r="Y50" i="4"/>
  <c r="Y51" i="4"/>
  <c r="Y52" i="4"/>
  <c r="Y6" i="5"/>
  <c r="Y7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1" i="5"/>
  <c r="Y32" i="5"/>
  <c r="Y33" i="5"/>
  <c r="Y34" i="5"/>
  <c r="Y35" i="5"/>
  <c r="Y36" i="5"/>
  <c r="Y37" i="5"/>
  <c r="Y38" i="5"/>
  <c r="Y39" i="5"/>
  <c r="Y40" i="5"/>
  <c r="Y41" i="5"/>
  <c r="Y42" i="5"/>
  <c r="Y43" i="5"/>
  <c r="Y44" i="5"/>
  <c r="Y45" i="5"/>
  <c r="Y46" i="5"/>
  <c r="Y47" i="5"/>
  <c r="Y48" i="5"/>
  <c r="Y49" i="5"/>
  <c r="Y50" i="5"/>
  <c r="Y51" i="5"/>
  <c r="Y52" i="5"/>
  <c r="Y53" i="5"/>
  <c r="Y75" i="5"/>
  <c r="Y6" i="6"/>
  <c r="Y7" i="6"/>
  <c r="Y8" i="6"/>
  <c r="Y9" i="6"/>
  <c r="Y10" i="6"/>
  <c r="Y11" i="6"/>
  <c r="Y12" i="6"/>
  <c r="Y13" i="6"/>
  <c r="Y14" i="6"/>
  <c r="Y15" i="6"/>
  <c r="Y16" i="6"/>
  <c r="Y17" i="6"/>
  <c r="Y18" i="6"/>
  <c r="Y19" i="6"/>
  <c r="Y20" i="6"/>
  <c r="Y21" i="6"/>
  <c r="Y22" i="6"/>
  <c r="Y23" i="6"/>
  <c r="Y24" i="6"/>
  <c r="Y25" i="6"/>
  <c r="Y26" i="6"/>
  <c r="Y27" i="6"/>
  <c r="Y28" i="6"/>
  <c r="Y29" i="6"/>
  <c r="Y30" i="6"/>
  <c r="Y31" i="6"/>
  <c r="Y32" i="6"/>
  <c r="Y33" i="6"/>
  <c r="Y34" i="6"/>
  <c r="Y35" i="6"/>
  <c r="Y36" i="6"/>
  <c r="Y37" i="6"/>
  <c r="Y38" i="6"/>
  <c r="Y39" i="6"/>
  <c r="Y40" i="6"/>
  <c r="Y41" i="6"/>
  <c r="Y42" i="6"/>
  <c r="Y43" i="6"/>
  <c r="Y44" i="6"/>
  <c r="Y45" i="6"/>
  <c r="Y46" i="6"/>
  <c r="Y47" i="6"/>
  <c r="Y48" i="6"/>
  <c r="Y49" i="6"/>
  <c r="Y50" i="6"/>
  <c r="Y51" i="6"/>
  <c r="Y52" i="6"/>
  <c r="Y53" i="6"/>
  <c r="Y54" i="6"/>
  <c r="Y55" i="6"/>
  <c r="Y56" i="6"/>
  <c r="Y57" i="6"/>
  <c r="Y58" i="6"/>
  <c r="Y59" i="6"/>
  <c r="Y60" i="6"/>
  <c r="Y61" i="6"/>
  <c r="Y62" i="6"/>
  <c r="Y63" i="6"/>
  <c r="Y64" i="6"/>
  <c r="Y65" i="6"/>
  <c r="Y66" i="6"/>
  <c r="Y67" i="6"/>
  <c r="Y68" i="6"/>
  <c r="Y69" i="6"/>
  <c r="Y70" i="6"/>
  <c r="Y71" i="6"/>
  <c r="Y72" i="6"/>
  <c r="Y73" i="6"/>
  <c r="Y74" i="6"/>
  <c r="Y75" i="6"/>
  <c r="Y76" i="6"/>
  <c r="Y77" i="6"/>
  <c r="Y78" i="6"/>
  <c r="Y59" i="7"/>
  <c r="Y60" i="7"/>
  <c r="Y61" i="7"/>
  <c r="Y62" i="7"/>
  <c r="Y63" i="7"/>
  <c r="Y64" i="7"/>
  <c r="Y65" i="7"/>
  <c r="Y67" i="7"/>
  <c r="Y68" i="7"/>
  <c r="Y7" i="8"/>
  <c r="Y8" i="8"/>
  <c r="Y9" i="8"/>
  <c r="Y10" i="8"/>
  <c r="Y11" i="8"/>
  <c r="Y12" i="8"/>
  <c r="Y13" i="8"/>
  <c r="Y14" i="8"/>
  <c r="Y15" i="8"/>
  <c r="Y16" i="8"/>
  <c r="Y17" i="8"/>
  <c r="Y18" i="8"/>
  <c r="Y19" i="8"/>
  <c r="Y20" i="8"/>
  <c r="Y21" i="8"/>
  <c r="Y22" i="8"/>
  <c r="Y23" i="8"/>
  <c r="Y24" i="8"/>
  <c r="Y25" i="8"/>
  <c r="Y26" i="8"/>
  <c r="Y27" i="8"/>
  <c r="Y28" i="8"/>
  <c r="Y29" i="8"/>
  <c r="Y30" i="8"/>
  <c r="Y31" i="8"/>
  <c r="Y32" i="8"/>
  <c r="Y33" i="8"/>
  <c r="Y34" i="8"/>
  <c r="Y35" i="8"/>
  <c r="Y36" i="8"/>
  <c r="Y37" i="8"/>
  <c r="Y38" i="8"/>
  <c r="Y39" i="8"/>
  <c r="Y40" i="8"/>
  <c r="Y41" i="8"/>
  <c r="Y42" i="8"/>
  <c r="Y43" i="8"/>
  <c r="Y44" i="8"/>
  <c r="Y45" i="8"/>
  <c r="Y46" i="8"/>
  <c r="Y47" i="8"/>
  <c r="Y49" i="8"/>
  <c r="Y51" i="8"/>
  <c r="Y53" i="8"/>
  <c r="Y55" i="8"/>
  <c r="Y59" i="8"/>
  <c r="Y60" i="8"/>
  <c r="Y62" i="8"/>
  <c r="Y63" i="8"/>
  <c r="Y64" i="8"/>
  <c r="Y65" i="8"/>
  <c r="Y66" i="8"/>
  <c r="Y67" i="8"/>
  <c r="Y68" i="8"/>
  <c r="Y69" i="8"/>
  <c r="Y70" i="8"/>
  <c r="Y71" i="8"/>
  <c r="Y6" i="9"/>
  <c r="Y7" i="9"/>
  <c r="Y8" i="9"/>
  <c r="Y9" i="9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3" i="9"/>
  <c r="Y24" i="9"/>
  <c r="Y25" i="9"/>
  <c r="Y26" i="9"/>
  <c r="Y27" i="9"/>
  <c r="Y28" i="9"/>
  <c r="Y29" i="9"/>
  <c r="Y30" i="9"/>
  <c r="Y31" i="9"/>
  <c r="Y32" i="9"/>
  <c r="Y33" i="9"/>
  <c r="Y34" i="9"/>
  <c r="Y35" i="9"/>
  <c r="Y36" i="9"/>
  <c r="Y37" i="9"/>
  <c r="Y38" i="9"/>
  <c r="Y39" i="9"/>
  <c r="Y40" i="9"/>
  <c r="Y41" i="9"/>
  <c r="Y42" i="9"/>
  <c r="Y43" i="9"/>
  <c r="Y44" i="9"/>
  <c r="Y45" i="9"/>
  <c r="Y46" i="9"/>
  <c r="Y47" i="9"/>
  <c r="Y48" i="9"/>
  <c r="Y49" i="9"/>
  <c r="Y50" i="9"/>
  <c r="Y51" i="9"/>
  <c r="Y52" i="9"/>
  <c r="Y53" i="9"/>
  <c r="Y54" i="9"/>
  <c r="Y55" i="9"/>
  <c r="Y56" i="9"/>
  <c r="Y57" i="9"/>
  <c r="Y58" i="9"/>
  <c r="Y59" i="9"/>
  <c r="Y60" i="9"/>
  <c r="Y61" i="9"/>
  <c r="Y62" i="9"/>
  <c r="Y63" i="9"/>
  <c r="Y64" i="9"/>
  <c r="Y65" i="9"/>
  <c r="Y66" i="9"/>
  <c r="Y67" i="9"/>
  <c r="Y68" i="9"/>
  <c r="Y69" i="9"/>
  <c r="Y70" i="9"/>
  <c r="Y71" i="9"/>
  <c r="Y72" i="9"/>
  <c r="Y73" i="9"/>
  <c r="Y74" i="9"/>
  <c r="Y75" i="9"/>
  <c r="Y76" i="9"/>
  <c r="Y77" i="9"/>
  <c r="Y6" i="10"/>
  <c r="Y7" i="10"/>
  <c r="Y8" i="10"/>
  <c r="Y9" i="10"/>
  <c r="Y10" i="10"/>
  <c r="Y11" i="10"/>
  <c r="Y12" i="10"/>
  <c r="Y13" i="10"/>
  <c r="Y14" i="10"/>
  <c r="Y15" i="10"/>
  <c r="Y16" i="10"/>
  <c r="Y17" i="10"/>
  <c r="Y18" i="10"/>
  <c r="Y19" i="10"/>
  <c r="Y20" i="10"/>
  <c r="Y21" i="10"/>
  <c r="Y22" i="10"/>
  <c r="Y23" i="10"/>
  <c r="Y24" i="10"/>
  <c r="Y25" i="10"/>
  <c r="Y26" i="10"/>
  <c r="Y27" i="10"/>
  <c r="Y28" i="10"/>
  <c r="Y29" i="10"/>
  <c r="Y30" i="10"/>
  <c r="Y31" i="10"/>
  <c r="Y32" i="10"/>
  <c r="Y33" i="10"/>
  <c r="Y34" i="10"/>
  <c r="Y35" i="10"/>
  <c r="Y36" i="10"/>
  <c r="Y37" i="10"/>
  <c r="Y38" i="10"/>
  <c r="Y39" i="10"/>
  <c r="Y40" i="10"/>
  <c r="Y41" i="10"/>
  <c r="Y42" i="10"/>
  <c r="Y43" i="10"/>
  <c r="Y44" i="10"/>
  <c r="Y45" i="10"/>
  <c r="Y46" i="10"/>
  <c r="Y47" i="10"/>
  <c r="Y48" i="10"/>
  <c r="Y49" i="10"/>
  <c r="Y50" i="10"/>
  <c r="Y51" i="10"/>
  <c r="Y52" i="10"/>
  <c r="Y53" i="10"/>
  <c r="Y54" i="10"/>
  <c r="Y55" i="10"/>
  <c r="Y56" i="10"/>
  <c r="Y57" i="10"/>
  <c r="Y58" i="10"/>
  <c r="Y59" i="10"/>
  <c r="Y60" i="10"/>
  <c r="Y61" i="10"/>
  <c r="Y62" i="10"/>
  <c r="Y63" i="10"/>
  <c r="Y64" i="10"/>
  <c r="Y65" i="10"/>
  <c r="Y66" i="10"/>
  <c r="Y67" i="10"/>
  <c r="Y68" i="10"/>
  <c r="Y69" i="10"/>
  <c r="Y70" i="10"/>
  <c r="Y71" i="10"/>
  <c r="Y72" i="10"/>
  <c r="Y73" i="10"/>
  <c r="Y74" i="10"/>
  <c r="Y75" i="10"/>
  <c r="Y76" i="10"/>
  <c r="Y77" i="10"/>
  <c r="Y78" i="10"/>
  <c r="Y6" i="11"/>
  <c r="Y7" i="11"/>
  <c r="Y8" i="11"/>
  <c r="Y9" i="11"/>
  <c r="Y10" i="11"/>
  <c r="Y11" i="11"/>
  <c r="Y12" i="11"/>
  <c r="Y13" i="11"/>
  <c r="Y14" i="11"/>
  <c r="Y15" i="11"/>
  <c r="Y16" i="11"/>
  <c r="Y17" i="11"/>
  <c r="Y18" i="11"/>
  <c r="Y19" i="11"/>
  <c r="Y20" i="11"/>
  <c r="Y21" i="11"/>
  <c r="Y22" i="11"/>
  <c r="Y23" i="11"/>
  <c r="Y24" i="11"/>
  <c r="Y25" i="11"/>
  <c r="Y26" i="11"/>
  <c r="Y27" i="11"/>
  <c r="Y28" i="11"/>
  <c r="Y29" i="11"/>
  <c r="Y30" i="11"/>
  <c r="Y31" i="11"/>
  <c r="Y32" i="11"/>
  <c r="Y33" i="11"/>
  <c r="Y34" i="11"/>
  <c r="Y35" i="11"/>
  <c r="Y36" i="11"/>
  <c r="Y37" i="11"/>
  <c r="Y38" i="11"/>
  <c r="Y39" i="11"/>
  <c r="Y40" i="11"/>
  <c r="Y41" i="11"/>
  <c r="Y42" i="11"/>
  <c r="Y43" i="11"/>
  <c r="Y44" i="11"/>
  <c r="Y45" i="11"/>
  <c r="Y46" i="11"/>
  <c r="Y47" i="11"/>
  <c r="Y48" i="11"/>
  <c r="Y49" i="11"/>
  <c r="Y50" i="11"/>
  <c r="Y51" i="11"/>
  <c r="Y52" i="11"/>
  <c r="Y53" i="11"/>
  <c r="Y54" i="11"/>
  <c r="Y55" i="11"/>
  <c r="Y56" i="11"/>
  <c r="Y57" i="11"/>
  <c r="Y58" i="11"/>
  <c r="Y59" i="11"/>
  <c r="Y60" i="11"/>
  <c r="Y61" i="11"/>
  <c r="Y62" i="11"/>
  <c r="Y63" i="11"/>
  <c r="Y64" i="11"/>
  <c r="Y65" i="11"/>
  <c r="Y66" i="11"/>
  <c r="Y67" i="11"/>
  <c r="Y68" i="11"/>
  <c r="Y69" i="11"/>
  <c r="Y70" i="11"/>
  <c r="Y71" i="11"/>
  <c r="Y72" i="11"/>
  <c r="Y73" i="11"/>
  <c r="Y74" i="11"/>
  <c r="Y75" i="11"/>
  <c r="Y76" i="11"/>
  <c r="Y77" i="11"/>
  <c r="Y78" i="11"/>
  <c r="Y6" i="12"/>
  <c r="Y7" i="12"/>
  <c r="Y8" i="12"/>
  <c r="Y9" i="12"/>
  <c r="Y10" i="12"/>
  <c r="Y11" i="12"/>
  <c r="Y12" i="12"/>
  <c r="Y13" i="12"/>
  <c r="Y14" i="12"/>
  <c r="Y15" i="12"/>
  <c r="Y16" i="12"/>
  <c r="Y17" i="12"/>
  <c r="Y18" i="12"/>
  <c r="Y19" i="12"/>
  <c r="Y20" i="12"/>
  <c r="Y21" i="12"/>
  <c r="Y22" i="12"/>
  <c r="Y23" i="12"/>
  <c r="Y24" i="12"/>
  <c r="Y25" i="12"/>
  <c r="Y26" i="12"/>
  <c r="Y27" i="12"/>
  <c r="Y28" i="12"/>
  <c r="Y29" i="12"/>
  <c r="Y30" i="12"/>
  <c r="Y31" i="12"/>
  <c r="Y32" i="12"/>
  <c r="Y33" i="12"/>
  <c r="Y34" i="12"/>
  <c r="Y35" i="12"/>
  <c r="Y36" i="12"/>
  <c r="Y38" i="12"/>
  <c r="Y39" i="12"/>
  <c r="Y40" i="12"/>
  <c r="Y41" i="12"/>
  <c r="Y42" i="12"/>
  <c r="Y43" i="12"/>
  <c r="Y44" i="12"/>
  <c r="Y45" i="12"/>
  <c r="Y46" i="12"/>
  <c r="Y47" i="12"/>
  <c r="Y48" i="12"/>
  <c r="Y49" i="12"/>
  <c r="Y50" i="12"/>
  <c r="Y51" i="12"/>
  <c r="Y52" i="12"/>
  <c r="Y53" i="12"/>
  <c r="Y54" i="12"/>
  <c r="Y55" i="12"/>
  <c r="Y56" i="12"/>
  <c r="Y57" i="12"/>
  <c r="Y58" i="12"/>
  <c r="Y59" i="12"/>
  <c r="Y60" i="12"/>
  <c r="Y61" i="12"/>
  <c r="Y62" i="12"/>
  <c r="Y63" i="12"/>
  <c r="Y64" i="12"/>
  <c r="Y65" i="12"/>
  <c r="Y66" i="12"/>
  <c r="Y67" i="12"/>
  <c r="Y68" i="12"/>
  <c r="Y69" i="12"/>
  <c r="Y70" i="12"/>
  <c r="Y71" i="12"/>
  <c r="Y72" i="12"/>
  <c r="Y73" i="12"/>
  <c r="Y74" i="12"/>
  <c r="Y75" i="12"/>
  <c r="Y76" i="12"/>
  <c r="Y77" i="12"/>
  <c r="Y78" i="12"/>
  <c r="Y6" i="13"/>
  <c r="Y7" i="13"/>
  <c r="Y8" i="13"/>
  <c r="Y9" i="13"/>
  <c r="Y10" i="13"/>
  <c r="Y11" i="13"/>
  <c r="Y12" i="13"/>
  <c r="Y13" i="13"/>
  <c r="Y14" i="13"/>
  <c r="Y15" i="13"/>
  <c r="Y16" i="13"/>
  <c r="Y17" i="13"/>
  <c r="Y18" i="13"/>
  <c r="Y19" i="13"/>
  <c r="Y20" i="13"/>
  <c r="Y21" i="13"/>
  <c r="Y22" i="13"/>
  <c r="Y23" i="13"/>
  <c r="Y24" i="13"/>
  <c r="Y25" i="13"/>
  <c r="Y26" i="13"/>
  <c r="Y27" i="13"/>
  <c r="Y28" i="13"/>
  <c r="Y29" i="13"/>
  <c r="Y30" i="13"/>
  <c r="Y31" i="13"/>
  <c r="Y32" i="13"/>
  <c r="Y33" i="13"/>
  <c r="Y34" i="13"/>
  <c r="Y35" i="13"/>
  <c r="Y36" i="13"/>
  <c r="Y37" i="13"/>
  <c r="Y38" i="13"/>
  <c r="Y39" i="13"/>
  <c r="Y40" i="13"/>
  <c r="Y41" i="13"/>
  <c r="Y42" i="13"/>
  <c r="Y43" i="13"/>
  <c r="Y44" i="13"/>
  <c r="Y45" i="13"/>
  <c r="Y46" i="13"/>
  <c r="Y47" i="13"/>
  <c r="Y48" i="13"/>
  <c r="Y49" i="13"/>
  <c r="Y50" i="13"/>
  <c r="Y51" i="13"/>
  <c r="Y52" i="13"/>
  <c r="Y53" i="13"/>
  <c r="Y54" i="13"/>
  <c r="Y55" i="13"/>
  <c r="Y56" i="13"/>
  <c r="Y57" i="13"/>
  <c r="Y58" i="13"/>
  <c r="Y59" i="13"/>
  <c r="Y60" i="13"/>
  <c r="Y61" i="13"/>
  <c r="Y62" i="13"/>
  <c r="Y63" i="13"/>
  <c r="Y64" i="13"/>
  <c r="Y65" i="13"/>
  <c r="Y66" i="13"/>
  <c r="Y67" i="13"/>
  <c r="Y68" i="13"/>
  <c r="Y69" i="13"/>
  <c r="Y70" i="13"/>
  <c r="Y71" i="13"/>
  <c r="Y72" i="13"/>
  <c r="Y73" i="13"/>
  <c r="Y74" i="13"/>
  <c r="Y75" i="13"/>
  <c r="Y76" i="13"/>
  <c r="Y77" i="13"/>
  <c r="Y78" i="13"/>
  <c r="Y6" i="14"/>
  <c r="Y7" i="14"/>
  <c r="Y8" i="14"/>
  <c r="Y9" i="14"/>
  <c r="Y10" i="14"/>
  <c r="Y11" i="14"/>
  <c r="Y12" i="14"/>
  <c r="Y13" i="14"/>
  <c r="Y14" i="14"/>
  <c r="Y15" i="14"/>
  <c r="Y16" i="14"/>
  <c r="Y17" i="14"/>
  <c r="Y18" i="14"/>
  <c r="Y19" i="14"/>
  <c r="Y20" i="14"/>
  <c r="Y21" i="14"/>
  <c r="Y22" i="14"/>
  <c r="Y23" i="14"/>
  <c r="Y24" i="14"/>
  <c r="Y25" i="14"/>
  <c r="Y26" i="14"/>
  <c r="Y27" i="14"/>
  <c r="Y28" i="14"/>
  <c r="Y29" i="14"/>
  <c r="Y30" i="14"/>
  <c r="Y31" i="14"/>
  <c r="Y32" i="14"/>
  <c r="Y33" i="14"/>
  <c r="Y34" i="14"/>
  <c r="Y35" i="14"/>
  <c r="Y36" i="14"/>
  <c r="Y37" i="14"/>
  <c r="Y38" i="14"/>
  <c r="Y39" i="14"/>
  <c r="Y40" i="14"/>
  <c r="Y41" i="14"/>
  <c r="Y42" i="14"/>
  <c r="Y43" i="14"/>
  <c r="Y44" i="14"/>
  <c r="Y45" i="14"/>
  <c r="Y46" i="14"/>
  <c r="Y47" i="14"/>
  <c r="Y48" i="14"/>
  <c r="Y49" i="14"/>
  <c r="Y50" i="14"/>
  <c r="Y51" i="14"/>
  <c r="Y52" i="14"/>
  <c r="Y53" i="14"/>
  <c r="Y54" i="14"/>
  <c r="Y55" i="14"/>
  <c r="Y56" i="14"/>
  <c r="Y57" i="14"/>
  <c r="Y58" i="14"/>
  <c r="Y59" i="14"/>
  <c r="Y60" i="14"/>
  <c r="Y61" i="14"/>
  <c r="Y62" i="14"/>
  <c r="Y63" i="14"/>
  <c r="Y64" i="14"/>
  <c r="Y65" i="14"/>
  <c r="Y66" i="14"/>
  <c r="Y67" i="14"/>
  <c r="Y68" i="14"/>
  <c r="Y69" i="14"/>
  <c r="Y70" i="14"/>
  <c r="Y71" i="14"/>
  <c r="Y72" i="14"/>
  <c r="Y73" i="14"/>
  <c r="Y74" i="14"/>
  <c r="Y75" i="14"/>
  <c r="Y76" i="14"/>
  <c r="Y77" i="14"/>
  <c r="Y78" i="14"/>
  <c r="Y6" i="15"/>
  <c r="Y7" i="15"/>
  <c r="Y8" i="15"/>
  <c r="Y9" i="15"/>
  <c r="Y10" i="15"/>
  <c r="Y11" i="15"/>
  <c r="Y12" i="15"/>
  <c r="Y13" i="15"/>
  <c r="Y14" i="15"/>
  <c r="Y15" i="15"/>
  <c r="Y16" i="15"/>
  <c r="Y17" i="15"/>
  <c r="Y18" i="15"/>
  <c r="Y19" i="15"/>
  <c r="Y20" i="15"/>
  <c r="Y21" i="15"/>
  <c r="Y22" i="15"/>
  <c r="Y23" i="15"/>
  <c r="Y24" i="15"/>
  <c r="Y25" i="15"/>
  <c r="Y26" i="15"/>
  <c r="Y27" i="15"/>
  <c r="Y28" i="15"/>
  <c r="Y29" i="15"/>
  <c r="Y30" i="15"/>
  <c r="Y31" i="15"/>
  <c r="Y32" i="15"/>
  <c r="Y33" i="15"/>
  <c r="Y34" i="15"/>
  <c r="Y35" i="15"/>
  <c r="Y36" i="15"/>
  <c r="Y37" i="15"/>
  <c r="Y38" i="15"/>
  <c r="Y39" i="15"/>
  <c r="Y40" i="15"/>
  <c r="Y41" i="15"/>
  <c r="Y42" i="15"/>
  <c r="Y43" i="15"/>
  <c r="Y44" i="15"/>
  <c r="Y45" i="15"/>
  <c r="Y46" i="15"/>
  <c r="Y47" i="15"/>
  <c r="Y48" i="15"/>
  <c r="Y49" i="15"/>
  <c r="Y50" i="15"/>
  <c r="Y51" i="15"/>
  <c r="Y52" i="15"/>
  <c r="Y53" i="15"/>
  <c r="Y54" i="15"/>
  <c r="Y55" i="15"/>
  <c r="Y56" i="15"/>
  <c r="Y57" i="15"/>
  <c r="Y58" i="15"/>
  <c r="Y59" i="15"/>
  <c r="Y60" i="15"/>
  <c r="Y61" i="15"/>
  <c r="Y62" i="15"/>
  <c r="Y63" i="15"/>
  <c r="Y64" i="15"/>
  <c r="Y65" i="15"/>
  <c r="Y66" i="15"/>
  <c r="Y67" i="15"/>
  <c r="Y68" i="15"/>
  <c r="Y69" i="15"/>
  <c r="Y70" i="15"/>
  <c r="Y71" i="15"/>
  <c r="Y72" i="15"/>
  <c r="Y73" i="15"/>
  <c r="Y74" i="15"/>
  <c r="Y75" i="15"/>
  <c r="Y76" i="15"/>
  <c r="Y77" i="15"/>
  <c r="Y78" i="15"/>
  <c r="Y7" i="16"/>
  <c r="Y8" i="16"/>
  <c r="Y9" i="16"/>
  <c r="Y10" i="16"/>
  <c r="Y11" i="16"/>
  <c r="Y12" i="16"/>
  <c r="Y13" i="16"/>
  <c r="Y14" i="16"/>
  <c r="Y15" i="16"/>
  <c r="Y16" i="16"/>
  <c r="Y17" i="16"/>
  <c r="Y18" i="16"/>
  <c r="Y19" i="16"/>
  <c r="Y20" i="16"/>
  <c r="Y21" i="16"/>
  <c r="Y22" i="16"/>
  <c r="Y23" i="16"/>
  <c r="Y24" i="16"/>
  <c r="Y25" i="16"/>
  <c r="Y26" i="16"/>
  <c r="Y27" i="16"/>
  <c r="Y28" i="16"/>
  <c r="Y29" i="16"/>
  <c r="Y30" i="16"/>
  <c r="Y31" i="16"/>
  <c r="Y32" i="16"/>
  <c r="Y33" i="16"/>
  <c r="Y34" i="16"/>
  <c r="Y35" i="16"/>
  <c r="Y36" i="16"/>
  <c r="Y37" i="16"/>
  <c r="Y38" i="16"/>
  <c r="Y39" i="16"/>
  <c r="Y40" i="16"/>
  <c r="Y41" i="16"/>
  <c r="Y42" i="16"/>
  <c r="Y43" i="16"/>
  <c r="Y44" i="16"/>
  <c r="Y46" i="16"/>
  <c r="Y47" i="16"/>
  <c r="Y48" i="16"/>
  <c r="Y49" i="16"/>
  <c r="Y50" i="16"/>
  <c r="Y51" i="16"/>
  <c r="Y52" i="16"/>
  <c r="Y53" i="16"/>
  <c r="Y54" i="16"/>
  <c r="Y55" i="16"/>
  <c r="Y56" i="16"/>
  <c r="Y57" i="16"/>
  <c r="Y7" i="17"/>
  <c r="Y8" i="17"/>
  <c r="Y9" i="17"/>
  <c r="Y10" i="17"/>
  <c r="Y11" i="17"/>
  <c r="Y12" i="17"/>
  <c r="Y13" i="17"/>
  <c r="Y14" i="17"/>
  <c r="Y15" i="17"/>
  <c r="Y16" i="17"/>
  <c r="Y17" i="17"/>
  <c r="Y18" i="17"/>
  <c r="Y19" i="17"/>
  <c r="Y20" i="17"/>
  <c r="Y21" i="17"/>
  <c r="Y22" i="17"/>
  <c r="Y23" i="17"/>
  <c r="Y24" i="17"/>
  <c r="Y25" i="17"/>
  <c r="Y26" i="17"/>
  <c r="Y27" i="17"/>
  <c r="Y28" i="17"/>
  <c r="Y29" i="17"/>
  <c r="Y30" i="17"/>
  <c r="Y31" i="17"/>
  <c r="Y32" i="17"/>
  <c r="Y33" i="17"/>
  <c r="Y34" i="17"/>
  <c r="Y35" i="17"/>
  <c r="Y36" i="17"/>
  <c r="Y37" i="17"/>
  <c r="Y38" i="17"/>
  <c r="Y39" i="17"/>
  <c r="Y40" i="17"/>
  <c r="Y41" i="17"/>
  <c r="Y42" i="17"/>
  <c r="Y43" i="17"/>
  <c r="Y44" i="17"/>
  <c r="Y45" i="17"/>
  <c r="Y46" i="17"/>
  <c r="Y47" i="17"/>
  <c r="Y48" i="17"/>
  <c r="Y49" i="17"/>
  <c r="Y50" i="17"/>
  <c r="Y6" i="18"/>
  <c r="Y30" i="18"/>
  <c r="Y42" i="18"/>
  <c r="Y44" i="18"/>
  <c r="Y45" i="18"/>
  <c r="Y47" i="18"/>
  <c r="Y50" i="18"/>
  <c r="Y51" i="18"/>
  <c r="Y52" i="18"/>
  <c r="Y54" i="18"/>
  <c r="Y56" i="18"/>
  <c r="Y7" i="20"/>
  <c r="Y8" i="20"/>
  <c r="Y9" i="20"/>
  <c r="Y10" i="20"/>
  <c r="Y11" i="20"/>
  <c r="Y12" i="20"/>
  <c r="Y13" i="20"/>
  <c r="Y14" i="20"/>
  <c r="Y15" i="20"/>
  <c r="Y16" i="20"/>
  <c r="Y17" i="20"/>
  <c r="Y18" i="20"/>
  <c r="Y19" i="20"/>
  <c r="Y20" i="20"/>
  <c r="Y21" i="20"/>
  <c r="Y22" i="20"/>
  <c r="Y23" i="20"/>
  <c r="Y24" i="20"/>
  <c r="Y25" i="20"/>
  <c r="Y26" i="20"/>
  <c r="Y27" i="20"/>
  <c r="Y28" i="20"/>
  <c r="Y29" i="20"/>
  <c r="Y30" i="20"/>
  <c r="Y31" i="20"/>
  <c r="Y32" i="20"/>
  <c r="Y6" i="21"/>
  <c r="Y7" i="21"/>
  <c r="Y8" i="21"/>
  <c r="Y9" i="21"/>
  <c r="Y10" i="21"/>
  <c r="Y11" i="21"/>
  <c r="Y12" i="21"/>
  <c r="Y13" i="21"/>
  <c r="Y14" i="21"/>
  <c r="Y15" i="21"/>
  <c r="Y16" i="21"/>
  <c r="Y17" i="21"/>
  <c r="Y18" i="21"/>
  <c r="Y19" i="21"/>
  <c r="Y20" i="21"/>
  <c r="Y21" i="21"/>
  <c r="Y22" i="21"/>
  <c r="Y23" i="21"/>
  <c r="Y24" i="21"/>
  <c r="Y25" i="21"/>
  <c r="Y26" i="21"/>
  <c r="Y27" i="21"/>
  <c r="Y28" i="21"/>
  <c r="Y29" i="21"/>
  <c r="Y30" i="21"/>
  <c r="Y31" i="21"/>
  <c r="Y32" i="21"/>
  <c r="Y33" i="21"/>
  <c r="Y34" i="21"/>
  <c r="Y35" i="21"/>
  <c r="Y43" i="21"/>
  <c r="Y48" i="21"/>
  <c r="Y50" i="21"/>
  <c r="Y52" i="21"/>
  <c r="Y53" i="21"/>
  <c r="Y54" i="21"/>
  <c r="Y55" i="21"/>
  <c r="Y56" i="21"/>
  <c r="Y57" i="21"/>
  <c r="Y58" i="21"/>
  <c r="Y59" i="21"/>
  <c r="Y60" i="21"/>
  <c r="Y61" i="21"/>
  <c r="Y62" i="21"/>
  <c r="Y63" i="21"/>
  <c r="Y64" i="21"/>
  <c r="Y65" i="21"/>
  <c r="Y66" i="21"/>
  <c r="Y67" i="21"/>
  <c r="Y68" i="21"/>
  <c r="Y69" i="21"/>
  <c r="Y70" i="21"/>
  <c r="Y71" i="21"/>
  <c r="Y72" i="21"/>
  <c r="Y73" i="21"/>
  <c r="Y74" i="21"/>
  <c r="Y75" i="21"/>
  <c r="Y76" i="21"/>
  <c r="Y77" i="21"/>
  <c r="Y78" i="21"/>
  <c r="Y68" i="22"/>
  <c r="Y7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7" i="1"/>
  <c r="Y39" i="1"/>
  <c r="Y40" i="1"/>
  <c r="Y41" i="1"/>
  <c r="Y42" i="1"/>
  <c r="Y43" i="1"/>
  <c r="Y44" i="1"/>
  <c r="Y45" i="1"/>
  <c r="Y46" i="1"/>
  <c r="Y47" i="1"/>
  <c r="Y48" i="1"/>
  <c r="Y49" i="1"/>
  <c r="Y52" i="1"/>
  <c r="Y53" i="1"/>
  <c r="Y74" i="1"/>
  <c r="W6" i="2"/>
  <c r="W26" i="2"/>
  <c r="W45" i="2"/>
  <c r="W60" i="2"/>
  <c r="W67" i="2"/>
  <c r="W70" i="2"/>
  <c r="W71" i="2"/>
  <c r="W72" i="2"/>
  <c r="W73" i="2"/>
  <c r="W74" i="2"/>
  <c r="W75" i="2"/>
  <c r="W76" i="2"/>
  <c r="W77" i="2"/>
  <c r="W78" i="2"/>
  <c r="W7" i="3"/>
  <c r="W8" i="3"/>
  <c r="W9" i="3"/>
  <c r="W10" i="3"/>
  <c r="W11" i="3"/>
  <c r="W12" i="3"/>
  <c r="W13" i="3"/>
  <c r="W14" i="3"/>
  <c r="W15" i="3"/>
  <c r="W16" i="3"/>
  <c r="W17" i="3"/>
  <c r="W18" i="3"/>
  <c r="W19" i="3"/>
  <c r="W20" i="3"/>
  <c r="W21" i="3"/>
  <c r="W22" i="3"/>
  <c r="W23" i="3"/>
  <c r="W24" i="3"/>
  <c r="W25" i="3"/>
  <c r="W26" i="3"/>
  <c r="W27" i="3"/>
  <c r="W28" i="3"/>
  <c r="W29" i="3"/>
  <c r="W30" i="3"/>
  <c r="W61" i="3"/>
  <c r="W62" i="3"/>
  <c r="W63" i="3"/>
  <c r="W64" i="3"/>
  <c r="W65" i="3"/>
  <c r="W66" i="3"/>
  <c r="W67" i="3"/>
  <c r="W68" i="3"/>
  <c r="W69" i="3"/>
  <c r="W70" i="3"/>
  <c r="W71" i="3"/>
  <c r="W72" i="3"/>
  <c r="W73" i="3"/>
  <c r="W74" i="3"/>
  <c r="W75" i="3"/>
  <c r="W76" i="3"/>
  <c r="W77" i="3"/>
  <c r="W78" i="3"/>
  <c r="W6" i="4"/>
  <c r="W7" i="4"/>
  <c r="W8" i="4"/>
  <c r="W9" i="4"/>
  <c r="W10" i="4"/>
  <c r="W11" i="4"/>
  <c r="W12" i="4"/>
  <c r="W13" i="4"/>
  <c r="W14" i="4"/>
  <c r="W15" i="4"/>
  <c r="W16" i="4"/>
  <c r="W17" i="4"/>
  <c r="W18" i="4"/>
  <c r="W19" i="4"/>
  <c r="W20" i="4"/>
  <c r="W21" i="4"/>
  <c r="W22" i="4"/>
  <c r="W23" i="4"/>
  <c r="W24" i="4"/>
  <c r="W25" i="4"/>
  <c r="W26" i="4"/>
  <c r="W27" i="4"/>
  <c r="W28" i="4"/>
  <c r="W29" i="4"/>
  <c r="W30" i="4"/>
  <c r="W31" i="4"/>
  <c r="W32" i="4"/>
  <c r="W33" i="4"/>
  <c r="W34" i="4"/>
  <c r="W36" i="4"/>
  <c r="W37" i="4"/>
  <c r="W38" i="4"/>
  <c r="W39" i="4"/>
  <c r="W40" i="4"/>
  <c r="W41" i="4"/>
  <c r="W42" i="4"/>
  <c r="W43" i="4"/>
  <c r="W44" i="4"/>
  <c r="W45" i="4"/>
  <c r="W46" i="4"/>
  <c r="W47" i="4"/>
  <c r="W48" i="4"/>
  <c r="W49" i="4"/>
  <c r="W50" i="4"/>
  <c r="W51" i="4"/>
  <c r="W52" i="4"/>
  <c r="W6" i="5"/>
  <c r="W7" i="5"/>
  <c r="W8" i="5"/>
  <c r="W9" i="5"/>
  <c r="W10" i="5"/>
  <c r="W11" i="5"/>
  <c r="W12" i="5"/>
  <c r="W13" i="5"/>
  <c r="W14" i="5"/>
  <c r="W15" i="5"/>
  <c r="W16" i="5"/>
  <c r="W17" i="5"/>
  <c r="W18" i="5"/>
  <c r="W19" i="5"/>
  <c r="W20" i="5"/>
  <c r="W21" i="5"/>
  <c r="W22" i="5"/>
  <c r="W23" i="5"/>
  <c r="W24" i="5"/>
  <c r="W25" i="5"/>
  <c r="W26" i="5"/>
  <c r="W27" i="5"/>
  <c r="W28" i="5"/>
  <c r="W29" i="5"/>
  <c r="W30" i="5"/>
  <c r="W31" i="5"/>
  <c r="W32" i="5"/>
  <c r="W33" i="5"/>
  <c r="W34" i="5"/>
  <c r="W35" i="5"/>
  <c r="W36" i="5"/>
  <c r="W37" i="5"/>
  <c r="W38" i="5"/>
  <c r="W39" i="5"/>
  <c r="W40" i="5"/>
  <c r="W41" i="5"/>
  <c r="W42" i="5"/>
  <c r="W43" i="5"/>
  <c r="W44" i="5"/>
  <c r="W45" i="5"/>
  <c r="W46" i="5"/>
  <c r="W47" i="5"/>
  <c r="W48" i="5"/>
  <c r="W49" i="5"/>
  <c r="W50" i="5"/>
  <c r="W51" i="5"/>
  <c r="W52" i="5"/>
  <c r="W53" i="5"/>
  <c r="W75" i="5"/>
  <c r="W6" i="6"/>
  <c r="W7" i="6"/>
  <c r="W8" i="6"/>
  <c r="W9" i="6"/>
  <c r="W10" i="6"/>
  <c r="W11" i="6"/>
  <c r="W12" i="6"/>
  <c r="W13" i="6"/>
  <c r="W14" i="6"/>
  <c r="W15" i="6"/>
  <c r="W16" i="6"/>
  <c r="W17" i="6"/>
  <c r="W18" i="6"/>
  <c r="W19" i="6"/>
  <c r="W20" i="6"/>
  <c r="W21" i="6"/>
  <c r="W22" i="6"/>
  <c r="W23" i="6"/>
  <c r="W24" i="6"/>
  <c r="W25" i="6"/>
  <c r="W26" i="6"/>
  <c r="W27" i="6"/>
  <c r="W28" i="6"/>
  <c r="W29" i="6"/>
  <c r="W30" i="6"/>
  <c r="W31" i="6"/>
  <c r="W32" i="6"/>
  <c r="W33" i="6"/>
  <c r="W34" i="6"/>
  <c r="W35" i="6"/>
  <c r="W36" i="6"/>
  <c r="W37" i="6"/>
  <c r="W38" i="6"/>
  <c r="W39" i="6"/>
  <c r="W40" i="6"/>
  <c r="W41" i="6"/>
  <c r="W42" i="6"/>
  <c r="W43" i="6"/>
  <c r="W44" i="6"/>
  <c r="W45" i="6"/>
  <c r="W46" i="6"/>
  <c r="W47" i="6"/>
  <c r="W48" i="6"/>
  <c r="W49" i="6"/>
  <c r="W50" i="6"/>
  <c r="W51" i="6"/>
  <c r="W52" i="6"/>
  <c r="W53" i="6"/>
  <c r="W54" i="6"/>
  <c r="W55" i="6"/>
  <c r="W56" i="6"/>
  <c r="W57" i="6"/>
  <c r="W58" i="6"/>
  <c r="W59" i="6"/>
  <c r="W60" i="6"/>
  <c r="W61" i="6"/>
  <c r="W62" i="6"/>
  <c r="W63" i="6"/>
  <c r="W64" i="6"/>
  <c r="W65" i="6"/>
  <c r="W66" i="6"/>
  <c r="W67" i="6"/>
  <c r="W68" i="6"/>
  <c r="W69" i="6"/>
  <c r="W70" i="6"/>
  <c r="W71" i="6"/>
  <c r="W72" i="6"/>
  <c r="W73" i="6"/>
  <c r="W74" i="6"/>
  <c r="W75" i="6"/>
  <c r="W76" i="6"/>
  <c r="W77" i="6"/>
  <c r="W78" i="6"/>
  <c r="W59" i="7"/>
  <c r="W60" i="7"/>
  <c r="W61" i="7"/>
  <c r="W62" i="7"/>
  <c r="W63" i="7"/>
  <c r="W64" i="7"/>
  <c r="W65" i="7"/>
  <c r="W67" i="7"/>
  <c r="W68" i="7"/>
  <c r="W7" i="8"/>
  <c r="W8" i="8"/>
  <c r="W9" i="8"/>
  <c r="W10" i="8"/>
  <c r="W11" i="8"/>
  <c r="W12" i="8"/>
  <c r="W13" i="8"/>
  <c r="W14" i="8"/>
  <c r="W15" i="8"/>
  <c r="W16" i="8"/>
  <c r="W17" i="8"/>
  <c r="W18" i="8"/>
  <c r="W19" i="8"/>
  <c r="W20" i="8"/>
  <c r="W21" i="8"/>
  <c r="W22" i="8"/>
  <c r="W23" i="8"/>
  <c r="W24" i="8"/>
  <c r="W25" i="8"/>
  <c r="W26" i="8"/>
  <c r="W27" i="8"/>
  <c r="W28" i="8"/>
  <c r="W29" i="8"/>
  <c r="W30" i="8"/>
  <c r="W31" i="8"/>
  <c r="W32" i="8"/>
  <c r="W33" i="8"/>
  <c r="W34" i="8"/>
  <c r="W35" i="8"/>
  <c r="W36" i="8"/>
  <c r="W37" i="8"/>
  <c r="W38" i="8"/>
  <c r="W39" i="8"/>
  <c r="W40" i="8"/>
  <c r="W41" i="8"/>
  <c r="W42" i="8"/>
  <c r="W43" i="8"/>
  <c r="W44" i="8"/>
  <c r="W45" i="8"/>
  <c r="W46" i="8"/>
  <c r="W47" i="8"/>
  <c r="W49" i="8"/>
  <c r="W51" i="8"/>
  <c r="W53" i="8"/>
  <c r="W55" i="8"/>
  <c r="W59" i="8"/>
  <c r="W60" i="8"/>
  <c r="W62" i="8"/>
  <c r="W63" i="8"/>
  <c r="W64" i="8"/>
  <c r="W65" i="8"/>
  <c r="W66" i="8"/>
  <c r="W67" i="8"/>
  <c r="W68" i="8"/>
  <c r="W69" i="8"/>
  <c r="W70" i="8"/>
  <c r="W71" i="8"/>
  <c r="W6" i="9"/>
  <c r="W7" i="9"/>
  <c r="W8" i="9"/>
  <c r="W9" i="9"/>
  <c r="W10" i="9"/>
  <c r="W11" i="9"/>
  <c r="W12" i="9"/>
  <c r="W13" i="9"/>
  <c r="W14" i="9"/>
  <c r="W15" i="9"/>
  <c r="W16" i="9"/>
  <c r="W17" i="9"/>
  <c r="W18" i="9"/>
  <c r="W19" i="9"/>
  <c r="W20" i="9"/>
  <c r="W21" i="9"/>
  <c r="W22" i="9"/>
  <c r="W23" i="9"/>
  <c r="W24" i="9"/>
  <c r="W25" i="9"/>
  <c r="W26" i="9"/>
  <c r="W27" i="9"/>
  <c r="W28" i="9"/>
  <c r="W29" i="9"/>
  <c r="W30" i="9"/>
  <c r="W31" i="9"/>
  <c r="W32" i="9"/>
  <c r="W33" i="9"/>
  <c r="W34" i="9"/>
  <c r="W35" i="9"/>
  <c r="W36" i="9"/>
  <c r="W37" i="9"/>
  <c r="W38" i="9"/>
  <c r="W39" i="9"/>
  <c r="W40" i="9"/>
  <c r="W41" i="9"/>
  <c r="W42" i="9"/>
  <c r="W43" i="9"/>
  <c r="W44" i="9"/>
  <c r="W45" i="9"/>
  <c r="W46" i="9"/>
  <c r="W47" i="9"/>
  <c r="W48" i="9"/>
  <c r="W49" i="9"/>
  <c r="W50" i="9"/>
  <c r="W51" i="9"/>
  <c r="W52" i="9"/>
  <c r="W53" i="9"/>
  <c r="W54" i="9"/>
  <c r="W55" i="9"/>
  <c r="W56" i="9"/>
  <c r="W57" i="9"/>
  <c r="W58" i="9"/>
  <c r="W59" i="9"/>
  <c r="W60" i="9"/>
  <c r="W61" i="9"/>
  <c r="W62" i="9"/>
  <c r="W63" i="9"/>
  <c r="W64" i="9"/>
  <c r="W65" i="9"/>
  <c r="W66" i="9"/>
  <c r="W67" i="9"/>
  <c r="W68" i="9"/>
  <c r="W69" i="9"/>
  <c r="W70" i="9"/>
  <c r="W71" i="9"/>
  <c r="W72" i="9"/>
  <c r="W73" i="9"/>
  <c r="W74" i="9"/>
  <c r="W75" i="9"/>
  <c r="W76" i="9"/>
  <c r="W77" i="9"/>
  <c r="W6" i="10"/>
  <c r="W7" i="10"/>
  <c r="W8" i="10"/>
  <c r="W9" i="10"/>
  <c r="W10" i="10"/>
  <c r="W11" i="10"/>
  <c r="W12" i="10"/>
  <c r="W13" i="10"/>
  <c r="W14" i="10"/>
  <c r="W15" i="10"/>
  <c r="W16" i="10"/>
  <c r="W17" i="10"/>
  <c r="W18" i="10"/>
  <c r="W19" i="10"/>
  <c r="W20" i="10"/>
  <c r="W21" i="10"/>
  <c r="W22" i="10"/>
  <c r="W23" i="10"/>
  <c r="W24" i="10"/>
  <c r="W25" i="10"/>
  <c r="W26" i="10"/>
  <c r="W27" i="10"/>
  <c r="W28" i="10"/>
  <c r="W29" i="10"/>
  <c r="W30" i="10"/>
  <c r="W31" i="10"/>
  <c r="W32" i="10"/>
  <c r="W33" i="10"/>
  <c r="W34" i="10"/>
  <c r="W35" i="10"/>
  <c r="W36" i="10"/>
  <c r="W37" i="10"/>
  <c r="W38" i="10"/>
  <c r="W39" i="10"/>
  <c r="W40" i="10"/>
  <c r="W41" i="10"/>
  <c r="W42" i="10"/>
  <c r="W43" i="10"/>
  <c r="W44" i="10"/>
  <c r="W45" i="10"/>
  <c r="W46" i="10"/>
  <c r="W47" i="10"/>
  <c r="W48" i="10"/>
  <c r="W49" i="10"/>
  <c r="W50" i="10"/>
  <c r="W51" i="10"/>
  <c r="W52" i="10"/>
  <c r="W53" i="10"/>
  <c r="W54" i="10"/>
  <c r="W55" i="10"/>
  <c r="W56" i="10"/>
  <c r="W57" i="10"/>
  <c r="W58" i="10"/>
  <c r="W59" i="10"/>
  <c r="W60" i="10"/>
  <c r="W61" i="10"/>
  <c r="W62" i="10"/>
  <c r="W63" i="10"/>
  <c r="W64" i="10"/>
  <c r="W65" i="10"/>
  <c r="W66" i="10"/>
  <c r="W67" i="10"/>
  <c r="W68" i="10"/>
  <c r="W69" i="10"/>
  <c r="W70" i="10"/>
  <c r="W71" i="10"/>
  <c r="W72" i="10"/>
  <c r="W73" i="10"/>
  <c r="W74" i="10"/>
  <c r="W75" i="10"/>
  <c r="W76" i="10"/>
  <c r="W77" i="10"/>
  <c r="W78" i="10"/>
  <c r="W6" i="11"/>
  <c r="W7" i="11"/>
  <c r="W8" i="11"/>
  <c r="W9" i="11"/>
  <c r="W10" i="11"/>
  <c r="W11" i="11"/>
  <c r="W12" i="11"/>
  <c r="W13" i="11"/>
  <c r="W14" i="11"/>
  <c r="W15" i="11"/>
  <c r="W16" i="11"/>
  <c r="W17" i="11"/>
  <c r="W18" i="11"/>
  <c r="W19" i="11"/>
  <c r="W20" i="11"/>
  <c r="W21" i="11"/>
  <c r="W22" i="11"/>
  <c r="W23" i="11"/>
  <c r="W24" i="11"/>
  <c r="W25" i="11"/>
  <c r="W26" i="11"/>
  <c r="W27" i="11"/>
  <c r="W28" i="11"/>
  <c r="W29" i="11"/>
  <c r="W30" i="11"/>
  <c r="W31" i="11"/>
  <c r="W32" i="11"/>
  <c r="W33" i="11"/>
  <c r="W34" i="11"/>
  <c r="W35" i="11"/>
  <c r="W36" i="11"/>
  <c r="W37" i="11"/>
  <c r="W38" i="11"/>
  <c r="W39" i="11"/>
  <c r="W40" i="11"/>
  <c r="W41" i="11"/>
  <c r="W42" i="11"/>
  <c r="W43" i="11"/>
  <c r="W44" i="11"/>
  <c r="W45" i="11"/>
  <c r="W46" i="11"/>
  <c r="W47" i="11"/>
  <c r="W48" i="11"/>
  <c r="W49" i="11"/>
  <c r="W50" i="11"/>
  <c r="W51" i="11"/>
  <c r="W52" i="11"/>
  <c r="W53" i="11"/>
  <c r="W54" i="11"/>
  <c r="W55" i="11"/>
  <c r="W56" i="11"/>
  <c r="W57" i="11"/>
  <c r="W58" i="11"/>
  <c r="W59" i="11"/>
  <c r="W60" i="11"/>
  <c r="W61" i="11"/>
  <c r="W62" i="11"/>
  <c r="W63" i="11"/>
  <c r="W64" i="11"/>
  <c r="W65" i="11"/>
  <c r="W66" i="11"/>
  <c r="W67" i="11"/>
  <c r="W68" i="11"/>
  <c r="W69" i="11"/>
  <c r="W70" i="11"/>
  <c r="W71" i="11"/>
  <c r="W72" i="11"/>
  <c r="W73" i="11"/>
  <c r="W74" i="11"/>
  <c r="W75" i="11"/>
  <c r="W76" i="11"/>
  <c r="W77" i="11"/>
  <c r="W78" i="11"/>
  <c r="W6" i="12"/>
  <c r="W7" i="12"/>
  <c r="W8" i="12"/>
  <c r="W9" i="12"/>
  <c r="W10" i="12"/>
  <c r="W11" i="12"/>
  <c r="W12" i="12"/>
  <c r="W13" i="12"/>
  <c r="W14" i="12"/>
  <c r="W15" i="12"/>
  <c r="W16" i="12"/>
  <c r="W17" i="12"/>
  <c r="W18" i="12"/>
  <c r="W19" i="12"/>
  <c r="W20" i="12"/>
  <c r="W21" i="12"/>
  <c r="W22" i="12"/>
  <c r="W23" i="12"/>
  <c r="W24" i="12"/>
  <c r="W25" i="12"/>
  <c r="W26" i="12"/>
  <c r="W27" i="12"/>
  <c r="W28" i="12"/>
  <c r="W29" i="12"/>
  <c r="W30" i="12"/>
  <c r="W31" i="12"/>
  <c r="W32" i="12"/>
  <c r="W33" i="12"/>
  <c r="W34" i="12"/>
  <c r="W35" i="12"/>
  <c r="W36" i="12"/>
  <c r="W38" i="12"/>
  <c r="W39" i="12"/>
  <c r="W40" i="12"/>
  <c r="W41" i="12"/>
  <c r="W42" i="12"/>
  <c r="W43" i="12"/>
  <c r="W44" i="12"/>
  <c r="W45" i="12"/>
  <c r="W46" i="12"/>
  <c r="W47" i="12"/>
  <c r="W48" i="12"/>
  <c r="W49" i="12"/>
  <c r="W50" i="12"/>
  <c r="W51" i="12"/>
  <c r="W52" i="12"/>
  <c r="W53" i="12"/>
  <c r="W54" i="12"/>
  <c r="W55" i="12"/>
  <c r="W56" i="12"/>
  <c r="W57" i="12"/>
  <c r="W58" i="12"/>
  <c r="W59" i="12"/>
  <c r="W60" i="12"/>
  <c r="W61" i="12"/>
  <c r="W62" i="12"/>
  <c r="W63" i="12"/>
  <c r="W64" i="12"/>
  <c r="W65" i="12"/>
  <c r="W66" i="12"/>
  <c r="W67" i="12"/>
  <c r="W68" i="12"/>
  <c r="W69" i="12"/>
  <c r="W70" i="12"/>
  <c r="W71" i="12"/>
  <c r="W72" i="12"/>
  <c r="W73" i="12"/>
  <c r="W74" i="12"/>
  <c r="W75" i="12"/>
  <c r="W76" i="12"/>
  <c r="W77" i="12"/>
  <c r="W78" i="12"/>
  <c r="W6" i="13"/>
  <c r="W7" i="13"/>
  <c r="W8" i="13"/>
  <c r="W9" i="13"/>
  <c r="W10" i="13"/>
  <c r="W11" i="13"/>
  <c r="W12" i="13"/>
  <c r="W13" i="13"/>
  <c r="W14" i="13"/>
  <c r="W15" i="13"/>
  <c r="W16" i="13"/>
  <c r="W17" i="13"/>
  <c r="W18" i="13"/>
  <c r="W19" i="13"/>
  <c r="W20" i="13"/>
  <c r="W21" i="13"/>
  <c r="W22" i="13"/>
  <c r="W23" i="13"/>
  <c r="W24" i="13"/>
  <c r="W25" i="13"/>
  <c r="W26" i="13"/>
  <c r="W27" i="13"/>
  <c r="W28" i="13"/>
  <c r="W29" i="13"/>
  <c r="W30" i="13"/>
  <c r="W31" i="13"/>
  <c r="W32" i="13"/>
  <c r="W33" i="13"/>
  <c r="W34" i="13"/>
  <c r="W35" i="13"/>
  <c r="W36" i="13"/>
  <c r="W37" i="13"/>
  <c r="W38" i="13"/>
  <c r="W39" i="13"/>
  <c r="W40" i="13"/>
  <c r="W41" i="13"/>
  <c r="W42" i="13"/>
  <c r="W43" i="13"/>
  <c r="W44" i="13"/>
  <c r="W45" i="13"/>
  <c r="W46" i="13"/>
  <c r="W47" i="13"/>
  <c r="W48" i="13"/>
  <c r="W49" i="13"/>
  <c r="W50" i="13"/>
  <c r="W51" i="13"/>
  <c r="W52" i="13"/>
  <c r="W53" i="13"/>
  <c r="W54" i="13"/>
  <c r="W55" i="13"/>
  <c r="W56" i="13"/>
  <c r="W57" i="13"/>
  <c r="W58" i="13"/>
  <c r="W59" i="13"/>
  <c r="W60" i="13"/>
  <c r="W61" i="13"/>
  <c r="W62" i="13"/>
  <c r="W63" i="13"/>
  <c r="W64" i="13"/>
  <c r="W65" i="13"/>
  <c r="W66" i="13"/>
  <c r="W67" i="13"/>
  <c r="W68" i="13"/>
  <c r="W69" i="13"/>
  <c r="W70" i="13"/>
  <c r="W71" i="13"/>
  <c r="W72" i="13"/>
  <c r="W73" i="13"/>
  <c r="W74" i="13"/>
  <c r="W75" i="13"/>
  <c r="W76" i="13"/>
  <c r="W77" i="13"/>
  <c r="W78" i="13"/>
  <c r="W6" i="14"/>
  <c r="W7" i="14"/>
  <c r="W8" i="14"/>
  <c r="W9" i="14"/>
  <c r="W10" i="14"/>
  <c r="W11" i="14"/>
  <c r="W12" i="14"/>
  <c r="W13" i="14"/>
  <c r="W14" i="14"/>
  <c r="W15" i="14"/>
  <c r="W16" i="14"/>
  <c r="W17" i="14"/>
  <c r="W18" i="14"/>
  <c r="W19" i="14"/>
  <c r="W20" i="14"/>
  <c r="W21" i="14"/>
  <c r="W22" i="14"/>
  <c r="W23" i="14"/>
  <c r="W24" i="14"/>
  <c r="W25" i="14"/>
  <c r="W26" i="14"/>
  <c r="W27" i="14"/>
  <c r="W28" i="14"/>
  <c r="W29" i="14"/>
  <c r="W30" i="14"/>
  <c r="W31" i="14"/>
  <c r="W32" i="14"/>
  <c r="W33" i="14"/>
  <c r="W34" i="14"/>
  <c r="W35" i="14"/>
  <c r="W36" i="14"/>
  <c r="W37" i="14"/>
  <c r="W38" i="14"/>
  <c r="W39" i="14"/>
  <c r="W40" i="14"/>
  <c r="W41" i="14"/>
  <c r="W42" i="14"/>
  <c r="W43" i="14"/>
  <c r="W44" i="14"/>
  <c r="W45" i="14"/>
  <c r="W46" i="14"/>
  <c r="W47" i="14"/>
  <c r="W48" i="14"/>
  <c r="W49" i="14"/>
  <c r="W50" i="14"/>
  <c r="W51" i="14"/>
  <c r="W52" i="14"/>
  <c r="W53" i="14"/>
  <c r="W54" i="14"/>
  <c r="W55" i="14"/>
  <c r="W56" i="14"/>
  <c r="W57" i="14"/>
  <c r="W58" i="14"/>
  <c r="W59" i="14"/>
  <c r="W60" i="14"/>
  <c r="W61" i="14"/>
  <c r="W62" i="14"/>
  <c r="W63" i="14"/>
  <c r="W64" i="14"/>
  <c r="W65" i="14"/>
  <c r="W66" i="14"/>
  <c r="W67" i="14"/>
  <c r="W68" i="14"/>
  <c r="W69" i="14"/>
  <c r="W70" i="14"/>
  <c r="W71" i="14"/>
  <c r="W72" i="14"/>
  <c r="W73" i="14"/>
  <c r="W74" i="14"/>
  <c r="W75" i="14"/>
  <c r="W76" i="14"/>
  <c r="W77" i="14"/>
  <c r="W78" i="14"/>
  <c r="W6" i="15"/>
  <c r="W7" i="15"/>
  <c r="W8" i="15"/>
  <c r="W9" i="15"/>
  <c r="W10" i="15"/>
  <c r="W11" i="15"/>
  <c r="W12" i="15"/>
  <c r="W13" i="15"/>
  <c r="W14" i="15"/>
  <c r="W15" i="15"/>
  <c r="W16" i="15"/>
  <c r="W17" i="15"/>
  <c r="W18" i="15"/>
  <c r="W19" i="15"/>
  <c r="W20" i="15"/>
  <c r="W21" i="15"/>
  <c r="W22" i="15"/>
  <c r="W23" i="15"/>
  <c r="W24" i="15"/>
  <c r="W25" i="15"/>
  <c r="W26" i="15"/>
  <c r="W27" i="15"/>
  <c r="W28" i="15"/>
  <c r="W29" i="15"/>
  <c r="W30" i="15"/>
  <c r="W31" i="15"/>
  <c r="W32" i="15"/>
  <c r="W33" i="15"/>
  <c r="W34" i="15"/>
  <c r="W35" i="15"/>
  <c r="W36" i="15"/>
  <c r="W37" i="15"/>
  <c r="W38" i="15"/>
  <c r="W39" i="15"/>
  <c r="W40" i="15"/>
  <c r="W41" i="15"/>
  <c r="W42" i="15"/>
  <c r="W43" i="15"/>
  <c r="W44" i="15"/>
  <c r="W45" i="15"/>
  <c r="W46" i="15"/>
  <c r="W47" i="15"/>
  <c r="W48" i="15"/>
  <c r="W49" i="15"/>
  <c r="W50" i="15"/>
  <c r="W51" i="15"/>
  <c r="W52" i="15"/>
  <c r="W53" i="15"/>
  <c r="W54" i="15"/>
  <c r="W55" i="15"/>
  <c r="W56" i="15"/>
  <c r="W57" i="15"/>
  <c r="W58" i="15"/>
  <c r="W59" i="15"/>
  <c r="W60" i="15"/>
  <c r="W61" i="15"/>
  <c r="W62" i="15"/>
  <c r="W63" i="15"/>
  <c r="W64" i="15"/>
  <c r="W65" i="15"/>
  <c r="W66" i="15"/>
  <c r="W67" i="15"/>
  <c r="W68" i="15"/>
  <c r="W69" i="15"/>
  <c r="W70" i="15"/>
  <c r="W71" i="15"/>
  <c r="W72" i="15"/>
  <c r="W73" i="15"/>
  <c r="W74" i="15"/>
  <c r="W75" i="15"/>
  <c r="W76" i="15"/>
  <c r="W77" i="15"/>
  <c r="W78" i="15"/>
  <c r="W7" i="16"/>
  <c r="W8" i="16"/>
  <c r="W9" i="16"/>
  <c r="W10" i="16"/>
  <c r="W11" i="16"/>
  <c r="W12" i="16"/>
  <c r="W13" i="16"/>
  <c r="W14" i="16"/>
  <c r="W15" i="16"/>
  <c r="W16" i="16"/>
  <c r="W17" i="16"/>
  <c r="W18" i="16"/>
  <c r="W19" i="16"/>
  <c r="W20" i="16"/>
  <c r="W21" i="16"/>
  <c r="W22" i="16"/>
  <c r="W23" i="16"/>
  <c r="W24" i="16"/>
  <c r="W25" i="16"/>
  <c r="W26" i="16"/>
  <c r="W27" i="16"/>
  <c r="W28" i="16"/>
  <c r="W29" i="16"/>
  <c r="W30" i="16"/>
  <c r="W31" i="16"/>
  <c r="W32" i="16"/>
  <c r="W33" i="16"/>
  <c r="W34" i="16"/>
  <c r="W35" i="16"/>
  <c r="W36" i="16"/>
  <c r="W37" i="16"/>
  <c r="W38" i="16"/>
  <c r="W39" i="16"/>
  <c r="W40" i="16"/>
  <c r="W41" i="16"/>
  <c r="W42" i="16"/>
  <c r="W43" i="16"/>
  <c r="W44" i="16"/>
  <c r="W46" i="16"/>
  <c r="W47" i="16"/>
  <c r="W48" i="16"/>
  <c r="W49" i="16"/>
  <c r="W50" i="16"/>
  <c r="W51" i="16"/>
  <c r="W52" i="16"/>
  <c r="W53" i="16"/>
  <c r="W54" i="16"/>
  <c r="W55" i="16"/>
  <c r="W56" i="16"/>
  <c r="W57" i="16"/>
  <c r="W7" i="17"/>
  <c r="W8" i="17"/>
  <c r="W9" i="17"/>
  <c r="W10" i="17"/>
  <c r="W11" i="17"/>
  <c r="W12" i="17"/>
  <c r="W13" i="17"/>
  <c r="W14" i="17"/>
  <c r="W15" i="17"/>
  <c r="W16" i="17"/>
  <c r="W17" i="17"/>
  <c r="W18" i="17"/>
  <c r="W19" i="17"/>
  <c r="W20" i="17"/>
  <c r="W21" i="17"/>
  <c r="W22" i="17"/>
  <c r="W23" i="17"/>
  <c r="W24" i="17"/>
  <c r="W25" i="17"/>
  <c r="W26" i="17"/>
  <c r="W27" i="17"/>
  <c r="W28" i="17"/>
  <c r="W29" i="17"/>
  <c r="W30" i="17"/>
  <c r="W31" i="17"/>
  <c r="W32" i="17"/>
  <c r="W33" i="17"/>
  <c r="W34" i="17"/>
  <c r="W35" i="17"/>
  <c r="W36" i="17"/>
  <c r="W37" i="17"/>
  <c r="W38" i="17"/>
  <c r="W39" i="17"/>
  <c r="W40" i="17"/>
  <c r="W41" i="17"/>
  <c r="W42" i="17"/>
  <c r="W43" i="17"/>
  <c r="W44" i="17"/>
  <c r="W45" i="17"/>
  <c r="W46" i="17"/>
  <c r="W47" i="17"/>
  <c r="W48" i="17"/>
  <c r="W49" i="17"/>
  <c r="W50" i="17"/>
  <c r="W6" i="18"/>
  <c r="W30" i="18"/>
  <c r="W42" i="18"/>
  <c r="W44" i="18"/>
  <c r="W45" i="18"/>
  <c r="W47" i="18"/>
  <c r="W50" i="18"/>
  <c r="W51" i="18"/>
  <c r="W52" i="18"/>
  <c r="W54" i="18"/>
  <c r="W56" i="18"/>
  <c r="W7" i="20"/>
  <c r="W8" i="20"/>
  <c r="W9" i="20"/>
  <c r="W10" i="20"/>
  <c r="W11" i="20"/>
  <c r="W12" i="20"/>
  <c r="W13" i="20"/>
  <c r="W14" i="20"/>
  <c r="W15" i="20"/>
  <c r="W16" i="20"/>
  <c r="W17" i="20"/>
  <c r="W18" i="20"/>
  <c r="W19" i="20"/>
  <c r="W20" i="20"/>
  <c r="W21" i="20"/>
  <c r="W22" i="20"/>
  <c r="W23" i="20"/>
  <c r="W24" i="20"/>
  <c r="W25" i="20"/>
  <c r="W26" i="20"/>
  <c r="W27" i="20"/>
  <c r="W28" i="20"/>
  <c r="W29" i="20"/>
  <c r="W30" i="20"/>
  <c r="W31" i="20"/>
  <c r="W32" i="20"/>
  <c r="W6" i="21"/>
  <c r="W7" i="21"/>
  <c r="W8" i="21"/>
  <c r="W9" i="21"/>
  <c r="W10" i="21"/>
  <c r="W11" i="21"/>
  <c r="W12" i="21"/>
  <c r="W13" i="21"/>
  <c r="W14" i="21"/>
  <c r="W15" i="21"/>
  <c r="W16" i="21"/>
  <c r="W17" i="21"/>
  <c r="W18" i="21"/>
  <c r="W19" i="21"/>
  <c r="W20" i="21"/>
  <c r="W21" i="21"/>
  <c r="W22" i="21"/>
  <c r="W23" i="21"/>
  <c r="W24" i="21"/>
  <c r="W25" i="21"/>
  <c r="W26" i="21"/>
  <c r="W27" i="21"/>
  <c r="W28" i="21"/>
  <c r="W29" i="21"/>
  <c r="W30" i="21"/>
  <c r="W31" i="21"/>
  <c r="W32" i="21"/>
  <c r="W33" i="21"/>
  <c r="W34" i="21"/>
  <c r="W35" i="21"/>
  <c r="W43" i="21"/>
  <c r="W48" i="21"/>
  <c r="W50" i="21"/>
  <c r="W52" i="21"/>
  <c r="W53" i="21"/>
  <c r="W54" i="21"/>
  <c r="W55" i="21"/>
  <c r="W56" i="21"/>
  <c r="W57" i="21"/>
  <c r="W58" i="21"/>
  <c r="W59" i="21"/>
  <c r="W60" i="21"/>
  <c r="W61" i="21"/>
  <c r="W62" i="21"/>
  <c r="W63" i="21"/>
  <c r="W64" i="21"/>
  <c r="W65" i="21"/>
  <c r="W66" i="21"/>
  <c r="W67" i="21"/>
  <c r="W68" i="21"/>
  <c r="W69" i="21"/>
  <c r="W70" i="21"/>
  <c r="W71" i="21"/>
  <c r="W72" i="21"/>
  <c r="W73" i="21"/>
  <c r="W74" i="21"/>
  <c r="W75" i="21"/>
  <c r="W76" i="21"/>
  <c r="W77" i="21"/>
  <c r="W78" i="21"/>
  <c r="W68" i="22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7" i="1"/>
  <c r="W39" i="1"/>
  <c r="W40" i="1"/>
  <c r="W41" i="1"/>
  <c r="W42" i="1"/>
  <c r="W43" i="1"/>
  <c r="W44" i="1"/>
  <c r="W45" i="1"/>
  <c r="W46" i="1"/>
  <c r="W47" i="1"/>
  <c r="W48" i="1"/>
  <c r="W49" i="1"/>
  <c r="W52" i="1"/>
  <c r="W53" i="1"/>
  <c r="W74" i="1"/>
  <c r="U6" i="2"/>
  <c r="U26" i="2"/>
  <c r="U45" i="2"/>
  <c r="U60" i="2"/>
  <c r="U67" i="2"/>
  <c r="U70" i="2"/>
  <c r="U71" i="2"/>
  <c r="U72" i="2"/>
  <c r="U73" i="2"/>
  <c r="U74" i="2"/>
  <c r="U75" i="2"/>
  <c r="U76" i="2"/>
  <c r="U77" i="2"/>
  <c r="U78" i="2"/>
  <c r="U7" i="3"/>
  <c r="U8" i="3"/>
  <c r="U9" i="3"/>
  <c r="U10" i="3"/>
  <c r="U11" i="3"/>
  <c r="U12" i="3"/>
  <c r="U13" i="3"/>
  <c r="U14" i="3"/>
  <c r="U15" i="3"/>
  <c r="U16" i="3"/>
  <c r="U17" i="3"/>
  <c r="U18" i="3"/>
  <c r="U19" i="3"/>
  <c r="U20" i="3"/>
  <c r="U21" i="3"/>
  <c r="U22" i="3"/>
  <c r="U23" i="3"/>
  <c r="U24" i="3"/>
  <c r="U25" i="3"/>
  <c r="U26" i="3"/>
  <c r="U27" i="3"/>
  <c r="U28" i="3"/>
  <c r="U29" i="3"/>
  <c r="U30" i="3"/>
  <c r="U61" i="3"/>
  <c r="U62" i="3"/>
  <c r="U63" i="3"/>
  <c r="U64" i="3"/>
  <c r="U65" i="3"/>
  <c r="U66" i="3"/>
  <c r="U67" i="3"/>
  <c r="U68" i="3"/>
  <c r="U69" i="3"/>
  <c r="U70" i="3"/>
  <c r="U71" i="3"/>
  <c r="U72" i="3"/>
  <c r="U73" i="3"/>
  <c r="U74" i="3"/>
  <c r="U75" i="3"/>
  <c r="U76" i="3"/>
  <c r="U77" i="3"/>
  <c r="U78" i="3"/>
  <c r="U6" i="4"/>
  <c r="U7" i="4"/>
  <c r="U8" i="4"/>
  <c r="U9" i="4"/>
  <c r="U10" i="4"/>
  <c r="U11" i="4"/>
  <c r="U12" i="4"/>
  <c r="U13" i="4"/>
  <c r="U14" i="4"/>
  <c r="U15" i="4"/>
  <c r="U16" i="4"/>
  <c r="U17" i="4"/>
  <c r="U18" i="4"/>
  <c r="U19" i="4"/>
  <c r="U20" i="4"/>
  <c r="U21" i="4"/>
  <c r="U22" i="4"/>
  <c r="U23" i="4"/>
  <c r="U24" i="4"/>
  <c r="U25" i="4"/>
  <c r="U26" i="4"/>
  <c r="U27" i="4"/>
  <c r="U28" i="4"/>
  <c r="U29" i="4"/>
  <c r="U30" i="4"/>
  <c r="U31" i="4"/>
  <c r="U32" i="4"/>
  <c r="U33" i="4"/>
  <c r="U34" i="4"/>
  <c r="U36" i="4"/>
  <c r="U37" i="4"/>
  <c r="U38" i="4"/>
  <c r="U39" i="4"/>
  <c r="U40" i="4"/>
  <c r="U41" i="4"/>
  <c r="U42" i="4"/>
  <c r="U43" i="4"/>
  <c r="U44" i="4"/>
  <c r="U45" i="4"/>
  <c r="U46" i="4"/>
  <c r="U47" i="4"/>
  <c r="U48" i="4"/>
  <c r="U49" i="4"/>
  <c r="U50" i="4"/>
  <c r="U51" i="4"/>
  <c r="U52" i="4"/>
  <c r="U6" i="5"/>
  <c r="U7" i="5"/>
  <c r="U8" i="5"/>
  <c r="U9" i="5"/>
  <c r="U10" i="5"/>
  <c r="U11" i="5"/>
  <c r="U12" i="5"/>
  <c r="U13" i="5"/>
  <c r="U14" i="5"/>
  <c r="U15" i="5"/>
  <c r="U16" i="5"/>
  <c r="U17" i="5"/>
  <c r="U18" i="5"/>
  <c r="U19" i="5"/>
  <c r="U20" i="5"/>
  <c r="U21" i="5"/>
  <c r="U22" i="5"/>
  <c r="U23" i="5"/>
  <c r="U24" i="5"/>
  <c r="U25" i="5"/>
  <c r="U26" i="5"/>
  <c r="U27" i="5"/>
  <c r="U28" i="5"/>
  <c r="U29" i="5"/>
  <c r="U30" i="5"/>
  <c r="U31" i="5"/>
  <c r="U32" i="5"/>
  <c r="U33" i="5"/>
  <c r="U34" i="5"/>
  <c r="U35" i="5"/>
  <c r="U36" i="5"/>
  <c r="U37" i="5"/>
  <c r="U38" i="5"/>
  <c r="U39" i="5"/>
  <c r="U40" i="5"/>
  <c r="U41" i="5"/>
  <c r="U42" i="5"/>
  <c r="U43" i="5"/>
  <c r="U44" i="5"/>
  <c r="U45" i="5"/>
  <c r="U46" i="5"/>
  <c r="U47" i="5"/>
  <c r="U48" i="5"/>
  <c r="U49" i="5"/>
  <c r="U50" i="5"/>
  <c r="U51" i="5"/>
  <c r="U52" i="5"/>
  <c r="U53" i="5"/>
  <c r="U75" i="5"/>
  <c r="U6" i="6"/>
  <c r="U7" i="6"/>
  <c r="U8" i="6"/>
  <c r="U9" i="6"/>
  <c r="U10" i="6"/>
  <c r="U11" i="6"/>
  <c r="U12" i="6"/>
  <c r="U13" i="6"/>
  <c r="U14" i="6"/>
  <c r="U15" i="6"/>
  <c r="U16" i="6"/>
  <c r="U17" i="6"/>
  <c r="U18" i="6"/>
  <c r="U19" i="6"/>
  <c r="U20" i="6"/>
  <c r="U21" i="6"/>
  <c r="U22" i="6"/>
  <c r="U23" i="6"/>
  <c r="U24" i="6"/>
  <c r="U25" i="6"/>
  <c r="U26" i="6"/>
  <c r="U27" i="6"/>
  <c r="U28" i="6"/>
  <c r="U29" i="6"/>
  <c r="U30" i="6"/>
  <c r="U31" i="6"/>
  <c r="U32" i="6"/>
  <c r="U33" i="6"/>
  <c r="U34" i="6"/>
  <c r="U35" i="6"/>
  <c r="U36" i="6"/>
  <c r="U37" i="6"/>
  <c r="U38" i="6"/>
  <c r="U39" i="6"/>
  <c r="U40" i="6"/>
  <c r="U41" i="6"/>
  <c r="U42" i="6"/>
  <c r="U43" i="6"/>
  <c r="U44" i="6"/>
  <c r="U45" i="6"/>
  <c r="U46" i="6"/>
  <c r="U47" i="6"/>
  <c r="U48" i="6"/>
  <c r="U49" i="6"/>
  <c r="U50" i="6"/>
  <c r="U51" i="6"/>
  <c r="U52" i="6"/>
  <c r="U53" i="6"/>
  <c r="U54" i="6"/>
  <c r="U55" i="6"/>
  <c r="U56" i="6"/>
  <c r="U57" i="6"/>
  <c r="U58" i="6"/>
  <c r="U59" i="6"/>
  <c r="U60" i="6"/>
  <c r="U61" i="6"/>
  <c r="U62" i="6"/>
  <c r="U63" i="6"/>
  <c r="U64" i="6"/>
  <c r="U65" i="6"/>
  <c r="U66" i="6"/>
  <c r="U67" i="6"/>
  <c r="U68" i="6"/>
  <c r="U69" i="6"/>
  <c r="U70" i="6"/>
  <c r="U71" i="6"/>
  <c r="U72" i="6"/>
  <c r="U73" i="6"/>
  <c r="U74" i="6"/>
  <c r="U75" i="6"/>
  <c r="U76" i="6"/>
  <c r="U77" i="6"/>
  <c r="U78" i="6"/>
  <c r="U59" i="7"/>
  <c r="U60" i="7"/>
  <c r="U61" i="7"/>
  <c r="U62" i="7"/>
  <c r="U63" i="7"/>
  <c r="U64" i="7"/>
  <c r="U65" i="7"/>
  <c r="U67" i="7"/>
  <c r="U68" i="7"/>
  <c r="U7" i="8"/>
  <c r="U8" i="8"/>
  <c r="U9" i="8"/>
  <c r="U10" i="8"/>
  <c r="U11" i="8"/>
  <c r="U12" i="8"/>
  <c r="U13" i="8"/>
  <c r="U14" i="8"/>
  <c r="U15" i="8"/>
  <c r="U16" i="8"/>
  <c r="U17" i="8"/>
  <c r="U18" i="8"/>
  <c r="U19" i="8"/>
  <c r="U20" i="8"/>
  <c r="U21" i="8"/>
  <c r="U22" i="8"/>
  <c r="U23" i="8"/>
  <c r="U24" i="8"/>
  <c r="U25" i="8"/>
  <c r="U26" i="8"/>
  <c r="U27" i="8"/>
  <c r="U28" i="8"/>
  <c r="U29" i="8"/>
  <c r="U30" i="8"/>
  <c r="U31" i="8"/>
  <c r="U32" i="8"/>
  <c r="U33" i="8"/>
  <c r="U34" i="8"/>
  <c r="U35" i="8"/>
  <c r="U36" i="8"/>
  <c r="U37" i="8"/>
  <c r="U38" i="8"/>
  <c r="U39" i="8"/>
  <c r="U40" i="8"/>
  <c r="U41" i="8"/>
  <c r="U42" i="8"/>
  <c r="U43" i="8"/>
  <c r="U44" i="8"/>
  <c r="U45" i="8"/>
  <c r="U46" i="8"/>
  <c r="U47" i="8"/>
  <c r="U49" i="8"/>
  <c r="U51" i="8"/>
  <c r="U53" i="8"/>
  <c r="U55" i="8"/>
  <c r="U59" i="8"/>
  <c r="U60" i="8"/>
  <c r="U62" i="8"/>
  <c r="U63" i="8"/>
  <c r="U64" i="8"/>
  <c r="U65" i="8"/>
  <c r="U66" i="8"/>
  <c r="U67" i="8"/>
  <c r="U68" i="8"/>
  <c r="U69" i="8"/>
  <c r="U70" i="8"/>
  <c r="U71" i="8"/>
  <c r="U6" i="9"/>
  <c r="U7" i="9"/>
  <c r="U8" i="9"/>
  <c r="U9" i="9"/>
  <c r="U10" i="9"/>
  <c r="U11" i="9"/>
  <c r="U12" i="9"/>
  <c r="U13" i="9"/>
  <c r="U14" i="9"/>
  <c r="U15" i="9"/>
  <c r="U16" i="9"/>
  <c r="U17" i="9"/>
  <c r="U18" i="9"/>
  <c r="U19" i="9"/>
  <c r="U20" i="9"/>
  <c r="U21" i="9"/>
  <c r="U22" i="9"/>
  <c r="U23" i="9"/>
  <c r="U24" i="9"/>
  <c r="U25" i="9"/>
  <c r="U26" i="9"/>
  <c r="U27" i="9"/>
  <c r="U28" i="9"/>
  <c r="U29" i="9"/>
  <c r="U30" i="9"/>
  <c r="U31" i="9"/>
  <c r="U32" i="9"/>
  <c r="U33" i="9"/>
  <c r="U34" i="9"/>
  <c r="U35" i="9"/>
  <c r="U36" i="9"/>
  <c r="U37" i="9"/>
  <c r="U38" i="9"/>
  <c r="U39" i="9"/>
  <c r="U40" i="9"/>
  <c r="U41" i="9"/>
  <c r="U42" i="9"/>
  <c r="U43" i="9"/>
  <c r="U44" i="9"/>
  <c r="U45" i="9"/>
  <c r="U46" i="9"/>
  <c r="U47" i="9"/>
  <c r="U48" i="9"/>
  <c r="U49" i="9"/>
  <c r="U50" i="9"/>
  <c r="U51" i="9"/>
  <c r="U52" i="9"/>
  <c r="U53" i="9"/>
  <c r="U54" i="9"/>
  <c r="U55" i="9"/>
  <c r="U56" i="9"/>
  <c r="U57" i="9"/>
  <c r="U58" i="9"/>
  <c r="U59" i="9"/>
  <c r="U60" i="9"/>
  <c r="U61" i="9"/>
  <c r="U62" i="9"/>
  <c r="U63" i="9"/>
  <c r="U64" i="9"/>
  <c r="U65" i="9"/>
  <c r="U66" i="9"/>
  <c r="U67" i="9"/>
  <c r="U68" i="9"/>
  <c r="U69" i="9"/>
  <c r="U70" i="9"/>
  <c r="U71" i="9"/>
  <c r="U72" i="9"/>
  <c r="U73" i="9"/>
  <c r="U74" i="9"/>
  <c r="U75" i="9"/>
  <c r="U76" i="9"/>
  <c r="U77" i="9"/>
  <c r="U6" i="10"/>
  <c r="U7" i="10"/>
  <c r="U8" i="10"/>
  <c r="U9" i="10"/>
  <c r="U10" i="10"/>
  <c r="U11" i="10"/>
  <c r="U12" i="10"/>
  <c r="U13" i="10"/>
  <c r="U14" i="10"/>
  <c r="U15" i="10"/>
  <c r="U16" i="10"/>
  <c r="U17" i="10"/>
  <c r="U18" i="10"/>
  <c r="U19" i="10"/>
  <c r="U20" i="10"/>
  <c r="U21" i="10"/>
  <c r="U22" i="10"/>
  <c r="U23" i="10"/>
  <c r="U24" i="10"/>
  <c r="U25" i="10"/>
  <c r="U26" i="10"/>
  <c r="U27" i="10"/>
  <c r="U28" i="10"/>
  <c r="U29" i="10"/>
  <c r="U30" i="10"/>
  <c r="U31" i="10"/>
  <c r="U32" i="10"/>
  <c r="U33" i="10"/>
  <c r="U34" i="10"/>
  <c r="U35" i="10"/>
  <c r="U36" i="10"/>
  <c r="U37" i="10"/>
  <c r="U38" i="10"/>
  <c r="U39" i="10"/>
  <c r="U40" i="10"/>
  <c r="U41" i="10"/>
  <c r="U42" i="10"/>
  <c r="U43" i="10"/>
  <c r="U44" i="10"/>
  <c r="U45" i="10"/>
  <c r="U46" i="10"/>
  <c r="U47" i="10"/>
  <c r="U48" i="10"/>
  <c r="U49" i="10"/>
  <c r="U50" i="10"/>
  <c r="U51" i="10"/>
  <c r="U52" i="10"/>
  <c r="U53" i="10"/>
  <c r="U54" i="10"/>
  <c r="U55" i="10"/>
  <c r="U56" i="10"/>
  <c r="U57" i="10"/>
  <c r="U58" i="10"/>
  <c r="U59" i="10"/>
  <c r="U60" i="10"/>
  <c r="U61" i="10"/>
  <c r="U62" i="10"/>
  <c r="U63" i="10"/>
  <c r="U64" i="10"/>
  <c r="U65" i="10"/>
  <c r="U66" i="10"/>
  <c r="U67" i="10"/>
  <c r="U68" i="10"/>
  <c r="U69" i="10"/>
  <c r="U70" i="10"/>
  <c r="U71" i="10"/>
  <c r="U72" i="10"/>
  <c r="U73" i="10"/>
  <c r="U74" i="10"/>
  <c r="U75" i="10"/>
  <c r="U76" i="10"/>
  <c r="U77" i="10"/>
  <c r="U78" i="10"/>
  <c r="U6" i="11"/>
  <c r="U7" i="11"/>
  <c r="U8" i="11"/>
  <c r="U9" i="11"/>
  <c r="U10" i="11"/>
  <c r="U11" i="11"/>
  <c r="U12" i="11"/>
  <c r="U13" i="11"/>
  <c r="U14" i="11"/>
  <c r="U15" i="11"/>
  <c r="U16" i="11"/>
  <c r="U17" i="11"/>
  <c r="U18" i="11"/>
  <c r="U19" i="11"/>
  <c r="U20" i="11"/>
  <c r="U21" i="11"/>
  <c r="U22" i="11"/>
  <c r="U23" i="11"/>
  <c r="U24" i="11"/>
  <c r="U25" i="11"/>
  <c r="U26" i="11"/>
  <c r="U27" i="11"/>
  <c r="U28" i="11"/>
  <c r="U29" i="11"/>
  <c r="U30" i="11"/>
  <c r="U31" i="11"/>
  <c r="U32" i="11"/>
  <c r="U33" i="11"/>
  <c r="U34" i="11"/>
  <c r="U35" i="11"/>
  <c r="U36" i="11"/>
  <c r="U37" i="11"/>
  <c r="U38" i="11"/>
  <c r="U39" i="11"/>
  <c r="U40" i="11"/>
  <c r="U41" i="11"/>
  <c r="U42" i="11"/>
  <c r="U43" i="11"/>
  <c r="U44" i="11"/>
  <c r="U45" i="11"/>
  <c r="U46" i="11"/>
  <c r="U47" i="11"/>
  <c r="U48" i="11"/>
  <c r="U49" i="11"/>
  <c r="U50" i="11"/>
  <c r="U51" i="11"/>
  <c r="U52" i="11"/>
  <c r="U53" i="11"/>
  <c r="U54" i="11"/>
  <c r="U55" i="11"/>
  <c r="U56" i="11"/>
  <c r="U57" i="11"/>
  <c r="U58" i="11"/>
  <c r="U59" i="11"/>
  <c r="U60" i="11"/>
  <c r="U61" i="11"/>
  <c r="U62" i="11"/>
  <c r="U63" i="11"/>
  <c r="U64" i="11"/>
  <c r="U65" i="11"/>
  <c r="U66" i="11"/>
  <c r="U67" i="11"/>
  <c r="U68" i="11"/>
  <c r="U69" i="11"/>
  <c r="U70" i="11"/>
  <c r="U71" i="11"/>
  <c r="U72" i="11"/>
  <c r="U73" i="11"/>
  <c r="U74" i="11"/>
  <c r="U75" i="11"/>
  <c r="U76" i="11"/>
  <c r="U77" i="11"/>
  <c r="U78" i="11"/>
  <c r="U6" i="12"/>
  <c r="U7" i="12"/>
  <c r="U8" i="12"/>
  <c r="U9" i="12"/>
  <c r="U10" i="12"/>
  <c r="U11" i="12"/>
  <c r="U12" i="12"/>
  <c r="U13" i="12"/>
  <c r="U14" i="12"/>
  <c r="U15" i="12"/>
  <c r="U16" i="12"/>
  <c r="U17" i="12"/>
  <c r="U18" i="12"/>
  <c r="U19" i="12"/>
  <c r="U20" i="12"/>
  <c r="U21" i="12"/>
  <c r="U22" i="12"/>
  <c r="U23" i="12"/>
  <c r="U24" i="12"/>
  <c r="U25" i="12"/>
  <c r="U26" i="12"/>
  <c r="U27" i="12"/>
  <c r="U28" i="12"/>
  <c r="U29" i="12"/>
  <c r="U30" i="12"/>
  <c r="U31" i="12"/>
  <c r="U32" i="12"/>
  <c r="U33" i="12"/>
  <c r="U34" i="12"/>
  <c r="U35" i="12"/>
  <c r="U36" i="12"/>
  <c r="U38" i="12"/>
  <c r="U39" i="12"/>
  <c r="U40" i="12"/>
  <c r="U41" i="12"/>
  <c r="U42" i="12"/>
  <c r="U43" i="12"/>
  <c r="U44" i="12"/>
  <c r="U45" i="12"/>
  <c r="U46" i="12"/>
  <c r="U47" i="12"/>
  <c r="U48" i="12"/>
  <c r="U49" i="12"/>
  <c r="U50" i="12"/>
  <c r="U51" i="12"/>
  <c r="U52" i="12"/>
  <c r="U53" i="12"/>
  <c r="U54" i="12"/>
  <c r="U55" i="12"/>
  <c r="U56" i="12"/>
  <c r="U57" i="12"/>
  <c r="U58" i="12"/>
  <c r="U59" i="12"/>
  <c r="U60" i="12"/>
  <c r="U61" i="12"/>
  <c r="U62" i="12"/>
  <c r="U63" i="12"/>
  <c r="U64" i="12"/>
  <c r="U65" i="12"/>
  <c r="U66" i="12"/>
  <c r="U67" i="12"/>
  <c r="U68" i="12"/>
  <c r="U69" i="12"/>
  <c r="U70" i="12"/>
  <c r="U71" i="12"/>
  <c r="U72" i="12"/>
  <c r="U73" i="12"/>
  <c r="U74" i="12"/>
  <c r="U75" i="12"/>
  <c r="U76" i="12"/>
  <c r="U77" i="12"/>
  <c r="U78" i="12"/>
  <c r="U6" i="13"/>
  <c r="U7" i="13"/>
  <c r="U8" i="13"/>
  <c r="U9" i="13"/>
  <c r="U10" i="13"/>
  <c r="U11" i="13"/>
  <c r="U12" i="13"/>
  <c r="U13" i="13"/>
  <c r="U14" i="13"/>
  <c r="U15" i="13"/>
  <c r="U16" i="13"/>
  <c r="U17" i="13"/>
  <c r="U18" i="13"/>
  <c r="U19" i="13"/>
  <c r="U20" i="13"/>
  <c r="U21" i="13"/>
  <c r="U22" i="13"/>
  <c r="U23" i="13"/>
  <c r="U24" i="13"/>
  <c r="U25" i="13"/>
  <c r="U26" i="13"/>
  <c r="U27" i="13"/>
  <c r="U28" i="13"/>
  <c r="U29" i="13"/>
  <c r="U30" i="13"/>
  <c r="U31" i="13"/>
  <c r="U32" i="13"/>
  <c r="U33" i="13"/>
  <c r="U34" i="13"/>
  <c r="U35" i="13"/>
  <c r="U36" i="13"/>
  <c r="U37" i="13"/>
  <c r="U38" i="13"/>
  <c r="U39" i="13"/>
  <c r="U40" i="13"/>
  <c r="U41" i="13"/>
  <c r="U42" i="13"/>
  <c r="U43" i="13"/>
  <c r="U44" i="13"/>
  <c r="U45" i="13"/>
  <c r="U46" i="13"/>
  <c r="U47" i="13"/>
  <c r="U48" i="13"/>
  <c r="U49" i="13"/>
  <c r="U50" i="13"/>
  <c r="U51" i="13"/>
  <c r="U52" i="13"/>
  <c r="U53" i="13"/>
  <c r="U54" i="13"/>
  <c r="U55" i="13"/>
  <c r="U56" i="13"/>
  <c r="U57" i="13"/>
  <c r="U58" i="13"/>
  <c r="U59" i="13"/>
  <c r="U60" i="13"/>
  <c r="U61" i="13"/>
  <c r="U62" i="13"/>
  <c r="U63" i="13"/>
  <c r="U64" i="13"/>
  <c r="U65" i="13"/>
  <c r="U66" i="13"/>
  <c r="U67" i="13"/>
  <c r="U68" i="13"/>
  <c r="U69" i="13"/>
  <c r="U70" i="13"/>
  <c r="U71" i="13"/>
  <c r="U72" i="13"/>
  <c r="U73" i="13"/>
  <c r="U74" i="13"/>
  <c r="U75" i="13"/>
  <c r="U76" i="13"/>
  <c r="U77" i="13"/>
  <c r="U78" i="13"/>
  <c r="U6" i="14"/>
  <c r="U7" i="14"/>
  <c r="U8" i="14"/>
  <c r="U9" i="14"/>
  <c r="U10" i="14"/>
  <c r="U11" i="14"/>
  <c r="U12" i="14"/>
  <c r="U13" i="14"/>
  <c r="U14" i="14"/>
  <c r="U15" i="14"/>
  <c r="U16" i="14"/>
  <c r="U17" i="14"/>
  <c r="U18" i="14"/>
  <c r="U19" i="14"/>
  <c r="U20" i="14"/>
  <c r="U21" i="14"/>
  <c r="U22" i="14"/>
  <c r="U23" i="14"/>
  <c r="U24" i="14"/>
  <c r="U25" i="14"/>
  <c r="U26" i="14"/>
  <c r="U27" i="14"/>
  <c r="U28" i="14"/>
  <c r="U29" i="14"/>
  <c r="U30" i="14"/>
  <c r="U31" i="14"/>
  <c r="U32" i="14"/>
  <c r="U33" i="14"/>
  <c r="U34" i="14"/>
  <c r="U35" i="14"/>
  <c r="U36" i="14"/>
  <c r="U37" i="14"/>
  <c r="U38" i="14"/>
  <c r="U39" i="14"/>
  <c r="U40" i="14"/>
  <c r="U41" i="14"/>
  <c r="U42" i="14"/>
  <c r="U43" i="14"/>
  <c r="U44" i="14"/>
  <c r="U45" i="14"/>
  <c r="U46" i="14"/>
  <c r="U47" i="14"/>
  <c r="U48" i="14"/>
  <c r="U49" i="14"/>
  <c r="U50" i="14"/>
  <c r="U51" i="14"/>
  <c r="U52" i="14"/>
  <c r="U53" i="14"/>
  <c r="U54" i="14"/>
  <c r="U55" i="14"/>
  <c r="U56" i="14"/>
  <c r="U57" i="14"/>
  <c r="U58" i="14"/>
  <c r="U59" i="14"/>
  <c r="U60" i="14"/>
  <c r="U61" i="14"/>
  <c r="U62" i="14"/>
  <c r="U63" i="14"/>
  <c r="U64" i="14"/>
  <c r="U65" i="14"/>
  <c r="U66" i="14"/>
  <c r="U67" i="14"/>
  <c r="U68" i="14"/>
  <c r="U69" i="14"/>
  <c r="U70" i="14"/>
  <c r="U71" i="14"/>
  <c r="U72" i="14"/>
  <c r="U73" i="14"/>
  <c r="U74" i="14"/>
  <c r="U75" i="14"/>
  <c r="U76" i="14"/>
  <c r="U77" i="14"/>
  <c r="U78" i="14"/>
  <c r="U6" i="15"/>
  <c r="U7" i="15"/>
  <c r="U8" i="15"/>
  <c r="U9" i="15"/>
  <c r="U10" i="15"/>
  <c r="U11" i="15"/>
  <c r="U12" i="15"/>
  <c r="U13" i="15"/>
  <c r="U14" i="15"/>
  <c r="U15" i="15"/>
  <c r="U16" i="15"/>
  <c r="U17" i="15"/>
  <c r="U18" i="15"/>
  <c r="U19" i="15"/>
  <c r="U20" i="15"/>
  <c r="U21" i="15"/>
  <c r="U22" i="15"/>
  <c r="U23" i="15"/>
  <c r="U24" i="15"/>
  <c r="U25" i="15"/>
  <c r="U26" i="15"/>
  <c r="U27" i="15"/>
  <c r="U28" i="15"/>
  <c r="U29" i="15"/>
  <c r="U30" i="15"/>
  <c r="U31" i="15"/>
  <c r="U32" i="15"/>
  <c r="U33" i="15"/>
  <c r="U34" i="15"/>
  <c r="U35" i="15"/>
  <c r="U36" i="15"/>
  <c r="U37" i="15"/>
  <c r="U38" i="15"/>
  <c r="U39" i="15"/>
  <c r="U40" i="15"/>
  <c r="U41" i="15"/>
  <c r="U42" i="15"/>
  <c r="U43" i="15"/>
  <c r="U44" i="15"/>
  <c r="U45" i="15"/>
  <c r="U46" i="15"/>
  <c r="U47" i="15"/>
  <c r="U48" i="15"/>
  <c r="U49" i="15"/>
  <c r="U50" i="15"/>
  <c r="U51" i="15"/>
  <c r="U52" i="15"/>
  <c r="U53" i="15"/>
  <c r="U54" i="15"/>
  <c r="U55" i="15"/>
  <c r="U56" i="15"/>
  <c r="U57" i="15"/>
  <c r="U58" i="15"/>
  <c r="U59" i="15"/>
  <c r="U60" i="15"/>
  <c r="U61" i="15"/>
  <c r="U62" i="15"/>
  <c r="U63" i="15"/>
  <c r="U64" i="15"/>
  <c r="U65" i="15"/>
  <c r="U66" i="15"/>
  <c r="U67" i="15"/>
  <c r="U68" i="15"/>
  <c r="U69" i="15"/>
  <c r="U70" i="15"/>
  <c r="U71" i="15"/>
  <c r="U72" i="15"/>
  <c r="U73" i="15"/>
  <c r="U74" i="15"/>
  <c r="U75" i="15"/>
  <c r="U76" i="15"/>
  <c r="U77" i="15"/>
  <c r="U78" i="15"/>
  <c r="U7" i="16"/>
  <c r="U8" i="16"/>
  <c r="U9" i="16"/>
  <c r="U10" i="16"/>
  <c r="U11" i="16"/>
  <c r="U12" i="16"/>
  <c r="U13" i="16"/>
  <c r="U14" i="16"/>
  <c r="U15" i="16"/>
  <c r="U16" i="16"/>
  <c r="U17" i="16"/>
  <c r="U18" i="16"/>
  <c r="U19" i="16"/>
  <c r="U20" i="16"/>
  <c r="U21" i="16"/>
  <c r="U22" i="16"/>
  <c r="U23" i="16"/>
  <c r="U24" i="16"/>
  <c r="U25" i="16"/>
  <c r="U26" i="16"/>
  <c r="U27" i="16"/>
  <c r="U28" i="16"/>
  <c r="U29" i="16"/>
  <c r="U30" i="16"/>
  <c r="U31" i="16"/>
  <c r="U32" i="16"/>
  <c r="U33" i="16"/>
  <c r="U34" i="16"/>
  <c r="U35" i="16"/>
  <c r="U36" i="16"/>
  <c r="U37" i="16"/>
  <c r="U38" i="16"/>
  <c r="U39" i="16"/>
  <c r="U40" i="16"/>
  <c r="U41" i="16"/>
  <c r="U42" i="16"/>
  <c r="U43" i="16"/>
  <c r="U44" i="16"/>
  <c r="U46" i="16"/>
  <c r="U47" i="16"/>
  <c r="U48" i="16"/>
  <c r="U49" i="16"/>
  <c r="U50" i="16"/>
  <c r="U51" i="16"/>
  <c r="U52" i="16"/>
  <c r="U53" i="16"/>
  <c r="U54" i="16"/>
  <c r="U55" i="16"/>
  <c r="U56" i="16"/>
  <c r="U57" i="16"/>
  <c r="U7" i="17"/>
  <c r="U8" i="17"/>
  <c r="U9" i="17"/>
  <c r="U10" i="17"/>
  <c r="U11" i="17"/>
  <c r="U12" i="17"/>
  <c r="U13" i="17"/>
  <c r="U14" i="17"/>
  <c r="U15" i="17"/>
  <c r="U16" i="17"/>
  <c r="U17" i="17"/>
  <c r="U18" i="17"/>
  <c r="U19" i="17"/>
  <c r="U20" i="17"/>
  <c r="U21" i="17"/>
  <c r="U22" i="17"/>
  <c r="U23" i="17"/>
  <c r="U24" i="17"/>
  <c r="U25" i="17"/>
  <c r="U26" i="17"/>
  <c r="U27" i="17"/>
  <c r="U28" i="17"/>
  <c r="U29" i="17"/>
  <c r="U30" i="17"/>
  <c r="U31" i="17"/>
  <c r="U32" i="17"/>
  <c r="U33" i="17"/>
  <c r="U34" i="17"/>
  <c r="U35" i="17"/>
  <c r="U36" i="17"/>
  <c r="U37" i="17"/>
  <c r="U38" i="17"/>
  <c r="U39" i="17"/>
  <c r="U40" i="17"/>
  <c r="U41" i="17"/>
  <c r="U42" i="17"/>
  <c r="U43" i="17"/>
  <c r="U44" i="17"/>
  <c r="U45" i="17"/>
  <c r="U46" i="17"/>
  <c r="U47" i="17"/>
  <c r="U48" i="17"/>
  <c r="U49" i="17"/>
  <c r="U50" i="17"/>
  <c r="U6" i="18"/>
  <c r="U30" i="18"/>
  <c r="U42" i="18"/>
  <c r="U44" i="18"/>
  <c r="U45" i="18"/>
  <c r="U47" i="18"/>
  <c r="U50" i="18"/>
  <c r="U51" i="18"/>
  <c r="U52" i="18"/>
  <c r="U54" i="18"/>
  <c r="U56" i="18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6" i="21"/>
  <c r="U7" i="21"/>
  <c r="U8" i="21"/>
  <c r="U9" i="21"/>
  <c r="U10" i="21"/>
  <c r="U11" i="21"/>
  <c r="U12" i="21"/>
  <c r="U13" i="21"/>
  <c r="U14" i="21"/>
  <c r="U15" i="21"/>
  <c r="U16" i="21"/>
  <c r="U17" i="21"/>
  <c r="U18" i="21"/>
  <c r="U19" i="21"/>
  <c r="U20" i="21"/>
  <c r="U21" i="21"/>
  <c r="U22" i="21"/>
  <c r="U23" i="21"/>
  <c r="U24" i="21"/>
  <c r="U25" i="21"/>
  <c r="U26" i="21"/>
  <c r="U27" i="21"/>
  <c r="U28" i="21"/>
  <c r="U29" i="21"/>
  <c r="U30" i="21"/>
  <c r="U31" i="21"/>
  <c r="U32" i="21"/>
  <c r="U33" i="21"/>
  <c r="U34" i="21"/>
  <c r="U35" i="21"/>
  <c r="U43" i="21"/>
  <c r="U48" i="21"/>
  <c r="U50" i="21"/>
  <c r="U52" i="21"/>
  <c r="U53" i="21"/>
  <c r="U54" i="21"/>
  <c r="U55" i="21"/>
  <c r="U56" i="21"/>
  <c r="U57" i="21"/>
  <c r="U58" i="21"/>
  <c r="U59" i="21"/>
  <c r="U60" i="21"/>
  <c r="U61" i="21"/>
  <c r="U62" i="21"/>
  <c r="U63" i="21"/>
  <c r="U64" i="21"/>
  <c r="U65" i="21"/>
  <c r="U66" i="21"/>
  <c r="U67" i="21"/>
  <c r="U68" i="21"/>
  <c r="U69" i="21"/>
  <c r="U70" i="21"/>
  <c r="U71" i="21"/>
  <c r="U72" i="21"/>
  <c r="U73" i="21"/>
  <c r="U74" i="21"/>
  <c r="U75" i="21"/>
  <c r="U76" i="21"/>
  <c r="U77" i="21"/>
  <c r="U78" i="21"/>
  <c r="U68" i="22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7" i="1"/>
  <c r="U39" i="1"/>
  <c r="U40" i="1"/>
  <c r="U41" i="1"/>
  <c r="U42" i="1"/>
  <c r="U43" i="1"/>
  <c r="U44" i="1"/>
  <c r="U45" i="1"/>
  <c r="U46" i="1"/>
  <c r="U47" i="1"/>
  <c r="U48" i="1"/>
  <c r="U49" i="1"/>
  <c r="U52" i="1"/>
  <c r="U53" i="1"/>
  <c r="U74" i="1"/>
  <c r="R6" i="2"/>
  <c r="R26" i="2"/>
  <c r="R45" i="2"/>
  <c r="R60" i="2"/>
  <c r="R67" i="2"/>
  <c r="R70" i="2"/>
  <c r="R71" i="2"/>
  <c r="R72" i="2"/>
  <c r="R73" i="2"/>
  <c r="R74" i="2"/>
  <c r="R75" i="2"/>
  <c r="R76" i="2"/>
  <c r="R77" i="2"/>
  <c r="R78" i="2"/>
  <c r="R55" i="3"/>
  <c r="R56" i="3"/>
  <c r="R61" i="3"/>
  <c r="R62" i="3"/>
  <c r="R63" i="3"/>
  <c r="R64" i="3"/>
  <c r="R65" i="3"/>
  <c r="R66" i="3"/>
  <c r="R67" i="3"/>
  <c r="R68" i="3"/>
  <c r="R69" i="3"/>
  <c r="R70" i="3"/>
  <c r="R71" i="3"/>
  <c r="R72" i="3"/>
  <c r="R73" i="3"/>
  <c r="R74" i="3"/>
  <c r="R75" i="3"/>
  <c r="R76" i="3"/>
  <c r="R77" i="3"/>
  <c r="R78" i="3"/>
  <c r="R63" i="4"/>
  <c r="R64" i="4"/>
  <c r="R65" i="4"/>
  <c r="R66" i="4"/>
  <c r="R67" i="4"/>
  <c r="R68" i="4"/>
  <c r="R69" i="4"/>
  <c r="R70" i="4"/>
  <c r="R71" i="4"/>
  <c r="R72" i="4"/>
  <c r="R73" i="4"/>
  <c r="R77" i="4"/>
  <c r="R78" i="4"/>
  <c r="R6" i="5"/>
  <c r="R53" i="5"/>
  <c r="R75" i="5"/>
  <c r="R6" i="6"/>
  <c r="R75" i="6"/>
  <c r="R42" i="9"/>
  <c r="R44" i="9"/>
  <c r="R46" i="9"/>
  <c r="R47" i="9"/>
  <c r="R48" i="9"/>
  <c r="R49" i="9"/>
  <c r="R50" i="9"/>
  <c r="R52" i="9"/>
  <c r="R53" i="9"/>
  <c r="R6" i="10"/>
  <c r="R40" i="10"/>
  <c r="R66" i="10"/>
  <c r="R74" i="10"/>
  <c r="R77" i="10"/>
  <c r="R6" i="11"/>
  <c r="R65" i="11"/>
  <c r="R6" i="14"/>
  <c r="R25" i="14"/>
  <c r="R78" i="14"/>
  <c r="R67" i="16"/>
  <c r="R72" i="16"/>
  <c r="R73" i="16"/>
  <c r="R74" i="16"/>
  <c r="R75" i="16"/>
  <c r="R6" i="18"/>
  <c r="R44" i="18"/>
  <c r="R47" i="18"/>
  <c r="R51" i="18"/>
  <c r="R52" i="18"/>
  <c r="R54" i="18"/>
  <c r="R56" i="18"/>
  <c r="R78" i="20"/>
  <c r="R6" i="21"/>
  <c r="R18" i="21"/>
  <c r="R35" i="21"/>
  <c r="R36" i="21"/>
  <c r="R37" i="21"/>
  <c r="R38" i="21"/>
  <c r="R39" i="21"/>
  <c r="R40" i="21"/>
  <c r="R41" i="21"/>
  <c r="R42" i="21"/>
  <c r="R43" i="21"/>
  <c r="R44" i="21"/>
  <c r="R45" i="21"/>
  <c r="R46" i="21"/>
  <c r="R47" i="21"/>
  <c r="R48" i="21"/>
  <c r="R50" i="21"/>
  <c r="R51" i="21"/>
  <c r="R52" i="21"/>
  <c r="R53" i="21"/>
  <c r="R54" i="21"/>
  <c r="R55" i="21"/>
  <c r="R56" i="21"/>
  <c r="R57" i="21"/>
  <c r="R58" i="21"/>
  <c r="R59" i="21"/>
  <c r="R60" i="21"/>
  <c r="R61" i="21"/>
  <c r="R62" i="21"/>
  <c r="R63" i="21"/>
  <c r="R64" i="21"/>
  <c r="R65" i="21"/>
  <c r="R66" i="21"/>
  <c r="R67" i="21"/>
  <c r="R68" i="21"/>
  <c r="R69" i="21"/>
  <c r="R70" i="21"/>
  <c r="R71" i="21"/>
  <c r="R72" i="21"/>
  <c r="R73" i="21"/>
  <c r="R74" i="21"/>
  <c r="R75" i="21"/>
  <c r="R76" i="21"/>
  <c r="R77" i="21"/>
  <c r="R78" i="21"/>
  <c r="R68" i="22"/>
  <c r="R67" i="1"/>
  <c r="R69" i="1"/>
  <c r="R70" i="1"/>
  <c r="R72" i="1"/>
  <c r="R74" i="1"/>
  <c r="R78" i="1"/>
  <c r="P6" i="2"/>
  <c r="P26" i="2"/>
  <c r="P45" i="2"/>
  <c r="P60" i="2"/>
  <c r="P67" i="2"/>
  <c r="P70" i="2"/>
  <c r="P71" i="2"/>
  <c r="P72" i="2"/>
  <c r="P73" i="2"/>
  <c r="P74" i="2"/>
  <c r="P75" i="2"/>
  <c r="P76" i="2"/>
  <c r="P77" i="2"/>
  <c r="P78" i="2"/>
  <c r="P55" i="3"/>
  <c r="P56" i="3"/>
  <c r="P61" i="3"/>
  <c r="P62" i="3"/>
  <c r="P63" i="3"/>
  <c r="P64" i="3"/>
  <c r="P65" i="3"/>
  <c r="P66" i="3"/>
  <c r="P67" i="3"/>
  <c r="P68" i="3"/>
  <c r="P69" i="3"/>
  <c r="P70" i="3"/>
  <c r="P71" i="3"/>
  <c r="P72" i="3"/>
  <c r="P73" i="3"/>
  <c r="P74" i="3"/>
  <c r="P75" i="3"/>
  <c r="P76" i="3"/>
  <c r="P77" i="3"/>
  <c r="P78" i="3"/>
  <c r="P63" i="4"/>
  <c r="P64" i="4"/>
  <c r="P65" i="4"/>
  <c r="P66" i="4"/>
  <c r="P67" i="4"/>
  <c r="P68" i="4"/>
  <c r="P69" i="4"/>
  <c r="P70" i="4"/>
  <c r="P71" i="4"/>
  <c r="P72" i="4"/>
  <c r="P73" i="4"/>
  <c r="P77" i="4"/>
  <c r="P78" i="4"/>
  <c r="P6" i="5"/>
  <c r="P53" i="5"/>
  <c r="P75" i="5"/>
  <c r="P6" i="6"/>
  <c r="P75" i="6"/>
  <c r="P42" i="9"/>
  <c r="P44" i="9"/>
  <c r="P46" i="9"/>
  <c r="P47" i="9"/>
  <c r="P48" i="9"/>
  <c r="P49" i="9"/>
  <c r="P50" i="9"/>
  <c r="P52" i="9"/>
  <c r="P53" i="9"/>
  <c r="P6" i="10"/>
  <c r="P40" i="10"/>
  <c r="P66" i="10"/>
  <c r="P74" i="10"/>
  <c r="P77" i="10"/>
  <c r="P6" i="11"/>
  <c r="P65" i="11"/>
  <c r="P6" i="14"/>
  <c r="P25" i="14"/>
  <c r="P78" i="14"/>
  <c r="P67" i="16"/>
  <c r="P72" i="16"/>
  <c r="P73" i="16"/>
  <c r="P74" i="16"/>
  <c r="P75" i="16"/>
  <c r="P6" i="18"/>
  <c r="P44" i="18"/>
  <c r="P47" i="18"/>
  <c r="P51" i="18"/>
  <c r="P52" i="18"/>
  <c r="P54" i="18"/>
  <c r="P56" i="18"/>
  <c r="P78" i="20"/>
  <c r="P6" i="21"/>
  <c r="P18" i="21"/>
  <c r="P35" i="21"/>
  <c r="P36" i="21"/>
  <c r="P37" i="21"/>
  <c r="P38" i="21"/>
  <c r="P39" i="21"/>
  <c r="P40" i="21"/>
  <c r="P41" i="21"/>
  <c r="P42" i="21"/>
  <c r="P43" i="21"/>
  <c r="P44" i="21"/>
  <c r="P45" i="21"/>
  <c r="P46" i="21"/>
  <c r="P47" i="21"/>
  <c r="P48" i="21"/>
  <c r="P50" i="21"/>
  <c r="P51" i="21"/>
  <c r="P52" i="21"/>
  <c r="P53" i="21"/>
  <c r="P54" i="21"/>
  <c r="P55" i="21"/>
  <c r="P56" i="21"/>
  <c r="P57" i="21"/>
  <c r="P58" i="21"/>
  <c r="P59" i="21"/>
  <c r="P60" i="21"/>
  <c r="P61" i="21"/>
  <c r="P62" i="21"/>
  <c r="P63" i="21"/>
  <c r="P64" i="21"/>
  <c r="P65" i="21"/>
  <c r="P66" i="21"/>
  <c r="P67" i="21"/>
  <c r="P68" i="21"/>
  <c r="P69" i="21"/>
  <c r="P70" i="21"/>
  <c r="P71" i="21"/>
  <c r="P72" i="21"/>
  <c r="P73" i="21"/>
  <c r="P74" i="21"/>
  <c r="P75" i="21"/>
  <c r="P76" i="21"/>
  <c r="P77" i="21"/>
  <c r="P78" i="21"/>
  <c r="P68" i="22"/>
  <c r="P67" i="1"/>
  <c r="P69" i="1"/>
  <c r="P70" i="1"/>
  <c r="P72" i="1"/>
  <c r="P74" i="1"/>
  <c r="P78" i="1"/>
  <c r="M6" i="2"/>
  <c r="M26" i="2"/>
  <c r="M45" i="2"/>
  <c r="M60" i="2"/>
  <c r="M67" i="2"/>
  <c r="M70" i="2"/>
  <c r="M71" i="2"/>
  <c r="M72" i="2"/>
  <c r="M73" i="2"/>
  <c r="M74" i="2"/>
  <c r="M75" i="2"/>
  <c r="M76" i="2"/>
  <c r="M77" i="2"/>
  <c r="M78" i="2"/>
  <c r="M61" i="3"/>
  <c r="M62" i="3"/>
  <c r="M63" i="3"/>
  <c r="M64" i="3"/>
  <c r="M65" i="3"/>
  <c r="M66" i="3"/>
  <c r="M67" i="3"/>
  <c r="M68" i="3"/>
  <c r="M69" i="3"/>
  <c r="M70" i="3"/>
  <c r="M71" i="3"/>
  <c r="M72" i="3"/>
  <c r="M73" i="3"/>
  <c r="M74" i="3"/>
  <c r="M75" i="3"/>
  <c r="M76" i="3"/>
  <c r="M77" i="3"/>
  <c r="M78" i="3"/>
  <c r="M6" i="5"/>
  <c r="M53" i="5"/>
  <c r="M75" i="5"/>
  <c r="M6" i="6"/>
  <c r="M75" i="6"/>
  <c r="M6" i="10"/>
  <c r="M40" i="10"/>
  <c r="M66" i="10"/>
  <c r="M74" i="10"/>
  <c r="M77" i="10"/>
  <c r="M6" i="11"/>
  <c r="M65" i="11"/>
  <c r="M6" i="14"/>
  <c r="M7" i="14"/>
  <c r="M8" i="14"/>
  <c r="M9" i="14"/>
  <c r="M10" i="14"/>
  <c r="M11" i="14"/>
  <c r="M12" i="14"/>
  <c r="M13" i="14"/>
  <c r="M14" i="14"/>
  <c r="M15" i="14"/>
  <c r="M16" i="14"/>
  <c r="M17" i="14"/>
  <c r="M18" i="14"/>
  <c r="M19" i="14"/>
  <c r="M20" i="14"/>
  <c r="M21" i="14"/>
  <c r="M22" i="14"/>
  <c r="M23" i="14"/>
  <c r="M24" i="14"/>
  <c r="M25" i="14"/>
  <c r="M26" i="14"/>
  <c r="M27" i="14"/>
  <c r="M28" i="14"/>
  <c r="M29" i="14"/>
  <c r="M30" i="14"/>
  <c r="M31" i="14"/>
  <c r="M32" i="14"/>
  <c r="M33" i="14"/>
  <c r="M34" i="14"/>
  <c r="M35" i="14"/>
  <c r="M36" i="14"/>
  <c r="M37" i="14"/>
  <c r="M38" i="14"/>
  <c r="M39" i="14"/>
  <c r="M40" i="14"/>
  <c r="M41" i="14"/>
  <c r="M42" i="14"/>
  <c r="M43" i="14"/>
  <c r="M44" i="14"/>
  <c r="M45" i="14"/>
  <c r="M46" i="14"/>
  <c r="M47" i="14"/>
  <c r="M48" i="14"/>
  <c r="M49" i="14"/>
  <c r="M50" i="14"/>
  <c r="M51" i="14"/>
  <c r="M52" i="14"/>
  <c r="M53" i="14"/>
  <c r="M54" i="14"/>
  <c r="M55" i="14"/>
  <c r="M56" i="14"/>
  <c r="M57" i="14"/>
  <c r="M58" i="14"/>
  <c r="M59" i="14"/>
  <c r="M60" i="14"/>
  <c r="M61" i="14"/>
  <c r="M62" i="14"/>
  <c r="M63" i="14"/>
  <c r="M64" i="14"/>
  <c r="M65" i="14"/>
  <c r="M66" i="14"/>
  <c r="M67" i="14"/>
  <c r="M68" i="14"/>
  <c r="M69" i="14"/>
  <c r="M70" i="14"/>
  <c r="M71" i="14"/>
  <c r="M72" i="14"/>
  <c r="M73" i="14"/>
  <c r="M74" i="14"/>
  <c r="M75" i="14"/>
  <c r="M76" i="14"/>
  <c r="M77" i="14"/>
  <c r="M78" i="14"/>
  <c r="M6" i="18"/>
  <c r="M56" i="18"/>
  <c r="M6" i="21"/>
  <c r="M18" i="21"/>
  <c r="M35" i="21"/>
  <c r="M43" i="21"/>
  <c r="M48" i="21"/>
  <c r="M50" i="21"/>
  <c r="M52" i="21"/>
  <c r="M53" i="21"/>
  <c r="M54" i="21"/>
  <c r="M55" i="21"/>
  <c r="M56" i="21"/>
  <c r="M57" i="21"/>
  <c r="M58" i="21"/>
  <c r="M59" i="21"/>
  <c r="M60" i="21"/>
  <c r="M61" i="21"/>
  <c r="M62" i="21"/>
  <c r="M63" i="21"/>
  <c r="M64" i="21"/>
  <c r="M65" i="21"/>
  <c r="M66" i="21"/>
  <c r="M67" i="21"/>
  <c r="M68" i="21"/>
  <c r="M69" i="21"/>
  <c r="M70" i="21"/>
  <c r="M71" i="21"/>
  <c r="M72" i="21"/>
  <c r="M73" i="21"/>
  <c r="M74" i="21"/>
  <c r="M75" i="21"/>
  <c r="M76" i="21"/>
  <c r="M77" i="21"/>
  <c r="M78" i="21"/>
  <c r="M68" i="22"/>
  <c r="M74" i="1"/>
  <c r="K6" i="2"/>
  <c r="K26" i="2"/>
  <c r="K45" i="2"/>
  <c r="K60" i="2"/>
  <c r="K67" i="2"/>
  <c r="K70" i="2"/>
  <c r="K71" i="2"/>
  <c r="K72" i="2"/>
  <c r="K73" i="2"/>
  <c r="K74" i="2"/>
  <c r="K75" i="2"/>
  <c r="K76" i="2"/>
  <c r="K77" i="2"/>
  <c r="K78" i="2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6" i="5"/>
  <c r="K53" i="5"/>
  <c r="K75" i="5"/>
  <c r="K6" i="6"/>
  <c r="K75" i="6"/>
  <c r="K6" i="10"/>
  <c r="K40" i="10"/>
  <c r="K66" i="10"/>
  <c r="K74" i="10"/>
  <c r="K77" i="10"/>
  <c r="K6" i="11"/>
  <c r="K65" i="11"/>
  <c r="K6" i="14"/>
  <c r="K7" i="14"/>
  <c r="K8" i="14"/>
  <c r="K9" i="14"/>
  <c r="K10" i="14"/>
  <c r="K11" i="14"/>
  <c r="K12" i="14"/>
  <c r="K13" i="14"/>
  <c r="K14" i="14"/>
  <c r="K15" i="14"/>
  <c r="K16" i="14"/>
  <c r="K17" i="14"/>
  <c r="K18" i="14"/>
  <c r="K19" i="14"/>
  <c r="K20" i="14"/>
  <c r="K21" i="14"/>
  <c r="K22" i="14"/>
  <c r="K23" i="14"/>
  <c r="K24" i="14"/>
  <c r="K25" i="14"/>
  <c r="K26" i="14"/>
  <c r="K27" i="14"/>
  <c r="K28" i="14"/>
  <c r="K29" i="14"/>
  <c r="K30" i="14"/>
  <c r="K31" i="14"/>
  <c r="K32" i="14"/>
  <c r="K33" i="14"/>
  <c r="K34" i="14"/>
  <c r="K35" i="14"/>
  <c r="K36" i="14"/>
  <c r="K37" i="14"/>
  <c r="K38" i="14"/>
  <c r="K39" i="14"/>
  <c r="K40" i="14"/>
  <c r="K41" i="14"/>
  <c r="K42" i="14"/>
  <c r="K43" i="14"/>
  <c r="K44" i="14"/>
  <c r="K45" i="14"/>
  <c r="K46" i="14"/>
  <c r="K47" i="14"/>
  <c r="K48" i="14"/>
  <c r="K49" i="14"/>
  <c r="K50" i="14"/>
  <c r="K51" i="14"/>
  <c r="K52" i="14"/>
  <c r="K53" i="14"/>
  <c r="K54" i="14"/>
  <c r="K55" i="14"/>
  <c r="K56" i="14"/>
  <c r="K57" i="14"/>
  <c r="K58" i="14"/>
  <c r="K59" i="14"/>
  <c r="K60" i="14"/>
  <c r="K61" i="14"/>
  <c r="K62" i="14"/>
  <c r="K63" i="14"/>
  <c r="K64" i="14"/>
  <c r="K65" i="14"/>
  <c r="K66" i="14"/>
  <c r="K67" i="14"/>
  <c r="K68" i="14"/>
  <c r="K69" i="14"/>
  <c r="K70" i="14"/>
  <c r="K71" i="14"/>
  <c r="K72" i="14"/>
  <c r="K73" i="14"/>
  <c r="K74" i="14"/>
  <c r="K75" i="14"/>
  <c r="K76" i="14"/>
  <c r="K77" i="14"/>
  <c r="K78" i="14"/>
  <c r="K6" i="18"/>
  <c r="K56" i="18"/>
  <c r="K6" i="21"/>
  <c r="K18" i="21"/>
  <c r="K35" i="21"/>
  <c r="K43" i="21"/>
  <c r="K48" i="21"/>
  <c r="K50" i="21"/>
  <c r="K52" i="21"/>
  <c r="K53" i="21"/>
  <c r="K54" i="21"/>
  <c r="K55" i="21"/>
  <c r="K56" i="21"/>
  <c r="K57" i="21"/>
  <c r="K58" i="21"/>
  <c r="K59" i="21"/>
  <c r="K60" i="21"/>
  <c r="K61" i="21"/>
  <c r="K62" i="21"/>
  <c r="K63" i="21"/>
  <c r="K64" i="21"/>
  <c r="K65" i="21"/>
  <c r="K66" i="21"/>
  <c r="K67" i="21"/>
  <c r="K68" i="21"/>
  <c r="K69" i="21"/>
  <c r="K70" i="21"/>
  <c r="K71" i="21"/>
  <c r="K72" i="21"/>
  <c r="K73" i="21"/>
  <c r="K74" i="21"/>
  <c r="K75" i="21"/>
  <c r="K76" i="21"/>
  <c r="K77" i="21"/>
  <c r="K78" i="21"/>
  <c r="K68" i="22"/>
  <c r="K74" i="1"/>
  <c r="I6" i="2"/>
  <c r="I26" i="2"/>
  <c r="I45" i="2"/>
  <c r="I60" i="2"/>
  <c r="I67" i="2"/>
  <c r="I70" i="2"/>
  <c r="I71" i="2"/>
  <c r="I72" i="2"/>
  <c r="I73" i="2"/>
  <c r="I74" i="2"/>
  <c r="I75" i="2"/>
  <c r="I76" i="2"/>
  <c r="I77" i="2"/>
  <c r="I78" i="2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6" i="5"/>
  <c r="I53" i="5"/>
  <c r="I75" i="5"/>
  <c r="I6" i="6"/>
  <c r="I75" i="6"/>
  <c r="I6" i="10"/>
  <c r="I40" i="10"/>
  <c r="I66" i="10"/>
  <c r="I74" i="10"/>
  <c r="I77" i="10"/>
  <c r="I6" i="11"/>
  <c r="I65" i="11"/>
  <c r="I6" i="14"/>
  <c r="I7" i="14"/>
  <c r="I8" i="14"/>
  <c r="I9" i="14"/>
  <c r="I10" i="14"/>
  <c r="I11" i="14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41" i="14"/>
  <c r="I42" i="14"/>
  <c r="I43" i="14"/>
  <c r="I44" i="14"/>
  <c r="I45" i="14"/>
  <c r="I46" i="14"/>
  <c r="I47" i="14"/>
  <c r="I48" i="14"/>
  <c r="I49" i="14"/>
  <c r="I50" i="14"/>
  <c r="I51" i="14"/>
  <c r="I52" i="14"/>
  <c r="I53" i="14"/>
  <c r="I54" i="14"/>
  <c r="I55" i="14"/>
  <c r="I56" i="14"/>
  <c r="I57" i="14"/>
  <c r="I58" i="14"/>
  <c r="I59" i="14"/>
  <c r="I60" i="14"/>
  <c r="I61" i="14"/>
  <c r="I62" i="14"/>
  <c r="I63" i="14"/>
  <c r="I64" i="14"/>
  <c r="I65" i="14"/>
  <c r="I66" i="14"/>
  <c r="I67" i="14"/>
  <c r="I68" i="14"/>
  <c r="I69" i="14"/>
  <c r="I70" i="14"/>
  <c r="I71" i="14"/>
  <c r="I72" i="14"/>
  <c r="I73" i="14"/>
  <c r="I74" i="14"/>
  <c r="I75" i="14"/>
  <c r="I76" i="14"/>
  <c r="I77" i="14"/>
  <c r="I78" i="14"/>
  <c r="I6" i="18"/>
  <c r="I56" i="18"/>
  <c r="I6" i="21"/>
  <c r="I18" i="21"/>
  <c r="I35" i="21"/>
  <c r="I43" i="21"/>
  <c r="I48" i="21"/>
  <c r="I50" i="21"/>
  <c r="I52" i="21"/>
  <c r="I53" i="21"/>
  <c r="I54" i="21"/>
  <c r="I55" i="21"/>
  <c r="I56" i="21"/>
  <c r="I57" i="21"/>
  <c r="I58" i="21"/>
  <c r="I59" i="21"/>
  <c r="I60" i="21"/>
  <c r="I61" i="21"/>
  <c r="I62" i="21"/>
  <c r="I63" i="21"/>
  <c r="I64" i="21"/>
  <c r="I65" i="21"/>
  <c r="I66" i="21"/>
  <c r="I67" i="21"/>
  <c r="I68" i="21"/>
  <c r="I69" i="21"/>
  <c r="I70" i="21"/>
  <c r="I71" i="21"/>
  <c r="I72" i="21"/>
  <c r="I73" i="21"/>
  <c r="I74" i="21"/>
  <c r="I75" i="21"/>
  <c r="I76" i="21"/>
  <c r="I77" i="21"/>
  <c r="I78" i="21"/>
  <c r="I68" i="22"/>
  <c r="I74" i="1"/>
  <c r="G6" i="2"/>
  <c r="G26" i="2"/>
  <c r="G45" i="2"/>
  <c r="G60" i="2"/>
  <c r="G67" i="2"/>
  <c r="G70" i="2"/>
  <c r="G71" i="2"/>
  <c r="G72" i="2"/>
  <c r="G73" i="2"/>
  <c r="G74" i="2"/>
  <c r="G75" i="2"/>
  <c r="G76" i="2"/>
  <c r="G77" i="2"/>
  <c r="G78" i="2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6" i="5"/>
  <c r="G53" i="5"/>
  <c r="G75" i="5"/>
  <c r="G6" i="6"/>
  <c r="G75" i="6"/>
  <c r="G6" i="10"/>
  <c r="G40" i="10"/>
  <c r="G66" i="10"/>
  <c r="G74" i="10"/>
  <c r="G77" i="10"/>
  <c r="G6" i="11"/>
  <c r="G65" i="11"/>
  <c r="G6" i="14"/>
  <c r="G7" i="14"/>
  <c r="G8" i="14"/>
  <c r="G9" i="14"/>
  <c r="G10" i="14"/>
  <c r="G11" i="14"/>
  <c r="G12" i="14"/>
  <c r="G13" i="14"/>
  <c r="G14" i="14"/>
  <c r="G15" i="14"/>
  <c r="G16" i="14"/>
  <c r="G17" i="14"/>
  <c r="G18" i="14"/>
  <c r="G19" i="14"/>
  <c r="G20" i="14"/>
  <c r="G21" i="14"/>
  <c r="G22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G35" i="14"/>
  <c r="G36" i="14"/>
  <c r="G37" i="14"/>
  <c r="G38" i="14"/>
  <c r="G39" i="14"/>
  <c r="G40" i="14"/>
  <c r="G41" i="14"/>
  <c r="G42" i="14"/>
  <c r="G43" i="14"/>
  <c r="G44" i="14"/>
  <c r="G45" i="14"/>
  <c r="G46" i="14"/>
  <c r="G47" i="14"/>
  <c r="G48" i="14"/>
  <c r="G49" i="14"/>
  <c r="G50" i="14"/>
  <c r="G51" i="14"/>
  <c r="G52" i="14"/>
  <c r="G53" i="14"/>
  <c r="G54" i="14"/>
  <c r="G55" i="14"/>
  <c r="G56" i="14"/>
  <c r="G57" i="14"/>
  <c r="G58" i="14"/>
  <c r="G59" i="14"/>
  <c r="G60" i="14"/>
  <c r="G61" i="14"/>
  <c r="G62" i="14"/>
  <c r="G63" i="14"/>
  <c r="G64" i="14"/>
  <c r="G65" i="14"/>
  <c r="G66" i="14"/>
  <c r="G67" i="14"/>
  <c r="G68" i="14"/>
  <c r="G69" i="14"/>
  <c r="G70" i="14"/>
  <c r="G71" i="14"/>
  <c r="G72" i="14"/>
  <c r="G73" i="14"/>
  <c r="G74" i="14"/>
  <c r="G75" i="14"/>
  <c r="G76" i="14"/>
  <c r="G77" i="14"/>
  <c r="G78" i="14"/>
  <c r="G6" i="18"/>
  <c r="G56" i="18"/>
  <c r="G6" i="21"/>
  <c r="G18" i="21"/>
  <c r="G35" i="21"/>
  <c r="G43" i="21"/>
  <c r="G48" i="21"/>
  <c r="G50" i="21"/>
  <c r="G52" i="21"/>
  <c r="G53" i="21"/>
  <c r="G54" i="21"/>
  <c r="G55" i="21"/>
  <c r="G56" i="21"/>
  <c r="G57" i="21"/>
  <c r="G58" i="21"/>
  <c r="G59" i="21"/>
  <c r="G60" i="21"/>
  <c r="G61" i="21"/>
  <c r="G62" i="21"/>
  <c r="G63" i="21"/>
  <c r="G64" i="21"/>
  <c r="G65" i="21"/>
  <c r="G66" i="21"/>
  <c r="G67" i="21"/>
  <c r="G68" i="21"/>
  <c r="G69" i="21"/>
  <c r="G70" i="21"/>
  <c r="G71" i="21"/>
  <c r="G72" i="21"/>
  <c r="G73" i="21"/>
  <c r="G74" i="21"/>
  <c r="G75" i="21"/>
  <c r="G76" i="21"/>
  <c r="G77" i="21"/>
  <c r="G78" i="21"/>
  <c r="G68" i="22"/>
  <c r="G74" i="1"/>
  <c r="D678" i="22"/>
  <c r="C677" i="22"/>
  <c r="B676" i="22"/>
  <c r="X674" i="22"/>
  <c r="L673" i="22"/>
  <c r="O671" i="22"/>
  <c r="L669" i="22"/>
  <c r="Q668" i="22"/>
  <c r="O667" i="22"/>
  <c r="O666" i="22"/>
  <c r="O665" i="22"/>
  <c r="N664" i="22"/>
  <c r="N663" i="22"/>
  <c r="N662" i="22"/>
  <c r="V660" i="22"/>
  <c r="T659" i="22"/>
  <c r="T658" i="22"/>
  <c r="T657" i="22"/>
  <c r="T656" i="22"/>
  <c r="T655" i="22"/>
  <c r="T654" i="22"/>
  <c r="T653" i="22"/>
  <c r="T652" i="22"/>
  <c r="T678" i="22"/>
  <c r="S677" i="22"/>
  <c r="X676" i="22"/>
  <c r="V675" i="22"/>
  <c r="A675" i="22"/>
  <c r="E674" i="22"/>
  <c r="J673" i="22"/>
  <c r="F671" i="22"/>
  <c r="Q669" i="22"/>
  <c r="O668" i="22"/>
  <c r="N667" i="22"/>
  <c r="N666" i="22"/>
  <c r="N665" i="22"/>
  <c r="F664" i="22"/>
  <c r="B663" i="22"/>
  <c r="T660" i="22"/>
  <c r="S659" i="22"/>
  <c r="S658" i="22"/>
  <c r="S657" i="22"/>
  <c r="S656" i="22"/>
  <c r="S655" i="22"/>
  <c r="S654" i="22"/>
  <c r="S653" i="22"/>
  <c r="S652" i="22"/>
  <c r="S651" i="22"/>
  <c r="S650" i="22"/>
  <c r="B678" i="22"/>
  <c r="A677" i="22"/>
  <c r="D676" i="22"/>
  <c r="D675" i="22"/>
  <c r="D674" i="22"/>
  <c r="C673" i="22"/>
  <c r="E671" i="22"/>
  <c r="H669" i="22"/>
  <c r="F668" i="22"/>
  <c r="B667" i="22"/>
  <c r="X665" i="22"/>
  <c r="V664" i="22"/>
  <c r="A664" i="22"/>
  <c r="E663" i="22"/>
  <c r="L662" i="22"/>
  <c r="N660" i="22"/>
  <c r="F659" i="22"/>
  <c r="B658" i="22"/>
  <c r="X656" i="22"/>
  <c r="F655" i="22"/>
  <c r="B654" i="22"/>
  <c r="X652" i="22"/>
  <c r="F651" i="22"/>
  <c r="A678" i="22"/>
  <c r="S674" i="22"/>
  <c r="X668" i="22"/>
  <c r="Q665" i="22"/>
  <c r="V659" i="22"/>
  <c r="Q656" i="22"/>
  <c r="L653" i="22"/>
  <c r="A651" i="22"/>
  <c r="A650" i="22"/>
  <c r="E649" i="22"/>
  <c r="L648" i="22"/>
  <c r="Q647" i="22"/>
  <c r="V646" i="22"/>
  <c r="A646" i="22"/>
  <c r="E645" i="22"/>
  <c r="L644" i="22"/>
  <c r="Q643" i="22"/>
  <c r="V642" i="22"/>
  <c r="A642" i="22"/>
  <c r="E641" i="22"/>
  <c r="L640" i="22"/>
  <c r="Q639" i="22"/>
  <c r="O638" i="22"/>
  <c r="C637" i="22"/>
  <c r="C636" i="22"/>
  <c r="X634" i="22"/>
  <c r="F633" i="22"/>
  <c r="B632" i="22"/>
  <c r="C676" i="22"/>
  <c r="A672" i="22"/>
  <c r="A667" i="22"/>
  <c r="T663" i="22"/>
  <c r="A658" i="22"/>
  <c r="V654" i="22"/>
  <c r="T651" i="22"/>
  <c r="D650" i="22"/>
  <c r="D649" i="22"/>
  <c r="D648" i="22"/>
  <c r="D647" i="22"/>
  <c r="D646" i="22"/>
  <c r="D645" i="22"/>
  <c r="D644" i="22"/>
  <c r="D643" i="22"/>
  <c r="D642" i="22"/>
  <c r="D641" i="22"/>
  <c r="D640" i="22"/>
  <c r="D639" i="22"/>
  <c r="B637" i="22"/>
  <c r="V635" i="22"/>
  <c r="A635" i="22"/>
  <c r="E634" i="22"/>
  <c r="L633" i="22"/>
  <c r="Q632" i="22"/>
  <c r="L678" i="22"/>
  <c r="H674" i="22"/>
  <c r="V678" i="22"/>
  <c r="T677" i="22"/>
  <c r="S676" i="22"/>
  <c r="X675" i="22"/>
  <c r="F674" i="22"/>
  <c r="E673" i="22"/>
  <c r="H671" i="22"/>
  <c r="E669" i="22"/>
  <c r="J668" i="22"/>
  <c r="J667" i="22"/>
  <c r="J666" i="22"/>
  <c r="H665" i="22"/>
  <c r="H664" i="22"/>
  <c r="H663" i="22"/>
  <c r="H662" i="22"/>
  <c r="Q660" i="22"/>
  <c r="O659" i="22"/>
  <c r="O658" i="22"/>
  <c r="O657" i="22"/>
  <c r="O656" i="22"/>
  <c r="O655" i="22"/>
  <c r="O654" i="22"/>
  <c r="O653" i="22"/>
  <c r="O652" i="22"/>
  <c r="O678" i="22"/>
  <c r="N677" i="22"/>
  <c r="L676" i="22"/>
  <c r="Q675" i="22"/>
  <c r="V674" i="22"/>
  <c r="A674" i="22"/>
  <c r="D673" i="22"/>
  <c r="B671" i="22"/>
  <c r="J669" i="22"/>
  <c r="H668" i="22"/>
  <c r="H667" i="22"/>
  <c r="H666" i="22"/>
  <c r="F665" i="22"/>
  <c r="B664" i="22"/>
  <c r="X662" i="22"/>
  <c r="O660" i="22"/>
  <c r="N659" i="22"/>
  <c r="N658" i="22"/>
  <c r="N657" i="22"/>
  <c r="N656" i="22"/>
  <c r="N655" i="22"/>
  <c r="N654" i="22"/>
  <c r="N653" i="22"/>
  <c r="N652" i="22"/>
  <c r="N651" i="22"/>
  <c r="S678" i="22"/>
  <c r="X677" i="22"/>
  <c r="V676" i="22"/>
  <c r="T675" i="22"/>
  <c r="T674" i="22"/>
  <c r="T673" i="22"/>
  <c r="B672" i="22"/>
  <c r="A671" i="22"/>
  <c r="C669" i="22"/>
  <c r="B668" i="22"/>
  <c r="X666" i="22"/>
  <c r="L665" i="22"/>
  <c r="Q664" i="22"/>
  <c r="V663" i="22"/>
  <c r="A663" i="22"/>
  <c r="E662" i="22"/>
  <c r="H660" i="22"/>
  <c r="B659" i="22"/>
  <c r="X657" i="22"/>
  <c r="F656" i="22"/>
  <c r="B655" i="22"/>
  <c r="X653" i="22"/>
  <c r="F652" i="22"/>
  <c r="B651" i="22"/>
  <c r="D677" i="22"/>
  <c r="B673" i="22"/>
  <c r="A668" i="22"/>
  <c r="T664" i="22"/>
  <c r="A659" i="22"/>
  <c r="V655" i="22"/>
  <c r="Q652" i="22"/>
  <c r="Q650" i="22"/>
  <c r="V649" i="22"/>
  <c r="A649" i="22"/>
  <c r="E648" i="22"/>
  <c r="L647" i="22"/>
  <c r="Q646" i="22"/>
  <c r="V645" i="22"/>
  <c r="A645" i="22"/>
  <c r="E644" i="22"/>
  <c r="L643" i="22"/>
  <c r="Q642" i="22"/>
  <c r="V641" i="22"/>
  <c r="A641" i="22"/>
  <c r="E640" i="22"/>
  <c r="L639" i="22"/>
  <c r="S637" i="22"/>
  <c r="S636" i="22"/>
  <c r="X635" i="22"/>
  <c r="F634" i="22"/>
  <c r="B633" i="22"/>
  <c r="X631" i="22"/>
  <c r="H675" i="22"/>
  <c r="D671" i="22"/>
  <c r="E666" i="22"/>
  <c r="D662" i="22"/>
  <c r="E657" i="22"/>
  <c r="A654" i="22"/>
  <c r="J651" i="22"/>
  <c r="Q678" i="22"/>
  <c r="O677" i="22"/>
  <c r="N676" i="22"/>
  <c r="F675" i="22"/>
  <c r="B674" i="22"/>
  <c r="A673" i="22"/>
  <c r="C671" i="22"/>
  <c r="A669" i="22"/>
  <c r="D668" i="22"/>
  <c r="D667" i="22"/>
  <c r="D666" i="22"/>
  <c r="C665" i="22"/>
  <c r="C664" i="22"/>
  <c r="C663" i="22"/>
  <c r="C662" i="22"/>
  <c r="L660" i="22"/>
  <c r="J659" i="22"/>
  <c r="J658" i="22"/>
  <c r="J657" i="22"/>
  <c r="J656" i="22"/>
  <c r="J655" i="22"/>
  <c r="J654" i="22"/>
  <c r="J653" i="22"/>
  <c r="J652" i="22"/>
  <c r="H678" i="22"/>
  <c r="F677" i="22"/>
  <c r="E676" i="22"/>
  <c r="L675" i="22"/>
  <c r="Q674" i="22"/>
  <c r="V673" i="22"/>
  <c r="S671" i="22"/>
  <c r="B670" i="22"/>
  <c r="D669" i="22"/>
  <c r="C668" i="22"/>
  <c r="C667" i="22"/>
  <c r="C666" i="22"/>
  <c r="B665" i="22"/>
  <c r="X663" i="22"/>
  <c r="F662" i="22"/>
  <c r="J660" i="22"/>
  <c r="H659" i="22"/>
  <c r="H658" i="22"/>
  <c r="H657" i="22"/>
  <c r="H656" i="22"/>
  <c r="H655" i="22"/>
  <c r="H654" i="22"/>
  <c r="H653" i="22"/>
  <c r="H652" i="22"/>
  <c r="H651" i="22"/>
  <c r="N678" i="22"/>
  <c r="L677" i="22"/>
  <c r="Q676" i="22"/>
  <c r="O675" i="22"/>
  <c r="O674" i="22"/>
  <c r="O673" i="22"/>
  <c r="X671" i="22"/>
  <c r="T669" i="22"/>
  <c r="S668" i="22"/>
  <c r="X667" i="22"/>
  <c r="F666" i="22"/>
  <c r="E665" i="22"/>
  <c r="L664" i="22"/>
  <c r="Q663" i="22"/>
  <c r="V662" i="22"/>
  <c r="A662" i="22"/>
  <c r="C660" i="22"/>
  <c r="X658" i="22"/>
  <c r="F657" i="22"/>
  <c r="B656" i="22"/>
  <c r="X654" i="22"/>
  <c r="F653" i="22"/>
  <c r="B652" i="22"/>
  <c r="X650" i="22"/>
  <c r="H676" i="22"/>
  <c r="J671" i="22"/>
  <c r="E667" i="22"/>
  <c r="D663" i="22"/>
  <c r="E658" i="22"/>
  <c r="A655" i="22"/>
  <c r="V651" i="22"/>
  <c r="L650" i="22"/>
  <c r="Q649" i="22"/>
  <c r="V648" i="22"/>
  <c r="A648" i="22"/>
  <c r="E647" i="22"/>
  <c r="L646" i="22"/>
  <c r="Q645" i="22"/>
  <c r="V644" i="22"/>
  <c r="A644" i="22"/>
  <c r="E643" i="22"/>
  <c r="L642" i="22"/>
  <c r="Q641" i="22"/>
  <c r="V640" i="22"/>
  <c r="A640" i="22"/>
  <c r="E639" i="22"/>
  <c r="N637" i="22"/>
  <c r="N636" i="22"/>
  <c r="F635" i="22"/>
  <c r="B634" i="22"/>
  <c r="X632" i="22"/>
  <c r="F631" i="22"/>
  <c r="N674" i="22"/>
  <c r="N669" i="22"/>
  <c r="J665" i="22"/>
  <c r="Q659" i="22"/>
  <c r="L656" i="22"/>
  <c r="E653" i="22"/>
  <c r="O650" i="22"/>
  <c r="F676" i="22"/>
  <c r="X669" i="22"/>
  <c r="T665" i="22"/>
  <c r="A661" i="22"/>
  <c r="D657" i="22"/>
  <c r="D653" i="22"/>
  <c r="A676" i="22"/>
  <c r="N671" i="22"/>
  <c r="S666" i="22"/>
  <c r="B662" i="22"/>
  <c r="C657" i="22"/>
  <c r="C653" i="22"/>
  <c r="E677" i="22"/>
  <c r="H673" i="22"/>
  <c r="F667" i="22"/>
  <c r="L663" i="22"/>
  <c r="F658" i="22"/>
  <c r="B653" i="22"/>
  <c r="S669" i="22"/>
  <c r="E654" i="22"/>
  <c r="Q648" i="22"/>
  <c r="L645" i="22"/>
  <c r="E642" i="22"/>
  <c r="A639" i="22"/>
  <c r="X633" i="22"/>
  <c r="V667" i="22"/>
  <c r="L652" i="22"/>
  <c r="J649" i="22"/>
  <c r="T647" i="22"/>
  <c r="O646" i="22"/>
  <c r="J645" i="22"/>
  <c r="T643" i="22"/>
  <c r="O642" i="22"/>
  <c r="J641" i="22"/>
  <c r="T639" i="22"/>
  <c r="X637" i="22"/>
  <c r="A636" i="22"/>
  <c r="V634" i="22"/>
  <c r="V633" i="22"/>
  <c r="V632" i="22"/>
  <c r="Q677" i="22"/>
  <c r="V671" i="22"/>
  <c r="V666" i="22"/>
  <c r="O663" i="22"/>
  <c r="Q658" i="22"/>
  <c r="L655" i="22"/>
  <c r="E652" i="22"/>
  <c r="N650" i="22"/>
  <c r="N649" i="22"/>
  <c r="N648" i="22"/>
  <c r="N647" i="22"/>
  <c r="N646" i="22"/>
  <c r="N645" i="22"/>
  <c r="N644" i="22"/>
  <c r="N643" i="22"/>
  <c r="N642" i="22"/>
  <c r="N641" i="22"/>
  <c r="N640" i="22"/>
  <c r="N639" i="22"/>
  <c r="V637" i="22"/>
  <c r="A637" i="22"/>
  <c r="E636" i="22"/>
  <c r="D635" i="22"/>
  <c r="D634" i="22"/>
  <c r="D633" i="22"/>
  <c r="D632" i="22"/>
  <c r="D631" i="22"/>
  <c r="D630" i="22"/>
  <c r="E659" i="22"/>
  <c r="X649" i="22"/>
  <c r="B645" i="22"/>
  <c r="F640" i="22"/>
  <c r="S634" i="22"/>
  <c r="H631" i="22"/>
  <c r="T629" i="22"/>
  <c r="S628" i="22"/>
  <c r="S627" i="22"/>
  <c r="S626" i="22"/>
  <c r="S625" i="22"/>
  <c r="S624" i="22"/>
  <c r="S623" i="22"/>
  <c r="S622" i="22"/>
  <c r="S621" i="22"/>
  <c r="S620" i="22"/>
  <c r="S619" i="22"/>
  <c r="S618" i="22"/>
  <c r="S617" i="22"/>
  <c r="S616" i="22"/>
  <c r="X615" i="22"/>
  <c r="F614" i="22"/>
  <c r="B613" i="22"/>
  <c r="X611" i="22"/>
  <c r="V665" i="22"/>
  <c r="A652" i="22"/>
  <c r="X644" i="22"/>
  <c r="B640" i="22"/>
  <c r="B675" i="22"/>
  <c r="V668" i="22"/>
  <c r="S664" i="22"/>
  <c r="E660" i="22"/>
  <c r="D656" i="22"/>
  <c r="D652" i="22"/>
  <c r="E675" i="22"/>
  <c r="V669" i="22"/>
  <c r="S665" i="22"/>
  <c r="D660" i="22"/>
  <c r="C656" i="22"/>
  <c r="C652" i="22"/>
  <c r="J676" i="22"/>
  <c r="L671" i="22"/>
  <c r="B666" i="22"/>
  <c r="Q662" i="22"/>
  <c r="B657" i="22"/>
  <c r="X651" i="22"/>
  <c r="L666" i="22"/>
  <c r="L651" i="22"/>
  <c r="V647" i="22"/>
  <c r="Q644" i="22"/>
  <c r="L641" i="22"/>
  <c r="H637" i="22"/>
  <c r="F632" i="22"/>
  <c r="O664" i="22"/>
  <c r="J650" i="22"/>
  <c r="T648" i="22"/>
  <c r="O647" i="22"/>
  <c r="J646" i="22"/>
  <c r="T644" i="22"/>
  <c r="O643" i="22"/>
  <c r="J642" i="22"/>
  <c r="T640" i="22"/>
  <c r="O639" i="22"/>
  <c r="F637" i="22"/>
  <c r="Q635" i="22"/>
  <c r="Q634" i="22"/>
  <c r="Q633" i="22"/>
  <c r="L632" i="22"/>
  <c r="T676" i="22"/>
  <c r="F669" i="22"/>
  <c r="A666" i="22"/>
  <c r="T662" i="22"/>
  <c r="V657" i="22"/>
  <c r="Q654" i="22"/>
  <c r="Q651" i="22"/>
  <c r="H650" i="22"/>
  <c r="H649" i="22"/>
  <c r="H648" i="22"/>
  <c r="H647" i="22"/>
  <c r="H646" i="22"/>
  <c r="H645" i="22"/>
  <c r="H644" i="22"/>
  <c r="H643" i="22"/>
  <c r="H642" i="22"/>
  <c r="H641" i="22"/>
  <c r="H640" i="22"/>
  <c r="H639" i="22"/>
  <c r="Q637" i="22"/>
  <c r="V636" i="22"/>
  <c r="T635" i="22"/>
  <c r="T634" i="22"/>
  <c r="T633" i="22"/>
  <c r="T632" i="22"/>
  <c r="T631" i="22"/>
  <c r="T630" i="22"/>
  <c r="E678" i="22"/>
  <c r="A656" i="22"/>
  <c r="B649" i="22"/>
  <c r="F644" i="22"/>
  <c r="D637" i="22"/>
  <c r="C633" i="22"/>
  <c r="A631" i="22"/>
  <c r="O629" i="22"/>
  <c r="N628" i="22"/>
  <c r="N627" i="22"/>
  <c r="N626" i="22"/>
  <c r="N625" i="22"/>
  <c r="N624" i="22"/>
  <c r="N623" i="22"/>
  <c r="N622" i="22"/>
  <c r="N621" i="22"/>
  <c r="N620" i="22"/>
  <c r="N619" i="22"/>
  <c r="N618" i="22"/>
  <c r="N617" i="22"/>
  <c r="N616" i="22"/>
  <c r="F615" i="22"/>
  <c r="B614" i="22"/>
  <c r="X612" i="22"/>
  <c r="J677" i="22"/>
  <c r="O662" i="22"/>
  <c r="X648" i="22"/>
  <c r="B644" i="22"/>
  <c r="J678" i="22"/>
  <c r="X673" i="22"/>
  <c r="T667" i="22"/>
  <c r="S663" i="22"/>
  <c r="D659" i="22"/>
  <c r="D655" i="22"/>
  <c r="C678" i="22"/>
  <c r="L674" i="22"/>
  <c r="T668" i="22"/>
  <c r="X664" i="22"/>
  <c r="C659" i="22"/>
  <c r="C655" i="22"/>
  <c r="C651" i="22"/>
  <c r="J675" i="22"/>
  <c r="O669" i="22"/>
  <c r="A665" i="22"/>
  <c r="S660" i="22"/>
  <c r="X655" i="22"/>
  <c r="X678" i="22"/>
  <c r="J662" i="22"/>
  <c r="E650" i="22"/>
  <c r="A647" i="22"/>
  <c r="V643" i="22"/>
  <c r="Q640" i="22"/>
  <c r="H636" i="22"/>
  <c r="V677" i="22"/>
  <c r="V658" i="22"/>
  <c r="T649" i="22"/>
  <c r="O648" i="22"/>
  <c r="J647" i="22"/>
  <c r="T645" i="22"/>
  <c r="O644" i="22"/>
  <c r="J643" i="22"/>
  <c r="T641" i="22"/>
  <c r="O640" i="22"/>
  <c r="J639" i="22"/>
  <c r="X636" i="22"/>
  <c r="L635" i="22"/>
  <c r="L634" i="22"/>
  <c r="E633" i="22"/>
  <c r="E632" i="22"/>
  <c r="C675" i="22"/>
  <c r="L668" i="22"/>
  <c r="D665" i="22"/>
  <c r="F660" i="22"/>
  <c r="A657" i="22"/>
  <c r="V653" i="22"/>
  <c r="E651" i="22"/>
  <c r="C650" i="22"/>
  <c r="C649" i="22"/>
  <c r="C648" i="22"/>
  <c r="C647" i="22"/>
  <c r="C646" i="22"/>
  <c r="C645" i="22"/>
  <c r="C644" i="22"/>
  <c r="C643" i="22"/>
  <c r="C642" i="22"/>
  <c r="C641" i="22"/>
  <c r="C640" i="22"/>
  <c r="C639" i="22"/>
  <c r="L637" i="22"/>
  <c r="Q636" i="22"/>
  <c r="O635" i="22"/>
  <c r="O634" i="22"/>
  <c r="O633" i="22"/>
  <c r="O632" i="22"/>
  <c r="O631" i="22"/>
  <c r="O630" i="22"/>
  <c r="Q666" i="22"/>
  <c r="V652" i="22"/>
  <c r="F648" i="22"/>
  <c r="X641" i="22"/>
  <c r="J636" i="22"/>
  <c r="H632" i="22"/>
  <c r="S630" i="22"/>
  <c r="H629" i="22"/>
  <c r="H628" i="22"/>
  <c r="H627" i="22"/>
  <c r="H626" i="22"/>
  <c r="H625" i="22"/>
  <c r="H624" i="22"/>
  <c r="H623" i="22"/>
  <c r="H622" i="22"/>
  <c r="H621" i="22"/>
  <c r="H620" i="22"/>
  <c r="H619" i="22"/>
  <c r="H618" i="22"/>
  <c r="H617" i="22"/>
  <c r="H616" i="22"/>
  <c r="B615" i="22"/>
  <c r="X613" i="22"/>
  <c r="F612" i="22"/>
  <c r="C674" i="22"/>
  <c r="L658" i="22"/>
  <c r="B648" i="22"/>
  <c r="F643" i="22"/>
  <c r="T637" i="22"/>
  <c r="S633" i="22"/>
  <c r="L630" i="22"/>
  <c r="B629" i="22"/>
  <c r="X627" i="22"/>
  <c r="F626" i="22"/>
  <c r="B625" i="22"/>
  <c r="X623" i="22"/>
  <c r="F622" i="22"/>
  <c r="B621" i="22"/>
  <c r="X619" i="22"/>
  <c r="F618" i="22"/>
  <c r="B617" i="22"/>
  <c r="V615" i="22"/>
  <c r="A615" i="22"/>
  <c r="E614" i="22"/>
  <c r="L613" i="22"/>
  <c r="Q612" i="22"/>
  <c r="O676" i="22"/>
  <c r="Q657" i="22"/>
  <c r="X647" i="22"/>
  <c r="B643" i="22"/>
  <c r="O637" i="22"/>
  <c r="N633" i="22"/>
  <c r="X630" i="22"/>
  <c r="X629" i="22"/>
  <c r="V628" i="22"/>
  <c r="A628" i="22"/>
  <c r="E627" i="22"/>
  <c r="L626" i="22"/>
  <c r="Q625" i="22"/>
  <c r="T671" i="22"/>
  <c r="D654" i="22"/>
  <c r="F663" i="22"/>
  <c r="J674" i="22"/>
  <c r="F654" i="22"/>
  <c r="E646" i="22"/>
  <c r="S673" i="22"/>
  <c r="T646" i="22"/>
  <c r="O641" i="22"/>
  <c r="E635" i="22"/>
  <c r="N673" i="22"/>
  <c r="E656" i="22"/>
  <c r="S648" i="22"/>
  <c r="S644" i="22"/>
  <c r="S640" i="22"/>
  <c r="L636" i="22"/>
  <c r="J632" i="22"/>
  <c r="T650" i="22"/>
  <c r="S631" i="22"/>
  <c r="C627" i="22"/>
  <c r="C623" i="22"/>
  <c r="C619" i="22"/>
  <c r="X614" i="22"/>
  <c r="E655" i="22"/>
  <c r="D636" i="22"/>
  <c r="Q631" i="22"/>
  <c r="F629" i="22"/>
  <c r="F627" i="22"/>
  <c r="X625" i="22"/>
  <c r="B624" i="22"/>
  <c r="B622" i="22"/>
  <c r="F620" i="22"/>
  <c r="X618" i="22"/>
  <c r="X616" i="22"/>
  <c r="L615" i="22"/>
  <c r="L614" i="22"/>
  <c r="E613" i="22"/>
  <c r="E612" i="22"/>
  <c r="X660" i="22"/>
  <c r="B647" i="22"/>
  <c r="X639" i="22"/>
  <c r="H634" i="22"/>
  <c r="Q630" i="22"/>
  <c r="E629" i="22"/>
  <c r="E628" i="22"/>
  <c r="A627" i="22"/>
  <c r="A626" i="22"/>
  <c r="A625" i="22"/>
  <c r="E624" i="22"/>
  <c r="L623" i="22"/>
  <c r="Q622" i="22"/>
  <c r="V621" i="22"/>
  <c r="A621" i="22"/>
  <c r="E620" i="22"/>
  <c r="L619" i="22"/>
  <c r="Q618" i="22"/>
  <c r="V617" i="22"/>
  <c r="A617" i="22"/>
  <c r="E616" i="22"/>
  <c r="J615" i="22"/>
  <c r="J614" i="22"/>
  <c r="J613" i="22"/>
  <c r="J612" i="22"/>
  <c r="J611" i="22"/>
  <c r="X646" i="22"/>
  <c r="A630" i="22"/>
  <c r="T626" i="22"/>
  <c r="T622" i="22"/>
  <c r="T618" i="22"/>
  <c r="S614" i="22"/>
  <c r="E611" i="22"/>
  <c r="L610" i="22"/>
  <c r="Q609" i="22"/>
  <c r="V608" i="22"/>
  <c r="A608" i="22"/>
  <c r="E607" i="22"/>
  <c r="L606" i="22"/>
  <c r="Q605" i="22"/>
  <c r="V604" i="22"/>
  <c r="A604" i="22"/>
  <c r="D603" i="22"/>
  <c r="D602" i="22"/>
  <c r="D601" i="22"/>
  <c r="A599" i="22"/>
  <c r="E598" i="22"/>
  <c r="D597" i="22"/>
  <c r="D596" i="22"/>
  <c r="D595" i="22"/>
  <c r="D594" i="22"/>
  <c r="D593" i="22"/>
  <c r="D592" i="22"/>
  <c r="D591" i="22"/>
  <c r="D590" i="22"/>
  <c r="D589" i="22"/>
  <c r="D588" i="22"/>
  <c r="D587" i="22"/>
  <c r="D586" i="22"/>
  <c r="D585" i="22"/>
  <c r="C584" i="22"/>
  <c r="C583" i="22"/>
  <c r="C582" i="22"/>
  <c r="C581" i="22"/>
  <c r="C580" i="22"/>
  <c r="C579" i="22"/>
  <c r="C578" i="22"/>
  <c r="C577" i="22"/>
  <c r="C576" i="22"/>
  <c r="C575" i="22"/>
  <c r="X573" i="22"/>
  <c r="F572" i="22"/>
  <c r="B571" i="22"/>
  <c r="X569" i="22"/>
  <c r="F568" i="22"/>
  <c r="V656" i="22"/>
  <c r="S635" i="22"/>
  <c r="D628" i="22"/>
  <c r="D624" i="22"/>
  <c r="D620" i="22"/>
  <c r="D616" i="22"/>
  <c r="C612" i="22"/>
  <c r="O610" i="22"/>
  <c r="O609" i="22"/>
  <c r="O608" i="22"/>
  <c r="O607" i="22"/>
  <c r="O606" i="22"/>
  <c r="O605" i="22"/>
  <c r="O604" i="22"/>
  <c r="O603" i="22"/>
  <c r="N602" i="22"/>
  <c r="N601" i="22"/>
  <c r="V599" i="22"/>
  <c r="T598" i="22"/>
  <c r="S597" i="22"/>
  <c r="S596" i="22"/>
  <c r="S595" i="22"/>
  <c r="S594" i="22"/>
  <c r="S593" i="22"/>
  <c r="S592" i="22"/>
  <c r="S591" i="22"/>
  <c r="S590" i="22"/>
  <c r="S589" i="22"/>
  <c r="S588" i="22"/>
  <c r="S587" i="22"/>
  <c r="S586" i="22"/>
  <c r="S585" i="22"/>
  <c r="S584" i="22"/>
  <c r="X583" i="22"/>
  <c r="F582" i="22"/>
  <c r="B581" i="22"/>
  <c r="X579" i="22"/>
  <c r="F578" i="22"/>
  <c r="B577" i="22"/>
  <c r="X575" i="22"/>
  <c r="L574" i="22"/>
  <c r="Q573" i="22"/>
  <c r="V572" i="22"/>
  <c r="A572" i="22"/>
  <c r="E571" i="22"/>
  <c r="L570" i="22"/>
  <c r="Q569" i="22"/>
  <c r="V568" i="22"/>
  <c r="A568" i="22"/>
  <c r="L667" i="22"/>
  <c r="Q638" i="22"/>
  <c r="T628" i="22"/>
  <c r="T624" i="22"/>
  <c r="T620" i="22"/>
  <c r="T616" i="22"/>
  <c r="S612" i="22"/>
  <c r="S610" i="22"/>
  <c r="S609" i="22"/>
  <c r="S608" i="22"/>
  <c r="S607" i="22"/>
  <c r="S606" i="22"/>
  <c r="S605" i="22"/>
  <c r="S604" i="22"/>
  <c r="S603" i="22"/>
  <c r="F602" i="22"/>
  <c r="B601" i="22"/>
  <c r="C599" i="22"/>
  <c r="C598" i="22"/>
  <c r="X596" i="22"/>
  <c r="F595" i="22"/>
  <c r="B594" i="22"/>
  <c r="X592" i="22"/>
  <c r="F591" i="22"/>
  <c r="B590" i="22"/>
  <c r="X588" i="22"/>
  <c r="F587" i="22"/>
  <c r="B586" i="22"/>
  <c r="X584" i="22"/>
  <c r="V583" i="22"/>
  <c r="A583" i="22"/>
  <c r="E582" i="22"/>
  <c r="L581" i="22"/>
  <c r="Q580" i="22"/>
  <c r="V579" i="22"/>
  <c r="A579" i="22"/>
  <c r="E578" i="22"/>
  <c r="L577" i="22"/>
  <c r="Q576" i="22"/>
  <c r="V575" i="22"/>
  <c r="A575" i="22"/>
  <c r="T666" i="22"/>
  <c r="B677" i="22"/>
  <c r="C658" i="22"/>
  <c r="N668" i="22"/>
  <c r="N675" i="22"/>
  <c r="A643" i="22"/>
  <c r="Q655" i="22"/>
  <c r="O645" i="22"/>
  <c r="J640" i="22"/>
  <c r="A634" i="22"/>
  <c r="Q667" i="22"/>
  <c r="A653" i="22"/>
  <c r="S647" i="22"/>
  <c r="S643" i="22"/>
  <c r="S639" i="22"/>
  <c r="J635" i="22"/>
  <c r="J631" i="22"/>
  <c r="X645" i="22"/>
  <c r="E630" i="22"/>
  <c r="C626" i="22"/>
  <c r="C622" i="22"/>
  <c r="C618" i="22"/>
  <c r="F613" i="22"/>
  <c r="F647" i="22"/>
  <c r="H635" i="22"/>
  <c r="E631" i="22"/>
  <c r="X628" i="22"/>
  <c r="B627" i="22"/>
  <c r="F625" i="22"/>
  <c r="F623" i="22"/>
  <c r="X621" i="22"/>
  <c r="B620" i="22"/>
  <c r="B618" i="22"/>
  <c r="F616" i="22"/>
  <c r="E615" i="22"/>
  <c r="A614" i="22"/>
  <c r="A613" i="22"/>
  <c r="A612" i="22"/>
  <c r="L654" i="22"/>
  <c r="F646" i="22"/>
  <c r="B639" i="22"/>
  <c r="S632" i="22"/>
  <c r="H630" i="22"/>
  <c r="A629" i="22"/>
  <c r="V627" i="22"/>
  <c r="V626" i="22"/>
  <c r="V625" i="22"/>
  <c r="V624" i="22"/>
  <c r="A624" i="22"/>
  <c r="E623" i="22"/>
  <c r="L622" i="22"/>
  <c r="Q621" i="22"/>
  <c r="V620" i="22"/>
  <c r="A620" i="22"/>
  <c r="E619" i="22"/>
  <c r="L618" i="22"/>
  <c r="Q617" i="22"/>
  <c r="V616" i="22"/>
  <c r="A616" i="22"/>
  <c r="D615" i="22"/>
  <c r="D614" i="22"/>
  <c r="D613" i="22"/>
  <c r="D612" i="22"/>
  <c r="S675" i="22"/>
  <c r="O636" i="22"/>
  <c r="D629" i="22"/>
  <c r="D625" i="22"/>
  <c r="D621" i="22"/>
  <c r="D617" i="22"/>
  <c r="C613" i="22"/>
  <c r="A611" i="22"/>
  <c r="E610" i="22"/>
  <c r="L609" i="22"/>
  <c r="Q608" i="22"/>
  <c r="V607" i="22"/>
  <c r="A607" i="22"/>
  <c r="E606" i="22"/>
  <c r="L605" i="22"/>
  <c r="Q604" i="22"/>
  <c r="V603" i="22"/>
  <c r="T602" i="22"/>
  <c r="T601" i="22"/>
  <c r="X599" i="22"/>
  <c r="V598" i="22"/>
  <c r="T597" i="22"/>
  <c r="T596" i="22"/>
  <c r="T595" i="22"/>
  <c r="T594" i="22"/>
  <c r="T593" i="22"/>
  <c r="T592" i="22"/>
  <c r="T591" i="22"/>
  <c r="T590" i="22"/>
  <c r="T589" i="22"/>
  <c r="T588" i="22"/>
  <c r="T587" i="22"/>
  <c r="T586" i="22"/>
  <c r="T585" i="22"/>
  <c r="T584" i="22"/>
  <c r="S583" i="22"/>
  <c r="S582" i="22"/>
  <c r="S581" i="22"/>
  <c r="S580" i="22"/>
  <c r="S579" i="22"/>
  <c r="S578" i="22"/>
  <c r="S577" i="22"/>
  <c r="S576" i="22"/>
  <c r="S575" i="22"/>
  <c r="S574" i="22"/>
  <c r="F573" i="22"/>
  <c r="B572" i="22"/>
  <c r="X570" i="22"/>
  <c r="F569" i="22"/>
  <c r="B568" i="22"/>
  <c r="F649" i="22"/>
  <c r="N632" i="22"/>
  <c r="J627" i="22"/>
  <c r="J623" i="22"/>
  <c r="J619" i="22"/>
  <c r="H615" i="22"/>
  <c r="L611" i="22"/>
  <c r="J610" i="22"/>
  <c r="J609" i="22"/>
  <c r="J608" i="22"/>
  <c r="J607" i="22"/>
  <c r="J606" i="22"/>
  <c r="J605" i="22"/>
  <c r="J604" i="22"/>
  <c r="H677" i="22"/>
  <c r="D658" i="22"/>
  <c r="S667" i="22"/>
  <c r="F678" i="22"/>
  <c r="X659" i="22"/>
  <c r="L649" i="22"/>
  <c r="B635" i="22"/>
  <c r="J648" i="22"/>
  <c r="T642" i="22"/>
  <c r="F636" i="22"/>
  <c r="A632" i="22"/>
  <c r="L659" i="22"/>
  <c r="S649" i="22"/>
  <c r="S645" i="22"/>
  <c r="S641" i="22"/>
  <c r="E637" i="22"/>
  <c r="J633" i="22"/>
  <c r="J663" i="22"/>
  <c r="N635" i="22"/>
  <c r="C628" i="22"/>
  <c r="C624" i="22"/>
  <c r="C620" i="22"/>
  <c r="C616" i="22"/>
  <c r="B669" i="22"/>
  <c r="F639" i="22"/>
  <c r="C632" i="22"/>
  <c r="S629" i="22"/>
  <c r="B628" i="22"/>
  <c r="B626" i="22"/>
  <c r="F624" i="22"/>
  <c r="X622" i="22"/>
  <c r="X620" i="22"/>
  <c r="B619" i="22"/>
  <c r="F617" i="22"/>
  <c r="Q615" i="22"/>
  <c r="Q614" i="22"/>
  <c r="Q613" i="22"/>
  <c r="L612" i="22"/>
  <c r="E668" i="22"/>
  <c r="F650" i="22"/>
  <c r="F642" i="22"/>
  <c r="C635" i="22"/>
  <c r="C631" i="22"/>
  <c r="L629" i="22"/>
  <c r="L628" i="22"/>
  <c r="L627" i="22"/>
  <c r="E626" i="22"/>
  <c r="E625" i="22"/>
  <c r="L624" i="22"/>
  <c r="Q623" i="22"/>
  <c r="V622" i="22"/>
  <c r="A622" i="22"/>
  <c r="E621" i="22"/>
  <c r="L620" i="22"/>
  <c r="Q619" i="22"/>
  <c r="V618" i="22"/>
  <c r="A618" i="22"/>
  <c r="E617" i="22"/>
  <c r="L616" i="22"/>
  <c r="O615" i="22"/>
  <c r="O614" i="22"/>
  <c r="O613" i="22"/>
  <c r="O612" i="22"/>
  <c r="O611" i="22"/>
  <c r="B650" i="22"/>
  <c r="B631" i="22"/>
  <c r="O627" i="22"/>
  <c r="O623" i="22"/>
  <c r="O619" i="22"/>
  <c r="N615" i="22"/>
  <c r="S611" i="22"/>
  <c r="Q610" i="22"/>
  <c r="V609" i="22"/>
  <c r="A609" i="22"/>
  <c r="E608" i="22"/>
  <c r="L607" i="22"/>
  <c r="Q606" i="22"/>
  <c r="V605" i="22"/>
  <c r="A605" i="22"/>
  <c r="E604" i="22"/>
  <c r="J603" i="22"/>
  <c r="J602" i="22"/>
  <c r="J601" i="22"/>
  <c r="E599" i="22"/>
  <c r="L598" i="22"/>
  <c r="J597" i="22"/>
  <c r="J596" i="22"/>
  <c r="J595" i="22"/>
  <c r="J594" i="22"/>
  <c r="J593" i="22"/>
  <c r="J592" i="22"/>
  <c r="J591" i="22"/>
  <c r="J590" i="22"/>
  <c r="J589" i="22"/>
  <c r="J588" i="22"/>
  <c r="J587" i="22"/>
  <c r="J586" i="22"/>
  <c r="J585" i="22"/>
  <c r="H584" i="22"/>
  <c r="H583" i="22"/>
  <c r="H582" i="22"/>
  <c r="H581" i="22"/>
  <c r="H580" i="22"/>
  <c r="H579" i="22"/>
  <c r="H578" i="22"/>
  <c r="H577" i="22"/>
  <c r="H576" i="22"/>
  <c r="H575" i="22"/>
  <c r="B574" i="22"/>
  <c r="X572" i="22"/>
  <c r="F571" i="22"/>
  <c r="B570" i="22"/>
  <c r="X568" i="22"/>
  <c r="Q671" i="22"/>
  <c r="X642" i="22"/>
  <c r="V629" i="22"/>
  <c r="T625" i="22"/>
  <c r="T621" i="22"/>
  <c r="T617" i="22"/>
  <c r="S613" i="22"/>
  <c r="T610" i="22"/>
  <c r="T609" i="22"/>
  <c r="T608" i="22"/>
  <c r="T607" i="22"/>
  <c r="T606" i="22"/>
  <c r="T605" i="22"/>
  <c r="T604" i="22"/>
  <c r="E664" i="22"/>
  <c r="J644" i="22"/>
  <c r="V650" i="22"/>
  <c r="J634" i="22"/>
  <c r="C625" i="22"/>
  <c r="X640" i="22"/>
  <c r="X626" i="22"/>
  <c r="F619" i="22"/>
  <c r="V613" i="22"/>
  <c r="X643" i="22"/>
  <c r="Q628" i="22"/>
  <c r="Q624" i="22"/>
  <c r="L621" i="22"/>
  <c r="E618" i="22"/>
  <c r="T614" i="22"/>
  <c r="A660" i="22"/>
  <c r="J620" i="22"/>
  <c r="A610" i="22"/>
  <c r="V606" i="22"/>
  <c r="Q603" i="22"/>
  <c r="Q598" i="22"/>
  <c r="O594" i="22"/>
  <c r="O590" i="22"/>
  <c r="O586" i="22"/>
  <c r="N582" i="22"/>
  <c r="N578" i="22"/>
  <c r="F574" i="22"/>
  <c r="B569" i="22"/>
  <c r="O626" i="22"/>
  <c r="D611" i="22"/>
  <c r="D607" i="22"/>
  <c r="T603" i="22"/>
  <c r="H602" i="22"/>
  <c r="C601" i="22"/>
  <c r="D599" i="22"/>
  <c r="N597" i="22"/>
  <c r="H596" i="22"/>
  <c r="C595" i="22"/>
  <c r="N593" i="22"/>
  <c r="H592" i="22"/>
  <c r="C591" i="22"/>
  <c r="N589" i="22"/>
  <c r="H588" i="22"/>
  <c r="C587" i="22"/>
  <c r="N585" i="22"/>
  <c r="F584" i="22"/>
  <c r="X582" i="22"/>
  <c r="X580" i="22"/>
  <c r="B579" i="22"/>
  <c r="F577" i="22"/>
  <c r="F575" i="22"/>
  <c r="A574" i="22"/>
  <c r="A573" i="22"/>
  <c r="V571" i="22"/>
  <c r="V570" i="22"/>
  <c r="V569" i="22"/>
  <c r="Q568" i="22"/>
  <c r="Q567" i="22"/>
  <c r="B642" i="22"/>
  <c r="D627" i="22"/>
  <c r="J622" i="22"/>
  <c r="O617" i="22"/>
  <c r="Q611" i="22"/>
  <c r="H610" i="22"/>
  <c r="C609" i="22"/>
  <c r="N607" i="22"/>
  <c r="H606" i="22"/>
  <c r="C605" i="22"/>
  <c r="F603" i="22"/>
  <c r="X601" i="22"/>
  <c r="H599" i="22"/>
  <c r="X597" i="22"/>
  <c r="B596" i="22"/>
  <c r="F594" i="22"/>
  <c r="F592" i="22"/>
  <c r="X590" i="22"/>
  <c r="B589" i="22"/>
  <c r="B587" i="22"/>
  <c r="F585" i="22"/>
  <c r="A584" i="22"/>
  <c r="V582" i="22"/>
  <c r="V581" i="22"/>
  <c r="V580" i="22"/>
  <c r="Q579" i="22"/>
  <c r="Q578" i="22"/>
  <c r="Q577" i="22"/>
  <c r="L576" i="22"/>
  <c r="L575" i="22"/>
  <c r="J574" i="22"/>
  <c r="J573" i="22"/>
  <c r="J572" i="22"/>
  <c r="J571" i="22"/>
  <c r="J570" i="22"/>
  <c r="J569" i="22"/>
  <c r="J568" i="22"/>
  <c r="J567" i="22"/>
  <c r="H566" i="22"/>
  <c r="F630" i="22"/>
  <c r="C614" i="22"/>
  <c r="F608" i="22"/>
  <c r="L603" i="22"/>
  <c r="F599" i="22"/>
  <c r="E595" i="22"/>
  <c r="A592" i="22"/>
  <c r="V588" i="22"/>
  <c r="Q585" i="22"/>
  <c r="O581" i="22"/>
  <c r="O577" i="22"/>
  <c r="N573" i="22"/>
  <c r="N569" i="22"/>
  <c r="S566" i="22"/>
  <c r="B565" i="22"/>
  <c r="X563" i="22"/>
  <c r="F562" i="22"/>
  <c r="B561" i="22"/>
  <c r="X559" i="22"/>
  <c r="F558" i="22"/>
  <c r="B557" i="22"/>
  <c r="X555" i="22"/>
  <c r="F554" i="22"/>
  <c r="B553" i="22"/>
  <c r="X551" i="22"/>
  <c r="F550" i="22"/>
  <c r="B549" i="22"/>
  <c r="X547" i="22"/>
  <c r="F546" i="22"/>
  <c r="B545" i="22"/>
  <c r="X543" i="22"/>
  <c r="F542" i="22"/>
  <c r="B541" i="22"/>
  <c r="E540" i="22"/>
  <c r="L539" i="22"/>
  <c r="N537" i="22"/>
  <c r="N536" i="22"/>
  <c r="N535" i="22"/>
  <c r="N534" i="22"/>
  <c r="N533" i="22"/>
  <c r="N532" i="22"/>
  <c r="N531" i="22"/>
  <c r="N530" i="22"/>
  <c r="N529" i="22"/>
  <c r="N528" i="22"/>
  <c r="N527" i="22"/>
  <c r="D626" i="22"/>
  <c r="F611" i="22"/>
  <c r="X604" i="22"/>
  <c r="Q601" i="22"/>
  <c r="Q596" i="22"/>
  <c r="L593" i="22"/>
  <c r="E590" i="22"/>
  <c r="A587" i="22"/>
  <c r="T583" i="22"/>
  <c r="T579" i="22"/>
  <c r="T575" i="22"/>
  <c r="S571" i="22"/>
  <c r="S567" i="22"/>
  <c r="V565" i="22"/>
  <c r="A565" i="22"/>
  <c r="E564" i="22"/>
  <c r="L563" i="22"/>
  <c r="Q562" i="22"/>
  <c r="V561" i="22"/>
  <c r="A561" i="22"/>
  <c r="E560" i="22"/>
  <c r="L559" i="22"/>
  <c r="Q558" i="22"/>
  <c r="V557" i="22"/>
  <c r="A557" i="22"/>
  <c r="E556" i="22"/>
  <c r="L555" i="22"/>
  <c r="Q554" i="22"/>
  <c r="V553" i="22"/>
  <c r="A553" i="22"/>
  <c r="E552" i="22"/>
  <c r="L551" i="22"/>
  <c r="S662" i="22"/>
  <c r="L657" i="22"/>
  <c r="N638" i="22"/>
  <c r="S646" i="22"/>
  <c r="J630" i="22"/>
  <c r="C621" i="22"/>
  <c r="N634" i="22"/>
  <c r="X624" i="22"/>
  <c r="X617" i="22"/>
  <c r="V612" i="22"/>
  <c r="T636" i="22"/>
  <c r="Q627" i="22"/>
  <c r="V623" i="22"/>
  <c r="Q620" i="22"/>
  <c r="L617" i="22"/>
  <c r="T613" i="22"/>
  <c r="H633" i="22"/>
  <c r="J616" i="22"/>
  <c r="E609" i="22"/>
  <c r="A606" i="22"/>
  <c r="O602" i="22"/>
  <c r="O597" i="22"/>
  <c r="O593" i="22"/>
  <c r="O589" i="22"/>
  <c r="O585" i="22"/>
  <c r="N581" i="22"/>
  <c r="N577" i="22"/>
  <c r="B573" i="22"/>
  <c r="X567" i="22"/>
  <c r="O622" i="22"/>
  <c r="D610" i="22"/>
  <c r="D606" i="22"/>
  <c r="H603" i="22"/>
  <c r="C602" i="22"/>
  <c r="A600" i="22"/>
  <c r="O598" i="22"/>
  <c r="H597" i="22"/>
  <c r="C596" i="22"/>
  <c r="N594" i="22"/>
  <c r="H593" i="22"/>
  <c r="C592" i="22"/>
  <c r="N590" i="22"/>
  <c r="H589" i="22"/>
  <c r="C588" i="22"/>
  <c r="N586" i="22"/>
  <c r="H585" i="22"/>
  <c r="B584" i="22"/>
  <c r="B582" i="22"/>
  <c r="F580" i="22"/>
  <c r="X578" i="22"/>
  <c r="X576" i="22"/>
  <c r="B575" i="22"/>
  <c r="V573" i="22"/>
  <c r="Q572" i="22"/>
  <c r="Q571" i="22"/>
  <c r="Q570" i="22"/>
  <c r="L569" i="22"/>
  <c r="L568" i="22"/>
  <c r="L567" i="22"/>
  <c r="V631" i="22"/>
  <c r="J626" i="22"/>
  <c r="O621" i="22"/>
  <c r="C615" i="22"/>
  <c r="H611" i="22"/>
  <c r="C610" i="22"/>
  <c r="N608" i="22"/>
  <c r="H607" i="22"/>
  <c r="C606" i="22"/>
  <c r="N604" i="22"/>
  <c r="B603" i="22"/>
  <c r="F601" i="22"/>
  <c r="S598" i="22"/>
  <c r="F597" i="22"/>
  <c r="X595" i="22"/>
  <c r="X593" i="22"/>
  <c r="B592" i="22"/>
  <c r="F590" i="22"/>
  <c r="F588" i="22"/>
  <c r="X586" i="22"/>
  <c r="B585" i="22"/>
  <c r="Q583" i="22"/>
  <c r="Q582" i="22"/>
  <c r="Q581" i="22"/>
  <c r="L580" i="22"/>
  <c r="L579" i="22"/>
  <c r="L578" i="22"/>
  <c r="E577" i="22"/>
  <c r="E576" i="22"/>
  <c r="E575" i="22"/>
  <c r="D574" i="22"/>
  <c r="D573" i="22"/>
  <c r="D572" i="22"/>
  <c r="D571" i="22"/>
  <c r="D570" i="22"/>
  <c r="D569" i="22"/>
  <c r="D568" i="22"/>
  <c r="D567" i="22"/>
  <c r="C566" i="22"/>
  <c r="T623" i="22"/>
  <c r="N611" i="22"/>
  <c r="X605" i="22"/>
  <c r="Q602" i="22"/>
  <c r="Q597" i="22"/>
  <c r="L594" i="22"/>
  <c r="E591" i="22"/>
  <c r="A588" i="22"/>
  <c r="V584" i="22"/>
  <c r="T580" i="22"/>
  <c r="T576" i="22"/>
  <c r="S572" i="22"/>
  <c r="S568" i="22"/>
  <c r="D566" i="22"/>
  <c r="X564" i="22"/>
  <c r="F563" i="22"/>
  <c r="B562" i="22"/>
  <c r="X560" i="22"/>
  <c r="F559" i="22"/>
  <c r="B558" i="22"/>
  <c r="X556" i="22"/>
  <c r="F555" i="22"/>
  <c r="B554" i="22"/>
  <c r="X552" i="22"/>
  <c r="F551" i="22"/>
  <c r="B550" i="22"/>
  <c r="X548" i="22"/>
  <c r="F547" i="22"/>
  <c r="B546" i="22"/>
  <c r="C654" i="22"/>
  <c r="O649" i="22"/>
  <c r="J664" i="22"/>
  <c r="A638" i="22"/>
  <c r="C629" i="22"/>
  <c r="B612" i="22"/>
  <c r="F628" i="22"/>
  <c r="F621" i="22"/>
  <c r="V614" i="22"/>
  <c r="O651" i="22"/>
  <c r="B630" i="22"/>
  <c r="L625" i="22"/>
  <c r="E622" i="22"/>
  <c r="A619" i="22"/>
  <c r="T615" i="22"/>
  <c r="T611" i="22"/>
  <c r="J624" i="22"/>
  <c r="V610" i="22"/>
  <c r="Q607" i="22"/>
  <c r="L604" i="22"/>
  <c r="L599" i="22"/>
  <c r="O595" i="22"/>
  <c r="O591" i="22"/>
  <c r="O587" i="22"/>
  <c r="N583" i="22"/>
  <c r="N579" i="22"/>
  <c r="N575" i="22"/>
  <c r="F570" i="22"/>
  <c r="V630" i="22"/>
  <c r="N614" i="22"/>
  <c r="D608" i="22"/>
  <c r="D604" i="22"/>
  <c r="S602" i="22"/>
  <c r="H601" i="22"/>
  <c r="J599" i="22"/>
  <c r="D598" i="22"/>
  <c r="N596" i="22"/>
  <c r="H595" i="22"/>
  <c r="C594" i="22"/>
  <c r="N592" i="22"/>
  <c r="H591" i="22"/>
  <c r="C590" i="22"/>
  <c r="N588" i="22"/>
  <c r="H587" i="22"/>
  <c r="C586" i="22"/>
  <c r="N584" i="22"/>
  <c r="B583" i="22"/>
  <c r="F581" i="22"/>
  <c r="F579" i="22"/>
  <c r="X577" i="22"/>
  <c r="B576" i="22"/>
  <c r="E574" i="22"/>
  <c r="E573" i="22"/>
  <c r="E572" i="22"/>
  <c r="A571" i="22"/>
  <c r="A570" i="22"/>
  <c r="A569" i="22"/>
  <c r="V567" i="22"/>
  <c r="F645" i="22"/>
  <c r="Q629" i="22"/>
  <c r="D623" i="22"/>
  <c r="J618" i="22"/>
  <c r="N613" i="22"/>
  <c r="N610" i="22"/>
  <c r="H609" i="22"/>
  <c r="C608" i="22"/>
  <c r="N606" i="22"/>
  <c r="H605" i="22"/>
  <c r="C604" i="22"/>
  <c r="B602" i="22"/>
  <c r="O599" i="22"/>
  <c r="H598" i="22"/>
  <c r="F596" i="22"/>
  <c r="X594" i="22"/>
  <c r="B593" i="22"/>
  <c r="B591" i="22"/>
  <c r="F589" i="22"/>
  <c r="X587" i="22"/>
  <c r="X585" i="22"/>
  <c r="E584" i="22"/>
  <c r="E583" i="22"/>
  <c r="A582" i="22"/>
  <c r="A581" i="22"/>
  <c r="A580" i="22"/>
  <c r="V578" i="22"/>
  <c r="V577" i="22"/>
  <c r="V576" i="22"/>
  <c r="Q575" i="22"/>
  <c r="Q574" i="22"/>
  <c r="O573" i="22"/>
  <c r="O572" i="22"/>
  <c r="O571" i="22"/>
  <c r="O570" i="22"/>
  <c r="O569" i="22"/>
  <c r="O568" i="22"/>
  <c r="O567" i="22"/>
  <c r="O566" i="22"/>
  <c r="F641" i="22"/>
  <c r="J617" i="22"/>
  <c r="B609" i="22"/>
  <c r="F604" i="22"/>
  <c r="A601" i="22"/>
  <c r="A596" i="22"/>
  <c r="V592" i="22"/>
  <c r="Q589" i="22"/>
  <c r="L586" i="22"/>
  <c r="J582" i="22"/>
  <c r="J578" i="22"/>
  <c r="H574" i="22"/>
  <c r="H570" i="22"/>
  <c r="A567" i="22"/>
  <c r="F565" i="22"/>
  <c r="B564" i="22"/>
  <c r="X562" i="22"/>
  <c r="F561" i="22"/>
  <c r="B560" i="22"/>
  <c r="X558" i="22"/>
  <c r="F557" i="22"/>
  <c r="B556" i="22"/>
  <c r="X554" i="22"/>
  <c r="F553" i="22"/>
  <c r="B552" i="22"/>
  <c r="X550" i="22"/>
  <c r="F549" i="22"/>
  <c r="B548" i="22"/>
  <c r="X546" i="22"/>
  <c r="F545" i="22"/>
  <c r="V639" i="22"/>
  <c r="C617" i="22"/>
  <c r="F673" i="22"/>
  <c r="V619" i="22"/>
  <c r="H612" i="22"/>
  <c r="O596" i="22"/>
  <c r="N580" i="22"/>
  <c r="O618" i="22"/>
  <c r="S601" i="22"/>
  <c r="N595" i="22"/>
  <c r="H590" i="22"/>
  <c r="C585" i="22"/>
  <c r="B578" i="22"/>
  <c r="L572" i="22"/>
  <c r="E568" i="22"/>
  <c r="D619" i="22"/>
  <c r="H608" i="22"/>
  <c r="X602" i="22"/>
  <c r="B595" i="22"/>
  <c r="B588" i="22"/>
  <c r="L582" i="22"/>
  <c r="A578" i="22"/>
  <c r="T573" i="22"/>
  <c r="T569" i="22"/>
  <c r="D664" i="22"/>
  <c r="V601" i="22"/>
  <c r="E587" i="22"/>
  <c r="C571" i="22"/>
  <c r="B563" i="22"/>
  <c r="X557" i="22"/>
  <c r="F552" i="22"/>
  <c r="B547" i="22"/>
  <c r="B544" i="22"/>
  <c r="B542" i="22"/>
  <c r="Q540" i="22"/>
  <c r="Q539" i="22"/>
  <c r="H537" i="22"/>
  <c r="C536" i="22"/>
  <c r="S534" i="22"/>
  <c r="H533" i="22"/>
  <c r="C532" i="22"/>
  <c r="S530" i="22"/>
  <c r="H529" i="22"/>
  <c r="C528" i="22"/>
  <c r="J629" i="22"/>
  <c r="X608" i="22"/>
  <c r="E603" i="22"/>
  <c r="L597" i="22"/>
  <c r="Q592" i="22"/>
  <c r="Q588" i="22"/>
  <c r="Q584" i="22"/>
  <c r="D578" i="22"/>
  <c r="H573" i="22"/>
  <c r="N568" i="22"/>
  <c r="Q565" i="22"/>
  <c r="Q564" i="22"/>
  <c r="Q563" i="22"/>
  <c r="L562" i="22"/>
  <c r="L561" i="22"/>
  <c r="L560" i="22"/>
  <c r="E559" i="22"/>
  <c r="E558" i="22"/>
  <c r="E557" i="22"/>
  <c r="A556" i="22"/>
  <c r="A555" i="22"/>
  <c r="A554" i="22"/>
  <c r="V552" i="22"/>
  <c r="V551" i="22"/>
  <c r="V550" i="22"/>
  <c r="A550" i="22"/>
  <c r="E549" i="22"/>
  <c r="L548" i="22"/>
  <c r="Q547" i="22"/>
  <c r="V546" i="22"/>
  <c r="A546" i="22"/>
  <c r="E545" i="22"/>
  <c r="L544" i="22"/>
  <c r="Q543" i="22"/>
  <c r="V542" i="22"/>
  <c r="A542" i="22"/>
  <c r="E541" i="22"/>
  <c r="J540" i="22"/>
  <c r="J539" i="22"/>
  <c r="B537" i="22"/>
  <c r="X535" i="22"/>
  <c r="F534" i="22"/>
  <c r="B533" i="22"/>
  <c r="X531" i="22"/>
  <c r="F530" i="22"/>
  <c r="B529" i="22"/>
  <c r="X527" i="22"/>
  <c r="D622" i="22"/>
  <c r="F610" i="22"/>
  <c r="X603" i="22"/>
  <c r="S599" i="22"/>
  <c r="L596" i="22"/>
  <c r="E593" i="22"/>
  <c r="A590" i="22"/>
  <c r="V586" i="22"/>
  <c r="O583" i="22"/>
  <c r="O579" i="22"/>
  <c r="O575" i="22"/>
  <c r="N571" i="22"/>
  <c r="N567" i="22"/>
  <c r="F566" i="22"/>
  <c r="J565" i="22"/>
  <c r="J564" i="22"/>
  <c r="J563" i="22"/>
  <c r="J562" i="22"/>
  <c r="J561" i="22"/>
  <c r="J560" i="22"/>
  <c r="J559" i="22"/>
  <c r="J558" i="22"/>
  <c r="J557" i="22"/>
  <c r="J556" i="22"/>
  <c r="J555" i="22"/>
  <c r="J554" i="22"/>
  <c r="J553" i="22"/>
  <c r="J552" i="22"/>
  <c r="J551" i="22"/>
  <c r="J550" i="22"/>
  <c r="J549" i="22"/>
  <c r="J548" i="22"/>
  <c r="J547" i="22"/>
  <c r="J546" i="22"/>
  <c r="J545" i="22"/>
  <c r="J544" i="22"/>
  <c r="J543" i="22"/>
  <c r="J542" i="22"/>
  <c r="J541" i="22"/>
  <c r="H540" i="22"/>
  <c r="H539" i="22"/>
  <c r="Q537" i="22"/>
  <c r="V536" i="22"/>
  <c r="A536" i="22"/>
  <c r="E535" i="22"/>
  <c r="L534" i="22"/>
  <c r="Q533" i="22"/>
  <c r="V532" i="22"/>
  <c r="A532" i="22"/>
  <c r="E531" i="22"/>
  <c r="L530" i="22"/>
  <c r="Q529" i="22"/>
  <c r="V528" i="22"/>
  <c r="A528" i="22"/>
  <c r="E527" i="22"/>
  <c r="L526" i="22"/>
  <c r="A597" i="22"/>
  <c r="D584" i="22"/>
  <c r="C568" i="22"/>
  <c r="C563" i="22"/>
  <c r="C559" i="22"/>
  <c r="C555" i="22"/>
  <c r="C551" i="22"/>
  <c r="C547" i="22"/>
  <c r="C543" i="22"/>
  <c r="X539" i="22"/>
  <c r="T535" i="22"/>
  <c r="T531" i="22"/>
  <c r="T527" i="22"/>
  <c r="O526" i="22"/>
  <c r="N525" i="22"/>
  <c r="N524" i="22"/>
  <c r="N523" i="22"/>
  <c r="N522" i="22"/>
  <c r="N521" i="22"/>
  <c r="N520" i="22"/>
  <c r="N519" i="22"/>
  <c r="N518" i="22"/>
  <c r="N517" i="22"/>
  <c r="N516" i="22"/>
  <c r="N515" i="22"/>
  <c r="N514" i="22"/>
  <c r="N513" i="22"/>
  <c r="N512" i="22"/>
  <c r="N511" i="22"/>
  <c r="N510" i="22"/>
  <c r="N509" i="22"/>
  <c r="N508" i="22"/>
  <c r="N507" i="22"/>
  <c r="N506" i="22"/>
  <c r="N505" i="22"/>
  <c r="N504" i="22"/>
  <c r="N503" i="22"/>
  <c r="N502" i="22"/>
  <c r="N501" i="22"/>
  <c r="N500" i="22"/>
  <c r="N499" i="22"/>
  <c r="N498" i="22"/>
  <c r="N497" i="22"/>
  <c r="N496" i="22"/>
  <c r="N495" i="22"/>
  <c r="N494" i="22"/>
  <c r="N493" i="22"/>
  <c r="N492" i="22"/>
  <c r="N491" i="22"/>
  <c r="N490" i="22"/>
  <c r="N489" i="22"/>
  <c r="L631" i="22"/>
  <c r="N599" i="22"/>
  <c r="Q586" i="22"/>
  <c r="N570" i="22"/>
  <c r="N564" i="22"/>
  <c r="N560" i="22"/>
  <c r="N556" i="22"/>
  <c r="N552" i="22"/>
  <c r="N548" i="22"/>
  <c r="N544" i="22"/>
  <c r="D537" i="22"/>
  <c r="D533" i="22"/>
  <c r="D529" i="22"/>
  <c r="T526" i="22"/>
  <c r="X525" i="22"/>
  <c r="F524" i="22"/>
  <c r="B523" i="22"/>
  <c r="X521" i="22"/>
  <c r="F520" i="22"/>
  <c r="B519" i="22"/>
  <c r="X517" i="22"/>
  <c r="F516" i="22"/>
  <c r="B515" i="22"/>
  <c r="X513" i="22"/>
  <c r="F512" i="22"/>
  <c r="B511" i="22"/>
  <c r="X509" i="22"/>
  <c r="F508" i="22"/>
  <c r="B507" i="22"/>
  <c r="X505" i="22"/>
  <c r="F504" i="22"/>
  <c r="B503" i="22"/>
  <c r="X501" i="22"/>
  <c r="F500" i="22"/>
  <c r="B499" i="22"/>
  <c r="X497" i="22"/>
  <c r="F496" i="22"/>
  <c r="B495" i="22"/>
  <c r="X493" i="22"/>
  <c r="F492" i="22"/>
  <c r="B491" i="22"/>
  <c r="X489" i="22"/>
  <c r="F609" i="22"/>
  <c r="E592" i="22"/>
  <c r="J579" i="22"/>
  <c r="C565" i="22"/>
  <c r="C561" i="22"/>
  <c r="C557" i="22"/>
  <c r="C553" i="22"/>
  <c r="C549" i="22"/>
  <c r="C545" i="22"/>
  <c r="C541" i="22"/>
  <c r="J535" i="22"/>
  <c r="J531" i="22"/>
  <c r="O527" i="22"/>
  <c r="A526" i="22"/>
  <c r="E525" i="22"/>
  <c r="A633" i="22"/>
  <c r="C630" i="22"/>
  <c r="N631" i="22"/>
  <c r="Q616" i="22"/>
  <c r="L608" i="22"/>
  <c r="O592" i="22"/>
  <c r="N576" i="22"/>
  <c r="D609" i="22"/>
  <c r="Q599" i="22"/>
  <c r="H594" i="22"/>
  <c r="C589" i="22"/>
  <c r="F583" i="22"/>
  <c r="F576" i="22"/>
  <c r="L571" i="22"/>
  <c r="Q653" i="22"/>
  <c r="H614" i="22"/>
  <c r="C607" i="22"/>
  <c r="T599" i="22"/>
  <c r="F593" i="22"/>
  <c r="F586" i="22"/>
  <c r="E581" i="22"/>
  <c r="A577" i="22"/>
  <c r="T572" i="22"/>
  <c r="T568" i="22"/>
  <c r="O620" i="22"/>
  <c r="V596" i="22"/>
  <c r="D583" i="22"/>
  <c r="F567" i="22"/>
  <c r="X561" i="22"/>
  <c r="F556" i="22"/>
  <c r="B551" i="22"/>
  <c r="X545" i="22"/>
  <c r="F543" i="22"/>
  <c r="X541" i="22"/>
  <c r="L540" i="22"/>
  <c r="E539" i="22"/>
  <c r="C537" i="22"/>
  <c r="S535" i="22"/>
  <c r="H534" i="22"/>
  <c r="C533" i="22"/>
  <c r="S531" i="22"/>
  <c r="H530" i="22"/>
  <c r="C529" i="22"/>
  <c r="S527" i="22"/>
  <c r="T619" i="22"/>
  <c r="B608" i="22"/>
  <c r="L602" i="22"/>
  <c r="V595" i="22"/>
  <c r="V591" i="22"/>
  <c r="V587" i="22"/>
  <c r="D582" i="22"/>
  <c r="J577" i="22"/>
  <c r="N572" i="22"/>
  <c r="E567" i="22"/>
  <c r="L565" i="22"/>
  <c r="L564" i="22"/>
  <c r="E563" i="22"/>
  <c r="E562" i="22"/>
  <c r="E561" i="22"/>
  <c r="A560" i="22"/>
  <c r="A559" i="22"/>
  <c r="A558" i="22"/>
  <c r="V556" i="22"/>
  <c r="V555" i="22"/>
  <c r="V554" i="22"/>
  <c r="Q553" i="22"/>
  <c r="Q552" i="22"/>
  <c r="Q551" i="22"/>
  <c r="Q550" i="22"/>
  <c r="V549" i="22"/>
  <c r="A549" i="22"/>
  <c r="E548" i="22"/>
  <c r="L547" i="22"/>
  <c r="Q546" i="22"/>
  <c r="V545" i="22"/>
  <c r="A545" i="22"/>
  <c r="E544" i="22"/>
  <c r="L543" i="22"/>
  <c r="Q542" i="22"/>
  <c r="V541" i="22"/>
  <c r="A541" i="22"/>
  <c r="D540" i="22"/>
  <c r="D539" i="22"/>
  <c r="X536" i="22"/>
  <c r="F535" i="22"/>
  <c r="B534" i="22"/>
  <c r="X532" i="22"/>
  <c r="F531" i="22"/>
  <c r="B530" i="22"/>
  <c r="X528" i="22"/>
  <c r="C634" i="22"/>
  <c r="S615" i="22"/>
  <c r="X607" i="22"/>
  <c r="A603" i="22"/>
  <c r="X598" i="22"/>
  <c r="Q595" i="22"/>
  <c r="L592" i="22"/>
  <c r="E589" i="22"/>
  <c r="A586" i="22"/>
  <c r="T582" i="22"/>
  <c r="T578" i="22"/>
  <c r="T574" i="22"/>
  <c r="S570" i="22"/>
  <c r="C567" i="22"/>
  <c r="A566" i="22"/>
  <c r="D565" i="22"/>
  <c r="D564" i="22"/>
  <c r="D563" i="22"/>
  <c r="D562" i="22"/>
  <c r="D561" i="22"/>
  <c r="D560" i="22"/>
  <c r="D559" i="22"/>
  <c r="D558" i="22"/>
  <c r="D557" i="22"/>
  <c r="D556" i="22"/>
  <c r="D555" i="22"/>
  <c r="D554" i="22"/>
  <c r="D553" i="22"/>
  <c r="D552" i="22"/>
  <c r="D551" i="22"/>
  <c r="D550" i="22"/>
  <c r="D549" i="22"/>
  <c r="D548" i="22"/>
  <c r="D547" i="22"/>
  <c r="D546" i="22"/>
  <c r="D545" i="22"/>
  <c r="D544" i="22"/>
  <c r="D543" i="22"/>
  <c r="D542" i="22"/>
  <c r="D541" i="22"/>
  <c r="C540" i="22"/>
  <c r="C539" i="22"/>
  <c r="L537" i="22"/>
  <c r="Q536" i="22"/>
  <c r="V535" i="22"/>
  <c r="A535" i="22"/>
  <c r="E534" i="22"/>
  <c r="L533" i="22"/>
  <c r="Q532" i="22"/>
  <c r="V531" i="22"/>
  <c r="A531" i="22"/>
  <c r="E530" i="22"/>
  <c r="L529" i="22"/>
  <c r="Q528" i="22"/>
  <c r="V527" i="22"/>
  <c r="A527" i="22"/>
  <c r="J621" i="22"/>
  <c r="V593" i="22"/>
  <c r="T577" i="22"/>
  <c r="N566" i="22"/>
  <c r="H562" i="22"/>
  <c r="H558" i="22"/>
  <c r="H554" i="22"/>
  <c r="H550" i="22"/>
  <c r="H546" i="22"/>
  <c r="H542" i="22"/>
  <c r="B539" i="22"/>
  <c r="D534" i="22"/>
  <c r="D530" i="22"/>
  <c r="J527" i="22"/>
  <c r="H526" i="22"/>
  <c r="H525" i="22"/>
  <c r="H524" i="22"/>
  <c r="H523" i="22"/>
  <c r="H522" i="22"/>
  <c r="H521" i="22"/>
  <c r="H520" i="22"/>
  <c r="H519" i="22"/>
  <c r="H518" i="22"/>
  <c r="H517" i="22"/>
  <c r="H516" i="22"/>
  <c r="H515" i="22"/>
  <c r="H514" i="22"/>
  <c r="H513" i="22"/>
  <c r="H512" i="22"/>
  <c r="H511" i="22"/>
  <c r="H510" i="22"/>
  <c r="H509" i="22"/>
  <c r="H508" i="22"/>
  <c r="H507" i="22"/>
  <c r="H506" i="22"/>
  <c r="H505" i="22"/>
  <c r="H504" i="22"/>
  <c r="H503" i="22"/>
  <c r="H502" i="22"/>
  <c r="H501" i="22"/>
  <c r="H500" i="22"/>
  <c r="H499" i="22"/>
  <c r="H498" i="22"/>
  <c r="H497" i="22"/>
  <c r="H496" i="22"/>
  <c r="H495" i="22"/>
  <c r="H494" i="22"/>
  <c r="H493" i="22"/>
  <c r="H492" i="22"/>
  <c r="H491" i="22"/>
  <c r="H490" i="22"/>
  <c r="Q673" i="22"/>
  <c r="B641" i="22"/>
  <c r="B616" i="22"/>
  <c r="A623" i="22"/>
  <c r="J628" i="22"/>
  <c r="O601" i="22"/>
  <c r="O584" i="22"/>
  <c r="B646" i="22"/>
  <c r="C603" i="22"/>
  <c r="C597" i="22"/>
  <c r="N591" i="22"/>
  <c r="H586" i="22"/>
  <c r="B580" i="22"/>
  <c r="L573" i="22"/>
  <c r="E569" i="22"/>
  <c r="O625" i="22"/>
  <c r="N609" i="22"/>
  <c r="H604" i="22"/>
  <c r="B597" i="22"/>
  <c r="X589" i="22"/>
  <c r="L583" i="22"/>
  <c r="E579" i="22"/>
  <c r="V574" i="22"/>
  <c r="T570" i="22"/>
  <c r="T566" i="22"/>
  <c r="B605" i="22"/>
  <c r="L590" i="22"/>
  <c r="D575" i="22"/>
  <c r="F564" i="22"/>
  <c r="B559" i="22"/>
  <c r="X553" i="22"/>
  <c r="F548" i="22"/>
  <c r="F544" i="22"/>
  <c r="X542" i="22"/>
  <c r="X540" i="22"/>
  <c r="V539" i="22"/>
  <c r="S537" i="22"/>
  <c r="H536" i="22"/>
  <c r="C535" i="22"/>
  <c r="S533" i="22"/>
  <c r="H532" i="22"/>
  <c r="C531" i="22"/>
  <c r="S529" i="22"/>
  <c r="H528" i="22"/>
  <c r="J637" i="22"/>
  <c r="H613" i="22"/>
  <c r="B604" i="22"/>
  <c r="F598" i="22"/>
  <c r="E594" i="22"/>
  <c r="L589" i="22"/>
  <c r="L585" i="22"/>
  <c r="O580" i="22"/>
  <c r="C574" i="22"/>
  <c r="H569" i="22"/>
  <c r="B566" i="22"/>
  <c r="V564" i="22"/>
  <c r="V563" i="22"/>
  <c r="V562" i="22"/>
  <c r="Q561" i="22"/>
  <c r="Q560" i="22"/>
  <c r="Q559" i="22"/>
  <c r="L558" i="22"/>
  <c r="L557" i="22"/>
  <c r="L556" i="22"/>
  <c r="E555" i="22"/>
  <c r="E554" i="22"/>
  <c r="E553" i="22"/>
  <c r="A552" i="22"/>
  <c r="A551" i="22"/>
  <c r="E550" i="22"/>
  <c r="L549" i="22"/>
  <c r="Q548" i="22"/>
  <c r="V547" i="22"/>
  <c r="A547" i="22"/>
  <c r="E546" i="22"/>
  <c r="L545" i="22"/>
  <c r="Q544" i="22"/>
  <c r="V543" i="22"/>
  <c r="A543" i="22"/>
  <c r="E542" i="22"/>
  <c r="L541" i="22"/>
  <c r="O540" i="22"/>
  <c r="O539" i="22"/>
  <c r="F537" i="22"/>
  <c r="B536" i="22"/>
  <c r="X534" i="22"/>
  <c r="F533" i="22"/>
  <c r="B532" i="22"/>
  <c r="X530" i="22"/>
  <c r="F529" i="22"/>
  <c r="B528" i="22"/>
  <c r="J625" i="22"/>
  <c r="B611" i="22"/>
  <c r="F606" i="22"/>
  <c r="L601" i="22"/>
  <c r="E597" i="22"/>
  <c r="A594" i="22"/>
  <c r="V590" i="22"/>
  <c r="Q587" i="22"/>
  <c r="J584" i="22"/>
  <c r="J580" i="22"/>
  <c r="J576" i="22"/>
  <c r="H572" i="22"/>
  <c r="H568" i="22"/>
  <c r="Q566" i="22"/>
  <c r="O565" i="22"/>
  <c r="O564" i="22"/>
  <c r="O563" i="22"/>
  <c r="O562" i="22"/>
  <c r="O561" i="22"/>
  <c r="O560" i="22"/>
  <c r="O559" i="22"/>
  <c r="O558" i="22"/>
  <c r="O557" i="22"/>
  <c r="O556" i="22"/>
  <c r="O555" i="22"/>
  <c r="O554" i="22"/>
  <c r="O553" i="22"/>
  <c r="O552" i="22"/>
  <c r="O551" i="22"/>
  <c r="O550" i="22"/>
  <c r="O549" i="22"/>
  <c r="O548" i="22"/>
  <c r="O547" i="22"/>
  <c r="O546" i="22"/>
  <c r="O545" i="22"/>
  <c r="O544" i="22"/>
  <c r="O543" i="22"/>
  <c r="O542" i="22"/>
  <c r="O541" i="22"/>
  <c r="N540" i="22"/>
  <c r="N539" i="22"/>
  <c r="V537" i="22"/>
  <c r="A537" i="22"/>
  <c r="E536" i="22"/>
  <c r="L535" i="22"/>
  <c r="Q534" i="22"/>
  <c r="V533" i="22"/>
  <c r="A533" i="22"/>
  <c r="E532" i="22"/>
  <c r="L531" i="22"/>
  <c r="Q530" i="22"/>
  <c r="V529" i="22"/>
  <c r="A529" i="22"/>
  <c r="E528" i="22"/>
  <c r="L527" i="22"/>
  <c r="Q526" i="22"/>
  <c r="E601" i="22"/>
  <c r="L587" i="22"/>
  <c r="H571" i="22"/>
  <c r="S564" i="22"/>
  <c r="S560" i="22"/>
  <c r="S556" i="22"/>
  <c r="S552" i="22"/>
  <c r="S548" i="22"/>
  <c r="S544" i="22"/>
  <c r="S540" i="22"/>
  <c r="O536" i="22"/>
  <c r="O532" i="22"/>
  <c r="O528" i="22"/>
  <c r="X526" i="22"/>
  <c r="S525" i="22"/>
  <c r="S524" i="22"/>
  <c r="S523" i="22"/>
  <c r="S522" i="22"/>
  <c r="S521" i="22"/>
  <c r="S520" i="22"/>
  <c r="S519" i="22"/>
  <c r="S518" i="22"/>
  <c r="S517" i="22"/>
  <c r="S516" i="22"/>
  <c r="S515" i="22"/>
  <c r="S514" i="22"/>
  <c r="S513" i="22"/>
  <c r="S512" i="22"/>
  <c r="S511" i="22"/>
  <c r="S510" i="22"/>
  <c r="S509" i="22"/>
  <c r="S508" i="22"/>
  <c r="S507" i="22"/>
  <c r="S506" i="22"/>
  <c r="S505" i="22"/>
  <c r="S504" i="22"/>
  <c r="S503" i="22"/>
  <c r="S502" i="22"/>
  <c r="S501" i="22"/>
  <c r="S500" i="22"/>
  <c r="S499" i="22"/>
  <c r="S498" i="22"/>
  <c r="S497" i="22"/>
  <c r="S496" i="22"/>
  <c r="S495" i="22"/>
  <c r="S494" i="22"/>
  <c r="S493" i="22"/>
  <c r="S492" i="22"/>
  <c r="S491" i="22"/>
  <c r="S490" i="22"/>
  <c r="T612" i="22"/>
  <c r="D605" i="22"/>
  <c r="X581" i="22"/>
  <c r="C611" i="22"/>
  <c r="L584" i="22"/>
  <c r="T567" i="22"/>
  <c r="X565" i="22"/>
  <c r="X544" i="22"/>
  <c r="A539" i="22"/>
  <c r="S532" i="22"/>
  <c r="D651" i="22"/>
  <c r="A595" i="22"/>
  <c r="O576" i="22"/>
  <c r="A564" i="22"/>
  <c r="V559" i="22"/>
  <c r="Q555" i="22"/>
  <c r="E551" i="22"/>
  <c r="A548" i="22"/>
  <c r="V544" i="22"/>
  <c r="Q541" i="22"/>
  <c r="F536" i="22"/>
  <c r="B531" i="22"/>
  <c r="N612" i="22"/>
  <c r="V594" i="22"/>
  <c r="D581" i="22"/>
  <c r="X566" i="22"/>
  <c r="T562" i="22"/>
  <c r="T558" i="22"/>
  <c r="T554" i="22"/>
  <c r="T550" i="22"/>
  <c r="T546" i="22"/>
  <c r="T542" i="22"/>
  <c r="A538" i="22"/>
  <c r="V534" i="22"/>
  <c r="Q531" i="22"/>
  <c r="L528" i="22"/>
  <c r="Q590" i="22"/>
  <c r="N557" i="22"/>
  <c r="N541" i="22"/>
  <c r="C527" i="22"/>
  <c r="C523" i="22"/>
  <c r="C519" i="22"/>
  <c r="C515" i="22"/>
  <c r="C511" i="22"/>
  <c r="C507" i="22"/>
  <c r="C503" i="22"/>
  <c r="C499" i="22"/>
  <c r="C495" i="22"/>
  <c r="C491" i="22"/>
  <c r="C489" i="22"/>
  <c r="X606" i="22"/>
  <c r="J583" i="22"/>
  <c r="E566" i="22"/>
  <c r="H561" i="22"/>
  <c r="S555" i="22"/>
  <c r="C550" i="22"/>
  <c r="H545" i="22"/>
  <c r="J536" i="22"/>
  <c r="O531" i="22"/>
  <c r="B527" i="22"/>
  <c r="F525" i="22"/>
  <c r="X523" i="22"/>
  <c r="B522" i="22"/>
  <c r="B520" i="22"/>
  <c r="F518" i="22"/>
  <c r="X516" i="22"/>
  <c r="X514" i="22"/>
  <c r="B513" i="22"/>
  <c r="F511" i="22"/>
  <c r="F509" i="22"/>
  <c r="X507" i="22"/>
  <c r="B506" i="22"/>
  <c r="B504" i="22"/>
  <c r="F502" i="22"/>
  <c r="X500" i="22"/>
  <c r="X498" i="22"/>
  <c r="B497" i="22"/>
  <c r="F495" i="22"/>
  <c r="F493" i="22"/>
  <c r="X491" i="22"/>
  <c r="B490" i="22"/>
  <c r="B606" i="22"/>
  <c r="V585" i="22"/>
  <c r="B567" i="22"/>
  <c r="H560" i="22"/>
  <c r="N555" i="22"/>
  <c r="S550" i="22"/>
  <c r="H544" i="22"/>
  <c r="T537" i="22"/>
  <c r="D532" i="22"/>
  <c r="F527" i="22"/>
  <c r="Q525" i="22"/>
  <c r="Q524" i="22"/>
  <c r="V523" i="22"/>
  <c r="A523" i="22"/>
  <c r="E522" i="22"/>
  <c r="L521" i="22"/>
  <c r="Q520" i="22"/>
  <c r="V519" i="22"/>
  <c r="A519" i="22"/>
  <c r="E518" i="22"/>
  <c r="L517" i="22"/>
  <c r="Q516" i="22"/>
  <c r="V515" i="22"/>
  <c r="A515" i="22"/>
  <c r="E514" i="22"/>
  <c r="L513" i="22"/>
  <c r="Q512" i="22"/>
  <c r="V511" i="22"/>
  <c r="A511" i="22"/>
  <c r="E510" i="22"/>
  <c r="L509" i="22"/>
  <c r="Q508" i="22"/>
  <c r="V507" i="22"/>
  <c r="A507" i="22"/>
  <c r="E506" i="22"/>
  <c r="L505" i="22"/>
  <c r="Q504" i="22"/>
  <c r="V503" i="22"/>
  <c r="A503" i="22"/>
  <c r="E502" i="22"/>
  <c r="L501" i="22"/>
  <c r="Q500" i="22"/>
  <c r="V499" i="22"/>
  <c r="A499" i="22"/>
  <c r="E498" i="22"/>
  <c r="L497" i="22"/>
  <c r="Q496" i="22"/>
  <c r="V495" i="22"/>
  <c r="A495" i="22"/>
  <c r="E494" i="22"/>
  <c r="L493" i="22"/>
  <c r="Q492" i="22"/>
  <c r="V491" i="22"/>
  <c r="A491" i="22"/>
  <c r="E490" i="22"/>
  <c r="L489" i="22"/>
  <c r="Q488" i="22"/>
  <c r="J575" i="22"/>
  <c r="C556" i="22"/>
  <c r="B540" i="22"/>
  <c r="D526" i="22"/>
  <c r="D522" i="22"/>
  <c r="D518" i="22"/>
  <c r="D514" i="22"/>
  <c r="D510" i="22"/>
  <c r="D506" i="22"/>
  <c r="D502" i="22"/>
  <c r="D498" i="22"/>
  <c r="D494" i="22"/>
  <c r="D490" i="22"/>
  <c r="B488" i="22"/>
  <c r="X486" i="22"/>
  <c r="F485" i="22"/>
  <c r="B484" i="22"/>
  <c r="X482" i="22"/>
  <c r="F481" i="22"/>
  <c r="B480" i="22"/>
  <c r="X478" i="22"/>
  <c r="F477" i="22"/>
  <c r="B476" i="22"/>
  <c r="X474" i="22"/>
  <c r="F473" i="22"/>
  <c r="B472" i="22"/>
  <c r="X470" i="22"/>
  <c r="F469" i="22"/>
  <c r="B468" i="22"/>
  <c r="X466" i="22"/>
  <c r="F465" i="22"/>
  <c r="B464" i="22"/>
  <c r="J462" i="22"/>
  <c r="J461" i="22"/>
  <c r="J460" i="22"/>
  <c r="J459" i="22"/>
  <c r="J458" i="22"/>
  <c r="J457" i="22"/>
  <c r="J456" i="22"/>
  <c r="J455" i="22"/>
  <c r="J454" i="22"/>
  <c r="J453" i="22"/>
  <c r="J452" i="22"/>
  <c r="J451" i="22"/>
  <c r="J450" i="22"/>
  <c r="J449" i="22"/>
  <c r="J448" i="22"/>
  <c r="J447" i="22"/>
  <c r="J446" i="22"/>
  <c r="J445" i="22"/>
  <c r="J444" i="22"/>
  <c r="J443" i="22"/>
  <c r="J442" i="22"/>
  <c r="J441" i="22"/>
  <c r="J440" i="22"/>
  <c r="J439" i="22"/>
  <c r="J438" i="22"/>
  <c r="J437" i="22"/>
  <c r="J436" i="22"/>
  <c r="J435" i="22"/>
  <c r="J434" i="22"/>
  <c r="J433" i="22"/>
  <c r="J432" i="22"/>
  <c r="J431" i="22"/>
  <c r="J430" i="22"/>
  <c r="J429" i="22"/>
  <c r="J428" i="22"/>
  <c r="J427" i="22"/>
  <c r="J426" i="22"/>
  <c r="J425" i="22"/>
  <c r="J424" i="22"/>
  <c r="J423" i="22"/>
  <c r="J422" i="22"/>
  <c r="J421" i="22"/>
  <c r="J420" i="22"/>
  <c r="J419" i="22"/>
  <c r="J418" i="22"/>
  <c r="J417" i="22"/>
  <c r="J416" i="22"/>
  <c r="J415" i="22"/>
  <c r="J414" i="22"/>
  <c r="J413" i="22"/>
  <c r="J412" i="22"/>
  <c r="J411" i="22"/>
  <c r="J410" i="22"/>
  <c r="J409" i="22"/>
  <c r="J408" i="22"/>
  <c r="J407" i="22"/>
  <c r="J406" i="22"/>
  <c r="J405" i="22"/>
  <c r="J404" i="22"/>
  <c r="J403" i="22"/>
  <c r="J402" i="22"/>
  <c r="J401" i="22"/>
  <c r="J400" i="22"/>
  <c r="J399" i="22"/>
  <c r="C572" i="22"/>
  <c r="C552" i="22"/>
  <c r="D535" i="22"/>
  <c r="O523" i="22"/>
  <c r="O519" i="22"/>
  <c r="O515" i="22"/>
  <c r="O511" i="22"/>
  <c r="O507" i="22"/>
  <c r="O503" i="22"/>
  <c r="O499" i="22"/>
  <c r="O495" i="22"/>
  <c r="O491" i="22"/>
  <c r="E488" i="22"/>
  <c r="L487" i="22"/>
  <c r="Q486" i="22"/>
  <c r="V485" i="22"/>
  <c r="A485" i="22"/>
  <c r="E484" i="22"/>
  <c r="L483" i="22"/>
  <c r="Q482" i="22"/>
  <c r="V481" i="22"/>
  <c r="A481" i="22"/>
  <c r="E480" i="22"/>
  <c r="L479" i="22"/>
  <c r="Q478" i="22"/>
  <c r="V477" i="22"/>
  <c r="A477" i="22"/>
  <c r="E476" i="22"/>
  <c r="L475" i="22"/>
  <c r="Q474" i="22"/>
  <c r="V473" i="22"/>
  <c r="A473" i="22"/>
  <c r="E472" i="22"/>
  <c r="L471" i="22"/>
  <c r="Q470" i="22"/>
  <c r="V469" i="22"/>
  <c r="A469" i="22"/>
  <c r="E468" i="22"/>
  <c r="L467" i="22"/>
  <c r="Q466" i="22"/>
  <c r="V465" i="22"/>
  <c r="A465" i="22"/>
  <c r="E464" i="22"/>
  <c r="D463" i="22"/>
  <c r="C462" i="22"/>
  <c r="C461" i="22"/>
  <c r="C460" i="22"/>
  <c r="C459" i="22"/>
  <c r="C458" i="22"/>
  <c r="C457" i="22"/>
  <c r="C456" i="22"/>
  <c r="C455" i="22"/>
  <c r="C454" i="22"/>
  <c r="C453" i="22"/>
  <c r="C452" i="22"/>
  <c r="C451" i="22"/>
  <c r="C450" i="22"/>
  <c r="C449" i="22"/>
  <c r="C448" i="22"/>
  <c r="C447" i="22"/>
  <c r="C446" i="22"/>
  <c r="C445" i="22"/>
  <c r="C444" i="22"/>
  <c r="C443" i="22"/>
  <c r="C442" i="22"/>
  <c r="C441" i="22"/>
  <c r="C440" i="22"/>
  <c r="C439" i="22"/>
  <c r="C438" i="22"/>
  <c r="C437" i="22"/>
  <c r="C436" i="22"/>
  <c r="C435" i="22"/>
  <c r="C434" i="22"/>
  <c r="C433" i="22"/>
  <c r="C432" i="22"/>
  <c r="C431" i="22"/>
  <c r="C430" i="22"/>
  <c r="C429" i="22"/>
  <c r="C428" i="22"/>
  <c r="C427" i="22"/>
  <c r="C426" i="22"/>
  <c r="C425" i="22"/>
  <c r="C424" i="22"/>
  <c r="C423" i="22"/>
  <c r="C422" i="22"/>
  <c r="C421" i="22"/>
  <c r="C420" i="22"/>
  <c r="C419" i="22"/>
  <c r="C418" i="22"/>
  <c r="C417" i="22"/>
  <c r="C416" i="22"/>
  <c r="C415" i="22"/>
  <c r="C414" i="22"/>
  <c r="C413" i="22"/>
  <c r="S642" i="22"/>
  <c r="E605" i="22"/>
  <c r="J598" i="22"/>
  <c r="X574" i="22"/>
  <c r="N605" i="22"/>
  <c r="E580" i="22"/>
  <c r="X609" i="22"/>
  <c r="F560" i="22"/>
  <c r="B543" i="22"/>
  <c r="S536" i="22"/>
  <c r="H531" i="22"/>
  <c r="O616" i="22"/>
  <c r="A591" i="22"/>
  <c r="C570" i="22"/>
  <c r="A563" i="22"/>
  <c r="V558" i="22"/>
  <c r="L554" i="22"/>
  <c r="L550" i="22"/>
  <c r="E547" i="22"/>
  <c r="A544" i="22"/>
  <c r="V540" i="22"/>
  <c r="B535" i="22"/>
  <c r="X529" i="22"/>
  <c r="B607" i="22"/>
  <c r="Q591" i="22"/>
  <c r="D577" i="22"/>
  <c r="T565" i="22"/>
  <c r="T561" i="22"/>
  <c r="T557" i="22"/>
  <c r="T553" i="22"/>
  <c r="T549" i="22"/>
  <c r="T545" i="22"/>
  <c r="T541" i="22"/>
  <c r="E537" i="22"/>
  <c r="A534" i="22"/>
  <c r="V530" i="22"/>
  <c r="Q527" i="22"/>
  <c r="O574" i="22"/>
  <c r="N553" i="22"/>
  <c r="J537" i="22"/>
  <c r="C526" i="22"/>
  <c r="C522" i="22"/>
  <c r="C518" i="22"/>
  <c r="C514" i="22"/>
  <c r="C510" i="22"/>
  <c r="C506" i="22"/>
  <c r="C502" i="22"/>
  <c r="C498" i="22"/>
  <c r="C494" i="22"/>
  <c r="C490" i="22"/>
  <c r="S488" i="22"/>
  <c r="E596" i="22"/>
  <c r="D580" i="22"/>
  <c r="H565" i="22"/>
  <c r="S559" i="22"/>
  <c r="C554" i="22"/>
  <c r="H549" i="22"/>
  <c r="S543" i="22"/>
  <c r="O535" i="22"/>
  <c r="T530" i="22"/>
  <c r="N526" i="22"/>
  <c r="B525" i="22"/>
  <c r="F523" i="22"/>
  <c r="F521" i="22"/>
  <c r="X519" i="22"/>
  <c r="B518" i="22"/>
  <c r="B516" i="22"/>
  <c r="F514" i="22"/>
  <c r="X512" i="22"/>
  <c r="X510" i="22"/>
  <c r="B509" i="22"/>
  <c r="F507" i="22"/>
  <c r="F505" i="22"/>
  <c r="X503" i="22"/>
  <c r="B502" i="22"/>
  <c r="B500" i="22"/>
  <c r="F498" i="22"/>
  <c r="X496" i="22"/>
  <c r="X494" i="22"/>
  <c r="B493" i="22"/>
  <c r="F491" i="22"/>
  <c r="F489" i="22"/>
  <c r="V602" i="22"/>
  <c r="O582" i="22"/>
  <c r="H564" i="22"/>
  <c r="N559" i="22"/>
  <c r="S554" i="22"/>
  <c r="H548" i="22"/>
  <c r="N543" i="22"/>
  <c r="D536" i="22"/>
  <c r="O530" i="22"/>
  <c r="S526" i="22"/>
  <c r="L525" i="22"/>
  <c r="L524" i="22"/>
  <c r="Q523" i="22"/>
  <c r="V522" i="22"/>
  <c r="A522" i="22"/>
  <c r="E521" i="22"/>
  <c r="L520" i="22"/>
  <c r="Q519" i="22"/>
  <c r="V518" i="22"/>
  <c r="A518" i="22"/>
  <c r="E517" i="22"/>
  <c r="L516" i="22"/>
  <c r="Q515" i="22"/>
  <c r="V514" i="22"/>
  <c r="A514" i="22"/>
  <c r="E513" i="22"/>
  <c r="L512" i="22"/>
  <c r="Q511" i="22"/>
  <c r="V510" i="22"/>
  <c r="A510" i="22"/>
  <c r="E509" i="22"/>
  <c r="L508" i="22"/>
  <c r="Q507" i="22"/>
  <c r="V506" i="22"/>
  <c r="A506" i="22"/>
  <c r="E505" i="22"/>
  <c r="L504" i="22"/>
  <c r="Q503" i="22"/>
  <c r="V502" i="22"/>
  <c r="A502" i="22"/>
  <c r="E501" i="22"/>
  <c r="L500" i="22"/>
  <c r="Q499" i="22"/>
  <c r="V498" i="22"/>
  <c r="A498" i="22"/>
  <c r="E497" i="22"/>
  <c r="L496" i="22"/>
  <c r="Q495" i="22"/>
  <c r="V494" i="22"/>
  <c r="A494" i="22"/>
  <c r="E493" i="22"/>
  <c r="L492" i="22"/>
  <c r="Q491" i="22"/>
  <c r="V490" i="22"/>
  <c r="A490" i="22"/>
  <c r="E489" i="22"/>
  <c r="O624" i="22"/>
  <c r="S565" i="22"/>
  <c r="S549" i="22"/>
  <c r="T532" i="22"/>
  <c r="J525" i="22"/>
  <c r="J521" i="22"/>
  <c r="J517" i="22"/>
  <c r="J513" i="22"/>
  <c r="J509" i="22"/>
  <c r="J505" i="22"/>
  <c r="J501" i="22"/>
  <c r="J497" i="22"/>
  <c r="J493" i="22"/>
  <c r="J489" i="22"/>
  <c r="X487" i="22"/>
  <c r="F486" i="22"/>
  <c r="B485" i="22"/>
  <c r="X483" i="22"/>
  <c r="F482" i="22"/>
  <c r="B481" i="22"/>
  <c r="X479" i="22"/>
  <c r="F478" i="22"/>
  <c r="B477" i="22"/>
  <c r="X475" i="22"/>
  <c r="F474" i="22"/>
  <c r="B473" i="22"/>
  <c r="X471" i="22"/>
  <c r="F470" i="22"/>
  <c r="B469" i="22"/>
  <c r="X467" i="22"/>
  <c r="F466" i="22"/>
  <c r="B465" i="22"/>
  <c r="X463" i="22"/>
  <c r="D462" i="22"/>
  <c r="D461" i="22"/>
  <c r="D460" i="22"/>
  <c r="D459" i="22"/>
  <c r="D458" i="22"/>
  <c r="D457" i="22"/>
  <c r="D456" i="22"/>
  <c r="D455" i="22"/>
  <c r="D454" i="22"/>
  <c r="D453" i="22"/>
  <c r="D452" i="22"/>
  <c r="D451" i="22"/>
  <c r="D450" i="22"/>
  <c r="D449" i="22"/>
  <c r="D448" i="22"/>
  <c r="D447" i="22"/>
  <c r="D446" i="22"/>
  <c r="D445" i="22"/>
  <c r="D444" i="22"/>
  <c r="D443" i="22"/>
  <c r="D442" i="22"/>
  <c r="D441" i="22"/>
  <c r="D440" i="22"/>
  <c r="D439" i="22"/>
  <c r="D438" i="22"/>
  <c r="D437" i="22"/>
  <c r="D436" i="22"/>
  <c r="D435" i="22"/>
  <c r="D434" i="22"/>
  <c r="D433" i="22"/>
  <c r="D432" i="22"/>
  <c r="D431" i="22"/>
  <c r="D430" i="22"/>
  <c r="D429" i="22"/>
  <c r="D428" i="22"/>
  <c r="D427" i="22"/>
  <c r="D426" i="22"/>
  <c r="D425" i="22"/>
  <c r="D424" i="22"/>
  <c r="D423" i="22"/>
  <c r="D422" i="22"/>
  <c r="D421" i="22"/>
  <c r="D420" i="22"/>
  <c r="D419" i="22"/>
  <c r="D418" i="22"/>
  <c r="D417" i="22"/>
  <c r="D416" i="22"/>
  <c r="D415" i="22"/>
  <c r="D414" i="22"/>
  <c r="D413" i="22"/>
  <c r="D412" i="22"/>
  <c r="D411" i="22"/>
  <c r="D410" i="22"/>
  <c r="D409" i="22"/>
  <c r="D408" i="22"/>
  <c r="D407" i="22"/>
  <c r="D406" i="22"/>
  <c r="D405" i="22"/>
  <c r="D404" i="22"/>
  <c r="D403" i="22"/>
  <c r="D402" i="22"/>
  <c r="D401" i="22"/>
  <c r="D400" i="22"/>
  <c r="V611" i="22"/>
  <c r="S561" i="22"/>
  <c r="S545" i="22"/>
  <c r="T528" i="22"/>
  <c r="T522" i="22"/>
  <c r="T518" i="22"/>
  <c r="T514" i="22"/>
  <c r="T510" i="22"/>
  <c r="T506" i="22"/>
  <c r="T502" i="22"/>
  <c r="T498" i="22"/>
  <c r="T494" i="22"/>
  <c r="T490" i="22"/>
  <c r="A488" i="22"/>
  <c r="E487" i="22"/>
  <c r="L486" i="22"/>
  <c r="Q485" i="22"/>
  <c r="V484" i="22"/>
  <c r="A484" i="22"/>
  <c r="E483" i="22"/>
  <c r="L482" i="22"/>
  <c r="Q626" i="22"/>
  <c r="X571" i="22"/>
  <c r="N587" i="22"/>
  <c r="N630" i="22"/>
  <c r="X591" i="22"/>
  <c r="T571" i="22"/>
  <c r="D579" i="22"/>
  <c r="X549" i="22"/>
  <c r="A540" i="22"/>
  <c r="C534" i="22"/>
  <c r="S528" i="22"/>
  <c r="B599" i="22"/>
  <c r="J581" i="22"/>
  <c r="E565" i="22"/>
  <c r="V560" i="22"/>
  <c r="Q556" i="22"/>
  <c r="L552" i="22"/>
  <c r="V548" i="22"/>
  <c r="Q545" i="22"/>
  <c r="L542" i="22"/>
  <c r="X537" i="22"/>
  <c r="F532" i="22"/>
  <c r="O628" i="22"/>
  <c r="A598" i="22"/>
  <c r="E585" i="22"/>
  <c r="C569" i="22"/>
  <c r="T563" i="22"/>
  <c r="T559" i="22"/>
  <c r="T555" i="22"/>
  <c r="T551" i="22"/>
  <c r="T547" i="22"/>
  <c r="T543" i="22"/>
  <c r="S539" i="22"/>
  <c r="Q535" i="22"/>
  <c r="L532" i="22"/>
  <c r="E529" i="22"/>
  <c r="X610" i="22"/>
  <c r="N561" i="22"/>
  <c r="N545" i="22"/>
  <c r="J529" i="22"/>
  <c r="C524" i="22"/>
  <c r="C520" i="22"/>
  <c r="C516" i="22"/>
  <c r="C512" i="22"/>
  <c r="C508" i="22"/>
  <c r="C504" i="22"/>
  <c r="C500" i="22"/>
  <c r="C496" i="22"/>
  <c r="C492" i="22"/>
  <c r="H489" i="22"/>
  <c r="B610" i="22"/>
  <c r="V589" i="22"/>
  <c r="H567" i="22"/>
  <c r="C562" i="22"/>
  <c r="H557" i="22"/>
  <c r="S551" i="22"/>
  <c r="C546" i="22"/>
  <c r="H541" i="22"/>
  <c r="J532" i="22"/>
  <c r="H527" i="22"/>
  <c r="B526" i="22"/>
  <c r="B524" i="22"/>
  <c r="F522" i="22"/>
  <c r="X520" i="22"/>
  <c r="X518" i="22"/>
  <c r="B517" i="22"/>
  <c r="F515" i="22"/>
  <c r="F513" i="22"/>
  <c r="X511" i="22"/>
  <c r="B510" i="22"/>
  <c r="B508" i="22"/>
  <c r="F506" i="22"/>
  <c r="X504" i="22"/>
  <c r="X502" i="22"/>
  <c r="B501" i="22"/>
  <c r="F499" i="22"/>
  <c r="F497" i="22"/>
  <c r="X495" i="22"/>
  <c r="B494" i="22"/>
  <c r="B492" i="22"/>
  <c r="F490" i="22"/>
  <c r="T627" i="22"/>
  <c r="A589" i="22"/>
  <c r="S569" i="22"/>
  <c r="S562" i="22"/>
  <c r="H556" i="22"/>
  <c r="N551" i="22"/>
  <c r="S546" i="22"/>
  <c r="F540" i="22"/>
  <c r="T533" i="22"/>
  <c r="D528" i="22"/>
  <c r="V525" i="22"/>
  <c r="V524" i="22"/>
  <c r="A524" i="22"/>
  <c r="E523" i="22"/>
  <c r="L522" i="22"/>
  <c r="Q521" i="22"/>
  <c r="V520" i="22"/>
  <c r="A520" i="22"/>
  <c r="E519" i="22"/>
  <c r="L518" i="22"/>
  <c r="Q517" i="22"/>
  <c r="V516" i="22"/>
  <c r="A516" i="22"/>
  <c r="E515" i="22"/>
  <c r="L514" i="22"/>
  <c r="Q513" i="22"/>
  <c r="V512" i="22"/>
  <c r="A512" i="22"/>
  <c r="E511" i="22"/>
  <c r="L510" i="22"/>
  <c r="Q509" i="22"/>
  <c r="V508" i="22"/>
  <c r="A508" i="22"/>
  <c r="E507" i="22"/>
  <c r="L506" i="22"/>
  <c r="Q505" i="22"/>
  <c r="V504" i="22"/>
  <c r="A504" i="22"/>
  <c r="E503" i="22"/>
  <c r="L502" i="22"/>
  <c r="Q501" i="22"/>
  <c r="V500" i="22"/>
  <c r="A500" i="22"/>
  <c r="E499" i="22"/>
  <c r="L498" i="22"/>
  <c r="Q497" i="22"/>
  <c r="V496" i="22"/>
  <c r="A496" i="22"/>
  <c r="E495" i="22"/>
  <c r="L494" i="22"/>
  <c r="Q493" i="22"/>
  <c r="V492" i="22"/>
  <c r="A492" i="22"/>
  <c r="E491" i="22"/>
  <c r="L490" i="22"/>
  <c r="Q489" i="22"/>
  <c r="V488" i="22"/>
  <c r="E588" i="22"/>
  <c r="H559" i="22"/>
  <c r="H543" i="22"/>
  <c r="D527" i="22"/>
  <c r="T523" i="22"/>
  <c r="T519" i="22"/>
  <c r="T515" i="22"/>
  <c r="T511" i="22"/>
  <c r="T507" i="22"/>
  <c r="T503" i="22"/>
  <c r="T499" i="22"/>
  <c r="T495" i="22"/>
  <c r="T491" i="22"/>
  <c r="F488" i="22"/>
  <c r="B487" i="22"/>
  <c r="X485" i="22"/>
  <c r="F484" i="22"/>
  <c r="B483" i="22"/>
  <c r="X481" i="22"/>
  <c r="F480" i="22"/>
  <c r="B479" i="22"/>
  <c r="X477" i="22"/>
  <c r="F476" i="22"/>
  <c r="B475" i="22"/>
  <c r="X473" i="22"/>
  <c r="F472" i="22"/>
  <c r="B471" i="22"/>
  <c r="X469" i="22"/>
  <c r="F468" i="22"/>
  <c r="B467" i="22"/>
  <c r="X465" i="22"/>
  <c r="F464" i="22"/>
  <c r="O462" i="22"/>
  <c r="O461" i="22"/>
  <c r="O460" i="22"/>
  <c r="O459" i="22"/>
  <c r="O458" i="22"/>
  <c r="O457" i="22"/>
  <c r="O456" i="22"/>
  <c r="O455" i="22"/>
  <c r="O454" i="22"/>
  <c r="O453" i="22"/>
  <c r="O452" i="22"/>
  <c r="O451" i="22"/>
  <c r="O450" i="22"/>
  <c r="O449" i="22"/>
  <c r="O448" i="22"/>
  <c r="O447" i="22"/>
  <c r="O446" i="22"/>
  <c r="O445" i="22"/>
  <c r="O444" i="22"/>
  <c r="O443" i="22"/>
  <c r="O442" i="22"/>
  <c r="O441" i="22"/>
  <c r="O440" i="22"/>
  <c r="O439" i="22"/>
  <c r="O438" i="22"/>
  <c r="O437" i="22"/>
  <c r="O436" i="22"/>
  <c r="O435" i="22"/>
  <c r="O434" i="22"/>
  <c r="O433" i="22"/>
  <c r="O432" i="22"/>
  <c r="O431" i="22"/>
  <c r="O430" i="22"/>
  <c r="O429" i="22"/>
  <c r="O428" i="22"/>
  <c r="O427" i="22"/>
  <c r="O426" i="22"/>
  <c r="O425" i="22"/>
  <c r="O424" i="22"/>
  <c r="O423" i="22"/>
  <c r="O422" i="22"/>
  <c r="O421" i="22"/>
  <c r="O420" i="22"/>
  <c r="O419" i="22"/>
  <c r="O418" i="22"/>
  <c r="O417" i="22"/>
  <c r="O416" i="22"/>
  <c r="O415" i="22"/>
  <c r="O414" i="22"/>
  <c r="O413" i="22"/>
  <c r="O412" i="22"/>
  <c r="O411" i="22"/>
  <c r="O410" i="22"/>
  <c r="O409" i="22"/>
  <c r="O408" i="22"/>
  <c r="O407" i="22"/>
  <c r="O406" i="22"/>
  <c r="O405" i="22"/>
  <c r="O404" i="22"/>
  <c r="O403" i="22"/>
  <c r="O402" i="22"/>
  <c r="O401" i="22"/>
  <c r="O400" i="22"/>
  <c r="O399" i="22"/>
  <c r="A585" i="22"/>
  <c r="H555" i="22"/>
  <c r="F539" i="22"/>
  <c r="J524" i="22"/>
  <c r="J520" i="22"/>
  <c r="J516" i="22"/>
  <c r="J512" i="22"/>
  <c r="J508" i="22"/>
  <c r="J504" i="22"/>
  <c r="J500" i="22"/>
  <c r="J496" i="22"/>
  <c r="J492" i="22"/>
  <c r="L488" i="22"/>
  <c r="Q487" i="22"/>
  <c r="V486" i="22"/>
  <c r="A486" i="22"/>
  <c r="E485" i="22"/>
  <c r="L484" i="22"/>
  <c r="Q483" i="22"/>
  <c r="V482" i="22"/>
  <c r="A482" i="22"/>
  <c r="O588" i="22"/>
  <c r="A576" i="22"/>
  <c r="H535" i="22"/>
  <c r="J566" i="22"/>
  <c r="Q549" i="22"/>
  <c r="X533" i="22"/>
  <c r="C573" i="22"/>
  <c r="T552" i="22"/>
  <c r="L536" i="22"/>
  <c r="N565" i="22"/>
  <c r="C521" i="22"/>
  <c r="C505" i="22"/>
  <c r="S489" i="22"/>
  <c r="S563" i="22"/>
  <c r="C542" i="22"/>
  <c r="X524" i="22"/>
  <c r="F517" i="22"/>
  <c r="F510" i="22"/>
  <c r="F503" i="22"/>
  <c r="B496" i="22"/>
  <c r="B489" i="22"/>
  <c r="S558" i="22"/>
  <c r="O534" i="22"/>
  <c r="E524" i="22"/>
  <c r="A521" i="22"/>
  <c r="V517" i="22"/>
  <c r="Q514" i="22"/>
  <c r="L511" i="22"/>
  <c r="E508" i="22"/>
  <c r="A505" i="22"/>
  <c r="V501" i="22"/>
  <c r="Q498" i="22"/>
  <c r="L495" i="22"/>
  <c r="E492" i="22"/>
  <c r="A489" i="22"/>
  <c r="O529" i="22"/>
  <c r="O512" i="22"/>
  <c r="O496" i="22"/>
  <c r="B486" i="22"/>
  <c r="X480" i="22"/>
  <c r="F475" i="22"/>
  <c r="B470" i="22"/>
  <c r="X464" i="22"/>
  <c r="T459" i="22"/>
  <c r="T455" i="22"/>
  <c r="T451" i="22"/>
  <c r="T447" i="22"/>
  <c r="T443" i="22"/>
  <c r="T439" i="22"/>
  <c r="T435" i="22"/>
  <c r="T431" i="22"/>
  <c r="T427" i="22"/>
  <c r="T423" i="22"/>
  <c r="T419" i="22"/>
  <c r="T415" i="22"/>
  <c r="T411" i="22"/>
  <c r="T407" i="22"/>
  <c r="T403" i="22"/>
  <c r="T399" i="22"/>
  <c r="D525" i="22"/>
  <c r="D509" i="22"/>
  <c r="D493" i="22"/>
  <c r="E486" i="22"/>
  <c r="A483" i="22"/>
  <c r="E481" i="22"/>
  <c r="A480" i="22"/>
  <c r="A479" i="22"/>
  <c r="A478" i="22"/>
  <c r="V476" i="22"/>
  <c r="V475" i="22"/>
  <c r="V474" i="22"/>
  <c r="Q473" i="22"/>
  <c r="Q472" i="22"/>
  <c r="Q471" i="22"/>
  <c r="L470" i="22"/>
  <c r="L469" i="22"/>
  <c r="L468" i="22"/>
  <c r="E467" i="22"/>
  <c r="E466" i="22"/>
  <c r="E465" i="22"/>
  <c r="A464" i="22"/>
  <c r="N462" i="22"/>
  <c r="H461" i="22"/>
  <c r="S459" i="22"/>
  <c r="N458" i="22"/>
  <c r="H457" i="22"/>
  <c r="S455" i="22"/>
  <c r="N454" i="22"/>
  <c r="H453" i="22"/>
  <c r="S451" i="22"/>
  <c r="N450" i="22"/>
  <c r="H449" i="22"/>
  <c r="S447" i="22"/>
  <c r="N446" i="22"/>
  <c r="H445" i="22"/>
  <c r="S443" i="22"/>
  <c r="N442" i="22"/>
  <c r="H441" i="22"/>
  <c r="S439" i="22"/>
  <c r="N438" i="22"/>
  <c r="H437" i="22"/>
  <c r="S435" i="22"/>
  <c r="N434" i="22"/>
  <c r="H433" i="22"/>
  <c r="S431" i="22"/>
  <c r="N430" i="22"/>
  <c r="H429" i="22"/>
  <c r="S427" i="22"/>
  <c r="N426" i="22"/>
  <c r="H425" i="22"/>
  <c r="S423" i="22"/>
  <c r="N422" i="22"/>
  <c r="H421" i="22"/>
  <c r="S419" i="22"/>
  <c r="N418" i="22"/>
  <c r="H417" i="22"/>
  <c r="S415" i="22"/>
  <c r="N414" i="22"/>
  <c r="H413" i="22"/>
  <c r="C412" i="22"/>
  <c r="C411" i="22"/>
  <c r="C410" i="22"/>
  <c r="C409" i="22"/>
  <c r="C408" i="22"/>
  <c r="C407" i="22"/>
  <c r="C406" i="22"/>
  <c r="C405" i="22"/>
  <c r="C404" i="22"/>
  <c r="C403" i="22"/>
  <c r="C402" i="22"/>
  <c r="C401" i="22"/>
  <c r="C400" i="22"/>
  <c r="C399" i="22"/>
  <c r="S557" i="22"/>
  <c r="S541" i="22"/>
  <c r="T525" i="22"/>
  <c r="T521" i="22"/>
  <c r="T517" i="22"/>
  <c r="T513" i="22"/>
  <c r="T509" i="22"/>
  <c r="T505" i="22"/>
  <c r="T501" i="22"/>
  <c r="T497" i="22"/>
  <c r="T493" i="22"/>
  <c r="T489" i="22"/>
  <c r="T487" i="22"/>
  <c r="T486" i="22"/>
  <c r="T485" i="22"/>
  <c r="T484" i="22"/>
  <c r="T483" i="22"/>
  <c r="T482" i="22"/>
  <c r="T481" i="22"/>
  <c r="T480" i="22"/>
  <c r="T479" i="22"/>
  <c r="T478" i="22"/>
  <c r="T477" i="22"/>
  <c r="T476" i="22"/>
  <c r="T475" i="22"/>
  <c r="T474" i="22"/>
  <c r="T473" i="22"/>
  <c r="T472" i="22"/>
  <c r="F605" i="22"/>
  <c r="J526" i="22"/>
  <c r="J510" i="22"/>
  <c r="J494" i="22"/>
  <c r="C486" i="22"/>
  <c r="C482" i="22"/>
  <c r="C478" i="22"/>
  <c r="C474" i="22"/>
  <c r="J471" i="22"/>
  <c r="J469" i="22"/>
  <c r="J467" i="22"/>
  <c r="J465" i="22"/>
  <c r="C463" i="22"/>
  <c r="F460" i="22"/>
  <c r="X457" i="22"/>
  <c r="B455" i="22"/>
  <c r="F452" i="22"/>
  <c r="X449" i="22"/>
  <c r="B447" i="22"/>
  <c r="F444" i="22"/>
  <c r="X441" i="22"/>
  <c r="B439" i="22"/>
  <c r="F436" i="22"/>
  <c r="X433" i="22"/>
  <c r="B431" i="22"/>
  <c r="F428" i="22"/>
  <c r="X425" i="22"/>
  <c r="B423" i="22"/>
  <c r="F420" i="22"/>
  <c r="X417" i="22"/>
  <c r="B415" i="22"/>
  <c r="F412" i="22"/>
  <c r="X409" i="22"/>
  <c r="B407" i="22"/>
  <c r="F404" i="22"/>
  <c r="X401" i="22"/>
  <c r="D399" i="22"/>
  <c r="C398" i="22"/>
  <c r="C397" i="22"/>
  <c r="C396" i="22"/>
  <c r="C395" i="22"/>
  <c r="C394" i="22"/>
  <c r="C393" i="22"/>
  <c r="C392" i="22"/>
  <c r="C391" i="22"/>
  <c r="C390" i="22"/>
  <c r="C389" i="22"/>
  <c r="C388" i="22"/>
  <c r="C387" i="22"/>
  <c r="C386" i="22"/>
  <c r="C385" i="22"/>
  <c r="C384" i="22"/>
  <c r="C383" i="22"/>
  <c r="C382" i="22"/>
  <c r="C381" i="22"/>
  <c r="C380" i="22"/>
  <c r="C379" i="22"/>
  <c r="C378" i="22"/>
  <c r="C377" i="22"/>
  <c r="C376" i="22"/>
  <c r="C375" i="22"/>
  <c r="C374" i="22"/>
  <c r="C373" i="22"/>
  <c r="C372" i="22"/>
  <c r="C371" i="22"/>
  <c r="C370" i="22"/>
  <c r="C369" i="22"/>
  <c r="C368" i="22"/>
  <c r="C367" i="22"/>
  <c r="C366" i="22"/>
  <c r="C365" i="22"/>
  <c r="C364" i="22"/>
  <c r="V362" i="22"/>
  <c r="A362" i="22"/>
  <c r="E361" i="22"/>
  <c r="L360" i="22"/>
  <c r="Q359" i="22"/>
  <c r="V358" i="22"/>
  <c r="A358" i="22"/>
  <c r="E357" i="22"/>
  <c r="L356" i="22"/>
  <c r="Q355" i="22"/>
  <c r="V354" i="22"/>
  <c r="A354" i="22"/>
  <c r="C560" i="22"/>
  <c r="J522" i="22"/>
  <c r="J506" i="22"/>
  <c r="J490" i="22"/>
  <c r="C485" i="22"/>
  <c r="C481" i="22"/>
  <c r="C477" i="22"/>
  <c r="C473" i="22"/>
  <c r="N470" i="22"/>
  <c r="N468" i="22"/>
  <c r="N466" i="22"/>
  <c r="N464" i="22"/>
  <c r="Q462" i="22"/>
  <c r="A461" i="22"/>
  <c r="L459" i="22"/>
  <c r="V457" i="22"/>
  <c r="E456" i="22"/>
  <c r="Q454" i="22"/>
  <c r="A453" i="22"/>
  <c r="L451" i="22"/>
  <c r="V449" i="22"/>
  <c r="E448" i="22"/>
  <c r="Q446" i="22"/>
  <c r="A445" i="22"/>
  <c r="L443" i="22"/>
  <c r="V441" i="22"/>
  <c r="E440" i="22"/>
  <c r="Q438" i="22"/>
  <c r="A437" i="22"/>
  <c r="L435" i="22"/>
  <c r="V433" i="22"/>
  <c r="E432" i="22"/>
  <c r="Q430" i="22"/>
  <c r="A429" i="22"/>
  <c r="L427" i="22"/>
  <c r="V425" i="22"/>
  <c r="E424" i="22"/>
  <c r="Q422" i="22"/>
  <c r="A421" i="22"/>
  <c r="L419" i="22"/>
  <c r="V417" i="22"/>
  <c r="E416" i="22"/>
  <c r="Q414" i="22"/>
  <c r="A413" i="22"/>
  <c r="L411" i="22"/>
  <c r="V409" i="22"/>
  <c r="E408" i="22"/>
  <c r="Q406" i="22"/>
  <c r="A405" i="22"/>
  <c r="L403" i="22"/>
  <c r="V401" i="22"/>
  <c r="E400" i="22"/>
  <c r="X398" i="22"/>
  <c r="F397" i="22"/>
  <c r="B396" i="22"/>
  <c r="X394" i="22"/>
  <c r="F393" i="22"/>
  <c r="B392" i="22"/>
  <c r="X390" i="22"/>
  <c r="F389" i="22"/>
  <c r="B388" i="22"/>
  <c r="X386" i="22"/>
  <c r="F385" i="22"/>
  <c r="B384" i="22"/>
  <c r="X382" i="22"/>
  <c r="F381" i="22"/>
  <c r="B380" i="22"/>
  <c r="X378" i="22"/>
  <c r="F377" i="22"/>
  <c r="B376" i="22"/>
  <c r="X374" i="22"/>
  <c r="F373" i="22"/>
  <c r="B372" i="22"/>
  <c r="X370" i="22"/>
  <c r="F369" i="22"/>
  <c r="B368" i="22"/>
  <c r="X366" i="22"/>
  <c r="F365" i="22"/>
  <c r="B364" i="22"/>
  <c r="J362" i="22"/>
  <c r="J361" i="22"/>
  <c r="J360" i="22"/>
  <c r="J359" i="22"/>
  <c r="J358" i="22"/>
  <c r="J357" i="22"/>
  <c r="O578" i="22"/>
  <c r="O521" i="22"/>
  <c r="O505" i="22"/>
  <c r="O489" i="22"/>
  <c r="S485" i="22"/>
  <c r="S481" i="22"/>
  <c r="S477" i="22"/>
  <c r="C593" i="22"/>
  <c r="Q593" i="22"/>
  <c r="C530" i="22"/>
  <c r="A562" i="22"/>
  <c r="L546" i="22"/>
  <c r="F528" i="22"/>
  <c r="T564" i="22"/>
  <c r="T548" i="22"/>
  <c r="E533" i="22"/>
  <c r="N549" i="22"/>
  <c r="C517" i="22"/>
  <c r="C501" i="22"/>
  <c r="D618" i="22"/>
  <c r="C558" i="22"/>
  <c r="T534" i="22"/>
  <c r="X522" i="22"/>
  <c r="X515" i="22"/>
  <c r="X508" i="22"/>
  <c r="F501" i="22"/>
  <c r="F494" i="22"/>
  <c r="L595" i="22"/>
  <c r="H552" i="22"/>
  <c r="T529" i="22"/>
  <c r="L523" i="22"/>
  <c r="E520" i="22"/>
  <c r="A517" i="22"/>
  <c r="V513" i="22"/>
  <c r="Q510" i="22"/>
  <c r="L507" i="22"/>
  <c r="E504" i="22"/>
  <c r="A501" i="22"/>
  <c r="V497" i="22"/>
  <c r="Q494" i="22"/>
  <c r="L491" i="22"/>
  <c r="A602" i="22"/>
  <c r="O524" i="22"/>
  <c r="O508" i="22"/>
  <c r="O492" i="22"/>
  <c r="X484" i="22"/>
  <c r="F479" i="22"/>
  <c r="B474" i="22"/>
  <c r="X468" i="22"/>
  <c r="T462" i="22"/>
  <c r="T458" i="22"/>
  <c r="T454" i="22"/>
  <c r="T450" i="22"/>
  <c r="T446" i="22"/>
  <c r="T442" i="22"/>
  <c r="T438" i="22"/>
  <c r="T434" i="22"/>
  <c r="T430" i="22"/>
  <c r="T426" i="22"/>
  <c r="T422" i="22"/>
  <c r="T418" i="22"/>
  <c r="T414" i="22"/>
  <c r="T410" i="22"/>
  <c r="T406" i="22"/>
  <c r="T402" i="22"/>
  <c r="V597" i="22"/>
  <c r="D521" i="22"/>
  <c r="D505" i="22"/>
  <c r="D489" i="22"/>
  <c r="L485" i="22"/>
  <c r="E482" i="22"/>
  <c r="V480" i="22"/>
  <c r="V479" i="22"/>
  <c r="V478" i="22"/>
  <c r="Q477" i="22"/>
  <c r="Q476" i="22"/>
  <c r="Q475" i="22"/>
  <c r="L474" i="22"/>
  <c r="L473" i="22"/>
  <c r="L472" i="22"/>
  <c r="E471" i="22"/>
  <c r="E470" i="22"/>
  <c r="E469" i="22"/>
  <c r="A468" i="22"/>
  <c r="A467" i="22"/>
  <c r="A466" i="22"/>
  <c r="V464" i="22"/>
  <c r="V463" i="22"/>
  <c r="H462" i="22"/>
  <c r="S460" i="22"/>
  <c r="N459" i="22"/>
  <c r="H458" i="22"/>
  <c r="S456" i="22"/>
  <c r="N455" i="22"/>
  <c r="H454" i="22"/>
  <c r="S452" i="22"/>
  <c r="N451" i="22"/>
  <c r="H450" i="22"/>
  <c r="S448" i="22"/>
  <c r="N447" i="22"/>
  <c r="H446" i="22"/>
  <c r="S444" i="22"/>
  <c r="N443" i="22"/>
  <c r="H442" i="22"/>
  <c r="S440" i="22"/>
  <c r="N439" i="22"/>
  <c r="H438" i="22"/>
  <c r="S436" i="22"/>
  <c r="N435" i="22"/>
  <c r="H434" i="22"/>
  <c r="S432" i="22"/>
  <c r="N431" i="22"/>
  <c r="H430" i="22"/>
  <c r="S428" i="22"/>
  <c r="N427" i="22"/>
  <c r="H426" i="22"/>
  <c r="S424" i="22"/>
  <c r="N423" i="22"/>
  <c r="H422" i="22"/>
  <c r="S420" i="22"/>
  <c r="N419" i="22"/>
  <c r="H418" i="22"/>
  <c r="S416" i="22"/>
  <c r="N415" i="22"/>
  <c r="H414" i="22"/>
  <c r="S412" i="22"/>
  <c r="S411" i="22"/>
  <c r="S410" i="22"/>
  <c r="S409" i="22"/>
  <c r="S408" i="22"/>
  <c r="S407" i="22"/>
  <c r="S406" i="22"/>
  <c r="S405" i="22"/>
  <c r="S404" i="22"/>
  <c r="S403" i="22"/>
  <c r="S402" i="22"/>
  <c r="S401" i="22"/>
  <c r="S400" i="22"/>
  <c r="S399" i="22"/>
  <c r="Q594" i="22"/>
  <c r="N554" i="22"/>
  <c r="O537" i="22"/>
  <c r="D524" i="22"/>
  <c r="D520" i="22"/>
  <c r="D516" i="22"/>
  <c r="D512" i="22"/>
  <c r="D508" i="22"/>
  <c r="D504" i="22"/>
  <c r="D500" i="22"/>
  <c r="D496" i="22"/>
  <c r="D492" i="22"/>
  <c r="O488" i="22"/>
  <c r="O487" i="22"/>
  <c r="O486" i="22"/>
  <c r="O485" i="22"/>
  <c r="O484" i="22"/>
  <c r="O483" i="22"/>
  <c r="O482" i="22"/>
  <c r="O481" i="22"/>
  <c r="O480" i="22"/>
  <c r="O479" i="22"/>
  <c r="O478" i="22"/>
  <c r="O477" i="22"/>
  <c r="O476" i="22"/>
  <c r="O475" i="22"/>
  <c r="O474" i="22"/>
  <c r="O473" i="22"/>
  <c r="O472" i="22"/>
  <c r="H563" i="22"/>
  <c r="D523" i="22"/>
  <c r="D507" i="22"/>
  <c r="D491" i="22"/>
  <c r="H485" i="22"/>
  <c r="H481" i="22"/>
  <c r="H477" i="22"/>
  <c r="H473" i="22"/>
  <c r="O470" i="22"/>
  <c r="O468" i="22"/>
  <c r="O466" i="22"/>
  <c r="O464" i="22"/>
  <c r="F462" i="22"/>
  <c r="X459" i="22"/>
  <c r="B457" i="22"/>
  <c r="F454" i="22"/>
  <c r="X451" i="22"/>
  <c r="B449" i="22"/>
  <c r="F446" i="22"/>
  <c r="X443" i="22"/>
  <c r="B441" i="22"/>
  <c r="F438" i="22"/>
  <c r="X435" i="22"/>
  <c r="B433" i="22"/>
  <c r="F430" i="22"/>
  <c r="X427" i="22"/>
  <c r="B425" i="22"/>
  <c r="F422" i="22"/>
  <c r="X419" i="22"/>
  <c r="B417" i="22"/>
  <c r="F414" i="22"/>
  <c r="X411" i="22"/>
  <c r="B409" i="22"/>
  <c r="F406" i="22"/>
  <c r="X403" i="22"/>
  <c r="B401" i="22"/>
  <c r="S398" i="22"/>
  <c r="S397" i="22"/>
  <c r="S396" i="22"/>
  <c r="S395" i="22"/>
  <c r="S394" i="22"/>
  <c r="S393" i="22"/>
  <c r="S392" i="22"/>
  <c r="S391" i="22"/>
  <c r="S390" i="22"/>
  <c r="S389" i="22"/>
  <c r="S388" i="22"/>
  <c r="S387" i="22"/>
  <c r="S386" i="22"/>
  <c r="S385" i="22"/>
  <c r="S384" i="22"/>
  <c r="S383" i="22"/>
  <c r="S382" i="22"/>
  <c r="S381" i="22"/>
  <c r="S380" i="22"/>
  <c r="S379" i="22"/>
  <c r="S378" i="22"/>
  <c r="S377" i="22"/>
  <c r="S376" i="22"/>
  <c r="S375" i="22"/>
  <c r="S374" i="22"/>
  <c r="S373" i="22"/>
  <c r="S372" i="22"/>
  <c r="S371" i="22"/>
  <c r="S370" i="22"/>
  <c r="S369" i="22"/>
  <c r="S368" i="22"/>
  <c r="S367" i="22"/>
  <c r="S366" i="22"/>
  <c r="S365" i="22"/>
  <c r="S364" i="22"/>
  <c r="S363" i="22"/>
  <c r="Q362" i="22"/>
  <c r="V361" i="22"/>
  <c r="A361" i="22"/>
  <c r="E360" i="22"/>
  <c r="L359" i="22"/>
  <c r="Q358" i="22"/>
  <c r="V357" i="22"/>
  <c r="A357" i="22"/>
  <c r="E356" i="22"/>
  <c r="L355" i="22"/>
  <c r="Q354" i="22"/>
  <c r="V353" i="22"/>
  <c r="H547" i="22"/>
  <c r="D519" i="22"/>
  <c r="D503" i="22"/>
  <c r="H488" i="22"/>
  <c r="H484" i="22"/>
  <c r="H480" i="22"/>
  <c r="H476" i="22"/>
  <c r="H472" i="22"/>
  <c r="C470" i="22"/>
  <c r="C468" i="22"/>
  <c r="B623" i="22"/>
  <c r="N598" i="22"/>
  <c r="F541" i="22"/>
  <c r="E586" i="22"/>
  <c r="L553" i="22"/>
  <c r="T539" i="22"/>
  <c r="L588" i="22"/>
  <c r="T556" i="22"/>
  <c r="T540" i="22"/>
  <c r="V526" i="22"/>
  <c r="C525" i="22"/>
  <c r="C509" i="22"/>
  <c r="C493" i="22"/>
  <c r="S573" i="22"/>
  <c r="S547" i="22"/>
  <c r="F526" i="22"/>
  <c r="F519" i="22"/>
  <c r="B512" i="22"/>
  <c r="B505" i="22"/>
  <c r="B498" i="22"/>
  <c r="X490" i="22"/>
  <c r="N563" i="22"/>
  <c r="S542" i="22"/>
  <c r="A525" i="22"/>
  <c r="V521" i="22"/>
  <c r="Q518" i="22"/>
  <c r="L515" i="22"/>
  <c r="E512" i="22"/>
  <c r="A509" i="22"/>
  <c r="V505" i="22"/>
  <c r="Q502" i="22"/>
  <c r="L499" i="22"/>
  <c r="E496" i="22"/>
  <c r="A493" i="22"/>
  <c r="V489" i="22"/>
  <c r="N546" i="22"/>
  <c r="O516" i="22"/>
  <c r="O500" i="22"/>
  <c r="F487" i="22"/>
  <c r="B482" i="22"/>
  <c r="X476" i="22"/>
  <c r="F471" i="22"/>
  <c r="B466" i="22"/>
  <c r="T460" i="22"/>
  <c r="T456" i="22"/>
  <c r="T452" i="22"/>
  <c r="T448" i="22"/>
  <c r="T444" i="22"/>
  <c r="T440" i="22"/>
  <c r="T436" i="22"/>
  <c r="T432" i="22"/>
  <c r="T428" i="22"/>
  <c r="T424" i="22"/>
  <c r="T420" i="22"/>
  <c r="T416" i="22"/>
  <c r="T412" i="22"/>
  <c r="T408" i="22"/>
  <c r="T404" i="22"/>
  <c r="T400" i="22"/>
  <c r="N542" i="22"/>
  <c r="D513" i="22"/>
  <c r="D497" i="22"/>
  <c r="A487" i="22"/>
  <c r="V483" i="22"/>
  <c r="L481" i="22"/>
  <c r="L480" i="22"/>
  <c r="E479" i="22"/>
  <c r="E478" i="22"/>
  <c r="E477" i="22"/>
  <c r="A476" i="22"/>
  <c r="A475" i="22"/>
  <c r="A474" i="22"/>
  <c r="V472" i="22"/>
  <c r="V471" i="22"/>
  <c r="V470" i="22"/>
  <c r="Q469" i="22"/>
  <c r="Q468" i="22"/>
  <c r="Q467" i="22"/>
  <c r="L466" i="22"/>
  <c r="L465" i="22"/>
  <c r="L464" i="22"/>
  <c r="S462" i="22"/>
  <c r="N461" i="22"/>
  <c r="H460" i="22"/>
  <c r="S458" i="22"/>
  <c r="N457" i="22"/>
  <c r="H456" i="22"/>
  <c r="S454" i="22"/>
  <c r="N453" i="22"/>
  <c r="H452" i="22"/>
  <c r="S450" i="22"/>
  <c r="N449" i="22"/>
  <c r="H448" i="22"/>
  <c r="S446" i="22"/>
  <c r="N445" i="22"/>
  <c r="H444" i="22"/>
  <c r="S442" i="22"/>
  <c r="N441" i="22"/>
  <c r="H440" i="22"/>
  <c r="S438" i="22"/>
  <c r="N437" i="22"/>
  <c r="H436" i="22"/>
  <c r="S434" i="22"/>
  <c r="N433" i="22"/>
  <c r="H432" i="22"/>
  <c r="S430" i="22"/>
  <c r="N429" i="22"/>
  <c r="H428" i="22"/>
  <c r="S426" i="22"/>
  <c r="N425" i="22"/>
  <c r="H424" i="22"/>
  <c r="S422" i="22"/>
  <c r="N421" i="22"/>
  <c r="H420" i="22"/>
  <c r="S418" i="22"/>
  <c r="N417" i="22"/>
  <c r="H416" i="22"/>
  <c r="S414" i="22"/>
  <c r="N413" i="22"/>
  <c r="H412" i="22"/>
  <c r="H411" i="22"/>
  <c r="H410" i="22"/>
  <c r="H409" i="22"/>
  <c r="H408" i="22"/>
  <c r="H407" i="22"/>
  <c r="H406" i="22"/>
  <c r="H405" i="22"/>
  <c r="H404" i="22"/>
  <c r="H403" i="22"/>
  <c r="H402" i="22"/>
  <c r="H401" i="22"/>
  <c r="H400" i="22"/>
  <c r="H399" i="22"/>
  <c r="C564" i="22"/>
  <c r="C548" i="22"/>
  <c r="D531" i="22"/>
  <c r="O522" i="22"/>
  <c r="O518" i="22"/>
  <c r="O514" i="22"/>
  <c r="O510" i="22"/>
  <c r="O506" i="22"/>
  <c r="O502" i="22"/>
  <c r="O498" i="22"/>
  <c r="O494" i="22"/>
  <c r="O490" i="22"/>
  <c r="D488" i="22"/>
  <c r="D487" i="22"/>
  <c r="D486" i="22"/>
  <c r="D485" i="22"/>
  <c r="D484" i="22"/>
  <c r="D483" i="22"/>
  <c r="D482" i="22"/>
  <c r="D481" i="22"/>
  <c r="D480" i="22"/>
  <c r="D479" i="22"/>
  <c r="D478" i="22"/>
  <c r="D477" i="22"/>
  <c r="D476" i="22"/>
  <c r="D475" i="22"/>
  <c r="D474" i="22"/>
  <c r="D473" i="22"/>
  <c r="D472" i="22"/>
  <c r="T536" i="22"/>
  <c r="O513" i="22"/>
  <c r="O497" i="22"/>
  <c r="S487" i="22"/>
  <c r="S483" i="22"/>
  <c r="S479" i="22"/>
  <c r="S475" i="22"/>
  <c r="T471" i="22"/>
  <c r="T469" i="22"/>
  <c r="T467" i="22"/>
  <c r="T465" i="22"/>
  <c r="T463" i="22"/>
  <c r="B461" i="22"/>
  <c r="F458" i="22"/>
  <c r="X455" i="22"/>
  <c r="B453" i="22"/>
  <c r="F450" i="22"/>
  <c r="X447" i="22"/>
  <c r="B445" i="22"/>
  <c r="F442" i="22"/>
  <c r="X439" i="22"/>
  <c r="B437" i="22"/>
  <c r="F434" i="22"/>
  <c r="X431" i="22"/>
  <c r="B429" i="22"/>
  <c r="F426" i="22"/>
  <c r="X423" i="22"/>
  <c r="B421" i="22"/>
  <c r="F418" i="22"/>
  <c r="X415" i="22"/>
  <c r="B413" i="22"/>
  <c r="F410" i="22"/>
  <c r="X407" i="22"/>
  <c r="B405" i="22"/>
  <c r="F402" i="22"/>
  <c r="X399" i="22"/>
  <c r="H398" i="22"/>
  <c r="H397" i="22"/>
  <c r="H396" i="22"/>
  <c r="H395" i="22"/>
  <c r="H394" i="22"/>
  <c r="H393" i="22"/>
  <c r="H392" i="22"/>
  <c r="H391" i="22"/>
  <c r="H390" i="22"/>
  <c r="H389" i="22"/>
  <c r="H388" i="22"/>
  <c r="H387" i="22"/>
  <c r="H386" i="22"/>
  <c r="H385" i="22"/>
  <c r="H384" i="22"/>
  <c r="H383" i="22"/>
  <c r="H382" i="22"/>
  <c r="H381" i="22"/>
  <c r="H380" i="22"/>
  <c r="H379" i="22"/>
  <c r="H378" i="22"/>
  <c r="H377" i="22"/>
  <c r="H376" i="22"/>
  <c r="H375" i="22"/>
  <c r="H374" i="22"/>
  <c r="H373" i="22"/>
  <c r="H372" i="22"/>
  <c r="H371" i="22"/>
  <c r="H370" i="22"/>
  <c r="H369" i="22"/>
  <c r="H368" i="22"/>
  <c r="H367" i="22"/>
  <c r="H366" i="22"/>
  <c r="H365" i="22"/>
  <c r="H364" i="22"/>
  <c r="B363" i="22"/>
  <c r="E362" i="22"/>
  <c r="L361" i="22"/>
  <c r="Q360" i="22"/>
  <c r="V359" i="22"/>
  <c r="A359" i="22"/>
  <c r="E358" i="22"/>
  <c r="L357" i="22"/>
  <c r="Q356" i="22"/>
  <c r="V355" i="22"/>
  <c r="A355" i="22"/>
  <c r="E354" i="22"/>
  <c r="L591" i="22"/>
  <c r="O525" i="22"/>
  <c r="O509" i="22"/>
  <c r="O493" i="22"/>
  <c r="S486" i="22"/>
  <c r="S482" i="22"/>
  <c r="S478" i="22"/>
  <c r="S474" i="22"/>
  <c r="H471" i="22"/>
  <c r="H469" i="22"/>
  <c r="Q557" i="22"/>
  <c r="T544" i="22"/>
  <c r="C497" i="22"/>
  <c r="B521" i="22"/>
  <c r="X492" i="22"/>
  <c r="Q522" i="22"/>
  <c r="V509" i="22"/>
  <c r="A497" i="22"/>
  <c r="O520" i="22"/>
  <c r="B478" i="22"/>
  <c r="T457" i="22"/>
  <c r="T441" i="22"/>
  <c r="T425" i="22"/>
  <c r="T409" i="22"/>
  <c r="D517" i="22"/>
  <c r="Q481" i="22"/>
  <c r="L477" i="22"/>
  <c r="E473" i="22"/>
  <c r="V468" i="22"/>
  <c r="Q464" i="22"/>
  <c r="H459" i="22"/>
  <c r="S453" i="22"/>
  <c r="N448" i="22"/>
  <c r="H443" i="22"/>
  <c r="S437" i="22"/>
  <c r="N432" i="22"/>
  <c r="H427" i="22"/>
  <c r="S421" i="22"/>
  <c r="N416" i="22"/>
  <c r="N411" i="22"/>
  <c r="N407" i="22"/>
  <c r="N403" i="22"/>
  <c r="N399" i="22"/>
  <c r="J523" i="22"/>
  <c r="J507" i="22"/>
  <c r="J491" i="22"/>
  <c r="J485" i="22"/>
  <c r="J481" i="22"/>
  <c r="J477" i="22"/>
  <c r="J473" i="22"/>
  <c r="T500" i="22"/>
  <c r="N476" i="22"/>
  <c r="D466" i="22"/>
  <c r="F456" i="22"/>
  <c r="X445" i="22"/>
  <c r="B435" i="22"/>
  <c r="F424" i="22"/>
  <c r="X413" i="22"/>
  <c r="B403" i="22"/>
  <c r="N396" i="22"/>
  <c r="N392" i="22"/>
  <c r="N388" i="22"/>
  <c r="N384" i="22"/>
  <c r="N380" i="22"/>
  <c r="N376" i="22"/>
  <c r="N372" i="22"/>
  <c r="N368" i="22"/>
  <c r="N364" i="22"/>
  <c r="V360" i="22"/>
  <c r="Q357" i="22"/>
  <c r="L354" i="22"/>
  <c r="T496" i="22"/>
  <c r="N475" i="22"/>
  <c r="H467" i="22"/>
  <c r="C464" i="22"/>
  <c r="V461" i="22"/>
  <c r="V459" i="22"/>
  <c r="L457" i="22"/>
  <c r="L455" i="22"/>
  <c r="L453" i="22"/>
  <c r="A451" i="22"/>
  <c r="A449" i="22"/>
  <c r="A447" i="22"/>
  <c r="Q444" i="22"/>
  <c r="Q442" i="22"/>
  <c r="Q440" i="22"/>
  <c r="E438" i="22"/>
  <c r="E436" i="22"/>
  <c r="E434" i="22"/>
  <c r="V431" i="22"/>
  <c r="V429" i="22"/>
  <c r="V427" i="22"/>
  <c r="L425" i="22"/>
  <c r="L423" i="22"/>
  <c r="L421" i="22"/>
  <c r="A419" i="22"/>
  <c r="A417" i="22"/>
  <c r="A415" i="22"/>
  <c r="Q412" i="22"/>
  <c r="Q410" i="22"/>
  <c r="Q408" i="22"/>
  <c r="E406" i="22"/>
  <c r="E404" i="22"/>
  <c r="E402" i="22"/>
  <c r="V399" i="22"/>
  <c r="B398" i="22"/>
  <c r="F396" i="22"/>
  <c r="F394" i="22"/>
  <c r="X392" i="22"/>
  <c r="B391" i="22"/>
  <c r="B389" i="22"/>
  <c r="F387" i="22"/>
  <c r="X385" i="22"/>
  <c r="X383" i="22"/>
  <c r="B382" i="22"/>
  <c r="F380" i="22"/>
  <c r="F378" i="22"/>
  <c r="X376" i="22"/>
  <c r="B375" i="22"/>
  <c r="B373" i="22"/>
  <c r="F371" i="22"/>
  <c r="X369" i="22"/>
  <c r="X367" i="22"/>
  <c r="B366" i="22"/>
  <c r="F364" i="22"/>
  <c r="D362" i="22"/>
  <c r="T360" i="22"/>
  <c r="O359" i="22"/>
  <c r="D358" i="22"/>
  <c r="T356" i="22"/>
  <c r="T524" i="22"/>
  <c r="J502" i="22"/>
  <c r="H487" i="22"/>
  <c r="N482" i="22"/>
  <c r="C476" i="22"/>
  <c r="C472" i="22"/>
  <c r="J470" i="22"/>
  <c r="J468" i="22"/>
  <c r="J466" i="22"/>
  <c r="J464" i="22"/>
  <c r="F461" i="22"/>
  <c r="X458" i="22"/>
  <c r="B456" i="22"/>
  <c r="F453" i="22"/>
  <c r="X450" i="22"/>
  <c r="B448" i="22"/>
  <c r="F445" i="22"/>
  <c r="X442" i="22"/>
  <c r="B440" i="22"/>
  <c r="F437" i="22"/>
  <c r="X434" i="22"/>
  <c r="B432" i="22"/>
  <c r="F429" i="22"/>
  <c r="X426" i="22"/>
  <c r="B424" i="22"/>
  <c r="F421" i="22"/>
  <c r="X418" i="22"/>
  <c r="B416" i="22"/>
  <c r="F413" i="22"/>
  <c r="X410" i="22"/>
  <c r="B408" i="22"/>
  <c r="F405" i="22"/>
  <c r="X402" i="22"/>
  <c r="B400" i="22"/>
  <c r="Q398" i="22"/>
  <c r="V397" i="22"/>
  <c r="A397" i="22"/>
  <c r="E396" i="22"/>
  <c r="L395" i="22"/>
  <c r="Q394" i="22"/>
  <c r="V393" i="22"/>
  <c r="A393" i="22"/>
  <c r="E392" i="22"/>
  <c r="L391" i="22"/>
  <c r="Q390" i="22"/>
  <c r="V389" i="22"/>
  <c r="A389" i="22"/>
  <c r="E388" i="22"/>
  <c r="L387" i="22"/>
  <c r="Q386" i="22"/>
  <c r="V385" i="22"/>
  <c r="A385" i="22"/>
  <c r="E384" i="22"/>
  <c r="L383" i="22"/>
  <c r="Q382" i="22"/>
  <c r="V381" i="22"/>
  <c r="A381" i="22"/>
  <c r="E380" i="22"/>
  <c r="L379" i="22"/>
  <c r="Q378" i="22"/>
  <c r="V377" i="22"/>
  <c r="A377" i="22"/>
  <c r="E376" i="22"/>
  <c r="L375" i="22"/>
  <c r="Q374" i="22"/>
  <c r="V373" i="22"/>
  <c r="A373" i="22"/>
  <c r="E372" i="22"/>
  <c r="L371" i="22"/>
  <c r="Q370" i="22"/>
  <c r="V369" i="22"/>
  <c r="A369" i="22"/>
  <c r="E368" i="22"/>
  <c r="L367" i="22"/>
  <c r="Q366" i="22"/>
  <c r="V365" i="22"/>
  <c r="A365" i="22"/>
  <c r="E364" i="22"/>
  <c r="D363" i="22"/>
  <c r="C362" i="22"/>
  <c r="C361" i="22"/>
  <c r="C360" i="22"/>
  <c r="C359" i="22"/>
  <c r="C358" i="22"/>
  <c r="C357" i="22"/>
  <c r="C356" i="22"/>
  <c r="C355" i="22"/>
  <c r="C354" i="22"/>
  <c r="C353" i="22"/>
  <c r="C352" i="22"/>
  <c r="C351" i="22"/>
  <c r="C350" i="22"/>
  <c r="C349" i="22"/>
  <c r="C348" i="22"/>
  <c r="C347" i="22"/>
  <c r="C346" i="22"/>
  <c r="C345" i="22"/>
  <c r="C344" i="22"/>
  <c r="C343" i="22"/>
  <c r="C342" i="22"/>
  <c r="C341" i="22"/>
  <c r="V566" i="22"/>
  <c r="N481" i="22"/>
  <c r="S468" i="22"/>
  <c r="L460" i="22"/>
  <c r="A454" i="22"/>
  <c r="Q447" i="22"/>
  <c r="E441" i="22"/>
  <c r="V434" i="22"/>
  <c r="L428" i="22"/>
  <c r="A422" i="22"/>
  <c r="Q415" i="22"/>
  <c r="E409" i="22"/>
  <c r="V402" i="22"/>
  <c r="T397" i="22"/>
  <c r="T393" i="22"/>
  <c r="T389" i="22"/>
  <c r="T385" i="22"/>
  <c r="T381" i="22"/>
  <c r="T377" i="22"/>
  <c r="T373" i="22"/>
  <c r="T369" i="22"/>
  <c r="T365" i="22"/>
  <c r="X359" i="22"/>
  <c r="T355" i="22"/>
  <c r="T353" i="22"/>
  <c r="Q352" i="22"/>
  <c r="O351" i="22"/>
  <c r="E350" i="22"/>
  <c r="Q348" i="22"/>
  <c r="O347" i="22"/>
  <c r="E346" i="22"/>
  <c r="Q344" i="22"/>
  <c r="O343" i="22"/>
  <c r="E342" i="22"/>
  <c r="Q340" i="22"/>
  <c r="N339" i="22"/>
  <c r="N338" i="22"/>
  <c r="N337" i="22"/>
  <c r="N336" i="22"/>
  <c r="N335" i="22"/>
  <c r="N334" i="22"/>
  <c r="N333" i="22"/>
  <c r="N332" i="22"/>
  <c r="N331" i="22"/>
  <c r="N330" i="22"/>
  <c r="N329" i="22"/>
  <c r="N328" i="22"/>
  <c r="N327" i="22"/>
  <c r="N326" i="22"/>
  <c r="N325" i="22"/>
  <c r="N324" i="22"/>
  <c r="N323" i="22"/>
  <c r="N322" i="22"/>
  <c r="N321" i="22"/>
  <c r="N320" i="22"/>
  <c r="N319" i="22"/>
  <c r="N318" i="22"/>
  <c r="N317" i="22"/>
  <c r="N316" i="22"/>
  <c r="N315" i="22"/>
  <c r="N314" i="22"/>
  <c r="N313" i="22"/>
  <c r="N312" i="22"/>
  <c r="N311" i="22"/>
  <c r="N310" i="22"/>
  <c r="N309" i="22"/>
  <c r="N308" i="22"/>
  <c r="N307" i="22"/>
  <c r="N306" i="22"/>
  <c r="N305" i="22"/>
  <c r="N304" i="22"/>
  <c r="N303" i="22"/>
  <c r="N302" i="22"/>
  <c r="N301" i="22"/>
  <c r="N300" i="22"/>
  <c r="N299" i="22"/>
  <c r="B298" i="22"/>
  <c r="X296" i="22"/>
  <c r="F295" i="22"/>
  <c r="B294" i="22"/>
  <c r="X292" i="22"/>
  <c r="F291" i="22"/>
  <c r="B290" i="22"/>
  <c r="X288" i="22"/>
  <c r="F287" i="22"/>
  <c r="B286" i="22"/>
  <c r="V284" i="22"/>
  <c r="A284" i="22"/>
  <c r="E283" i="22"/>
  <c r="L282" i="22"/>
  <c r="Q281" i="22"/>
  <c r="V280" i="22"/>
  <c r="A280" i="22"/>
  <c r="E279" i="22"/>
  <c r="L278" i="22"/>
  <c r="Q277" i="22"/>
  <c r="V276" i="22"/>
  <c r="A276" i="22"/>
  <c r="E275" i="22"/>
  <c r="L274" i="22"/>
  <c r="Q273" i="22"/>
  <c r="V272" i="22"/>
  <c r="A272" i="22"/>
  <c r="E271" i="22"/>
  <c r="T520" i="22"/>
  <c r="N477" i="22"/>
  <c r="S466" i="22"/>
  <c r="A460" i="22"/>
  <c r="Q453" i="22"/>
  <c r="E447" i="22"/>
  <c r="V440" i="22"/>
  <c r="L434" i="22"/>
  <c r="A428" i="22"/>
  <c r="Q421" i="22"/>
  <c r="E415" i="22"/>
  <c r="V408" i="22"/>
  <c r="L402" i="22"/>
  <c r="O397" i="22"/>
  <c r="O393" i="22"/>
  <c r="O389" i="22"/>
  <c r="O385" i="22"/>
  <c r="O381" i="22"/>
  <c r="O377" i="22"/>
  <c r="O373" i="22"/>
  <c r="O369" i="22"/>
  <c r="O365" i="22"/>
  <c r="F361" i="22"/>
  <c r="B356" i="22"/>
  <c r="J353" i="22"/>
  <c r="F352" i="22"/>
  <c r="L350" i="22"/>
  <c r="J349" i="22"/>
  <c r="F348" i="22"/>
  <c r="L346" i="22"/>
  <c r="J345" i="22"/>
  <c r="F344" i="22"/>
  <c r="L342" i="22"/>
  <c r="J341" i="22"/>
  <c r="F340" i="22"/>
  <c r="B339" i="22"/>
  <c r="X337" i="22"/>
  <c r="F336" i="22"/>
  <c r="B335" i="22"/>
  <c r="X333" i="22"/>
  <c r="F332" i="22"/>
  <c r="B331" i="22"/>
  <c r="X329" i="22"/>
  <c r="F328" i="22"/>
  <c r="B327" i="22"/>
  <c r="X325" i="22"/>
  <c r="F324" i="22"/>
  <c r="B323" i="22"/>
  <c r="X321" i="22"/>
  <c r="F320" i="22"/>
  <c r="B319" i="22"/>
  <c r="X317" i="22"/>
  <c r="F316" i="22"/>
  <c r="B315" i="22"/>
  <c r="X313" i="22"/>
  <c r="F312" i="22"/>
  <c r="B311" i="22"/>
  <c r="X309" i="22"/>
  <c r="F308" i="22"/>
  <c r="B307" i="22"/>
  <c r="X305" i="22"/>
  <c r="F304" i="22"/>
  <c r="B303" i="22"/>
  <c r="X301" i="22"/>
  <c r="F300" i="22"/>
  <c r="V298" i="22"/>
  <c r="A298" i="22"/>
  <c r="E297" i="22"/>
  <c r="L296" i="22"/>
  <c r="Q295" i="22"/>
  <c r="V294" i="22"/>
  <c r="A294" i="22"/>
  <c r="E293" i="22"/>
  <c r="L292" i="22"/>
  <c r="Q291" i="22"/>
  <c r="V290" i="22"/>
  <c r="A290" i="22"/>
  <c r="E289" i="22"/>
  <c r="L288" i="22"/>
  <c r="Q287" i="22"/>
  <c r="V286" i="22"/>
  <c r="A286" i="22"/>
  <c r="D285" i="22"/>
  <c r="D284" i="22"/>
  <c r="D283" i="22"/>
  <c r="D282" i="22"/>
  <c r="D281" i="22"/>
  <c r="D280" i="22"/>
  <c r="D279" i="22"/>
  <c r="D278" i="22"/>
  <c r="D277" i="22"/>
  <c r="D276" i="22"/>
  <c r="D275" i="22"/>
  <c r="D274" i="22"/>
  <c r="D273" i="22"/>
  <c r="D272" i="22"/>
  <c r="C483" i="22"/>
  <c r="N469" i="22"/>
  <c r="E461" i="22"/>
  <c r="V454" i="22"/>
  <c r="L448" i="22"/>
  <c r="A442" i="22"/>
  <c r="Q435" i="22"/>
  <c r="E429" i="22"/>
  <c r="V422" i="22"/>
  <c r="L416" i="22"/>
  <c r="A410" i="22"/>
  <c r="Q403" i="22"/>
  <c r="J397" i="22"/>
  <c r="J393" i="22"/>
  <c r="J389" i="22"/>
  <c r="J385" i="22"/>
  <c r="J381" i="22"/>
  <c r="J377" i="22"/>
  <c r="J373" i="22"/>
  <c r="J369" i="22"/>
  <c r="J365" i="22"/>
  <c r="B361" i="22"/>
  <c r="J356" i="22"/>
  <c r="J354" i="22"/>
  <c r="T352" i="22"/>
  <c r="X350" i="22"/>
  <c r="V349" i="22"/>
  <c r="T348" i="22"/>
  <c r="X346" i="22"/>
  <c r="V345" i="22"/>
  <c r="T344" i="22"/>
  <c r="X342" i="22"/>
  <c r="V341" i="22"/>
  <c r="T340" i="22"/>
  <c r="Q339" i="22"/>
  <c r="V338" i="22"/>
  <c r="A338" i="22"/>
  <c r="E337" i="22"/>
  <c r="L336" i="22"/>
  <c r="Q335" i="22"/>
  <c r="V334" i="22"/>
  <c r="A334" i="22"/>
  <c r="E333" i="22"/>
  <c r="L332" i="22"/>
  <c r="Q331" i="22"/>
  <c r="V330" i="22"/>
  <c r="A330" i="22"/>
  <c r="E329" i="22"/>
  <c r="L328" i="22"/>
  <c r="Q327" i="22"/>
  <c r="V326" i="22"/>
  <c r="A326" i="22"/>
  <c r="E325" i="22"/>
  <c r="L324" i="22"/>
  <c r="Q323" i="22"/>
  <c r="V322" i="22"/>
  <c r="A322" i="22"/>
  <c r="E321" i="22"/>
  <c r="L320" i="22"/>
  <c r="Q319" i="22"/>
  <c r="V318" i="22"/>
  <c r="A318" i="22"/>
  <c r="E317" i="22"/>
  <c r="L316" i="22"/>
  <c r="Q315" i="22"/>
  <c r="V314" i="22"/>
  <c r="A314" i="22"/>
  <c r="E313" i="22"/>
  <c r="L312" i="22"/>
  <c r="Q311" i="22"/>
  <c r="V310" i="22"/>
  <c r="A310" i="22"/>
  <c r="E309" i="22"/>
  <c r="L308" i="22"/>
  <c r="Q307" i="22"/>
  <c r="V306" i="22"/>
  <c r="A306" i="22"/>
  <c r="E305" i="22"/>
  <c r="L304" i="22"/>
  <c r="Q303" i="22"/>
  <c r="V302" i="22"/>
  <c r="A302" i="22"/>
  <c r="E301" i="22"/>
  <c r="L300" i="22"/>
  <c r="Q299" i="22"/>
  <c r="J298" i="22"/>
  <c r="J297" i="22"/>
  <c r="J296" i="22"/>
  <c r="J295" i="22"/>
  <c r="J294" i="22"/>
  <c r="E570" i="22"/>
  <c r="E543" i="22"/>
  <c r="A530" i="22"/>
  <c r="A593" i="22"/>
  <c r="B514" i="22"/>
  <c r="D576" i="22"/>
  <c r="L519" i="22"/>
  <c r="Q506" i="22"/>
  <c r="V493" i="22"/>
  <c r="O504" i="22"/>
  <c r="X472" i="22"/>
  <c r="T453" i="22"/>
  <c r="T437" i="22"/>
  <c r="T421" i="22"/>
  <c r="T405" i="22"/>
  <c r="D501" i="22"/>
  <c r="Q480" i="22"/>
  <c r="L476" i="22"/>
  <c r="A472" i="22"/>
  <c r="V467" i="22"/>
  <c r="Q463" i="22"/>
  <c r="S457" i="22"/>
  <c r="N452" i="22"/>
  <c r="H447" i="22"/>
  <c r="S441" i="22"/>
  <c r="N436" i="22"/>
  <c r="H431" i="22"/>
  <c r="S425" i="22"/>
  <c r="N420" i="22"/>
  <c r="H415" i="22"/>
  <c r="N410" i="22"/>
  <c r="N406" i="22"/>
  <c r="N402" i="22"/>
  <c r="T581" i="22"/>
  <c r="J519" i="22"/>
  <c r="J503" i="22"/>
  <c r="J488" i="22"/>
  <c r="J484" i="22"/>
  <c r="J480" i="22"/>
  <c r="J476" i="22"/>
  <c r="J472" i="22"/>
  <c r="N488" i="22"/>
  <c r="N472" i="22"/>
  <c r="D464" i="22"/>
  <c r="X453" i="22"/>
  <c r="B443" i="22"/>
  <c r="F432" i="22"/>
  <c r="X421" i="22"/>
  <c r="B411" i="22"/>
  <c r="F400" i="22"/>
  <c r="N395" i="22"/>
  <c r="N391" i="22"/>
  <c r="N387" i="22"/>
  <c r="N383" i="22"/>
  <c r="N379" i="22"/>
  <c r="N375" i="22"/>
  <c r="N371" i="22"/>
  <c r="N367" i="22"/>
  <c r="N363" i="22"/>
  <c r="A360" i="22"/>
  <c r="V356" i="22"/>
  <c r="Q353" i="22"/>
  <c r="N487" i="22"/>
  <c r="S471" i="22"/>
  <c r="C466" i="22"/>
  <c r="S463" i="22"/>
  <c r="L461" i="22"/>
  <c r="A459" i="22"/>
  <c r="A457" i="22"/>
  <c r="A455" i="22"/>
  <c r="Q452" i="22"/>
  <c r="Q450" i="22"/>
  <c r="Q448" i="22"/>
  <c r="E446" i="22"/>
  <c r="E444" i="22"/>
  <c r="E442" i="22"/>
  <c r="V439" i="22"/>
  <c r="V437" i="22"/>
  <c r="V435" i="22"/>
  <c r="L433" i="22"/>
  <c r="L431" i="22"/>
  <c r="L429" i="22"/>
  <c r="A427" i="22"/>
  <c r="A425" i="22"/>
  <c r="A423" i="22"/>
  <c r="Q420" i="22"/>
  <c r="Q418" i="22"/>
  <c r="Q416" i="22"/>
  <c r="E414" i="22"/>
  <c r="E412" i="22"/>
  <c r="E410" i="22"/>
  <c r="V407" i="22"/>
  <c r="V405" i="22"/>
  <c r="V403" i="22"/>
  <c r="L401" i="22"/>
  <c r="L399" i="22"/>
  <c r="X397" i="22"/>
  <c r="X395" i="22"/>
  <c r="B394" i="22"/>
  <c r="F392" i="22"/>
  <c r="F390" i="22"/>
  <c r="X388" i="22"/>
  <c r="B387" i="22"/>
  <c r="B385" i="22"/>
  <c r="F383" i="22"/>
  <c r="X381" i="22"/>
  <c r="X379" i="22"/>
  <c r="B378" i="22"/>
  <c r="F376" i="22"/>
  <c r="F374" i="22"/>
  <c r="X372" i="22"/>
  <c r="B371" i="22"/>
  <c r="B369" i="22"/>
  <c r="F367" i="22"/>
  <c r="X365" i="22"/>
  <c r="X363" i="22"/>
  <c r="T361" i="22"/>
  <c r="O360" i="22"/>
  <c r="D359" i="22"/>
  <c r="T357" i="22"/>
  <c r="O356" i="22"/>
  <c r="J518" i="22"/>
  <c r="D499" i="22"/>
  <c r="N486" i="22"/>
  <c r="C480" i="22"/>
  <c r="H475" i="22"/>
  <c r="O471" i="22"/>
  <c r="O469" i="22"/>
  <c r="O467" i="22"/>
  <c r="O465" i="22"/>
  <c r="O463" i="22"/>
  <c r="X460" i="22"/>
  <c r="B458" i="22"/>
  <c r="F455" i="22"/>
  <c r="X452" i="22"/>
  <c r="B450" i="22"/>
  <c r="F447" i="22"/>
  <c r="X444" i="22"/>
  <c r="B442" i="22"/>
  <c r="F439" i="22"/>
  <c r="X436" i="22"/>
  <c r="B434" i="22"/>
  <c r="F431" i="22"/>
  <c r="X428" i="22"/>
  <c r="B426" i="22"/>
  <c r="F423" i="22"/>
  <c r="X420" i="22"/>
  <c r="B418" i="22"/>
  <c r="F415" i="22"/>
  <c r="X412" i="22"/>
  <c r="B410" i="22"/>
  <c r="F407" i="22"/>
  <c r="X404" i="22"/>
  <c r="B402" i="22"/>
  <c r="F399" i="22"/>
  <c r="L398" i="22"/>
  <c r="Q397" i="22"/>
  <c r="V396" i="22"/>
  <c r="A396" i="22"/>
  <c r="E395" i="22"/>
  <c r="L394" i="22"/>
  <c r="Q393" i="22"/>
  <c r="V392" i="22"/>
  <c r="A392" i="22"/>
  <c r="E391" i="22"/>
  <c r="L390" i="22"/>
  <c r="Q389" i="22"/>
  <c r="V388" i="22"/>
  <c r="A388" i="22"/>
  <c r="E387" i="22"/>
  <c r="L386" i="22"/>
  <c r="Q385" i="22"/>
  <c r="V384" i="22"/>
  <c r="A384" i="22"/>
  <c r="E383" i="22"/>
  <c r="L382" i="22"/>
  <c r="Q381" i="22"/>
  <c r="V380" i="22"/>
  <c r="A380" i="22"/>
  <c r="E379" i="22"/>
  <c r="L378" i="22"/>
  <c r="Q377" i="22"/>
  <c r="V376" i="22"/>
  <c r="A376" i="22"/>
  <c r="E375" i="22"/>
  <c r="L374" i="22"/>
  <c r="Q373" i="22"/>
  <c r="V372" i="22"/>
  <c r="A372" i="22"/>
  <c r="E371" i="22"/>
  <c r="L370" i="22"/>
  <c r="Q369" i="22"/>
  <c r="V368" i="22"/>
  <c r="A368" i="22"/>
  <c r="E367" i="22"/>
  <c r="L366" i="22"/>
  <c r="Q365" i="22"/>
  <c r="V364" i="22"/>
  <c r="A364" i="22"/>
  <c r="S362" i="22"/>
  <c r="S361" i="22"/>
  <c r="S360" i="22"/>
  <c r="S359" i="22"/>
  <c r="S358" i="22"/>
  <c r="S357" i="22"/>
  <c r="S356" i="22"/>
  <c r="S355" i="22"/>
  <c r="S354" i="22"/>
  <c r="S353" i="22"/>
  <c r="S352" i="22"/>
  <c r="S351" i="22"/>
  <c r="S350" i="22"/>
  <c r="S349" i="22"/>
  <c r="S348" i="22"/>
  <c r="S347" i="22"/>
  <c r="S346" i="22"/>
  <c r="S345" i="22"/>
  <c r="S344" i="22"/>
  <c r="S343" i="22"/>
  <c r="S342" i="22"/>
  <c r="S341" i="22"/>
  <c r="S340" i="22"/>
  <c r="D511" i="22"/>
  <c r="H478" i="22"/>
  <c r="C467" i="22"/>
  <c r="V458" i="22"/>
  <c r="L452" i="22"/>
  <c r="A446" i="22"/>
  <c r="Q439" i="22"/>
  <c r="E433" i="22"/>
  <c r="V426" i="22"/>
  <c r="L420" i="22"/>
  <c r="A414" i="22"/>
  <c r="Q407" i="22"/>
  <c r="E401" i="22"/>
  <c r="D396" i="22"/>
  <c r="D392" i="22"/>
  <c r="D388" i="22"/>
  <c r="D384" i="22"/>
  <c r="D380" i="22"/>
  <c r="D376" i="22"/>
  <c r="D372" i="22"/>
  <c r="D368" i="22"/>
  <c r="D364" i="22"/>
  <c r="B359" i="22"/>
  <c r="J355" i="22"/>
  <c r="L353" i="22"/>
  <c r="J352" i="22"/>
  <c r="F351" i="22"/>
  <c r="L349" i="22"/>
  <c r="J348" i="22"/>
  <c r="F347" i="22"/>
  <c r="L345" i="22"/>
  <c r="J344" i="22"/>
  <c r="F343" i="22"/>
  <c r="L341" i="22"/>
  <c r="J340" i="22"/>
  <c r="H339" i="22"/>
  <c r="H338" i="22"/>
  <c r="H337" i="22"/>
  <c r="H336" i="22"/>
  <c r="H335" i="22"/>
  <c r="H334" i="22"/>
  <c r="H333" i="22"/>
  <c r="H332" i="22"/>
  <c r="H331" i="22"/>
  <c r="H330" i="22"/>
  <c r="H329" i="22"/>
  <c r="H328" i="22"/>
  <c r="H327" i="22"/>
  <c r="H326" i="22"/>
  <c r="H325" i="22"/>
  <c r="H324" i="22"/>
  <c r="H323" i="22"/>
  <c r="H322" i="22"/>
  <c r="H321" i="22"/>
  <c r="H320" i="22"/>
  <c r="H319" i="22"/>
  <c r="H318" i="22"/>
  <c r="H317" i="22"/>
  <c r="H316" i="22"/>
  <c r="H315" i="22"/>
  <c r="H314" i="22"/>
  <c r="H313" i="22"/>
  <c r="H312" i="22"/>
  <c r="H311" i="22"/>
  <c r="H310" i="22"/>
  <c r="H309" i="22"/>
  <c r="H308" i="22"/>
  <c r="H307" i="22"/>
  <c r="H306" i="22"/>
  <c r="H305" i="22"/>
  <c r="H304" i="22"/>
  <c r="H303" i="22"/>
  <c r="H302" i="22"/>
  <c r="H301" i="22"/>
  <c r="H300" i="22"/>
  <c r="B299" i="22"/>
  <c r="X297" i="22"/>
  <c r="F296" i="22"/>
  <c r="B295" i="22"/>
  <c r="X293" i="22"/>
  <c r="F292" i="22"/>
  <c r="B291" i="22"/>
  <c r="X289" i="22"/>
  <c r="F288" i="22"/>
  <c r="B287" i="22"/>
  <c r="X285" i="22"/>
  <c r="Q284" i="22"/>
  <c r="V283" i="22"/>
  <c r="A283" i="22"/>
  <c r="E282" i="22"/>
  <c r="L281" i="22"/>
  <c r="Q280" i="22"/>
  <c r="V279" i="22"/>
  <c r="A279" i="22"/>
  <c r="E278" i="22"/>
  <c r="L277" i="22"/>
  <c r="Q276" i="22"/>
  <c r="V275" i="22"/>
  <c r="A275" i="22"/>
  <c r="E274" i="22"/>
  <c r="L273" i="22"/>
  <c r="Q272" i="22"/>
  <c r="V271" i="22"/>
  <c r="A271" i="22"/>
  <c r="D495" i="22"/>
  <c r="H474" i="22"/>
  <c r="C465" i="22"/>
  <c r="L458" i="22"/>
  <c r="A452" i="22"/>
  <c r="Q445" i="22"/>
  <c r="E439" i="22"/>
  <c r="V432" i="22"/>
  <c r="L426" i="22"/>
  <c r="A420" i="22"/>
  <c r="Q413" i="22"/>
  <c r="E407" i="22"/>
  <c r="V400" i="22"/>
  <c r="T396" i="22"/>
  <c r="T392" i="22"/>
  <c r="T388" i="22"/>
  <c r="T384" i="22"/>
  <c r="T380" i="22"/>
  <c r="T376" i="22"/>
  <c r="T372" i="22"/>
  <c r="T368" i="22"/>
  <c r="T364" i="22"/>
  <c r="X358" i="22"/>
  <c r="F355" i="22"/>
  <c r="B353" i="22"/>
  <c r="A352" i="22"/>
  <c r="D350" i="22"/>
  <c r="B349" i="22"/>
  <c r="A348" i="22"/>
  <c r="D346" i="22"/>
  <c r="B345" i="22"/>
  <c r="A344" i="22"/>
  <c r="D342" i="22"/>
  <c r="B341" i="22"/>
  <c r="B340" i="22"/>
  <c r="X338" i="22"/>
  <c r="F337" i="22"/>
  <c r="B336" i="22"/>
  <c r="X334" i="22"/>
  <c r="F333" i="22"/>
  <c r="B332" i="22"/>
  <c r="X330" i="22"/>
  <c r="F329" i="22"/>
  <c r="B328" i="22"/>
  <c r="X326" i="22"/>
  <c r="F325" i="22"/>
  <c r="B324" i="22"/>
  <c r="X322" i="22"/>
  <c r="F321" i="22"/>
  <c r="B320" i="22"/>
  <c r="X318" i="22"/>
  <c r="F317" i="22"/>
  <c r="B316" i="22"/>
  <c r="X314" i="22"/>
  <c r="F313" i="22"/>
  <c r="B312" i="22"/>
  <c r="X310" i="22"/>
  <c r="F309" i="22"/>
  <c r="B308" i="22"/>
  <c r="X306" i="22"/>
  <c r="F305" i="22"/>
  <c r="B304" i="22"/>
  <c r="X302" i="22"/>
  <c r="F301" i="22"/>
  <c r="B300" i="22"/>
  <c r="Q298" i="22"/>
  <c r="V297" i="22"/>
  <c r="A297" i="22"/>
  <c r="E296" i="22"/>
  <c r="L295" i="22"/>
  <c r="Q294" i="22"/>
  <c r="V293" i="22"/>
  <c r="A293" i="22"/>
  <c r="E292" i="22"/>
  <c r="L291" i="22"/>
  <c r="Q290" i="22"/>
  <c r="V289" i="22"/>
  <c r="A289" i="22"/>
  <c r="E288" i="22"/>
  <c r="L287" i="22"/>
  <c r="Q286" i="22"/>
  <c r="V285" i="22"/>
  <c r="T284" i="22"/>
  <c r="T283" i="22"/>
  <c r="T282" i="22"/>
  <c r="T281" i="22"/>
  <c r="F607" i="22"/>
  <c r="T560" i="22"/>
  <c r="C513" i="22"/>
  <c r="J528" i="22"/>
  <c r="X499" i="22"/>
  <c r="E526" i="22"/>
  <c r="A513" i="22"/>
  <c r="E500" i="22"/>
  <c r="N562" i="22"/>
  <c r="F483" i="22"/>
  <c r="T461" i="22"/>
  <c r="T445" i="22"/>
  <c r="T429" i="22"/>
  <c r="T413" i="22"/>
  <c r="N558" i="22"/>
  <c r="Q484" i="22"/>
  <c r="L478" i="22"/>
  <c r="E474" i="22"/>
  <c r="A470" i="22"/>
  <c r="Q465" i="22"/>
  <c r="N460" i="22"/>
  <c r="H455" i="22"/>
  <c r="S449" i="22"/>
  <c r="N444" i="22"/>
  <c r="H439" i="22"/>
  <c r="S433" i="22"/>
  <c r="N428" i="22"/>
  <c r="H423" i="22"/>
  <c r="S417" i="22"/>
  <c r="N412" i="22"/>
  <c r="N408" i="22"/>
  <c r="N404" i="22"/>
  <c r="N400" i="22"/>
  <c r="J534" i="22"/>
  <c r="J511" i="22"/>
  <c r="J495" i="22"/>
  <c r="J486" i="22"/>
  <c r="J482" i="22"/>
  <c r="J478" i="22"/>
  <c r="J474" i="22"/>
  <c r="T516" i="22"/>
  <c r="N480" i="22"/>
  <c r="D468" i="22"/>
  <c r="B459" i="22"/>
  <c r="F448" i="22"/>
  <c r="X437" i="22"/>
  <c r="B427" i="22"/>
  <c r="F416" i="22"/>
  <c r="X405" i="22"/>
  <c r="N397" i="22"/>
  <c r="N393" i="22"/>
  <c r="N389" i="22"/>
  <c r="N385" i="22"/>
  <c r="N381" i="22"/>
  <c r="N377" i="22"/>
  <c r="N373" i="22"/>
  <c r="N369" i="22"/>
  <c r="N365" i="22"/>
  <c r="Q361" i="22"/>
  <c r="L358" i="22"/>
  <c r="E355" i="22"/>
  <c r="T512" i="22"/>
  <c r="N479" i="22"/>
  <c r="S467" i="22"/>
  <c r="H465" i="22"/>
  <c r="E462" i="22"/>
  <c r="E460" i="22"/>
  <c r="E458" i="22"/>
  <c r="V455" i="22"/>
  <c r="V453" i="22"/>
  <c r="V451" i="22"/>
  <c r="L449" i="22"/>
  <c r="L447" i="22"/>
  <c r="L445" i="22"/>
  <c r="A443" i="22"/>
  <c r="A441" i="22"/>
  <c r="A439" i="22"/>
  <c r="Q436" i="22"/>
  <c r="Q434" i="22"/>
  <c r="Q432" i="22"/>
  <c r="E430" i="22"/>
  <c r="E428" i="22"/>
  <c r="E426" i="22"/>
  <c r="V423" i="22"/>
  <c r="V421" i="22"/>
  <c r="V419" i="22"/>
  <c r="L417" i="22"/>
  <c r="L415" i="22"/>
  <c r="L413" i="22"/>
  <c r="A411" i="22"/>
  <c r="A409" i="22"/>
  <c r="A407" i="22"/>
  <c r="Q404" i="22"/>
  <c r="Q402" i="22"/>
  <c r="Q400" i="22"/>
  <c r="F398" i="22"/>
  <c r="X396" i="22"/>
  <c r="B395" i="22"/>
  <c r="B393" i="22"/>
  <c r="F391" i="22"/>
  <c r="X389" i="22"/>
  <c r="X387" i="22"/>
  <c r="B386" i="22"/>
  <c r="F384" i="22"/>
  <c r="F382" i="22"/>
  <c r="X380" i="22"/>
  <c r="B379" i="22"/>
  <c r="B377" i="22"/>
  <c r="F375" i="22"/>
  <c r="X373" i="22"/>
  <c r="X371" i="22"/>
  <c r="B370" i="22"/>
  <c r="F368" i="22"/>
  <c r="F366" i="22"/>
  <c r="X364" i="22"/>
  <c r="O362" i="22"/>
  <c r="D361" i="22"/>
  <c r="T359" i="22"/>
  <c r="O358" i="22"/>
  <c r="D357" i="22"/>
  <c r="J530" i="22"/>
  <c r="T508" i="22"/>
  <c r="C488" i="22"/>
  <c r="H483" i="22"/>
  <c r="N478" i="22"/>
  <c r="S473" i="22"/>
  <c r="T470" i="22"/>
  <c r="T468" i="22"/>
  <c r="T466" i="22"/>
  <c r="T464" i="22"/>
  <c r="B462" i="22"/>
  <c r="F459" i="22"/>
  <c r="X456" i="22"/>
  <c r="B454" i="22"/>
  <c r="F451" i="22"/>
  <c r="X448" i="22"/>
  <c r="B446" i="22"/>
  <c r="F443" i="22"/>
  <c r="X440" i="22"/>
  <c r="B438" i="22"/>
  <c r="F435" i="22"/>
  <c r="X432" i="22"/>
  <c r="B430" i="22"/>
  <c r="F427" i="22"/>
  <c r="X424" i="22"/>
  <c r="B422" i="22"/>
  <c r="F419" i="22"/>
  <c r="X416" i="22"/>
  <c r="B414" i="22"/>
  <c r="F411" i="22"/>
  <c r="X408" i="22"/>
  <c r="B406" i="22"/>
  <c r="F403" i="22"/>
  <c r="X400" i="22"/>
  <c r="V398" i="22"/>
  <c r="A398" i="22"/>
  <c r="E397" i="22"/>
  <c r="L396" i="22"/>
  <c r="Q395" i="22"/>
  <c r="V394" i="22"/>
  <c r="A394" i="22"/>
  <c r="E393" i="22"/>
  <c r="L392" i="22"/>
  <c r="Q391" i="22"/>
  <c r="V390" i="22"/>
  <c r="A390" i="22"/>
  <c r="E389" i="22"/>
  <c r="L388" i="22"/>
  <c r="Q387" i="22"/>
  <c r="V386" i="22"/>
  <c r="A386" i="22"/>
  <c r="E385" i="22"/>
  <c r="L384" i="22"/>
  <c r="Q383" i="22"/>
  <c r="V382" i="22"/>
  <c r="A382" i="22"/>
  <c r="E381" i="22"/>
  <c r="L380" i="22"/>
  <c r="Q379" i="22"/>
  <c r="V378" i="22"/>
  <c r="A378" i="22"/>
  <c r="E377" i="22"/>
  <c r="L376" i="22"/>
  <c r="Q375" i="22"/>
  <c r="V374" i="22"/>
  <c r="A374" i="22"/>
  <c r="E373" i="22"/>
  <c r="L372" i="22"/>
  <c r="Q371" i="22"/>
  <c r="V370" i="22"/>
  <c r="A370" i="22"/>
  <c r="E369" i="22"/>
  <c r="L368" i="22"/>
  <c r="Q367" i="22"/>
  <c r="V366" i="22"/>
  <c r="A366" i="22"/>
  <c r="E365" i="22"/>
  <c r="L364" i="22"/>
  <c r="Q363" i="22"/>
  <c r="H362" i="22"/>
  <c r="H361" i="22"/>
  <c r="H360" i="22"/>
  <c r="H359" i="22"/>
  <c r="H358" i="22"/>
  <c r="H357" i="22"/>
  <c r="H356" i="22"/>
  <c r="H355" i="22"/>
  <c r="H354" i="22"/>
  <c r="H353" i="22"/>
  <c r="H352" i="22"/>
  <c r="H351" i="22"/>
  <c r="H350" i="22"/>
  <c r="H349" i="22"/>
  <c r="H348" i="22"/>
  <c r="H347" i="22"/>
  <c r="H346" i="22"/>
  <c r="H345" i="22"/>
  <c r="H344" i="22"/>
  <c r="H343" i="22"/>
  <c r="H342" i="22"/>
  <c r="H341" i="22"/>
  <c r="H340" i="22"/>
  <c r="S484" i="22"/>
  <c r="H470" i="22"/>
  <c r="A462" i="22"/>
  <c r="Q455" i="22"/>
  <c r="E449" i="22"/>
  <c r="V442" i="22"/>
  <c r="L436" i="22"/>
  <c r="A430" i="22"/>
  <c r="Q423" i="22"/>
  <c r="E417" i="22"/>
  <c r="V410" i="22"/>
  <c r="L404" i="22"/>
  <c r="O398" i="22"/>
  <c r="O394" i="22"/>
  <c r="O390" i="22"/>
  <c r="O386" i="22"/>
  <c r="O382" i="22"/>
  <c r="O378" i="22"/>
  <c r="O374" i="22"/>
  <c r="O370" i="22"/>
  <c r="O366" i="22"/>
  <c r="F362" i="22"/>
  <c r="D356" i="22"/>
  <c r="D354" i="22"/>
  <c r="X352" i="22"/>
  <c r="V351" i="22"/>
  <c r="T350" i="22"/>
  <c r="X348" i="22"/>
  <c r="V347" i="22"/>
  <c r="T346" i="22"/>
  <c r="X344" i="22"/>
  <c r="V343" i="22"/>
  <c r="T342" i="22"/>
  <c r="X340" i="22"/>
  <c r="S339" i="22"/>
  <c r="S338" i="22"/>
  <c r="S337" i="22"/>
  <c r="S336" i="22"/>
  <c r="S335" i="22"/>
  <c r="S334" i="22"/>
  <c r="S333" i="22"/>
  <c r="S332" i="22"/>
  <c r="S331" i="22"/>
  <c r="S330" i="22"/>
  <c r="S329" i="22"/>
  <c r="S328" i="22"/>
  <c r="S327" i="22"/>
  <c r="S326" i="22"/>
  <c r="S325" i="22"/>
  <c r="S324" i="22"/>
  <c r="S323" i="22"/>
  <c r="S322" i="22"/>
  <c r="S321" i="22"/>
  <c r="S320" i="22"/>
  <c r="S319" i="22"/>
  <c r="S318" i="22"/>
  <c r="S317" i="22"/>
  <c r="S316" i="22"/>
  <c r="S315" i="22"/>
  <c r="S314" i="22"/>
  <c r="S313" i="22"/>
  <c r="S312" i="22"/>
  <c r="S311" i="22"/>
  <c r="S310" i="22"/>
  <c r="S309" i="22"/>
  <c r="S308" i="22"/>
  <c r="S307" i="22"/>
  <c r="S306" i="22"/>
  <c r="S305" i="22"/>
  <c r="S304" i="22"/>
  <c r="S303" i="22"/>
  <c r="S302" i="22"/>
  <c r="S301" i="22"/>
  <c r="S300" i="22"/>
  <c r="S299" i="22"/>
  <c r="F298" i="22"/>
  <c r="B297" i="22"/>
  <c r="X295" i="22"/>
  <c r="F294" i="22"/>
  <c r="B293" i="22"/>
  <c r="X291" i="22"/>
  <c r="F290" i="22"/>
  <c r="B289" i="22"/>
  <c r="X287" i="22"/>
  <c r="F286" i="22"/>
  <c r="A285" i="22"/>
  <c r="E284" i="22"/>
  <c r="L283" i="22"/>
  <c r="Q282" i="22"/>
  <c r="V281" i="22"/>
  <c r="A281" i="22"/>
  <c r="E280" i="22"/>
  <c r="L279" i="22"/>
  <c r="Q278" i="22"/>
  <c r="V277" i="22"/>
  <c r="A277" i="22"/>
  <c r="E276" i="22"/>
  <c r="L275" i="22"/>
  <c r="Q274" i="22"/>
  <c r="V273" i="22"/>
  <c r="A273" i="22"/>
  <c r="E272" i="22"/>
  <c r="L271" i="22"/>
  <c r="S553" i="22"/>
  <c r="S480" i="22"/>
  <c r="H468" i="22"/>
  <c r="Q461" i="22"/>
  <c r="E455" i="22"/>
  <c r="V448" i="22"/>
  <c r="L442" i="22"/>
  <c r="A436" i="22"/>
  <c r="Q429" i="22"/>
  <c r="E423" i="22"/>
  <c r="V416" i="22"/>
  <c r="L410" i="22"/>
  <c r="A404" i="22"/>
  <c r="J398" i="22"/>
  <c r="J394" i="22"/>
  <c r="J390" i="22"/>
  <c r="J386" i="22"/>
  <c r="J382" i="22"/>
  <c r="J378" i="22"/>
  <c r="J374" i="22"/>
  <c r="J370" i="22"/>
  <c r="J366" i="22"/>
  <c r="B362" i="22"/>
  <c r="F357" i="22"/>
  <c r="B354" i="22"/>
  <c r="O352" i="22"/>
  <c r="E351" i="22"/>
  <c r="Q349" i="22"/>
  <c r="O348" i="22"/>
  <c r="E347" i="22"/>
  <c r="Q345" i="22"/>
  <c r="O344" i="22"/>
  <c r="E343" i="22"/>
  <c r="Q341" i="22"/>
  <c r="O340" i="22"/>
  <c r="F339" i="22"/>
  <c r="B338" i="22"/>
  <c r="X336" i="22"/>
  <c r="F335" i="22"/>
  <c r="B334" i="22"/>
  <c r="X332" i="22"/>
  <c r="F331" i="22"/>
  <c r="B330" i="22"/>
  <c r="X328" i="22"/>
  <c r="F327" i="22"/>
  <c r="B326" i="22"/>
  <c r="X324" i="22"/>
  <c r="F323" i="22"/>
  <c r="B322" i="22"/>
  <c r="X320" i="22"/>
  <c r="F319" i="22"/>
  <c r="B318" i="22"/>
  <c r="X316" i="22"/>
  <c r="F315" i="22"/>
  <c r="B314" i="22"/>
  <c r="X312" i="22"/>
  <c r="F311" i="22"/>
  <c r="B310" i="22"/>
  <c r="X308" i="22"/>
  <c r="F307" i="22"/>
  <c r="B306" i="22"/>
  <c r="X304" i="22"/>
  <c r="F303" i="22"/>
  <c r="B302" i="22"/>
  <c r="X300" i="22"/>
  <c r="A299" i="22"/>
  <c r="E298" i="22"/>
  <c r="L297" i="22"/>
  <c r="Q296" i="22"/>
  <c r="V295" i="22"/>
  <c r="A295" i="22"/>
  <c r="E294" i="22"/>
  <c r="L293" i="22"/>
  <c r="Q292" i="22"/>
  <c r="V291" i="22"/>
  <c r="A291" i="22"/>
  <c r="E290" i="22"/>
  <c r="L289" i="22"/>
  <c r="Q288" i="22"/>
  <c r="V287" i="22"/>
  <c r="A287" i="22"/>
  <c r="E286" i="22"/>
  <c r="J285" i="22"/>
  <c r="J284" i="22"/>
  <c r="J283" i="22"/>
  <c r="J282" i="22"/>
  <c r="E602" i="22"/>
  <c r="N547" i="22"/>
  <c r="T488" i="22"/>
  <c r="T417" i="22"/>
  <c r="E475" i="22"/>
  <c r="N456" i="22"/>
  <c r="H435" i="22"/>
  <c r="S413" i="22"/>
  <c r="H551" i="22"/>
  <c r="J483" i="22"/>
  <c r="N484" i="22"/>
  <c r="F440" i="22"/>
  <c r="N398" i="22"/>
  <c r="N382" i="22"/>
  <c r="N366" i="22"/>
  <c r="O533" i="22"/>
  <c r="B463" i="22"/>
  <c r="E454" i="22"/>
  <c r="V445" i="22"/>
  <c r="L437" i="22"/>
  <c r="Q428" i="22"/>
  <c r="E420" i="22"/>
  <c r="V411" i="22"/>
  <c r="A403" i="22"/>
  <c r="F395" i="22"/>
  <c r="F388" i="22"/>
  <c r="B381" i="22"/>
  <c r="B374" i="22"/>
  <c r="B367" i="22"/>
  <c r="D360" i="22"/>
  <c r="D515" i="22"/>
  <c r="N474" i="22"/>
  <c r="D465" i="22"/>
  <c r="X454" i="22"/>
  <c r="B444" i="22"/>
  <c r="F433" i="22"/>
  <c r="X422" i="22"/>
  <c r="B412" i="22"/>
  <c r="F401" i="22"/>
  <c r="Q396" i="22"/>
  <c r="L393" i="22"/>
  <c r="E390" i="22"/>
  <c r="A387" i="22"/>
  <c r="V383" i="22"/>
  <c r="Q380" i="22"/>
  <c r="L377" i="22"/>
  <c r="E374" i="22"/>
  <c r="A371" i="22"/>
  <c r="V367" i="22"/>
  <c r="Q364" i="22"/>
  <c r="N360" i="22"/>
  <c r="N356" i="22"/>
  <c r="N352" i="22"/>
  <c r="N348" i="22"/>
  <c r="N344" i="22"/>
  <c r="N340" i="22"/>
  <c r="E457" i="22"/>
  <c r="Q431" i="22"/>
  <c r="A406" i="22"/>
  <c r="J387" i="22"/>
  <c r="J371" i="22"/>
  <c r="O354" i="22"/>
  <c r="D349" i="22"/>
  <c r="B344" i="22"/>
  <c r="C339" i="22"/>
  <c r="C335" i="22"/>
  <c r="C331" i="22"/>
  <c r="C327" i="22"/>
  <c r="C323" i="22"/>
  <c r="C319" i="22"/>
  <c r="C315" i="22"/>
  <c r="C311" i="22"/>
  <c r="C307" i="22"/>
  <c r="C303" i="22"/>
  <c r="X298" i="22"/>
  <c r="F293" i="22"/>
  <c r="B288" i="22"/>
  <c r="Q283" i="22"/>
  <c r="L280" i="22"/>
  <c r="E277" i="22"/>
  <c r="A274" i="22"/>
  <c r="V270" i="22"/>
  <c r="V456" i="22"/>
  <c r="E431" i="22"/>
  <c r="Q405" i="22"/>
  <c r="D387" i="22"/>
  <c r="D371" i="22"/>
  <c r="X354" i="22"/>
  <c r="V348" i="22"/>
  <c r="T343" i="22"/>
  <c r="F338" i="22"/>
  <c r="B333" i="22"/>
  <c r="X327" i="22"/>
  <c r="F322" i="22"/>
  <c r="B317" i="22"/>
  <c r="X311" i="22"/>
  <c r="F306" i="22"/>
  <c r="B301" i="22"/>
  <c r="V296" i="22"/>
  <c r="Q293" i="22"/>
  <c r="L290" i="22"/>
  <c r="E287" i="22"/>
  <c r="O283" i="22"/>
  <c r="T280" i="22"/>
  <c r="O279" i="22"/>
  <c r="J278" i="22"/>
  <c r="T276" i="22"/>
  <c r="O275" i="22"/>
  <c r="J274" i="22"/>
  <c r="T272" i="22"/>
  <c r="T504" i="22"/>
  <c r="C471" i="22"/>
  <c r="Q459" i="22"/>
  <c r="Q451" i="22"/>
  <c r="Q443" i="22"/>
  <c r="A434" i="22"/>
  <c r="A426" i="22"/>
  <c r="A418" i="22"/>
  <c r="L408" i="22"/>
  <c r="L400" i="22"/>
  <c r="D394" i="22"/>
  <c r="O388" i="22"/>
  <c r="T383" i="22"/>
  <c r="D378" i="22"/>
  <c r="O372" i="22"/>
  <c r="T367" i="22"/>
  <c r="X361" i="22"/>
  <c r="O355" i="22"/>
  <c r="F353" i="22"/>
  <c r="D351" i="22"/>
  <c r="O349" i="22"/>
  <c r="L347" i="22"/>
  <c r="B346" i="22"/>
  <c r="E344" i="22"/>
  <c r="J342" i="22"/>
  <c r="A341" i="22"/>
  <c r="L339" i="22"/>
  <c r="L338" i="22"/>
  <c r="L337" i="22"/>
  <c r="E336" i="22"/>
  <c r="E335" i="22"/>
  <c r="E334" i="22"/>
  <c r="A333" i="22"/>
  <c r="A332" i="22"/>
  <c r="A331" i="22"/>
  <c r="V329" i="22"/>
  <c r="V328" i="22"/>
  <c r="V327" i="22"/>
  <c r="Q326" i="22"/>
  <c r="Q325" i="22"/>
  <c r="Q324" i="22"/>
  <c r="L323" i="22"/>
  <c r="L322" i="22"/>
  <c r="L321" i="22"/>
  <c r="E320" i="22"/>
  <c r="E319" i="22"/>
  <c r="E318" i="22"/>
  <c r="A317" i="22"/>
  <c r="A316" i="22"/>
  <c r="A315" i="22"/>
  <c r="V313" i="22"/>
  <c r="V312" i="22"/>
  <c r="V311" i="22"/>
  <c r="Q310" i="22"/>
  <c r="Q309" i="22"/>
  <c r="Q308" i="22"/>
  <c r="L307" i="22"/>
  <c r="L306" i="22"/>
  <c r="L305" i="22"/>
  <c r="E304" i="22"/>
  <c r="E303" i="22"/>
  <c r="E302" i="22"/>
  <c r="A301" i="22"/>
  <c r="A300" i="22"/>
  <c r="O298" i="22"/>
  <c r="D297" i="22"/>
  <c r="T295" i="22"/>
  <c r="O294" i="22"/>
  <c r="J293" i="22"/>
  <c r="J292" i="22"/>
  <c r="J291" i="22"/>
  <c r="J290" i="22"/>
  <c r="J289" i="22"/>
  <c r="J288" i="22"/>
  <c r="J287" i="22"/>
  <c r="J286" i="22"/>
  <c r="H285" i="22"/>
  <c r="H284" i="22"/>
  <c r="H283" i="22"/>
  <c r="H282" i="22"/>
  <c r="H281" i="22"/>
  <c r="H280" i="22"/>
  <c r="H279" i="22"/>
  <c r="H278" i="22"/>
  <c r="H277" i="22"/>
  <c r="H276" i="22"/>
  <c r="H275" i="22"/>
  <c r="H274" i="22"/>
  <c r="H273" i="22"/>
  <c r="H272" i="22"/>
  <c r="H271" i="22"/>
  <c r="H270" i="22"/>
  <c r="H269" i="22"/>
  <c r="H268" i="22"/>
  <c r="H267" i="22"/>
  <c r="H266" i="22"/>
  <c r="H265" i="22"/>
  <c r="H264" i="22"/>
  <c r="H263" i="22"/>
  <c r="H262" i="22"/>
  <c r="H261" i="22"/>
  <c r="H260" i="22"/>
  <c r="H259" i="22"/>
  <c r="V452" i="22"/>
  <c r="E427" i="22"/>
  <c r="Q401" i="22"/>
  <c r="J384" i="22"/>
  <c r="J368" i="22"/>
  <c r="X351" i="22"/>
  <c r="O346" i="22"/>
  <c r="E341" i="22"/>
  <c r="T337" i="22"/>
  <c r="T333" i="22"/>
  <c r="T329" i="22"/>
  <c r="T325" i="22"/>
  <c r="T321" i="22"/>
  <c r="T317" i="22"/>
  <c r="T313" i="22"/>
  <c r="T309" i="22"/>
  <c r="T305" i="22"/>
  <c r="T301" i="22"/>
  <c r="N297" i="22"/>
  <c r="N293" i="22"/>
  <c r="N289" i="22"/>
  <c r="N285" i="22"/>
  <c r="X279" i="22"/>
  <c r="B275" i="22"/>
  <c r="T270" i="22"/>
  <c r="X268" i="22"/>
  <c r="V267" i="22"/>
  <c r="T266" i="22"/>
  <c r="X264" i="22"/>
  <c r="V263" i="22"/>
  <c r="T262" i="22"/>
  <c r="X260" i="22"/>
  <c r="V259" i="22"/>
  <c r="X258" i="22"/>
  <c r="F257" i="22"/>
  <c r="B256" i="22"/>
  <c r="X254" i="22"/>
  <c r="F253" i="22"/>
  <c r="B252" i="22"/>
  <c r="X250" i="22"/>
  <c r="F249" i="22"/>
  <c r="A248" i="22"/>
  <c r="E247" i="22"/>
  <c r="L246" i="22"/>
  <c r="Q245" i="22"/>
  <c r="V244" i="22"/>
  <c r="A244" i="22"/>
  <c r="E243" i="22"/>
  <c r="L242" i="22"/>
  <c r="Q241" i="22"/>
  <c r="V240" i="22"/>
  <c r="A240" i="22"/>
  <c r="S238" i="22"/>
  <c r="S237" i="22"/>
  <c r="S236" i="22"/>
  <c r="S235" i="22"/>
  <c r="S234" i="22"/>
  <c r="S233" i="22"/>
  <c r="S232" i="22"/>
  <c r="S231" i="22"/>
  <c r="S230" i="22"/>
  <c r="S229" i="22"/>
  <c r="S228" i="22"/>
  <c r="S227" i="22"/>
  <c r="S226" i="22"/>
  <c r="S225" i="22"/>
  <c r="S224" i="22"/>
  <c r="S223" i="22"/>
  <c r="S222" i="22"/>
  <c r="S221" i="22"/>
  <c r="S220" i="22"/>
  <c r="S219" i="22"/>
  <c r="S218" i="22"/>
  <c r="S217" i="22"/>
  <c r="S216" i="22"/>
  <c r="S215" i="22"/>
  <c r="S214" i="22"/>
  <c r="S213" i="22"/>
  <c r="S212" i="22"/>
  <c r="S211" i="22"/>
  <c r="S210" i="22"/>
  <c r="S209" i="22"/>
  <c r="S208" i="22"/>
  <c r="S207" i="22"/>
  <c r="S206" i="22"/>
  <c r="S205" i="22"/>
  <c r="S204" i="22"/>
  <c r="S203" i="22"/>
  <c r="S202" i="22"/>
  <c r="S201" i="22"/>
  <c r="S200" i="22"/>
  <c r="S199" i="22"/>
  <c r="S198" i="22"/>
  <c r="S197" i="22"/>
  <c r="S196" i="22"/>
  <c r="S195" i="22"/>
  <c r="S194" i="22"/>
  <c r="S193" i="22"/>
  <c r="Q192" i="22"/>
  <c r="V191" i="22"/>
  <c r="A191" i="22"/>
  <c r="E190" i="22"/>
  <c r="L189" i="22"/>
  <c r="Q188" i="22"/>
  <c r="V187" i="22"/>
  <c r="A187" i="22"/>
  <c r="E186" i="22"/>
  <c r="L185" i="22"/>
  <c r="Q184" i="22"/>
  <c r="V183" i="22"/>
  <c r="A183" i="22"/>
  <c r="E182" i="22"/>
  <c r="L181" i="22"/>
  <c r="Q180" i="22"/>
  <c r="V179" i="22"/>
  <c r="A179" i="22"/>
  <c r="E178" i="22"/>
  <c r="L177" i="22"/>
  <c r="Q176" i="22"/>
  <c r="V175" i="22"/>
  <c r="A175" i="22"/>
  <c r="E174" i="22"/>
  <c r="L173" i="22"/>
  <c r="Q172" i="22"/>
  <c r="V171" i="22"/>
  <c r="A171" i="22"/>
  <c r="E170" i="22"/>
  <c r="L169" i="22"/>
  <c r="Q168" i="22"/>
  <c r="V167" i="22"/>
  <c r="A167" i="22"/>
  <c r="E166" i="22"/>
  <c r="L165" i="22"/>
  <c r="Q164" i="22"/>
  <c r="V163" i="22"/>
  <c r="T162" i="22"/>
  <c r="T161" i="22"/>
  <c r="T160" i="22"/>
  <c r="T159" i="22"/>
  <c r="T158" i="22"/>
  <c r="T157" i="22"/>
  <c r="T156" i="22"/>
  <c r="T155" i="22"/>
  <c r="T154" i="22"/>
  <c r="T153" i="22"/>
  <c r="T152" i="22"/>
  <c r="T151" i="22"/>
  <c r="J150" i="22"/>
  <c r="B149" i="22"/>
  <c r="E148" i="22"/>
  <c r="L147" i="22"/>
  <c r="Q146" i="22"/>
  <c r="V145" i="22"/>
  <c r="A145" i="22"/>
  <c r="E144" i="22"/>
  <c r="L143" i="22"/>
  <c r="Q142" i="22"/>
  <c r="V141" i="22"/>
  <c r="A141" i="22"/>
  <c r="E140" i="22"/>
  <c r="L139" i="22"/>
  <c r="Q138" i="22"/>
  <c r="V137" i="22"/>
  <c r="A137" i="22"/>
  <c r="E136" i="22"/>
  <c r="L135" i="22"/>
  <c r="Q134" i="22"/>
  <c r="V133" i="22"/>
  <c r="A133" i="22"/>
  <c r="E132" i="22"/>
  <c r="L131" i="22"/>
  <c r="Q130" i="22"/>
  <c r="V129" i="22"/>
  <c r="A129" i="22"/>
  <c r="E128" i="22"/>
  <c r="L127" i="22"/>
  <c r="Q126" i="22"/>
  <c r="V125" i="22"/>
  <c r="A125" i="22"/>
  <c r="E124" i="22"/>
  <c r="L123" i="22"/>
  <c r="Q122" i="22"/>
  <c r="V121" i="22"/>
  <c r="A121" i="22"/>
  <c r="E120" i="22"/>
  <c r="L119" i="22"/>
  <c r="Q118" i="22"/>
  <c r="V117" i="22"/>
  <c r="A117" i="22"/>
  <c r="E116" i="22"/>
  <c r="L115" i="22"/>
  <c r="Q114" i="22"/>
  <c r="V113" i="22"/>
  <c r="A113" i="22"/>
  <c r="E112" i="22"/>
  <c r="L111" i="22"/>
  <c r="Q110" i="22"/>
  <c r="V109" i="22"/>
  <c r="A109" i="22"/>
  <c r="E108" i="22"/>
  <c r="L107" i="22"/>
  <c r="Q106" i="22"/>
  <c r="V105" i="22"/>
  <c r="A105" i="22"/>
  <c r="E104" i="22"/>
  <c r="L103" i="22"/>
  <c r="Q102" i="22"/>
  <c r="V101" i="22"/>
  <c r="A101" i="22"/>
  <c r="E100" i="22"/>
  <c r="L99" i="22"/>
  <c r="Q98" i="22"/>
  <c r="V97" i="22"/>
  <c r="A97" i="22"/>
  <c r="E96" i="22"/>
  <c r="L95" i="22"/>
  <c r="Q94" i="22"/>
  <c r="V93" i="22"/>
  <c r="A93" i="22"/>
  <c r="E92" i="22"/>
  <c r="L91" i="22"/>
  <c r="Q90" i="22"/>
  <c r="V89" i="22"/>
  <c r="A89" i="22"/>
  <c r="E88" i="22"/>
  <c r="S470" i="22"/>
  <c r="V444" i="22"/>
  <c r="E419" i="22"/>
  <c r="J396" i="22"/>
  <c r="J380" i="22"/>
  <c r="J364" i="22"/>
  <c r="O350" i="22"/>
  <c r="E345" i="22"/>
  <c r="D339" i="22"/>
  <c r="D335" i="22"/>
  <c r="D331" i="22"/>
  <c r="D327" i="22"/>
  <c r="D323" i="22"/>
  <c r="D319" i="22"/>
  <c r="D315" i="22"/>
  <c r="D311" i="22"/>
  <c r="D307" i="22"/>
  <c r="D303" i="22"/>
  <c r="C298" i="22"/>
  <c r="C294" i="22"/>
  <c r="C290" i="22"/>
  <c r="C286" i="22"/>
  <c r="F281" i="22"/>
  <c r="X274" i="22"/>
  <c r="B271" i="22"/>
  <c r="Q269" i="22"/>
  <c r="O268" i="22"/>
  <c r="E267" i="22"/>
  <c r="Q265" i="22"/>
  <c r="O264" i="22"/>
  <c r="E263" i="22"/>
  <c r="Q261" i="22"/>
  <c r="O260" i="22"/>
  <c r="E259" i="22"/>
  <c r="L258" i="22"/>
  <c r="Q257" i="22"/>
  <c r="V256" i="22"/>
  <c r="A256" i="22"/>
  <c r="E255" i="22"/>
  <c r="L254" i="22"/>
  <c r="Q253" i="22"/>
  <c r="V252" i="22"/>
  <c r="A252" i="22"/>
  <c r="E251" i="22"/>
  <c r="L250" i="22"/>
  <c r="Q249" i="22"/>
  <c r="V248" i="22"/>
  <c r="T247" i="22"/>
  <c r="T246" i="22"/>
  <c r="T245" i="22"/>
  <c r="T244" i="22"/>
  <c r="T243" i="22"/>
  <c r="T242" i="22"/>
  <c r="T241" i="22"/>
  <c r="T240" i="22"/>
  <c r="T239" i="22"/>
  <c r="F238" i="22"/>
  <c r="B237" i="22"/>
  <c r="X235" i="22"/>
  <c r="F234" i="22"/>
  <c r="B233" i="22"/>
  <c r="X231" i="22"/>
  <c r="F230" i="22"/>
  <c r="B229" i="22"/>
  <c r="X227" i="22"/>
  <c r="F226" i="22"/>
  <c r="B225" i="22"/>
  <c r="X223" i="22"/>
  <c r="F222" i="22"/>
  <c r="B221" i="22"/>
  <c r="X219" i="22"/>
  <c r="F218" i="22"/>
  <c r="B217" i="22"/>
  <c r="X215" i="22"/>
  <c r="F214" i="22"/>
  <c r="B213" i="22"/>
  <c r="X211" i="22"/>
  <c r="F210" i="22"/>
  <c r="B209" i="22"/>
  <c r="X207" i="22"/>
  <c r="F206" i="22"/>
  <c r="B205" i="22"/>
  <c r="X203" i="22"/>
  <c r="F202" i="22"/>
  <c r="B201" i="22"/>
  <c r="X199" i="22"/>
  <c r="F198" i="22"/>
  <c r="B197" i="22"/>
  <c r="X195" i="22"/>
  <c r="F194" i="22"/>
  <c r="O192" i="22"/>
  <c r="O191" i="22"/>
  <c r="O190" i="22"/>
  <c r="O189" i="22"/>
  <c r="O188" i="22"/>
  <c r="O187" i="22"/>
  <c r="O186" i="22"/>
  <c r="O185" i="22"/>
  <c r="O184" i="22"/>
  <c r="O183" i="22"/>
  <c r="J533" i="22"/>
  <c r="E516" i="22"/>
  <c r="F467" i="22"/>
  <c r="T401" i="22"/>
  <c r="A471" i="22"/>
  <c r="H451" i="22"/>
  <c r="S429" i="22"/>
  <c r="N409" i="22"/>
  <c r="J515" i="22"/>
  <c r="J479" i="22"/>
  <c r="D470" i="22"/>
  <c r="X429" i="22"/>
  <c r="N394" i="22"/>
  <c r="N378" i="22"/>
  <c r="L362" i="22"/>
  <c r="N483" i="22"/>
  <c r="Q460" i="22"/>
  <c r="E452" i="22"/>
  <c r="V443" i="22"/>
  <c r="A435" i="22"/>
  <c r="Q426" i="22"/>
  <c r="E418" i="22"/>
  <c r="L409" i="22"/>
  <c r="A401" i="22"/>
  <c r="X393" i="22"/>
  <c r="F386" i="22"/>
  <c r="F379" i="22"/>
  <c r="F372" i="22"/>
  <c r="B365" i="22"/>
  <c r="T358" i="22"/>
  <c r="T492" i="22"/>
  <c r="D471" i="22"/>
  <c r="X462" i="22"/>
  <c r="B452" i="22"/>
  <c r="F441" i="22"/>
  <c r="X430" i="22"/>
  <c r="B420" i="22"/>
  <c r="F409" i="22"/>
  <c r="A399" i="22"/>
  <c r="V395" i="22"/>
  <c r="Q392" i="22"/>
  <c r="L389" i="22"/>
  <c r="E386" i="22"/>
  <c r="A383" i="22"/>
  <c r="V379" i="22"/>
  <c r="Q376" i="22"/>
  <c r="L373" i="22"/>
  <c r="E370" i="22"/>
  <c r="A367" i="22"/>
  <c r="V363" i="22"/>
  <c r="N359" i="22"/>
  <c r="N355" i="22"/>
  <c r="N351" i="22"/>
  <c r="N347" i="22"/>
  <c r="N343" i="22"/>
  <c r="J498" i="22"/>
  <c r="V450" i="22"/>
  <c r="E425" i="22"/>
  <c r="Q399" i="22"/>
  <c r="J383" i="22"/>
  <c r="J367" i="22"/>
  <c r="D353" i="22"/>
  <c r="B348" i="22"/>
  <c r="A343" i="22"/>
  <c r="C338" i="22"/>
  <c r="C334" i="22"/>
  <c r="C330" i="22"/>
  <c r="C326" i="22"/>
  <c r="C322" i="22"/>
  <c r="C318" i="22"/>
  <c r="C314" i="22"/>
  <c r="C310" i="22"/>
  <c r="C306" i="22"/>
  <c r="C302" i="22"/>
  <c r="F297" i="22"/>
  <c r="B292" i="22"/>
  <c r="X286" i="22"/>
  <c r="V282" i="22"/>
  <c r="Q279" i="22"/>
  <c r="L276" i="22"/>
  <c r="E273" i="22"/>
  <c r="C487" i="22"/>
  <c r="L450" i="22"/>
  <c r="V424" i="22"/>
  <c r="E399" i="22"/>
  <c r="D383" i="22"/>
  <c r="D367" i="22"/>
  <c r="V352" i="22"/>
  <c r="T347" i="22"/>
  <c r="X341" i="22"/>
  <c r="B337" i="22"/>
  <c r="X331" i="22"/>
  <c r="F326" i="22"/>
  <c r="B321" i="22"/>
  <c r="X315" i="22"/>
  <c r="F310" i="22"/>
  <c r="B305" i="22"/>
  <c r="X299" i="22"/>
  <c r="A296" i="22"/>
  <c r="V292" i="22"/>
  <c r="Q289" i="22"/>
  <c r="L286" i="22"/>
  <c r="O282" i="22"/>
  <c r="O280" i="22"/>
  <c r="J279" i="22"/>
  <c r="T277" i="22"/>
  <c r="O276" i="22"/>
  <c r="J275" i="22"/>
  <c r="T273" i="22"/>
  <c r="O272" i="22"/>
  <c r="H486" i="22"/>
  <c r="H466" i="22"/>
  <c r="A458" i="22"/>
  <c r="A450" i="22"/>
  <c r="L440" i="22"/>
  <c r="L432" i="22"/>
  <c r="L424" i="22"/>
  <c r="V414" i="22"/>
  <c r="V406" i="22"/>
  <c r="D398" i="22"/>
  <c r="O392" i="22"/>
  <c r="T387" i="22"/>
  <c r="D382" i="22"/>
  <c r="O376" i="22"/>
  <c r="T371" i="22"/>
  <c r="D366" i="22"/>
  <c r="F360" i="22"/>
  <c r="D355" i="22"/>
  <c r="A353" i="22"/>
  <c r="Q350" i="22"/>
  <c r="F349" i="22"/>
  <c r="D347" i="22"/>
  <c r="O345" i="22"/>
  <c r="L343" i="22"/>
  <c r="B342" i="22"/>
  <c r="E340" i="22"/>
  <c r="E339" i="22"/>
  <c r="E338" i="22"/>
  <c r="A337" i="22"/>
  <c r="A336" i="22"/>
  <c r="A335" i="22"/>
  <c r="V333" i="22"/>
  <c r="V332" i="22"/>
  <c r="V331" i="22"/>
  <c r="Q330" i="22"/>
  <c r="Q329" i="22"/>
  <c r="Q328" i="22"/>
  <c r="L327" i="22"/>
  <c r="L326" i="22"/>
  <c r="L325" i="22"/>
  <c r="E324" i="22"/>
  <c r="E323" i="22"/>
  <c r="E322" i="22"/>
  <c r="A321" i="22"/>
  <c r="A320" i="22"/>
  <c r="A319" i="22"/>
  <c r="V317" i="22"/>
  <c r="V316" i="22"/>
  <c r="V315" i="22"/>
  <c r="Q314" i="22"/>
  <c r="Q313" i="22"/>
  <c r="Q312" i="22"/>
  <c r="L311" i="22"/>
  <c r="L310" i="22"/>
  <c r="L309" i="22"/>
  <c r="E308" i="22"/>
  <c r="E307" i="22"/>
  <c r="E306" i="22"/>
  <c r="A305" i="22"/>
  <c r="A304" i="22"/>
  <c r="A303" i="22"/>
  <c r="V301" i="22"/>
  <c r="V300" i="22"/>
  <c r="V299" i="22"/>
  <c r="D298" i="22"/>
  <c r="T296" i="22"/>
  <c r="O295" i="22"/>
  <c r="D294" i="22"/>
  <c r="D293" i="22"/>
  <c r="D292" i="22"/>
  <c r="D291" i="22"/>
  <c r="D290" i="22"/>
  <c r="D289" i="22"/>
  <c r="D288" i="22"/>
  <c r="D287" i="22"/>
  <c r="D286" i="22"/>
  <c r="C285" i="22"/>
  <c r="C284" i="22"/>
  <c r="C283" i="22"/>
  <c r="C282" i="22"/>
  <c r="C281" i="22"/>
  <c r="C280" i="22"/>
  <c r="C279" i="22"/>
  <c r="C278" i="22"/>
  <c r="C277" i="22"/>
  <c r="C276" i="22"/>
  <c r="C275" i="22"/>
  <c r="C274" i="22"/>
  <c r="C273" i="22"/>
  <c r="C272" i="22"/>
  <c r="C271" i="22"/>
  <c r="C270" i="22"/>
  <c r="C269" i="22"/>
  <c r="C268" i="22"/>
  <c r="C267" i="22"/>
  <c r="C266" i="22"/>
  <c r="C265" i="22"/>
  <c r="C264" i="22"/>
  <c r="C263" i="22"/>
  <c r="C262" i="22"/>
  <c r="C261" i="22"/>
  <c r="C260" i="22"/>
  <c r="N485" i="22"/>
  <c r="L446" i="22"/>
  <c r="V420" i="22"/>
  <c r="D397" i="22"/>
  <c r="D381" i="22"/>
  <c r="D365" i="22"/>
  <c r="V350" i="22"/>
  <c r="L344" i="22"/>
  <c r="D340" i="22"/>
  <c r="D336" i="22"/>
  <c r="D332" i="22"/>
  <c r="D328" i="22"/>
  <c r="D324" i="22"/>
  <c r="D320" i="22"/>
  <c r="D316" i="22"/>
  <c r="D312" i="22"/>
  <c r="D308" i="22"/>
  <c r="D304" i="22"/>
  <c r="D300" i="22"/>
  <c r="S296" i="22"/>
  <c r="S292" i="22"/>
  <c r="S288" i="22"/>
  <c r="X283" i="22"/>
  <c r="B279" i="22"/>
  <c r="F274" i="22"/>
  <c r="E270" i="22"/>
  <c r="Q268" i="22"/>
  <c r="O267" i="22"/>
  <c r="E266" i="22"/>
  <c r="Q264" i="22"/>
  <c r="O263" i="22"/>
  <c r="E262" i="22"/>
  <c r="Q260" i="22"/>
  <c r="O259" i="22"/>
  <c r="F258" i="22"/>
  <c r="B257" i="22"/>
  <c r="X255" i="22"/>
  <c r="F254" i="22"/>
  <c r="B253" i="22"/>
  <c r="X251" i="22"/>
  <c r="F250" i="22"/>
  <c r="B249" i="22"/>
  <c r="V247" i="22"/>
  <c r="A247" i="22"/>
  <c r="E246" i="22"/>
  <c r="L245" i="22"/>
  <c r="Q244" i="22"/>
  <c r="V243" i="22"/>
  <c r="A243" i="22"/>
  <c r="E242" i="22"/>
  <c r="L241" i="22"/>
  <c r="Q240" i="22"/>
  <c r="V239" i="22"/>
  <c r="N238" i="22"/>
  <c r="N237" i="22"/>
  <c r="N236" i="22"/>
  <c r="N235" i="22"/>
  <c r="N234" i="22"/>
  <c r="N233" i="22"/>
  <c r="N232" i="22"/>
  <c r="N231" i="22"/>
  <c r="N230" i="22"/>
  <c r="N229" i="22"/>
  <c r="N228" i="22"/>
  <c r="N227" i="22"/>
  <c r="N226" i="22"/>
  <c r="N225" i="22"/>
  <c r="N224" i="22"/>
  <c r="N223" i="22"/>
  <c r="N222" i="22"/>
  <c r="N221" i="22"/>
  <c r="N220" i="22"/>
  <c r="N219" i="22"/>
  <c r="N218" i="22"/>
  <c r="N217" i="22"/>
  <c r="N216" i="22"/>
  <c r="N215" i="22"/>
  <c r="N214" i="22"/>
  <c r="N213" i="22"/>
  <c r="N212" i="22"/>
  <c r="N211" i="22"/>
  <c r="N210" i="22"/>
  <c r="N209" i="22"/>
  <c r="N208" i="22"/>
  <c r="N207" i="22"/>
  <c r="N206" i="22"/>
  <c r="N205" i="22"/>
  <c r="N204" i="22"/>
  <c r="N203" i="22"/>
  <c r="N202" i="22"/>
  <c r="N201" i="22"/>
  <c r="N200" i="22"/>
  <c r="N199" i="22"/>
  <c r="N198" i="22"/>
  <c r="N197" i="22"/>
  <c r="N196" i="22"/>
  <c r="N195" i="22"/>
  <c r="N194" i="22"/>
  <c r="N193" i="22"/>
  <c r="L192" i="22"/>
  <c r="Q191" i="22"/>
  <c r="V190" i="22"/>
  <c r="A190" i="22"/>
  <c r="E189" i="22"/>
  <c r="L188" i="22"/>
  <c r="Q187" i="22"/>
  <c r="V186" i="22"/>
  <c r="A186" i="22"/>
  <c r="E185" i="22"/>
  <c r="L184" i="22"/>
  <c r="Q183" i="22"/>
  <c r="V182" i="22"/>
  <c r="A182" i="22"/>
  <c r="E181" i="22"/>
  <c r="L180" i="22"/>
  <c r="Q179" i="22"/>
  <c r="V178" i="22"/>
  <c r="A178" i="22"/>
  <c r="E177" i="22"/>
  <c r="L176" i="22"/>
  <c r="Q175" i="22"/>
  <c r="V174" i="22"/>
  <c r="A174" i="22"/>
  <c r="E173" i="22"/>
  <c r="L172" i="22"/>
  <c r="Q171" i="22"/>
  <c r="V170" i="22"/>
  <c r="A170" i="22"/>
  <c r="E169" i="22"/>
  <c r="L168" i="22"/>
  <c r="Q167" i="22"/>
  <c r="V166" i="22"/>
  <c r="A166" i="22"/>
  <c r="E165" i="22"/>
  <c r="L164" i="22"/>
  <c r="Q163" i="22"/>
  <c r="O162" i="22"/>
  <c r="O161" i="22"/>
  <c r="O160" i="22"/>
  <c r="O159" i="22"/>
  <c r="O158" i="22"/>
  <c r="O157" i="22"/>
  <c r="O156" i="22"/>
  <c r="O155" i="22"/>
  <c r="O154" i="22"/>
  <c r="O153" i="22"/>
  <c r="O152" i="22"/>
  <c r="O151" i="22"/>
  <c r="D150" i="22"/>
  <c r="V148" i="22"/>
  <c r="A148" i="22"/>
  <c r="E147" i="22"/>
  <c r="L146" i="22"/>
  <c r="Q145" i="22"/>
  <c r="V144" i="22"/>
  <c r="A144" i="22"/>
  <c r="E143" i="22"/>
  <c r="L142" i="22"/>
  <c r="Q141" i="22"/>
  <c r="V140" i="22"/>
  <c r="A140" i="22"/>
  <c r="E139" i="22"/>
  <c r="L138" i="22"/>
  <c r="Q137" i="22"/>
  <c r="V136" i="22"/>
  <c r="A136" i="22"/>
  <c r="E135" i="22"/>
  <c r="L134" i="22"/>
  <c r="Q133" i="22"/>
  <c r="V132" i="22"/>
  <c r="A132" i="22"/>
  <c r="E131" i="22"/>
  <c r="L130" i="22"/>
  <c r="Q129" i="22"/>
  <c r="V128" i="22"/>
  <c r="A128" i="22"/>
  <c r="E127" i="22"/>
  <c r="L126" i="22"/>
  <c r="Q125" i="22"/>
  <c r="V124" i="22"/>
  <c r="A124" i="22"/>
  <c r="E123" i="22"/>
  <c r="L122" i="22"/>
  <c r="Q121" i="22"/>
  <c r="V120" i="22"/>
  <c r="A120" i="22"/>
  <c r="E119" i="22"/>
  <c r="L118" i="22"/>
  <c r="Q117" i="22"/>
  <c r="V116" i="22"/>
  <c r="A116" i="22"/>
  <c r="E115" i="22"/>
  <c r="L114" i="22"/>
  <c r="Q113" i="22"/>
  <c r="V112" i="22"/>
  <c r="A112" i="22"/>
  <c r="E111" i="22"/>
  <c r="L110" i="22"/>
  <c r="Q109" i="22"/>
  <c r="V108" i="22"/>
  <c r="A108" i="22"/>
  <c r="E107" i="22"/>
  <c r="L106" i="22"/>
  <c r="Q105" i="22"/>
  <c r="V104" i="22"/>
  <c r="A104" i="22"/>
  <c r="E103" i="22"/>
  <c r="L102" i="22"/>
  <c r="Q101" i="22"/>
  <c r="V100" i="22"/>
  <c r="A100" i="22"/>
  <c r="E99" i="22"/>
  <c r="L98" i="22"/>
  <c r="Q97" i="22"/>
  <c r="V96" i="22"/>
  <c r="A96" i="22"/>
  <c r="E95" i="22"/>
  <c r="L94" i="22"/>
  <c r="Q93" i="22"/>
  <c r="V92" i="22"/>
  <c r="A92" i="22"/>
  <c r="E91" i="22"/>
  <c r="L90" i="22"/>
  <c r="Q89" i="22"/>
  <c r="V88" i="22"/>
  <c r="A88" i="22"/>
  <c r="H464" i="22"/>
  <c r="L438" i="22"/>
  <c r="V412" i="22"/>
  <c r="D393" i="22"/>
  <c r="D377" i="22"/>
  <c r="X360" i="22"/>
  <c r="L348" i="22"/>
  <c r="D344" i="22"/>
  <c r="J338" i="22"/>
  <c r="J334" i="22"/>
  <c r="J330" i="22"/>
  <c r="J326" i="22"/>
  <c r="J322" i="22"/>
  <c r="J318" i="22"/>
  <c r="J314" i="22"/>
  <c r="J310" i="22"/>
  <c r="J306" i="22"/>
  <c r="J302" i="22"/>
  <c r="H297" i="22"/>
  <c r="H293" i="22"/>
  <c r="H289" i="22"/>
  <c r="F285" i="22"/>
  <c r="X278" i="22"/>
  <c r="B274" i="22"/>
  <c r="L270" i="22"/>
  <c r="J269" i="22"/>
  <c r="F268" i="22"/>
  <c r="L266" i="22"/>
  <c r="J265" i="22"/>
  <c r="F264" i="22"/>
  <c r="L262" i="22"/>
  <c r="J261" i="22"/>
  <c r="F260" i="22"/>
  <c r="A259" i="22"/>
  <c r="E258" i="22"/>
  <c r="L257" i="22"/>
  <c r="Q256" i="22"/>
  <c r="V255" i="22"/>
  <c r="A255" i="22"/>
  <c r="E254" i="22"/>
  <c r="L253" i="22"/>
  <c r="Q252" i="22"/>
  <c r="V251" i="22"/>
  <c r="A251" i="22"/>
  <c r="E250" i="22"/>
  <c r="L249" i="22"/>
  <c r="Q248" i="22"/>
  <c r="O247" i="22"/>
  <c r="O246" i="22"/>
  <c r="O245" i="22"/>
  <c r="O244" i="22"/>
  <c r="O243" i="22"/>
  <c r="O242" i="22"/>
  <c r="O241" i="22"/>
  <c r="O240" i="22"/>
  <c r="O239" i="22"/>
  <c r="B238" i="22"/>
  <c r="X236" i="22"/>
  <c r="F235" i="22"/>
  <c r="B234" i="22"/>
  <c r="X232" i="22"/>
  <c r="F231" i="22"/>
  <c r="B230" i="22"/>
  <c r="X228" i="22"/>
  <c r="F227" i="22"/>
  <c r="B226" i="22"/>
  <c r="X224" i="22"/>
  <c r="F223" i="22"/>
  <c r="B222" i="22"/>
  <c r="X220" i="22"/>
  <c r="F219" i="22"/>
  <c r="B218" i="22"/>
  <c r="X216" i="22"/>
  <c r="B555" i="22"/>
  <c r="X506" i="22"/>
  <c r="Q490" i="22"/>
  <c r="T433" i="22"/>
  <c r="Q479" i="22"/>
  <c r="S461" i="22"/>
  <c r="N440" i="22"/>
  <c r="H419" i="22"/>
  <c r="N401" i="22"/>
  <c r="J487" i="22"/>
  <c r="N550" i="22"/>
  <c r="B451" i="22"/>
  <c r="F408" i="22"/>
  <c r="N386" i="22"/>
  <c r="N370" i="22"/>
  <c r="A356" i="22"/>
  <c r="S465" i="22"/>
  <c r="Q456" i="22"/>
  <c r="V447" i="22"/>
  <c r="L439" i="22"/>
  <c r="A431" i="22"/>
  <c r="E422" i="22"/>
  <c r="V413" i="22"/>
  <c r="L405" i="22"/>
  <c r="B397" i="22"/>
  <c r="B390" i="22"/>
  <c r="B383" i="22"/>
  <c r="X375" i="22"/>
  <c r="X368" i="22"/>
  <c r="O361" i="22"/>
  <c r="C544" i="22"/>
  <c r="H479" i="22"/>
  <c r="D467" i="22"/>
  <c r="F457" i="22"/>
  <c r="X446" i="22"/>
  <c r="B436" i="22"/>
  <c r="F425" i="22"/>
  <c r="X414" i="22"/>
  <c r="B404" i="22"/>
  <c r="L397" i="22"/>
  <c r="E394" i="22"/>
  <c r="A391" i="22"/>
  <c r="V387" i="22"/>
  <c r="Q384" i="22"/>
  <c r="L381" i="22"/>
  <c r="E378" i="22"/>
  <c r="A375" i="22"/>
  <c r="V371" i="22"/>
  <c r="Q368" i="22"/>
  <c r="L365" i="22"/>
  <c r="N361" i="22"/>
  <c r="N357" i="22"/>
  <c r="N353" i="22"/>
  <c r="N349" i="22"/>
  <c r="N345" i="22"/>
  <c r="N341" i="22"/>
  <c r="N465" i="22"/>
  <c r="A438" i="22"/>
  <c r="L412" i="22"/>
  <c r="J391" i="22"/>
  <c r="J375" i="22"/>
  <c r="F358" i="22"/>
  <c r="A351" i="22"/>
  <c r="D345" i="22"/>
  <c r="C340" i="22"/>
  <c r="C336" i="22"/>
  <c r="C332" i="22"/>
  <c r="C328" i="22"/>
  <c r="C324" i="22"/>
  <c r="C320" i="22"/>
  <c r="C316" i="22"/>
  <c r="C312" i="22"/>
  <c r="C308" i="22"/>
  <c r="C304" i="22"/>
  <c r="C300" i="22"/>
  <c r="X294" i="22"/>
  <c r="F289" i="22"/>
  <c r="L284" i="22"/>
  <c r="E281" i="22"/>
  <c r="A278" i="22"/>
  <c r="V274" i="22"/>
  <c r="Q271" i="22"/>
  <c r="N463" i="22"/>
  <c r="Q437" i="22"/>
  <c r="A412" i="22"/>
  <c r="D391" i="22"/>
  <c r="D375" i="22"/>
  <c r="B358" i="22"/>
  <c r="X349" i="22"/>
  <c r="V344" i="22"/>
  <c r="X339" i="22"/>
  <c r="F334" i="22"/>
  <c r="B329" i="22"/>
  <c r="X323" i="22"/>
  <c r="F318" i="22"/>
  <c r="B313" i="22"/>
  <c r="X307" i="22"/>
  <c r="F302" i="22"/>
  <c r="Q297" i="22"/>
  <c r="L294" i="22"/>
  <c r="E291" i="22"/>
  <c r="A288" i="22"/>
  <c r="O284" i="22"/>
  <c r="J281" i="22"/>
  <c r="T279" i="22"/>
  <c r="O278" i="22"/>
  <c r="J277" i="22"/>
  <c r="T275" i="22"/>
  <c r="O274" i="22"/>
  <c r="J273" i="22"/>
  <c r="O517" i="22"/>
  <c r="N473" i="22"/>
  <c r="V462" i="22"/>
  <c r="E453" i="22"/>
  <c r="E445" i="22"/>
  <c r="E437" i="22"/>
  <c r="Q427" i="22"/>
  <c r="Q419" i="22"/>
  <c r="Q411" i="22"/>
  <c r="A402" i="22"/>
  <c r="T395" i="22"/>
  <c r="D390" i="22"/>
  <c r="O384" i="22"/>
  <c r="T379" i="22"/>
  <c r="D374" i="22"/>
  <c r="O368" i="22"/>
  <c r="T363" i="22"/>
  <c r="B357" i="22"/>
  <c r="O353" i="22"/>
  <c r="L351" i="22"/>
  <c r="B350" i="22"/>
  <c r="E348" i="22"/>
  <c r="J346" i="22"/>
  <c r="A345" i="22"/>
  <c r="Q342" i="22"/>
  <c r="F341" i="22"/>
  <c r="V339" i="22"/>
  <c r="Q338" i="22"/>
  <c r="Q337" i="22"/>
  <c r="Q336" i="22"/>
  <c r="L335" i="22"/>
  <c r="L334" i="22"/>
  <c r="L333" i="22"/>
  <c r="E332" i="22"/>
  <c r="E331" i="22"/>
  <c r="E330" i="22"/>
  <c r="A329" i="22"/>
  <c r="A328" i="22"/>
  <c r="A327" i="22"/>
  <c r="V325" i="22"/>
  <c r="V324" i="22"/>
  <c r="V323" i="22"/>
  <c r="Q322" i="22"/>
  <c r="Q321" i="22"/>
  <c r="Q320" i="22"/>
  <c r="L319" i="22"/>
  <c r="L318" i="22"/>
  <c r="L317" i="22"/>
  <c r="E316" i="22"/>
  <c r="E315" i="22"/>
  <c r="E314" i="22"/>
  <c r="A313" i="22"/>
  <c r="A312" i="22"/>
  <c r="A311" i="22"/>
  <c r="V309" i="22"/>
  <c r="V308" i="22"/>
  <c r="V307" i="22"/>
  <c r="Q306" i="22"/>
  <c r="Q305" i="22"/>
  <c r="Q304" i="22"/>
  <c r="L303" i="22"/>
  <c r="L302" i="22"/>
  <c r="L301" i="22"/>
  <c r="E300" i="22"/>
  <c r="T298" i="22"/>
  <c r="O297" i="22"/>
  <c r="D296" i="22"/>
  <c r="T294" i="22"/>
  <c r="O293" i="22"/>
  <c r="O292" i="22"/>
  <c r="O291" i="22"/>
  <c r="O290" i="22"/>
  <c r="O289" i="22"/>
  <c r="O288" i="22"/>
  <c r="O287" i="22"/>
  <c r="O286" i="22"/>
  <c r="O285" i="22"/>
  <c r="N284" i="22"/>
  <c r="N283" i="22"/>
  <c r="N282" i="22"/>
  <c r="N281" i="22"/>
  <c r="N280" i="22"/>
  <c r="N279" i="22"/>
  <c r="N278" i="22"/>
  <c r="N277" i="22"/>
  <c r="N276" i="22"/>
  <c r="N275" i="22"/>
  <c r="N274" i="22"/>
  <c r="N273" i="22"/>
  <c r="N272" i="22"/>
  <c r="N271" i="22"/>
  <c r="N270" i="22"/>
  <c r="N269" i="22"/>
  <c r="N268" i="22"/>
  <c r="N267" i="22"/>
  <c r="N266" i="22"/>
  <c r="N265" i="22"/>
  <c r="N264" i="22"/>
  <c r="N263" i="22"/>
  <c r="N262" i="22"/>
  <c r="N261" i="22"/>
  <c r="N260" i="22"/>
  <c r="N259" i="22"/>
  <c r="E459" i="22"/>
  <c r="Q433" i="22"/>
  <c r="A408" i="22"/>
  <c r="O387" i="22"/>
  <c r="O371" i="22"/>
  <c r="F354" i="22"/>
  <c r="Q347" i="22"/>
  <c r="F342" i="22"/>
  <c r="O338" i="22"/>
  <c r="O334" i="22"/>
  <c r="O330" i="22"/>
  <c r="O326" i="22"/>
  <c r="O322" i="22"/>
  <c r="O318" i="22"/>
  <c r="O314" i="22"/>
  <c r="O310" i="22"/>
  <c r="O306" i="22"/>
  <c r="O302" i="22"/>
  <c r="H298" i="22"/>
  <c r="H294" i="22"/>
  <c r="H290" i="22"/>
  <c r="H286" i="22"/>
  <c r="F282" i="22"/>
  <c r="X275" i="22"/>
  <c r="D271" i="22"/>
  <c r="D269" i="22"/>
  <c r="B268" i="22"/>
  <c r="A267" i="22"/>
  <c r="D265" i="22"/>
  <c r="B264" i="22"/>
  <c r="A263" i="22"/>
  <c r="D261" i="22"/>
  <c r="B260" i="22"/>
  <c r="B259" i="22"/>
  <c r="X257" i="22"/>
  <c r="F256" i="22"/>
  <c r="B255" i="22"/>
  <c r="X253" i="22"/>
  <c r="F252" i="22"/>
  <c r="B251" i="22"/>
  <c r="X249" i="22"/>
  <c r="E248" i="22"/>
  <c r="L247" i="22"/>
  <c r="Q246" i="22"/>
  <c r="V245" i="22"/>
  <c r="A245" i="22"/>
  <c r="E244" i="22"/>
  <c r="L243" i="22"/>
  <c r="Q242" i="22"/>
  <c r="V241" i="22"/>
  <c r="A241" i="22"/>
  <c r="E240" i="22"/>
  <c r="D239" i="22"/>
  <c r="C238" i="22"/>
  <c r="C237" i="22"/>
  <c r="C236" i="22"/>
  <c r="C235" i="22"/>
  <c r="C234" i="22"/>
  <c r="C233" i="22"/>
  <c r="C232" i="22"/>
  <c r="C231" i="22"/>
  <c r="C230" i="22"/>
  <c r="C229" i="22"/>
  <c r="C228" i="22"/>
  <c r="C227" i="22"/>
  <c r="C226" i="22"/>
  <c r="C225" i="22"/>
  <c r="C224" i="22"/>
  <c r="C223" i="22"/>
  <c r="C222" i="22"/>
  <c r="C221" i="22"/>
  <c r="C220" i="22"/>
  <c r="C219" i="22"/>
  <c r="C218" i="22"/>
  <c r="C217" i="22"/>
  <c r="C216" i="22"/>
  <c r="C215" i="22"/>
  <c r="C214" i="22"/>
  <c r="C213" i="22"/>
  <c r="C212" i="22"/>
  <c r="C211" i="22"/>
  <c r="C210" i="22"/>
  <c r="C209" i="22"/>
  <c r="C208" i="22"/>
  <c r="C207" i="22"/>
  <c r="C206" i="22"/>
  <c r="C205" i="22"/>
  <c r="C204" i="22"/>
  <c r="C203" i="22"/>
  <c r="C202" i="22"/>
  <c r="C201" i="22"/>
  <c r="C200" i="22"/>
  <c r="C199" i="22"/>
  <c r="C198" i="22"/>
  <c r="C197" i="22"/>
  <c r="C196" i="22"/>
  <c r="C195" i="22"/>
  <c r="C194" i="22"/>
  <c r="V192" i="22"/>
  <c r="A192" i="22"/>
  <c r="E191" i="22"/>
  <c r="L190" i="22"/>
  <c r="Q189" i="22"/>
  <c r="V188" i="22"/>
  <c r="A188" i="22"/>
  <c r="E187" i="22"/>
  <c r="L186" i="22"/>
  <c r="Q185" i="22"/>
  <c r="V184" i="22"/>
  <c r="A184" i="22"/>
  <c r="E183" i="22"/>
  <c r="L182" i="22"/>
  <c r="Q181" i="22"/>
  <c r="V180" i="22"/>
  <c r="A180" i="22"/>
  <c r="E179" i="22"/>
  <c r="L178" i="22"/>
  <c r="Q177" i="22"/>
  <c r="V176" i="22"/>
  <c r="A176" i="22"/>
  <c r="E175" i="22"/>
  <c r="L174" i="22"/>
  <c r="Q173" i="22"/>
  <c r="V172" i="22"/>
  <c r="A172" i="22"/>
  <c r="E171" i="22"/>
  <c r="L170" i="22"/>
  <c r="Q169" i="22"/>
  <c r="V168" i="22"/>
  <c r="A168" i="22"/>
  <c r="E167" i="22"/>
  <c r="L166" i="22"/>
  <c r="Q165" i="22"/>
  <c r="V164" i="22"/>
  <c r="A164" i="22"/>
  <c r="D163" i="22"/>
  <c r="D162" i="22"/>
  <c r="D161" i="22"/>
  <c r="D160" i="22"/>
  <c r="D159" i="22"/>
  <c r="D158" i="22"/>
  <c r="D157" i="22"/>
  <c r="D156" i="22"/>
  <c r="D155" i="22"/>
  <c r="D154" i="22"/>
  <c r="D153" i="22"/>
  <c r="D152" i="22"/>
  <c r="O150" i="22"/>
  <c r="N149" i="22"/>
  <c r="L148" i="22"/>
  <c r="Q147" i="22"/>
  <c r="V146" i="22"/>
  <c r="A146" i="22"/>
  <c r="E145" i="22"/>
  <c r="L144" i="22"/>
  <c r="Q143" i="22"/>
  <c r="V142" i="22"/>
  <c r="A142" i="22"/>
  <c r="E141" i="22"/>
  <c r="L140" i="22"/>
  <c r="Q139" i="22"/>
  <c r="V138" i="22"/>
  <c r="A138" i="22"/>
  <c r="E137" i="22"/>
  <c r="L136" i="22"/>
  <c r="Q135" i="22"/>
  <c r="V134" i="22"/>
  <c r="A134" i="22"/>
  <c r="E133" i="22"/>
  <c r="L132" i="22"/>
  <c r="Q131" i="22"/>
  <c r="V130" i="22"/>
  <c r="A130" i="22"/>
  <c r="E129" i="22"/>
  <c r="L128" i="22"/>
  <c r="Q127" i="22"/>
  <c r="V126" i="22"/>
  <c r="A126" i="22"/>
  <c r="E125" i="22"/>
  <c r="L124" i="22"/>
  <c r="Q123" i="22"/>
  <c r="V122" i="22"/>
  <c r="A122" i="22"/>
  <c r="E121" i="22"/>
  <c r="L120" i="22"/>
  <c r="Q119" i="22"/>
  <c r="V118" i="22"/>
  <c r="A118" i="22"/>
  <c r="E117" i="22"/>
  <c r="L116" i="22"/>
  <c r="Q115" i="22"/>
  <c r="V114" i="22"/>
  <c r="A114" i="22"/>
  <c r="E113" i="22"/>
  <c r="L112" i="22"/>
  <c r="Q111" i="22"/>
  <c r="V110" i="22"/>
  <c r="A110" i="22"/>
  <c r="E109" i="22"/>
  <c r="L108" i="22"/>
  <c r="Q107" i="22"/>
  <c r="V106" i="22"/>
  <c r="A106" i="22"/>
  <c r="E105" i="22"/>
  <c r="L104" i="22"/>
  <c r="Q103" i="22"/>
  <c r="V102" i="22"/>
  <c r="A102" i="22"/>
  <c r="E101" i="22"/>
  <c r="L100" i="22"/>
  <c r="Q99" i="22"/>
  <c r="V98" i="22"/>
  <c r="A98" i="22"/>
  <c r="E97" i="22"/>
  <c r="L96" i="22"/>
  <c r="Q95" i="22"/>
  <c r="V94" i="22"/>
  <c r="A94" i="22"/>
  <c r="E93" i="22"/>
  <c r="L92" i="22"/>
  <c r="Q91" i="22"/>
  <c r="V90" i="22"/>
  <c r="A90" i="22"/>
  <c r="E89" i="22"/>
  <c r="L88" i="22"/>
  <c r="H482" i="22"/>
  <c r="E451" i="22"/>
  <c r="Q425" i="22"/>
  <c r="A400" i="22"/>
  <c r="O383" i="22"/>
  <c r="O367" i="22"/>
  <c r="Q351" i="22"/>
  <c r="F346" i="22"/>
  <c r="A342" i="22"/>
  <c r="T336" i="22"/>
  <c r="T332" i="22"/>
  <c r="T328" i="22"/>
  <c r="T324" i="22"/>
  <c r="T320" i="22"/>
  <c r="T316" i="22"/>
  <c r="T312" i="22"/>
  <c r="T308" i="22"/>
  <c r="T304" i="22"/>
  <c r="T300" i="22"/>
  <c r="S295" i="22"/>
  <c r="S291" i="22"/>
  <c r="S287" i="22"/>
  <c r="B282" i="22"/>
  <c r="F277" i="22"/>
  <c r="X271" i="22"/>
  <c r="X269" i="22"/>
  <c r="V268" i="22"/>
  <c r="T267" i="22"/>
  <c r="X265" i="22"/>
  <c r="V264" i="22"/>
  <c r="T263" i="22"/>
  <c r="X261" i="22"/>
  <c r="V260" i="22"/>
  <c r="T259" i="22"/>
  <c r="Q258" i="22"/>
  <c r="V257" i="22"/>
  <c r="A257" i="22"/>
  <c r="E256" i="22"/>
  <c r="L255" i="22"/>
  <c r="Q254" i="22"/>
  <c r="V253" i="22"/>
  <c r="A253" i="22"/>
  <c r="E252" i="22"/>
  <c r="L251" i="22"/>
  <c r="Q250" i="22"/>
  <c r="V249" i="22"/>
  <c r="A249" i="22"/>
  <c r="D248" i="22"/>
  <c r="D247" i="22"/>
  <c r="D246" i="22"/>
  <c r="D245" i="22"/>
  <c r="D244" i="22"/>
  <c r="D243" i="22"/>
  <c r="D242" i="22"/>
  <c r="D241" i="22"/>
  <c r="D240" i="22"/>
  <c r="X238" i="22"/>
  <c r="F237" i="22"/>
  <c r="B236" i="22"/>
  <c r="X234" i="22"/>
  <c r="F233" i="22"/>
  <c r="B232" i="22"/>
  <c r="X230" i="22"/>
  <c r="F229" i="22"/>
  <c r="B228" i="22"/>
  <c r="X226" i="22"/>
  <c r="F225" i="22"/>
  <c r="B224" i="22"/>
  <c r="X222" i="22"/>
  <c r="F221" i="22"/>
  <c r="B220" i="22"/>
  <c r="X218" i="22"/>
  <c r="F217" i="22"/>
  <c r="V487" i="22"/>
  <c r="N405" i="22"/>
  <c r="B419" i="22"/>
  <c r="S469" i="22"/>
  <c r="A433" i="22"/>
  <c r="B399" i="22"/>
  <c r="F370" i="22"/>
  <c r="D469" i="22"/>
  <c r="B428" i="22"/>
  <c r="A395" i="22"/>
  <c r="E382" i="22"/>
  <c r="L369" i="22"/>
  <c r="N354" i="22"/>
  <c r="C475" i="22"/>
  <c r="J379" i="22"/>
  <c r="D341" i="22"/>
  <c r="C325" i="22"/>
  <c r="C309" i="22"/>
  <c r="X290" i="22"/>
  <c r="Q275" i="22"/>
  <c r="L418" i="22"/>
  <c r="T351" i="22"/>
  <c r="F330" i="22"/>
  <c r="B309" i="22"/>
  <c r="A292" i="22"/>
  <c r="J280" i="22"/>
  <c r="T274" i="22"/>
  <c r="S464" i="22"/>
  <c r="V430" i="22"/>
  <c r="O396" i="22"/>
  <c r="T375" i="22"/>
  <c r="T354" i="22"/>
  <c r="Q346" i="22"/>
  <c r="A340" i="22"/>
  <c r="V335" i="22"/>
  <c r="L331" i="22"/>
  <c r="E327" i="22"/>
  <c r="A323" i="22"/>
  <c r="Q318" i="22"/>
  <c r="L314" i="22"/>
  <c r="E310" i="22"/>
  <c r="V305" i="22"/>
  <c r="Q301" i="22"/>
  <c r="O296" i="22"/>
  <c r="T291" i="22"/>
  <c r="T287" i="22"/>
  <c r="S283" i="22"/>
  <c r="S279" i="22"/>
  <c r="S275" i="22"/>
  <c r="S271" i="22"/>
  <c r="S267" i="22"/>
  <c r="S263" i="22"/>
  <c r="S259" i="22"/>
  <c r="T390" i="22"/>
  <c r="J343" i="22"/>
  <c r="J327" i="22"/>
  <c r="J311" i="22"/>
  <c r="C295" i="22"/>
  <c r="F278" i="22"/>
  <c r="F267" i="22"/>
  <c r="L261" i="22"/>
  <c r="X256" i="22"/>
  <c r="F251" i="22"/>
  <c r="V246" i="22"/>
  <c r="Q243" i="22"/>
  <c r="L240" i="22"/>
  <c r="H236" i="22"/>
  <c r="H232" i="22"/>
  <c r="H228" i="22"/>
  <c r="H224" i="22"/>
  <c r="H220" i="22"/>
  <c r="H216" i="22"/>
  <c r="H212" i="22"/>
  <c r="H208" i="22"/>
  <c r="H204" i="22"/>
  <c r="H200" i="22"/>
  <c r="H196" i="22"/>
  <c r="E192" i="22"/>
  <c r="A189" i="22"/>
  <c r="V185" i="22"/>
  <c r="Q182" i="22"/>
  <c r="L179" i="22"/>
  <c r="E176" i="22"/>
  <c r="A173" i="22"/>
  <c r="V169" i="22"/>
  <c r="Q166" i="22"/>
  <c r="L163" i="22"/>
  <c r="J159" i="22"/>
  <c r="J155" i="22"/>
  <c r="T150" i="22"/>
  <c r="A147" i="22"/>
  <c r="V143" i="22"/>
  <c r="Q140" i="22"/>
  <c r="L137" i="22"/>
  <c r="E134" i="22"/>
  <c r="A131" i="22"/>
  <c r="V127" i="22"/>
  <c r="Q124" i="22"/>
  <c r="L121" i="22"/>
  <c r="E118" i="22"/>
  <c r="A115" i="22"/>
  <c r="V111" i="22"/>
  <c r="Q108" i="22"/>
  <c r="L105" i="22"/>
  <c r="E102" i="22"/>
  <c r="A99" i="22"/>
  <c r="V95" i="22"/>
  <c r="Q92" i="22"/>
  <c r="L89" i="22"/>
  <c r="A432" i="22"/>
  <c r="X353" i="22"/>
  <c r="O333" i="22"/>
  <c r="O317" i="22"/>
  <c r="O301" i="22"/>
  <c r="X282" i="22"/>
  <c r="B269" i="22"/>
  <c r="A264" i="22"/>
  <c r="V258" i="22"/>
  <c r="Q255" i="22"/>
  <c r="L252" i="22"/>
  <c r="E249" i="22"/>
  <c r="J245" i="22"/>
  <c r="J241" i="22"/>
  <c r="F236" i="22"/>
  <c r="B231" i="22"/>
  <c r="X225" i="22"/>
  <c r="F220" i="22"/>
  <c r="B216" i="22"/>
  <c r="B214" i="22"/>
  <c r="F212" i="22"/>
  <c r="X210" i="22"/>
  <c r="X208" i="22"/>
  <c r="B207" i="22"/>
  <c r="F205" i="22"/>
  <c r="F203" i="22"/>
  <c r="X201" i="22"/>
  <c r="B200" i="22"/>
  <c r="B198" i="22"/>
  <c r="F196" i="22"/>
  <c r="X194" i="22"/>
  <c r="J192" i="22"/>
  <c r="H553" i="22"/>
  <c r="V466" i="22"/>
  <c r="J499" i="22"/>
  <c r="N390" i="22"/>
  <c r="Q458" i="22"/>
  <c r="Q424" i="22"/>
  <c r="X391" i="22"/>
  <c r="T362" i="22"/>
  <c r="B460" i="22"/>
  <c r="F417" i="22"/>
  <c r="V391" i="22"/>
  <c r="A379" i="22"/>
  <c r="E366" i="22"/>
  <c r="N350" i="22"/>
  <c r="L444" i="22"/>
  <c r="C363" i="22"/>
  <c r="C337" i="22"/>
  <c r="C321" i="22"/>
  <c r="C305" i="22"/>
  <c r="E285" i="22"/>
  <c r="L272" i="22"/>
  <c r="D395" i="22"/>
  <c r="X345" i="22"/>
  <c r="B325" i="22"/>
  <c r="X303" i="22"/>
  <c r="V288" i="22"/>
  <c r="T278" i="22"/>
  <c r="O273" i="22"/>
  <c r="L456" i="22"/>
  <c r="E421" i="22"/>
  <c r="T391" i="22"/>
  <c r="D370" i="22"/>
  <c r="E352" i="22"/>
  <c r="F345" i="22"/>
  <c r="A339" i="22"/>
  <c r="Q334" i="22"/>
  <c r="L330" i="22"/>
  <c r="E326" i="22"/>
  <c r="V321" i="22"/>
  <c r="Q317" i="22"/>
  <c r="L313" i="22"/>
  <c r="A309" i="22"/>
  <c r="V304" i="22"/>
  <c r="Q300" i="22"/>
  <c r="D295" i="22"/>
  <c r="T290" i="22"/>
  <c r="T286" i="22"/>
  <c r="S282" i="22"/>
  <c r="S278" i="22"/>
  <c r="S274" i="22"/>
  <c r="S270" i="22"/>
  <c r="S266" i="22"/>
  <c r="S262" i="22"/>
  <c r="S472" i="22"/>
  <c r="T374" i="22"/>
  <c r="J339" i="22"/>
  <c r="J323" i="22"/>
  <c r="J307" i="22"/>
  <c r="C291" i="22"/>
  <c r="O271" i="22"/>
  <c r="L265" i="22"/>
  <c r="J260" i="22"/>
  <c r="F255" i="22"/>
  <c r="B250" i="22"/>
  <c r="A246" i="22"/>
  <c r="V242" i="22"/>
  <c r="Q239" i="22"/>
  <c r="H235" i="22"/>
  <c r="H231" i="22"/>
  <c r="H227" i="22"/>
  <c r="H223" i="22"/>
  <c r="H219" i="22"/>
  <c r="H215" i="22"/>
  <c r="H211" i="22"/>
  <c r="H207" i="22"/>
  <c r="H203" i="22"/>
  <c r="H199" i="22"/>
  <c r="H195" i="22"/>
  <c r="L191" i="22"/>
  <c r="E188" i="22"/>
  <c r="A185" i="22"/>
  <c r="V181" i="22"/>
  <c r="Q178" i="22"/>
  <c r="L175" i="22"/>
  <c r="E172" i="22"/>
  <c r="A169" i="22"/>
  <c r="V165" i="22"/>
  <c r="J162" i="22"/>
  <c r="J158" i="22"/>
  <c r="J154" i="22"/>
  <c r="S149" i="22"/>
  <c r="E146" i="22"/>
  <c r="A143" i="22"/>
  <c r="V139" i="22"/>
  <c r="Q136" i="22"/>
  <c r="L133" i="22"/>
  <c r="E130" i="22"/>
  <c r="A127" i="22"/>
  <c r="V123" i="22"/>
  <c r="Q120" i="22"/>
  <c r="L117" i="22"/>
  <c r="E114" i="22"/>
  <c r="A111" i="22"/>
  <c r="V107" i="22"/>
  <c r="Q104" i="22"/>
  <c r="L101" i="22"/>
  <c r="E98" i="22"/>
  <c r="A95" i="22"/>
  <c r="V91" i="22"/>
  <c r="Q88" i="22"/>
  <c r="L406" i="22"/>
  <c r="J347" i="22"/>
  <c r="O329" i="22"/>
  <c r="O313" i="22"/>
  <c r="N296" i="22"/>
  <c r="B278" i="22"/>
  <c r="A268" i="22"/>
  <c r="D262" i="22"/>
  <c r="A258" i="22"/>
  <c r="V254" i="22"/>
  <c r="Q251" i="22"/>
  <c r="J248" i="22"/>
  <c r="J244" i="22"/>
  <c r="J240" i="22"/>
  <c r="B235" i="22"/>
  <c r="X229" i="22"/>
  <c r="F224" i="22"/>
  <c r="B219" i="22"/>
  <c r="F215" i="22"/>
  <c r="X213" i="22"/>
  <c r="B212" i="22"/>
  <c r="B210" i="22"/>
  <c r="F208" i="22"/>
  <c r="X206" i="22"/>
  <c r="X204" i="22"/>
  <c r="B203" i="22"/>
  <c r="F201" i="22"/>
  <c r="F199" i="22"/>
  <c r="X197" i="22"/>
  <c r="B196" i="22"/>
  <c r="B194" i="22"/>
  <c r="L503" i="22"/>
  <c r="S445" i="22"/>
  <c r="J475" i="22"/>
  <c r="N374" i="22"/>
  <c r="E450" i="22"/>
  <c r="V415" i="22"/>
  <c r="X384" i="22"/>
  <c r="O357" i="22"/>
  <c r="F449" i="22"/>
  <c r="X406" i="22"/>
  <c r="Q388" i="22"/>
  <c r="V375" i="22"/>
  <c r="N362" i="22"/>
  <c r="N346" i="22"/>
  <c r="V418" i="22"/>
  <c r="B352" i="22"/>
  <c r="C333" i="22"/>
  <c r="C317" i="22"/>
  <c r="C301" i="22"/>
  <c r="A282" i="22"/>
  <c r="N471" i="22"/>
  <c r="D379" i="22"/>
  <c r="V340" i="22"/>
  <c r="X319" i="22"/>
  <c r="L298" i="22"/>
  <c r="Q285" i="22"/>
  <c r="O277" i="22"/>
  <c r="J272" i="22"/>
  <c r="V446" i="22"/>
  <c r="E413" i="22"/>
  <c r="D386" i="22"/>
  <c r="O364" i="22"/>
  <c r="J350" i="22"/>
  <c r="D343" i="22"/>
  <c r="V337" i="22"/>
  <c r="Q333" i="22"/>
  <c r="L329" i="22"/>
  <c r="A325" i="22"/>
  <c r="V320" i="22"/>
  <c r="Q316" i="22"/>
  <c r="E312" i="22"/>
  <c r="A308" i="22"/>
  <c r="V303" i="22"/>
  <c r="D299" i="22"/>
  <c r="T293" i="22"/>
  <c r="T289" i="22"/>
  <c r="T285" i="22"/>
  <c r="S281" i="22"/>
  <c r="S277" i="22"/>
  <c r="S273" i="22"/>
  <c r="S269" i="22"/>
  <c r="S265" i="22"/>
  <c r="S261" i="22"/>
  <c r="A440" i="22"/>
  <c r="X355" i="22"/>
  <c r="J335" i="22"/>
  <c r="J319" i="22"/>
  <c r="J303" i="22"/>
  <c r="C287" i="22"/>
  <c r="L269" i="22"/>
  <c r="J264" i="22"/>
  <c r="F259" i="22"/>
  <c r="B254" i="22"/>
  <c r="X248" i="22"/>
  <c r="E245" i="22"/>
  <c r="A242" i="22"/>
  <c r="H238" i="22"/>
  <c r="H234" i="22"/>
  <c r="H230" i="22"/>
  <c r="H226" i="22"/>
  <c r="H222" i="22"/>
  <c r="H218" i="22"/>
  <c r="H214" i="22"/>
  <c r="H210" i="22"/>
  <c r="H206" i="22"/>
  <c r="H202" i="22"/>
  <c r="H198" i="22"/>
  <c r="H194" i="22"/>
  <c r="Q190" i="22"/>
  <c r="L187" i="22"/>
  <c r="E184" i="22"/>
  <c r="A181" i="22"/>
  <c r="V177" i="22"/>
  <c r="Q174" i="22"/>
  <c r="L171" i="22"/>
  <c r="E168" i="22"/>
  <c r="A165" i="22"/>
  <c r="J161" i="22"/>
  <c r="J157" i="22"/>
  <c r="J153" i="22"/>
  <c r="Q148" i="22"/>
  <c r="L145" i="22"/>
  <c r="E142" i="22"/>
  <c r="A139" i="22"/>
  <c r="V135" i="22"/>
  <c r="Q132" i="22"/>
  <c r="L129" i="22"/>
  <c r="E126" i="22"/>
  <c r="A123" i="22"/>
  <c r="V119" i="22"/>
  <c r="Q116" i="22"/>
  <c r="L113" i="22"/>
  <c r="E110" i="22"/>
  <c r="A107" i="22"/>
  <c r="V103" i="22"/>
  <c r="Q100" i="22"/>
  <c r="L97" i="22"/>
  <c r="E94" i="22"/>
  <c r="A91" i="22"/>
  <c r="J514" i="22"/>
  <c r="T386" i="22"/>
  <c r="B343" i="22"/>
  <c r="O325" i="22"/>
  <c r="O309" i="22"/>
  <c r="N292" i="22"/>
  <c r="F273" i="22"/>
  <c r="D266" i="22"/>
  <c r="B261" i="22"/>
  <c r="E257" i="22"/>
  <c r="A254" i="22"/>
  <c r="V250" i="22"/>
  <c r="J247" i="22"/>
  <c r="J243" i="22"/>
  <c r="C239" i="22"/>
  <c r="X233" i="22"/>
  <c r="F228" i="22"/>
  <c r="B223" i="22"/>
  <c r="X217" i="22"/>
  <c r="B215" i="22"/>
  <c r="F213" i="22"/>
  <c r="F211" i="22"/>
  <c r="X209" i="22"/>
  <c r="B208" i="22"/>
  <c r="B206" i="22"/>
  <c r="F204" i="22"/>
  <c r="X202" i="22"/>
  <c r="X200" i="22"/>
  <c r="B199" i="22"/>
  <c r="F197" i="22"/>
  <c r="F195" i="22"/>
  <c r="X193" i="22"/>
  <c r="T191" i="22"/>
  <c r="J190" i="22"/>
  <c r="D189" i="22"/>
  <c r="T187" i="22"/>
  <c r="J186" i="22"/>
  <c r="D185" i="22"/>
  <c r="T183" i="22"/>
  <c r="O182" i="22"/>
  <c r="O181" i="22"/>
  <c r="O180" i="22"/>
  <c r="O179" i="22"/>
  <c r="O178" i="22"/>
  <c r="O177" i="22"/>
  <c r="O176" i="22"/>
  <c r="O175" i="22"/>
  <c r="O174" i="22"/>
  <c r="O173" i="22"/>
  <c r="O172" i="22"/>
  <c r="O171" i="22"/>
  <c r="O170" i="22"/>
  <c r="O169" i="22"/>
  <c r="O168" i="22"/>
  <c r="O167" i="22"/>
  <c r="O166" i="22"/>
  <c r="O165" i="22"/>
  <c r="O164" i="22"/>
  <c r="O163" i="22"/>
  <c r="N162" i="22"/>
  <c r="N161" i="22"/>
  <c r="N160" i="22"/>
  <c r="N159" i="22"/>
  <c r="N158" i="22"/>
  <c r="N157" i="22"/>
  <c r="N156" i="22"/>
  <c r="N155" i="22"/>
  <c r="N154" i="22"/>
  <c r="N153" i="22"/>
  <c r="N152" i="22"/>
  <c r="N151" i="22"/>
  <c r="C150" i="22"/>
  <c r="O148" i="22"/>
  <c r="O147" i="22"/>
  <c r="O146" i="22"/>
  <c r="O145" i="22"/>
  <c r="O144" i="22"/>
  <c r="O143" i="22"/>
  <c r="O142" i="22"/>
  <c r="O141" i="22"/>
  <c r="O140" i="22"/>
  <c r="O139" i="22"/>
  <c r="O138" i="22"/>
  <c r="O137" i="22"/>
  <c r="O136" i="22"/>
  <c r="O135" i="22"/>
  <c r="O134" i="22"/>
  <c r="O133" i="22"/>
  <c r="O132" i="22"/>
  <c r="O131" i="22"/>
  <c r="O130" i="22"/>
  <c r="O129" i="22"/>
  <c r="O128" i="22"/>
  <c r="O127" i="22"/>
  <c r="O126" i="22"/>
  <c r="O125" i="22"/>
  <c r="O124" i="22"/>
  <c r="O123" i="22"/>
  <c r="O122" i="22"/>
  <c r="O121" i="22"/>
  <c r="O120" i="22"/>
  <c r="O119" i="22"/>
  <c r="O118" i="22"/>
  <c r="O501" i="22"/>
  <c r="A456" i="22"/>
  <c r="L430" i="22"/>
  <c r="V404" i="22"/>
  <c r="D389" i="22"/>
  <c r="D373" i="22"/>
  <c r="X356" i="22"/>
  <c r="F350" i="22"/>
  <c r="A346" i="22"/>
  <c r="T339" i="22"/>
  <c r="T335" i="22"/>
  <c r="T331" i="22"/>
  <c r="T327" i="22"/>
  <c r="T323" i="22"/>
  <c r="T319" i="22"/>
  <c r="T315" i="22"/>
  <c r="T311" i="22"/>
  <c r="T307" i="22"/>
  <c r="T303" i="22"/>
  <c r="T299" i="22"/>
  <c r="N295" i="22"/>
  <c r="N291" i="22"/>
  <c r="N287" i="22"/>
  <c r="X281" i="22"/>
  <c r="B277" i="22"/>
  <c r="F272" i="22"/>
  <c r="J270" i="22"/>
  <c r="F269" i="22"/>
  <c r="L267" i="22"/>
  <c r="J266" i="22"/>
  <c r="F265" i="22"/>
  <c r="L263" i="22"/>
  <c r="J262" i="22"/>
  <c r="F261" i="22"/>
  <c r="L259" i="22"/>
  <c r="J258" i="22"/>
  <c r="J257" i="22"/>
  <c r="J256" i="22"/>
  <c r="J255" i="22"/>
  <c r="J254" i="22"/>
  <c r="J253" i="22"/>
  <c r="J252" i="22"/>
  <c r="J251" i="22"/>
  <c r="X461" i="22"/>
  <c r="X377" i="22"/>
  <c r="L385" i="22"/>
  <c r="J395" i="22"/>
  <c r="B296" i="22"/>
  <c r="X335" i="22"/>
  <c r="J276" i="22"/>
  <c r="O380" i="22"/>
  <c r="V336" i="22"/>
  <c r="V319" i="22"/>
  <c r="Q302" i="22"/>
  <c r="S284" i="22"/>
  <c r="S268" i="22"/>
  <c r="T349" i="22"/>
  <c r="B283" i="22"/>
  <c r="X252" i="22"/>
  <c r="H237" i="22"/>
  <c r="H221" i="22"/>
  <c r="H205" i="22"/>
  <c r="V189" i="22"/>
  <c r="A177" i="22"/>
  <c r="E164" i="22"/>
  <c r="V147" i="22"/>
  <c r="A135" i="22"/>
  <c r="E122" i="22"/>
  <c r="L109" i="22"/>
  <c r="Q96" i="22"/>
  <c r="T370" i="22"/>
  <c r="N288" i="22"/>
  <c r="L256" i="22"/>
  <c r="J242" i="22"/>
  <c r="X221" i="22"/>
  <c r="B211" i="22"/>
  <c r="B204" i="22"/>
  <c r="X196" i="22"/>
  <c r="J191" i="22"/>
  <c r="T189" i="22"/>
  <c r="D188" i="22"/>
  <c r="D186" i="22"/>
  <c r="J184" i="22"/>
  <c r="T182" i="22"/>
  <c r="J181" i="22"/>
  <c r="D180" i="22"/>
  <c r="T178" i="22"/>
  <c r="J177" i="22"/>
  <c r="D176" i="22"/>
  <c r="T174" i="22"/>
  <c r="J173" i="22"/>
  <c r="D172" i="22"/>
  <c r="T170" i="22"/>
  <c r="J169" i="22"/>
  <c r="D168" i="22"/>
  <c r="T166" i="22"/>
  <c r="J165" i="22"/>
  <c r="D164" i="22"/>
  <c r="S162" i="22"/>
  <c r="H161" i="22"/>
  <c r="C160" i="22"/>
  <c r="S158" i="22"/>
  <c r="H157" i="22"/>
  <c r="C156" i="22"/>
  <c r="S154" i="22"/>
  <c r="H153" i="22"/>
  <c r="C152" i="22"/>
  <c r="H150" i="22"/>
  <c r="J148" i="22"/>
  <c r="D147" i="22"/>
  <c r="T145" i="22"/>
  <c r="J144" i="22"/>
  <c r="D143" i="22"/>
  <c r="T141" i="22"/>
  <c r="J140" i="22"/>
  <c r="D139" i="22"/>
  <c r="T137" i="22"/>
  <c r="J136" i="22"/>
  <c r="D135" i="22"/>
  <c r="T133" i="22"/>
  <c r="J132" i="22"/>
  <c r="D131" i="22"/>
  <c r="T129" i="22"/>
  <c r="J128" i="22"/>
  <c r="D127" i="22"/>
  <c r="T125" i="22"/>
  <c r="J124" i="22"/>
  <c r="D123" i="22"/>
  <c r="T121" i="22"/>
  <c r="J120" i="22"/>
  <c r="D119" i="22"/>
  <c r="T117" i="22"/>
  <c r="Q449" i="22"/>
  <c r="Q417" i="22"/>
  <c r="J392" i="22"/>
  <c r="T366" i="22"/>
  <c r="L352" i="22"/>
  <c r="B347" i="22"/>
  <c r="D338" i="22"/>
  <c r="J333" i="22"/>
  <c r="O328" i="22"/>
  <c r="D322" i="22"/>
  <c r="J317" i="22"/>
  <c r="O312" i="22"/>
  <c r="D306" i="22"/>
  <c r="J301" i="22"/>
  <c r="H296" i="22"/>
  <c r="S290" i="22"/>
  <c r="B285" i="22"/>
  <c r="X277" i="22"/>
  <c r="T271" i="22"/>
  <c r="V269" i="22"/>
  <c r="E268" i="22"/>
  <c r="B266" i="22"/>
  <c r="T264" i="22"/>
  <c r="Q262" i="22"/>
  <c r="A261" i="22"/>
  <c r="T258" i="22"/>
  <c r="O257" i="22"/>
  <c r="D256" i="22"/>
  <c r="T254" i="22"/>
  <c r="O253" i="22"/>
  <c r="D252" i="22"/>
  <c r="T250" i="22"/>
  <c r="T249" i="22"/>
  <c r="T248" i="22"/>
  <c r="S247" i="22"/>
  <c r="S246" i="22"/>
  <c r="S245" i="22"/>
  <c r="S244" i="22"/>
  <c r="S243" i="22"/>
  <c r="S242" i="22"/>
  <c r="S241" i="22"/>
  <c r="S240" i="22"/>
  <c r="S239" i="22"/>
  <c r="Q238" i="22"/>
  <c r="V237" i="22"/>
  <c r="A237" i="22"/>
  <c r="E236" i="22"/>
  <c r="L235" i="22"/>
  <c r="Q234" i="22"/>
  <c r="V233" i="22"/>
  <c r="A233" i="22"/>
  <c r="E232" i="22"/>
  <c r="L231" i="22"/>
  <c r="Q230" i="22"/>
  <c r="V229" i="22"/>
  <c r="A229" i="22"/>
  <c r="E228" i="22"/>
  <c r="L227" i="22"/>
  <c r="Q226" i="22"/>
  <c r="V225" i="22"/>
  <c r="A225" i="22"/>
  <c r="E224" i="22"/>
  <c r="L223" i="22"/>
  <c r="Q222" i="22"/>
  <c r="V221" i="22"/>
  <c r="A221" i="22"/>
  <c r="E220" i="22"/>
  <c r="L219" i="22"/>
  <c r="Q218" i="22"/>
  <c r="V217" i="22"/>
  <c r="A217" i="22"/>
  <c r="E216" i="22"/>
  <c r="L215" i="22"/>
  <c r="Q214" i="22"/>
  <c r="V213" i="22"/>
  <c r="A213" i="22"/>
  <c r="E212" i="22"/>
  <c r="L211" i="22"/>
  <c r="Q210" i="22"/>
  <c r="V209" i="22"/>
  <c r="A209" i="22"/>
  <c r="E208" i="22"/>
  <c r="L207" i="22"/>
  <c r="Q206" i="22"/>
  <c r="V205" i="22"/>
  <c r="A205" i="22"/>
  <c r="E204" i="22"/>
  <c r="L203" i="22"/>
  <c r="Q202" i="22"/>
  <c r="V201" i="22"/>
  <c r="A201" i="22"/>
  <c r="E200" i="22"/>
  <c r="L199" i="22"/>
  <c r="Q198" i="22"/>
  <c r="V197" i="22"/>
  <c r="A197" i="22"/>
  <c r="E196" i="22"/>
  <c r="L195" i="22"/>
  <c r="Q194" i="22"/>
  <c r="V193" i="22"/>
  <c r="N192" i="22"/>
  <c r="N191" i="22"/>
  <c r="N190" i="22"/>
  <c r="N189" i="22"/>
  <c r="N188" i="22"/>
  <c r="N187" i="22"/>
  <c r="N186" i="22"/>
  <c r="N185" i="22"/>
  <c r="N184" i="22"/>
  <c r="N183" i="22"/>
  <c r="N182" i="22"/>
  <c r="N181" i="22"/>
  <c r="N180" i="22"/>
  <c r="N179" i="22"/>
  <c r="N178" i="22"/>
  <c r="N177" i="22"/>
  <c r="N176" i="22"/>
  <c r="N175" i="22"/>
  <c r="N174" i="22"/>
  <c r="N173" i="22"/>
  <c r="N172" i="22"/>
  <c r="N171" i="22"/>
  <c r="N170" i="22"/>
  <c r="N169" i="22"/>
  <c r="N168" i="22"/>
  <c r="N167" i="22"/>
  <c r="N166" i="22"/>
  <c r="N165" i="22"/>
  <c r="N164" i="22"/>
  <c r="N163" i="22"/>
  <c r="F162" i="22"/>
  <c r="B161" i="22"/>
  <c r="X159" i="22"/>
  <c r="F158" i="22"/>
  <c r="B157" i="22"/>
  <c r="X155" i="22"/>
  <c r="F154" i="22"/>
  <c r="B153" i="22"/>
  <c r="X151" i="22"/>
  <c r="V149" i="22"/>
  <c r="N148" i="22"/>
  <c r="N147" i="22"/>
  <c r="N146" i="22"/>
  <c r="N145" i="22"/>
  <c r="N144" i="22"/>
  <c r="N143" i="22"/>
  <c r="N142" i="22"/>
  <c r="N141" i="22"/>
  <c r="N140" i="22"/>
  <c r="N139" i="22"/>
  <c r="N138" i="22"/>
  <c r="N137" i="22"/>
  <c r="N136" i="22"/>
  <c r="N135" i="22"/>
  <c r="N134" i="22"/>
  <c r="N133" i="22"/>
  <c r="N132" i="22"/>
  <c r="N131" i="22"/>
  <c r="N130" i="22"/>
  <c r="N129" i="22"/>
  <c r="N128" i="22"/>
  <c r="N127" i="22"/>
  <c r="N126" i="22"/>
  <c r="N125" i="22"/>
  <c r="N124" i="22"/>
  <c r="N123" i="22"/>
  <c r="N122" i="22"/>
  <c r="N121" i="22"/>
  <c r="N120" i="22"/>
  <c r="N119" i="22"/>
  <c r="N118" i="22"/>
  <c r="N117" i="22"/>
  <c r="N116" i="22"/>
  <c r="N115" i="22"/>
  <c r="N114" i="22"/>
  <c r="N113" i="22"/>
  <c r="N112" i="22"/>
  <c r="N111" i="22"/>
  <c r="N110" i="22"/>
  <c r="N109" i="22"/>
  <c r="N108" i="22"/>
  <c r="N107" i="22"/>
  <c r="N106" i="22"/>
  <c r="N105" i="22"/>
  <c r="N104" i="22"/>
  <c r="N103" i="22"/>
  <c r="N102" i="22"/>
  <c r="N101" i="22"/>
  <c r="N100" i="22"/>
  <c r="N99" i="22"/>
  <c r="N98" i="22"/>
  <c r="N97" i="22"/>
  <c r="N96" i="22"/>
  <c r="N95" i="22"/>
  <c r="N94" i="22"/>
  <c r="N93" i="22"/>
  <c r="N92" i="22"/>
  <c r="N91" i="22"/>
  <c r="N90" i="22"/>
  <c r="N89" i="22"/>
  <c r="N88" i="22"/>
  <c r="X488" i="22"/>
  <c r="A448" i="22"/>
  <c r="D369" i="22"/>
  <c r="O342" i="22"/>
  <c r="D329" i="22"/>
  <c r="D313" i="22"/>
  <c r="S293" i="22"/>
  <c r="X280" i="22"/>
  <c r="B267" i="22"/>
  <c r="T261" i="22"/>
  <c r="H256" i="22"/>
  <c r="H252" i="22"/>
  <c r="F248" i="22"/>
  <c r="X241" i="22"/>
  <c r="O237" i="22"/>
  <c r="O233" i="22"/>
  <c r="O229" i="22"/>
  <c r="O225" i="22"/>
  <c r="O221" i="22"/>
  <c r="O217" i="22"/>
  <c r="O213" i="22"/>
  <c r="O209" i="22"/>
  <c r="O205" i="22"/>
  <c r="O201" i="22"/>
  <c r="O197" i="22"/>
  <c r="O193" i="22"/>
  <c r="E435" i="22"/>
  <c r="A350" i="22"/>
  <c r="J328" i="22"/>
  <c r="J312" i="22"/>
  <c r="C296" i="22"/>
  <c r="B280" i="22"/>
  <c r="X267" i="22"/>
  <c r="O262" i="22"/>
  <c r="S257" i="22"/>
  <c r="S253" i="22"/>
  <c r="S249" i="22"/>
  <c r="B244" i="22"/>
  <c r="D238" i="22"/>
  <c r="D234" i="22"/>
  <c r="D230" i="22"/>
  <c r="D226" i="22"/>
  <c r="D222" i="22"/>
  <c r="D218" i="22"/>
  <c r="D214" i="22"/>
  <c r="D210" i="22"/>
  <c r="D206" i="22"/>
  <c r="D202" i="22"/>
  <c r="V428" i="22"/>
  <c r="E353" i="22"/>
  <c r="O327" i="22"/>
  <c r="O311" i="22"/>
  <c r="H295" i="22"/>
  <c r="B276" i="22"/>
  <c r="Q267" i="22"/>
  <c r="F262" i="22"/>
  <c r="H258" i="22"/>
  <c r="H254" i="22"/>
  <c r="H250" i="22"/>
  <c r="B247" i="22"/>
  <c r="F242" i="22"/>
  <c r="J236" i="22"/>
  <c r="J232" i="22"/>
  <c r="J228" i="22"/>
  <c r="J224" i="22"/>
  <c r="J220" i="22"/>
  <c r="J216" i="22"/>
  <c r="D385" i="22"/>
  <c r="X347" i="22"/>
  <c r="D333" i="22"/>
  <c r="D317" i="22"/>
  <c r="D301" i="22"/>
  <c r="C288" i="22"/>
  <c r="O270" i="22"/>
  <c r="E265" i="22"/>
  <c r="X259" i="22"/>
  <c r="S255" i="22"/>
  <c r="S251" i="22"/>
  <c r="X246" i="22"/>
  <c r="B242" i="22"/>
  <c r="D236" i="22"/>
  <c r="D232" i="22"/>
  <c r="D228" i="22"/>
  <c r="D224" i="22"/>
  <c r="D220" i="22"/>
  <c r="D216" i="22"/>
  <c r="D212" i="22"/>
  <c r="D208" i="22"/>
  <c r="D204" i="22"/>
  <c r="D200" i="22"/>
  <c r="D196" i="22"/>
  <c r="X191" i="22"/>
  <c r="T206" i="22"/>
  <c r="T194" i="22"/>
  <c r="B186" i="22"/>
  <c r="F181" i="22"/>
  <c r="X174" i="22"/>
  <c r="B170" i="22"/>
  <c r="F165" i="22"/>
  <c r="L160" i="22"/>
  <c r="E157" i="22"/>
  <c r="A154" i="22"/>
  <c r="L150" i="22"/>
  <c r="F145" i="22"/>
  <c r="X138" i="22"/>
  <c r="B134" i="22"/>
  <c r="F129" i="22"/>
  <c r="X122" i="22"/>
  <c r="B118" i="22"/>
  <c r="B115" i="22"/>
  <c r="F112" i="22"/>
  <c r="X109" i="22"/>
  <c r="B107" i="22"/>
  <c r="F104" i="22"/>
  <c r="X101" i="22"/>
  <c r="B99" i="22"/>
  <c r="F96" i="22"/>
  <c r="X93" i="22"/>
  <c r="B91" i="22"/>
  <c r="F88" i="22"/>
  <c r="E87" i="22"/>
  <c r="L86" i="22"/>
  <c r="Q85" i="22"/>
  <c r="V84" i="22"/>
  <c r="A84" i="22"/>
  <c r="E83" i="22"/>
  <c r="L82" i="22"/>
  <c r="Q81" i="22"/>
  <c r="V80" i="22"/>
  <c r="A80" i="22"/>
  <c r="E79" i="22"/>
  <c r="L78" i="22"/>
  <c r="Q77" i="22"/>
  <c r="V76" i="22"/>
  <c r="S75" i="22"/>
  <c r="S74" i="22"/>
  <c r="V73" i="22"/>
  <c r="A73" i="22"/>
  <c r="E72" i="22"/>
  <c r="D209" i="22"/>
  <c r="T195" i="22"/>
  <c r="X185" i="22"/>
  <c r="B181" i="22"/>
  <c r="F176" i="22"/>
  <c r="X169" i="22"/>
  <c r="B165" i="22"/>
  <c r="A161" i="22"/>
  <c r="V157" i="22"/>
  <c r="Q154" i="22"/>
  <c r="B151" i="22"/>
  <c r="X145" i="22"/>
  <c r="B141" i="22"/>
  <c r="F136" i="22"/>
  <c r="X129" i="22"/>
  <c r="B125" i="22"/>
  <c r="F120" i="22"/>
  <c r="D116" i="22"/>
  <c r="D114" i="22"/>
  <c r="D112" i="22"/>
  <c r="D110" i="22"/>
  <c r="D108" i="22"/>
  <c r="D106" i="22"/>
  <c r="D104" i="22"/>
  <c r="D102" i="22"/>
  <c r="D100" i="22"/>
  <c r="D98" i="22"/>
  <c r="D96" i="22"/>
  <c r="D94" i="22"/>
  <c r="D92" i="22"/>
  <c r="D90" i="22"/>
  <c r="D88" i="22"/>
  <c r="D87" i="22"/>
  <c r="D86" i="22"/>
  <c r="D85" i="22"/>
  <c r="D84" i="22"/>
  <c r="D83" i="22"/>
  <c r="D82" i="22"/>
  <c r="D81" i="22"/>
  <c r="D80" i="22"/>
  <c r="D79" i="22"/>
  <c r="D78" i="22"/>
  <c r="J208" i="22"/>
  <c r="O195" i="22"/>
  <c r="F187" i="22"/>
  <c r="X180" i="22"/>
  <c r="B176" i="22"/>
  <c r="F171" i="22"/>
  <c r="X164" i="22"/>
  <c r="Q161" i="22"/>
  <c r="L158" i="22"/>
  <c r="E155" i="22"/>
  <c r="A152" i="22"/>
  <c r="B148" i="22"/>
  <c r="F143" i="22"/>
  <c r="X136" i="22"/>
  <c r="B132" i="22"/>
  <c r="F127" i="22"/>
  <c r="X120" i="22"/>
  <c r="X116" i="22"/>
  <c r="B114" i="22"/>
  <c r="F111" i="22"/>
  <c r="X108" i="22"/>
  <c r="B106" i="22"/>
  <c r="F103" i="22"/>
  <c r="X100" i="22"/>
  <c r="B98" i="22"/>
  <c r="F95" i="22"/>
  <c r="X92" i="22"/>
  <c r="B90" i="22"/>
  <c r="T87" i="22"/>
  <c r="S86" i="22"/>
  <c r="S85" i="22"/>
  <c r="S84" i="22"/>
  <c r="S83" i="22"/>
  <c r="S82" i="22"/>
  <c r="S81" i="22"/>
  <c r="S80" i="22"/>
  <c r="S79" i="22"/>
  <c r="S78" i="22"/>
  <c r="S77" i="22"/>
  <c r="S76" i="22"/>
  <c r="V75" i="22"/>
  <c r="A75" i="22"/>
  <c r="E74" i="22"/>
  <c r="C73" i="22"/>
  <c r="C72" i="22"/>
  <c r="C71" i="22"/>
  <c r="C70" i="22"/>
  <c r="C69" i="22"/>
  <c r="D67" i="22"/>
  <c r="D66" i="22"/>
  <c r="X64" i="22"/>
  <c r="T210" i="22"/>
  <c r="D198" i="22"/>
  <c r="X188" i="22"/>
  <c r="X183" i="22"/>
  <c r="B179" i="22"/>
  <c r="F174" i="22"/>
  <c r="X167" i="22"/>
  <c r="A163" i="22"/>
  <c r="V159" i="22"/>
  <c r="Q156" i="22"/>
  <c r="L153" i="22"/>
  <c r="T149" i="22"/>
  <c r="X143" i="22"/>
  <c r="B139" i="22"/>
  <c r="F134" i="22"/>
  <c r="X127" i="22"/>
  <c r="B123" i="22"/>
  <c r="F118" i="22"/>
  <c r="J116" i="22"/>
  <c r="J114" i="22"/>
  <c r="J112" i="22"/>
  <c r="J110" i="22"/>
  <c r="J108" i="22"/>
  <c r="J106" i="22"/>
  <c r="J104" i="22"/>
  <c r="J102" i="22"/>
  <c r="J100" i="22"/>
  <c r="J98" i="22"/>
  <c r="J96" i="22"/>
  <c r="J94" i="22"/>
  <c r="J92" i="22"/>
  <c r="J90" i="22"/>
  <c r="J88" i="22"/>
  <c r="F86" i="22"/>
  <c r="B85" i="22"/>
  <c r="X83" i="22"/>
  <c r="F82" i="22"/>
  <c r="B81" i="22"/>
  <c r="X79" i="22"/>
  <c r="F78" i="22"/>
  <c r="B77" i="22"/>
  <c r="O75" i="22"/>
  <c r="O74" i="22"/>
  <c r="F73" i="22"/>
  <c r="B72" i="22"/>
  <c r="O76" i="22"/>
  <c r="Q71" i="22"/>
  <c r="X69" i="22"/>
  <c r="X67" i="22"/>
  <c r="V66" i="22"/>
  <c r="J65" i="22"/>
  <c r="H64" i="22"/>
  <c r="H63" i="22"/>
  <c r="H62" i="22"/>
  <c r="H61" i="22"/>
  <c r="H60" i="22"/>
  <c r="H59" i="22"/>
  <c r="H58" i="22"/>
  <c r="H57" i="22"/>
  <c r="H56" i="22"/>
  <c r="H55" i="22"/>
  <c r="H54" i="22"/>
  <c r="L53" i="22"/>
  <c r="Q52" i="22"/>
  <c r="V51" i="22"/>
  <c r="A51" i="22"/>
  <c r="E50" i="22"/>
  <c r="L49" i="22"/>
  <c r="Q48" i="22"/>
  <c r="V47" i="22"/>
  <c r="A47" i="22"/>
  <c r="E46" i="22"/>
  <c r="L45" i="22"/>
  <c r="Q44" i="22"/>
  <c r="V43" i="22"/>
  <c r="A43" i="22"/>
  <c r="E42" i="22"/>
  <c r="L41" i="22"/>
  <c r="Q40" i="22"/>
  <c r="V39" i="22"/>
  <c r="A39" i="22"/>
  <c r="E38" i="22"/>
  <c r="L37" i="22"/>
  <c r="Q36" i="22"/>
  <c r="E359" i="22"/>
  <c r="C484" i="22"/>
  <c r="Q372" i="22"/>
  <c r="A347" i="22"/>
  <c r="V278" i="22"/>
  <c r="F314" i="22"/>
  <c r="S476" i="22"/>
  <c r="X357" i="22"/>
  <c r="Q332" i="22"/>
  <c r="L315" i="22"/>
  <c r="T297" i="22"/>
  <c r="S280" i="22"/>
  <c r="S264" i="22"/>
  <c r="J331" i="22"/>
  <c r="J268" i="22"/>
  <c r="Q247" i="22"/>
  <c r="H233" i="22"/>
  <c r="H217" i="22"/>
  <c r="H201" i="22"/>
  <c r="Q186" i="22"/>
  <c r="V173" i="22"/>
  <c r="J160" i="22"/>
  <c r="Q144" i="22"/>
  <c r="V131" i="22"/>
  <c r="A119" i="22"/>
  <c r="E106" i="22"/>
  <c r="L93" i="22"/>
  <c r="O337" i="22"/>
  <c r="D270" i="22"/>
  <c r="E253" i="22"/>
  <c r="X237" i="22"/>
  <c r="F216" i="22"/>
  <c r="F209" i="22"/>
  <c r="B202" i="22"/>
  <c r="B195" i="22"/>
  <c r="D191" i="22"/>
  <c r="J189" i="22"/>
  <c r="J187" i="22"/>
  <c r="T185" i="22"/>
  <c r="D184" i="22"/>
  <c r="J182" i="22"/>
  <c r="D181" i="22"/>
  <c r="T179" i="22"/>
  <c r="J178" i="22"/>
  <c r="D177" i="22"/>
  <c r="T175" i="22"/>
  <c r="J174" i="22"/>
  <c r="D173" i="22"/>
  <c r="T171" i="22"/>
  <c r="J170" i="22"/>
  <c r="D169" i="22"/>
  <c r="T167" i="22"/>
  <c r="J166" i="22"/>
  <c r="D165" i="22"/>
  <c r="T163" i="22"/>
  <c r="H162" i="22"/>
  <c r="C161" i="22"/>
  <c r="S159" i="22"/>
  <c r="H158" i="22"/>
  <c r="C157" i="22"/>
  <c r="S155" i="22"/>
  <c r="H154" i="22"/>
  <c r="C153" i="22"/>
  <c r="S151" i="22"/>
  <c r="X149" i="22"/>
  <c r="D148" i="22"/>
  <c r="T146" i="22"/>
  <c r="J145" i="22"/>
  <c r="D144" i="22"/>
  <c r="T142" i="22"/>
  <c r="J141" i="22"/>
  <c r="D140" i="22"/>
  <c r="T138" i="22"/>
  <c r="J137" i="22"/>
  <c r="D136" i="22"/>
  <c r="T134" i="22"/>
  <c r="J133" i="22"/>
  <c r="D132" i="22"/>
  <c r="T130" i="22"/>
  <c r="J129" i="22"/>
  <c r="D128" i="22"/>
  <c r="T126" i="22"/>
  <c r="J125" i="22"/>
  <c r="D124" i="22"/>
  <c r="T122" i="22"/>
  <c r="J121" i="22"/>
  <c r="D120" i="22"/>
  <c r="T118" i="22"/>
  <c r="C479" i="22"/>
  <c r="E443" i="22"/>
  <c r="E411" i="22"/>
  <c r="T382" i="22"/>
  <c r="O363" i="22"/>
  <c r="J351" i="22"/>
  <c r="X343" i="22"/>
  <c r="J337" i="22"/>
  <c r="O332" i="22"/>
  <c r="D326" i="22"/>
  <c r="J321" i="22"/>
  <c r="O316" i="22"/>
  <c r="D310" i="22"/>
  <c r="J305" i="22"/>
  <c r="O300" i="22"/>
  <c r="S294" i="22"/>
  <c r="C289" i="22"/>
  <c r="F284" i="22"/>
  <c r="F276" i="22"/>
  <c r="J271" i="22"/>
  <c r="O269" i="22"/>
  <c r="D267" i="22"/>
  <c r="V265" i="22"/>
  <c r="E264" i="22"/>
  <c r="B262" i="22"/>
  <c r="T260" i="22"/>
  <c r="O258" i="22"/>
  <c r="D257" i="22"/>
  <c r="T255" i="22"/>
  <c r="O254" i="22"/>
  <c r="D253" i="22"/>
  <c r="T251" i="22"/>
  <c r="O250" i="22"/>
  <c r="O249" i="22"/>
  <c r="O248" i="22"/>
  <c r="N247" i="22"/>
  <c r="N246" i="22"/>
  <c r="N245" i="22"/>
  <c r="N244" i="22"/>
  <c r="N243" i="22"/>
  <c r="N242" i="22"/>
  <c r="N241" i="22"/>
  <c r="N240" i="22"/>
  <c r="N239" i="22"/>
  <c r="L238" i="22"/>
  <c r="Q237" i="22"/>
  <c r="V236" i="22"/>
  <c r="A236" i="22"/>
  <c r="E235" i="22"/>
  <c r="L234" i="22"/>
  <c r="Q233" i="22"/>
  <c r="V232" i="22"/>
  <c r="A232" i="22"/>
  <c r="E231" i="22"/>
  <c r="L230" i="22"/>
  <c r="Q229" i="22"/>
  <c r="V228" i="22"/>
  <c r="A228" i="22"/>
  <c r="E227" i="22"/>
  <c r="L226" i="22"/>
  <c r="Q225" i="22"/>
  <c r="V224" i="22"/>
  <c r="A224" i="22"/>
  <c r="E223" i="22"/>
  <c r="L222" i="22"/>
  <c r="Q221" i="22"/>
  <c r="V220" i="22"/>
  <c r="A220" i="22"/>
  <c r="E219" i="22"/>
  <c r="L218" i="22"/>
  <c r="Q217" i="22"/>
  <c r="V216" i="22"/>
  <c r="A216" i="22"/>
  <c r="E215" i="22"/>
  <c r="L214" i="22"/>
  <c r="Q213" i="22"/>
  <c r="V212" i="22"/>
  <c r="A212" i="22"/>
  <c r="E211" i="22"/>
  <c r="L210" i="22"/>
  <c r="Q209" i="22"/>
  <c r="V208" i="22"/>
  <c r="A208" i="22"/>
  <c r="E207" i="22"/>
  <c r="L206" i="22"/>
  <c r="Q205" i="22"/>
  <c r="V204" i="22"/>
  <c r="A204" i="22"/>
  <c r="E203" i="22"/>
  <c r="L202" i="22"/>
  <c r="Q201" i="22"/>
  <c r="V200" i="22"/>
  <c r="A200" i="22"/>
  <c r="E199" i="22"/>
  <c r="L198" i="22"/>
  <c r="Q197" i="22"/>
  <c r="V196" i="22"/>
  <c r="A196" i="22"/>
  <c r="E195" i="22"/>
  <c r="L194" i="22"/>
  <c r="Q193" i="22"/>
  <c r="H192" i="22"/>
  <c r="H191" i="22"/>
  <c r="H190" i="22"/>
  <c r="H189" i="22"/>
  <c r="H188" i="22"/>
  <c r="H187" i="22"/>
  <c r="H186" i="22"/>
  <c r="H185" i="22"/>
  <c r="H184" i="22"/>
  <c r="H183" i="22"/>
  <c r="H182" i="22"/>
  <c r="H181" i="22"/>
  <c r="H180" i="22"/>
  <c r="H179" i="22"/>
  <c r="H178" i="22"/>
  <c r="H177" i="22"/>
  <c r="H176" i="22"/>
  <c r="H175" i="22"/>
  <c r="H174" i="22"/>
  <c r="H173" i="22"/>
  <c r="H172" i="22"/>
  <c r="H171" i="22"/>
  <c r="H170" i="22"/>
  <c r="H169" i="22"/>
  <c r="H168" i="22"/>
  <c r="H167" i="22"/>
  <c r="H166" i="22"/>
  <c r="H165" i="22"/>
  <c r="H164" i="22"/>
  <c r="H163" i="22"/>
  <c r="B162" i="22"/>
  <c r="X160" i="22"/>
  <c r="F159" i="22"/>
  <c r="B158" i="22"/>
  <c r="X156" i="22"/>
  <c r="F155" i="22"/>
  <c r="B154" i="22"/>
  <c r="X152" i="22"/>
  <c r="X150" i="22"/>
  <c r="Q149" i="22"/>
  <c r="H148" i="22"/>
  <c r="H147" i="22"/>
  <c r="H146" i="22"/>
  <c r="H145" i="22"/>
  <c r="H144" i="22"/>
  <c r="H143" i="22"/>
  <c r="H142" i="22"/>
  <c r="H141" i="22"/>
  <c r="H140" i="22"/>
  <c r="H139" i="22"/>
  <c r="H138" i="22"/>
  <c r="H137" i="22"/>
  <c r="H136" i="22"/>
  <c r="H135" i="22"/>
  <c r="H134" i="22"/>
  <c r="H133" i="22"/>
  <c r="H132" i="22"/>
  <c r="H131" i="22"/>
  <c r="H130" i="22"/>
  <c r="H129" i="22"/>
  <c r="H128" i="22"/>
  <c r="H127" i="22"/>
  <c r="H126" i="22"/>
  <c r="H125" i="22"/>
  <c r="H124" i="22"/>
  <c r="H123" i="22"/>
  <c r="H122" i="22"/>
  <c r="H121" i="22"/>
  <c r="H120" i="22"/>
  <c r="H119" i="22"/>
  <c r="H118" i="22"/>
  <c r="H117" i="22"/>
  <c r="H116" i="22"/>
  <c r="H115" i="22"/>
  <c r="H114" i="22"/>
  <c r="H113" i="22"/>
  <c r="H112" i="22"/>
  <c r="H111" i="22"/>
  <c r="H110" i="22"/>
  <c r="H109" i="22"/>
  <c r="H108" i="22"/>
  <c r="H107" i="22"/>
  <c r="H106" i="22"/>
  <c r="H105" i="22"/>
  <c r="H104" i="22"/>
  <c r="H103" i="22"/>
  <c r="H102" i="22"/>
  <c r="H101" i="22"/>
  <c r="H100" i="22"/>
  <c r="H99" i="22"/>
  <c r="H98" i="22"/>
  <c r="H97" i="22"/>
  <c r="H96" i="22"/>
  <c r="H95" i="22"/>
  <c r="H94" i="22"/>
  <c r="H93" i="22"/>
  <c r="H92" i="22"/>
  <c r="H91" i="22"/>
  <c r="H90" i="22"/>
  <c r="H89" i="22"/>
  <c r="H88" i="22"/>
  <c r="N467" i="22"/>
  <c r="Q441" i="22"/>
  <c r="F356" i="22"/>
  <c r="T338" i="22"/>
  <c r="T322" i="22"/>
  <c r="T306" i="22"/>
  <c r="N290" i="22"/>
  <c r="F270" i="22"/>
  <c r="A266" i="22"/>
  <c r="Q259" i="22"/>
  <c r="N255" i="22"/>
  <c r="N251" i="22"/>
  <c r="X245" i="22"/>
  <c r="B241" i="22"/>
  <c r="T236" i="22"/>
  <c r="T232" i="22"/>
  <c r="T228" i="22"/>
  <c r="T224" i="22"/>
  <c r="T220" i="22"/>
  <c r="T216" i="22"/>
  <c r="T212" i="22"/>
  <c r="T208" i="22"/>
  <c r="T204" i="22"/>
  <c r="T200" i="22"/>
  <c r="T196" i="22"/>
  <c r="X190" i="22"/>
  <c r="Q409" i="22"/>
  <c r="T345" i="22"/>
  <c r="D325" i="22"/>
  <c r="D309" i="22"/>
  <c r="S289" i="22"/>
  <c r="X276" i="22"/>
  <c r="V266" i="22"/>
  <c r="L260" i="22"/>
  <c r="C256" i="22"/>
  <c r="C252" i="22"/>
  <c r="B248" i="22"/>
  <c r="F243" i="22"/>
  <c r="J237" i="22"/>
  <c r="J233" i="22"/>
  <c r="J229" i="22"/>
  <c r="J225" i="22"/>
  <c r="J221" i="22"/>
  <c r="J217" i="22"/>
  <c r="J213" i="22"/>
  <c r="J209" i="22"/>
  <c r="J205" i="22"/>
  <c r="J201" i="22"/>
  <c r="E403" i="22"/>
  <c r="L340" i="22"/>
  <c r="J324" i="22"/>
  <c r="J308" i="22"/>
  <c r="C292" i="22"/>
  <c r="X272" i="22"/>
  <c r="O266" i="22"/>
  <c r="E261" i="22"/>
  <c r="N257" i="22"/>
  <c r="N253" i="22"/>
  <c r="N249" i="22"/>
  <c r="F246" i="22"/>
  <c r="X239" i="22"/>
  <c r="O235" i="22"/>
  <c r="O231" i="22"/>
  <c r="O227" i="22"/>
  <c r="O223" i="22"/>
  <c r="O219" i="22"/>
  <c r="O215" i="22"/>
  <c r="J372" i="22"/>
  <c r="Q343" i="22"/>
  <c r="T326" i="22"/>
  <c r="T310" i="22"/>
  <c r="S297" i="22"/>
  <c r="X284" i="22"/>
  <c r="L268" i="22"/>
  <c r="D264" i="22"/>
  <c r="C258" i="22"/>
  <c r="C254" i="22"/>
  <c r="C250" i="22"/>
  <c r="B246" i="22"/>
  <c r="F241" i="22"/>
  <c r="J235" i="22"/>
  <c r="J231" i="22"/>
  <c r="J227" i="22"/>
  <c r="J223" i="22"/>
  <c r="J219" i="22"/>
  <c r="J215" i="22"/>
  <c r="J211" i="22"/>
  <c r="J207" i="22"/>
  <c r="J203" i="22"/>
  <c r="J199" i="22"/>
  <c r="J195" i="22"/>
  <c r="B191" i="22"/>
  <c r="O203" i="22"/>
  <c r="X192" i="22"/>
  <c r="F185" i="22"/>
  <c r="X178" i="22"/>
  <c r="B174" i="22"/>
  <c r="F169" i="22"/>
  <c r="V162" i="22"/>
  <c r="Q159" i="22"/>
  <c r="L156" i="22"/>
  <c r="E153" i="22"/>
  <c r="O149" i="22"/>
  <c r="X142" i="22"/>
  <c r="B138" i="22"/>
  <c r="F133" i="22"/>
  <c r="X126" i="22"/>
  <c r="B122" i="22"/>
  <c r="B117" i="22"/>
  <c r="F114" i="22"/>
  <c r="X111" i="22"/>
  <c r="B109" i="22"/>
  <c r="F106" i="22"/>
  <c r="X103" i="22"/>
  <c r="B101" i="22"/>
  <c r="F98" i="22"/>
  <c r="X95" i="22"/>
  <c r="B93" i="22"/>
  <c r="F90" i="22"/>
  <c r="X87" i="22"/>
  <c r="A87" i="22"/>
  <c r="E86" i="22"/>
  <c r="L85" i="22"/>
  <c r="Q84" i="22"/>
  <c r="V83" i="22"/>
  <c r="A83" i="22"/>
  <c r="E82" i="22"/>
  <c r="L81" i="22"/>
  <c r="Q80" i="22"/>
  <c r="V79" i="22"/>
  <c r="A79" i="22"/>
  <c r="E78" i="22"/>
  <c r="L77" i="22"/>
  <c r="Q76" i="22"/>
  <c r="N75" i="22"/>
  <c r="N74" i="22"/>
  <c r="Q73" i="22"/>
  <c r="V72" i="22"/>
  <c r="A72" i="22"/>
  <c r="T202" i="22"/>
  <c r="D194" i="22"/>
  <c r="B185" i="22"/>
  <c r="F180" i="22"/>
  <c r="X173" i="22"/>
  <c r="B169" i="22"/>
  <c r="F164" i="22"/>
  <c r="E160" i="22"/>
  <c r="A157" i="22"/>
  <c r="V153" i="22"/>
  <c r="E150" i="22"/>
  <c r="B145" i="22"/>
  <c r="F140" i="22"/>
  <c r="X133" i="22"/>
  <c r="B129" i="22"/>
  <c r="F124" i="22"/>
  <c r="X117" i="22"/>
  <c r="T115" i="22"/>
  <c r="T113" i="22"/>
  <c r="T111" i="22"/>
  <c r="T109" i="22"/>
  <c r="T107" i="22"/>
  <c r="T105" i="22"/>
  <c r="T103" i="22"/>
  <c r="T101" i="22"/>
  <c r="T99" i="22"/>
  <c r="T97" i="22"/>
  <c r="T95" i="22"/>
  <c r="T93" i="22"/>
  <c r="T91" i="22"/>
  <c r="T89" i="22"/>
  <c r="V87" i="22"/>
  <c r="T86" i="22"/>
  <c r="T85" i="22"/>
  <c r="T84" i="22"/>
  <c r="T83" i="22"/>
  <c r="T82" i="22"/>
  <c r="T81" i="22"/>
  <c r="T80" i="22"/>
  <c r="T79" i="22"/>
  <c r="T78" i="22"/>
  <c r="T77" i="22"/>
  <c r="D205" i="22"/>
  <c r="B192" i="22"/>
  <c r="X184" i="22"/>
  <c r="B180" i="22"/>
  <c r="F175" i="22"/>
  <c r="X168" i="22"/>
  <c r="B164" i="22"/>
  <c r="V160" i="22"/>
  <c r="Q157" i="22"/>
  <c r="L154" i="22"/>
  <c r="V150" i="22"/>
  <c r="F147" i="22"/>
  <c r="X140" i="22"/>
  <c r="B136" i="22"/>
  <c r="F131" i="22"/>
  <c r="X124" i="22"/>
  <c r="B120" i="22"/>
  <c r="B116" i="22"/>
  <c r="F113" i="22"/>
  <c r="X110" i="22"/>
  <c r="B108" i="22"/>
  <c r="F105" i="22"/>
  <c r="X102" i="22"/>
  <c r="B100" i="22"/>
  <c r="F97" i="22"/>
  <c r="X94" i="22"/>
  <c r="B92" i="22"/>
  <c r="F89" i="22"/>
  <c r="N87" i="22"/>
  <c r="N86" i="22"/>
  <c r="N85" i="22"/>
  <c r="N84" i="22"/>
  <c r="N83" i="22"/>
  <c r="N82" i="22"/>
  <c r="N81" i="22"/>
  <c r="N80" i="22"/>
  <c r="N79" i="22"/>
  <c r="N78" i="22"/>
  <c r="N77" i="22"/>
  <c r="N76" i="22"/>
  <c r="N424" i="22"/>
  <c r="L407" i="22"/>
  <c r="E398" i="22"/>
  <c r="N342" i="22"/>
  <c r="C313" i="22"/>
  <c r="X362" i="22"/>
  <c r="O281" i="22"/>
  <c r="E405" i="22"/>
  <c r="O341" i="22"/>
  <c r="A324" i="22"/>
  <c r="A307" i="22"/>
  <c r="T288" i="22"/>
  <c r="S272" i="22"/>
  <c r="L414" i="22"/>
  <c r="C299" i="22"/>
  <c r="B258" i="22"/>
  <c r="E241" i="22"/>
  <c r="H225" i="22"/>
  <c r="H209" i="22"/>
  <c r="B193" i="22"/>
  <c r="E180" i="22"/>
  <c r="L167" i="22"/>
  <c r="J152" i="22"/>
  <c r="E138" i="22"/>
  <c r="L125" i="22"/>
  <c r="Q112" i="22"/>
  <c r="V99" i="22"/>
  <c r="Q457" i="22"/>
  <c r="O305" i="22"/>
  <c r="A260" i="22"/>
  <c r="J246" i="22"/>
  <c r="B227" i="22"/>
  <c r="X212" i="22"/>
  <c r="X205" i="22"/>
  <c r="X198" i="22"/>
  <c r="D192" i="22"/>
  <c r="D190" i="22"/>
  <c r="J188" i="22"/>
  <c r="T186" i="22"/>
  <c r="T184" i="22"/>
  <c r="D183" i="22"/>
  <c r="T181" i="22"/>
  <c r="J180" i="22"/>
  <c r="D179" i="22"/>
  <c r="T177" i="22"/>
  <c r="J176" i="22"/>
  <c r="D175" i="22"/>
  <c r="T173" i="22"/>
  <c r="J172" i="22"/>
  <c r="D171" i="22"/>
  <c r="T169" i="22"/>
  <c r="J168" i="22"/>
  <c r="D167" i="22"/>
  <c r="T165" i="22"/>
  <c r="J164" i="22"/>
  <c r="C163" i="22"/>
  <c r="S161" i="22"/>
  <c r="H160" i="22"/>
  <c r="C159" i="22"/>
  <c r="S157" i="22"/>
  <c r="H156" i="22"/>
  <c r="C155" i="22"/>
  <c r="S153" i="22"/>
  <c r="H152" i="22"/>
  <c r="N150" i="22"/>
  <c r="T148" i="22"/>
  <c r="J147" i="22"/>
  <c r="D146" i="22"/>
  <c r="T144" i="22"/>
  <c r="J143" i="22"/>
  <c r="D142" i="22"/>
  <c r="T140" i="22"/>
  <c r="J139" i="22"/>
  <c r="D138" i="22"/>
  <c r="T136" i="22"/>
  <c r="J135" i="22"/>
  <c r="D134" i="22"/>
  <c r="T132" i="22"/>
  <c r="J131" i="22"/>
  <c r="D130" i="22"/>
  <c r="T128" i="22"/>
  <c r="J127" i="22"/>
  <c r="D126" i="22"/>
  <c r="T124" i="22"/>
  <c r="J123" i="22"/>
  <c r="D122" i="22"/>
  <c r="T120" i="22"/>
  <c r="J119" i="22"/>
  <c r="D118" i="22"/>
  <c r="L462" i="22"/>
  <c r="A424" i="22"/>
  <c r="O395" i="22"/>
  <c r="J376" i="22"/>
  <c r="B355" i="22"/>
  <c r="D348" i="22"/>
  <c r="T341" i="22"/>
  <c r="D334" i="22"/>
  <c r="J329" i="22"/>
  <c r="O324" i="22"/>
  <c r="D318" i="22"/>
  <c r="J313" i="22"/>
  <c r="O308" i="22"/>
  <c r="D302" i="22"/>
  <c r="C297" i="22"/>
  <c r="H292" i="22"/>
  <c r="S286" i="22"/>
  <c r="F280" i="22"/>
  <c r="B273" i="22"/>
  <c r="B270" i="22"/>
  <c r="T268" i="22"/>
  <c r="Q266" i="22"/>
  <c r="A265" i="22"/>
  <c r="X262" i="22"/>
  <c r="O261" i="22"/>
  <c r="D259" i="22"/>
  <c r="T257" i="22"/>
  <c r="O256" i="22"/>
  <c r="D255" i="22"/>
  <c r="T253" i="22"/>
  <c r="O252" i="22"/>
  <c r="D251" i="22"/>
  <c r="D250" i="22"/>
  <c r="D249" i="22"/>
  <c r="C248" i="22"/>
  <c r="C247" i="22"/>
  <c r="C246" i="22"/>
  <c r="C245" i="22"/>
  <c r="C244" i="22"/>
  <c r="C243" i="22"/>
  <c r="C242" i="22"/>
  <c r="C241" i="22"/>
  <c r="C240" i="22"/>
  <c r="V238" i="22"/>
  <c r="A238" i="22"/>
  <c r="E237" i="22"/>
  <c r="L236" i="22"/>
  <c r="Q235" i="22"/>
  <c r="V234" i="22"/>
  <c r="A234" i="22"/>
  <c r="E233" i="22"/>
  <c r="L232" i="22"/>
  <c r="Q231" i="22"/>
  <c r="V230" i="22"/>
  <c r="A230" i="22"/>
  <c r="E229" i="22"/>
  <c r="L228" i="22"/>
  <c r="Q227" i="22"/>
  <c r="V226" i="22"/>
  <c r="A226" i="22"/>
  <c r="E225" i="22"/>
  <c r="L224" i="22"/>
  <c r="Q223" i="22"/>
  <c r="V222" i="22"/>
  <c r="A222" i="22"/>
  <c r="E221" i="22"/>
  <c r="L220" i="22"/>
  <c r="Q219" i="22"/>
  <c r="V218" i="22"/>
  <c r="A218" i="22"/>
  <c r="E217" i="22"/>
  <c r="L216" i="22"/>
  <c r="Q215" i="22"/>
  <c r="V214" i="22"/>
  <c r="A214" i="22"/>
  <c r="E213" i="22"/>
  <c r="L212" i="22"/>
  <c r="Q211" i="22"/>
  <c r="V210" i="22"/>
  <c r="A210" i="22"/>
  <c r="E209" i="22"/>
  <c r="L208" i="22"/>
  <c r="Q207" i="22"/>
  <c r="V206" i="22"/>
  <c r="A206" i="22"/>
  <c r="E205" i="22"/>
  <c r="L204" i="22"/>
  <c r="Q203" i="22"/>
  <c r="V202" i="22"/>
  <c r="A202" i="22"/>
  <c r="E201" i="22"/>
  <c r="L200" i="22"/>
  <c r="Q199" i="22"/>
  <c r="V198" i="22"/>
  <c r="A198" i="22"/>
  <c r="E197" i="22"/>
  <c r="L196" i="22"/>
  <c r="Q195" i="22"/>
  <c r="V194" i="22"/>
  <c r="A194" i="22"/>
  <c r="S192" i="22"/>
  <c r="S191" i="22"/>
  <c r="S190" i="22"/>
  <c r="S189" i="22"/>
  <c r="S188" i="22"/>
  <c r="S187" i="22"/>
  <c r="S186" i="22"/>
  <c r="S185" i="22"/>
  <c r="S184" i="22"/>
  <c r="S183" i="22"/>
  <c r="S182" i="22"/>
  <c r="S181" i="22"/>
  <c r="S180" i="22"/>
  <c r="S179" i="22"/>
  <c r="S178" i="22"/>
  <c r="S177" i="22"/>
  <c r="S176" i="22"/>
  <c r="S175" i="22"/>
  <c r="S174" i="22"/>
  <c r="S173" i="22"/>
  <c r="S172" i="22"/>
  <c r="S171" i="22"/>
  <c r="S170" i="22"/>
  <c r="S169" i="22"/>
  <c r="S168" i="22"/>
  <c r="S167" i="22"/>
  <c r="S166" i="22"/>
  <c r="S165" i="22"/>
  <c r="S164" i="22"/>
  <c r="S163" i="22"/>
  <c r="X162" i="22"/>
  <c r="F161" i="22"/>
  <c r="B160" i="22"/>
  <c r="X158" i="22"/>
  <c r="F157" i="22"/>
  <c r="B156" i="22"/>
  <c r="X154" i="22"/>
  <c r="F153" i="22"/>
  <c r="B152" i="22"/>
  <c r="B150" i="22"/>
  <c r="S148" i="22"/>
  <c r="S147" i="22"/>
  <c r="S146" i="22"/>
  <c r="S145" i="22"/>
  <c r="S144" i="22"/>
  <c r="S143" i="22"/>
  <c r="S142" i="22"/>
  <c r="S141" i="22"/>
  <c r="S140" i="22"/>
  <c r="S139" i="22"/>
  <c r="S138" i="22"/>
  <c r="S137" i="22"/>
  <c r="S136" i="22"/>
  <c r="S135" i="22"/>
  <c r="S134" i="22"/>
  <c r="S133" i="22"/>
  <c r="S132" i="22"/>
  <c r="S131" i="22"/>
  <c r="S130" i="22"/>
  <c r="S129" i="22"/>
  <c r="S128" i="22"/>
  <c r="S127" i="22"/>
  <c r="S126" i="22"/>
  <c r="S125" i="22"/>
  <c r="S124" i="22"/>
  <c r="S123" i="22"/>
  <c r="S122" i="22"/>
  <c r="S121" i="22"/>
  <c r="S120" i="22"/>
  <c r="S119" i="22"/>
  <c r="S118" i="22"/>
  <c r="S117" i="22"/>
  <c r="S116" i="22"/>
  <c r="S115" i="22"/>
  <c r="S114" i="22"/>
  <c r="S113" i="22"/>
  <c r="S112" i="22"/>
  <c r="S111" i="22"/>
  <c r="S110" i="22"/>
  <c r="S109" i="22"/>
  <c r="S108" i="22"/>
  <c r="S107" i="22"/>
  <c r="S106" i="22"/>
  <c r="S105" i="22"/>
  <c r="S104" i="22"/>
  <c r="S103" i="22"/>
  <c r="S102" i="22"/>
  <c r="S101" i="22"/>
  <c r="S100" i="22"/>
  <c r="S99" i="22"/>
  <c r="S98" i="22"/>
  <c r="S97" i="22"/>
  <c r="S96" i="22"/>
  <c r="S95" i="22"/>
  <c r="S94" i="22"/>
  <c r="S93" i="22"/>
  <c r="S92" i="22"/>
  <c r="S91" i="22"/>
  <c r="S90" i="22"/>
  <c r="S89" i="22"/>
  <c r="S88" i="22"/>
  <c r="S87" i="22"/>
  <c r="L454" i="22"/>
  <c r="T394" i="22"/>
  <c r="V346" i="22"/>
  <c r="J332" i="22"/>
  <c r="J316" i="22"/>
  <c r="J300" i="22"/>
  <c r="B284" i="22"/>
  <c r="D268" i="22"/>
  <c r="V262" i="22"/>
  <c r="C257" i="22"/>
  <c r="C253" i="22"/>
  <c r="C249" i="22"/>
  <c r="F244" i="22"/>
  <c r="J238" i="22"/>
  <c r="J234" i="22"/>
  <c r="J230" i="22"/>
  <c r="J226" i="22"/>
  <c r="J222" i="22"/>
  <c r="J218" i="22"/>
  <c r="J214" i="22"/>
  <c r="J210" i="22"/>
  <c r="J206" i="22"/>
  <c r="J202" i="22"/>
  <c r="J198" i="22"/>
  <c r="J194" i="22"/>
  <c r="F189" i="22"/>
  <c r="T378" i="22"/>
  <c r="O331" i="22"/>
  <c r="O315" i="22"/>
  <c r="O299" i="22"/>
  <c r="F283" i="22"/>
  <c r="A270" i="22"/>
  <c r="Q263" i="22"/>
  <c r="N258" i="22"/>
  <c r="N254" i="22"/>
  <c r="N250" i="22"/>
  <c r="X244" i="22"/>
  <c r="B240" i="22"/>
  <c r="T235" i="22"/>
  <c r="T231" i="22"/>
  <c r="T227" i="22"/>
  <c r="T223" i="22"/>
  <c r="T219" i="22"/>
  <c r="T215" i="22"/>
  <c r="T211" i="22"/>
  <c r="T207" i="22"/>
  <c r="T203" i="22"/>
  <c r="T199" i="22"/>
  <c r="O375" i="22"/>
  <c r="T330" i="22"/>
  <c r="T314" i="22"/>
  <c r="N298" i="22"/>
  <c r="F279" i="22"/>
  <c r="T269" i="22"/>
  <c r="J263" i="22"/>
  <c r="C259" i="22"/>
  <c r="C255" i="22"/>
  <c r="C251" i="22"/>
  <c r="X247" i="22"/>
  <c r="B243" i="22"/>
  <c r="D237" i="22"/>
  <c r="D233" i="22"/>
  <c r="D229" i="22"/>
  <c r="D225" i="22"/>
  <c r="D221" i="22"/>
  <c r="D217" i="22"/>
  <c r="L422" i="22"/>
  <c r="D352" i="22"/>
  <c r="J336" i="22"/>
  <c r="J320" i="22"/>
  <c r="J304" i="22"/>
  <c r="H291" i="22"/>
  <c r="B272" i="22"/>
  <c r="F266" i="22"/>
  <c r="A262" i="22"/>
  <c r="N256" i="22"/>
  <c r="N252" i="22"/>
  <c r="N248" i="22"/>
  <c r="X242" i="22"/>
  <c r="T237" i="22"/>
  <c r="T233" i="22"/>
  <c r="T229" i="22"/>
  <c r="T225" i="22"/>
  <c r="T221" i="22"/>
  <c r="T217" i="22"/>
  <c r="T213" i="22"/>
  <c r="T209" i="22"/>
  <c r="T205" i="22"/>
  <c r="T201" i="22"/>
  <c r="T197" i="22"/>
  <c r="T193" i="22"/>
  <c r="D213" i="22"/>
  <c r="J196" i="22"/>
  <c r="X186" i="22"/>
  <c r="B182" i="22"/>
  <c r="F177" i="22"/>
  <c r="X170" i="22"/>
  <c r="B166" i="22"/>
  <c r="E161" i="22"/>
  <c r="A158" i="22"/>
  <c r="V154" i="22"/>
  <c r="Q151" i="22"/>
  <c r="B146" i="22"/>
  <c r="F141" i="22"/>
  <c r="X134" i="22"/>
  <c r="B130" i="22"/>
  <c r="F125" i="22"/>
  <c r="X118" i="22"/>
  <c r="X115" i="22"/>
  <c r="B113" i="22"/>
  <c r="F110" i="22"/>
  <c r="X107" i="22"/>
  <c r="B105" i="22"/>
  <c r="F102" i="22"/>
  <c r="X99" i="22"/>
  <c r="B97" i="22"/>
  <c r="F94" i="22"/>
  <c r="X91" i="22"/>
  <c r="B89" i="22"/>
  <c r="L87" i="22"/>
  <c r="Q86" i="22"/>
  <c r="V85" i="22"/>
  <c r="A85" i="22"/>
  <c r="E84" i="22"/>
  <c r="L83" i="22"/>
  <c r="Q82" i="22"/>
  <c r="V81" i="22"/>
  <c r="A81" i="22"/>
  <c r="E80" i="22"/>
  <c r="L79" i="22"/>
  <c r="Q78" i="22"/>
  <c r="V77" i="22"/>
  <c r="A77" i="22"/>
  <c r="E76" i="22"/>
  <c r="C75" i="22"/>
  <c r="A74" i="22"/>
  <c r="E73" i="22"/>
  <c r="L72" i="22"/>
  <c r="J212" i="22"/>
  <c r="J197" i="22"/>
  <c r="F188" i="22"/>
  <c r="X181" i="22"/>
  <c r="B177" i="22"/>
  <c r="F172" i="22"/>
  <c r="X165" i="22"/>
  <c r="V161" i="22"/>
  <c r="Q158" i="22"/>
  <c r="L155" i="22"/>
  <c r="E152" i="22"/>
  <c r="F148" i="22"/>
  <c r="X141" i="22"/>
  <c r="B137" i="22"/>
  <c r="F132" i="22"/>
  <c r="X125" i="22"/>
  <c r="B121" i="22"/>
  <c r="O116" i="22"/>
  <c r="O114" i="22"/>
  <c r="O112" i="22"/>
  <c r="O110" i="22"/>
  <c r="O108" i="22"/>
  <c r="O106" i="22"/>
  <c r="O104" i="22"/>
  <c r="O102" i="22"/>
  <c r="O100" i="22"/>
  <c r="O98" i="22"/>
  <c r="O96" i="22"/>
  <c r="O94" i="22"/>
  <c r="O92" i="22"/>
  <c r="O90" i="22"/>
  <c r="O88" i="22"/>
  <c r="J87" i="22"/>
  <c r="J86" i="22"/>
  <c r="J85" i="22"/>
  <c r="J84" i="22"/>
  <c r="J83" i="22"/>
  <c r="J82" i="22"/>
  <c r="J81" i="22"/>
  <c r="J80" i="22"/>
  <c r="J79" i="22"/>
  <c r="J78" i="22"/>
  <c r="O211" i="22"/>
  <c r="D197" i="22"/>
  <c r="B188" i="22"/>
  <c r="F183" i="22"/>
  <c r="X176" i="22"/>
  <c r="B172" i="22"/>
  <c r="F167" i="22"/>
  <c r="L162" i="22"/>
  <c r="E159" i="22"/>
  <c r="A156" i="22"/>
  <c r="V152" i="22"/>
  <c r="X148" i="22"/>
  <c r="B144" i="22"/>
  <c r="F139" i="22"/>
  <c r="X132" i="22"/>
  <c r="B128" i="22"/>
  <c r="F123" i="22"/>
  <c r="F117" i="22"/>
  <c r="X114" i="22"/>
  <c r="B112" i="22"/>
  <c r="F109" i="22"/>
  <c r="X106" i="22"/>
  <c r="B104" i="22"/>
  <c r="F101" i="22"/>
  <c r="X98" i="22"/>
  <c r="B96" i="22"/>
  <c r="F93" i="22"/>
  <c r="X90" i="22"/>
  <c r="B88" i="22"/>
  <c r="C87" i="22"/>
  <c r="C86" i="22"/>
  <c r="C85" i="22"/>
  <c r="C84" i="22"/>
  <c r="C83" i="22"/>
  <c r="C82" i="22"/>
  <c r="C81" i="22"/>
  <c r="C80" i="22"/>
  <c r="C79" i="22"/>
  <c r="C78" i="22"/>
  <c r="C77" i="22"/>
  <c r="T449" i="22"/>
  <c r="C329" i="22"/>
  <c r="A349" i="22"/>
  <c r="S276" i="22"/>
  <c r="L244" i="22"/>
  <c r="L183" i="22"/>
  <c r="Q128" i="22"/>
  <c r="O321" i="22"/>
  <c r="X214" i="22"/>
  <c r="T190" i="22"/>
  <c r="J183" i="22"/>
  <c r="D178" i="22"/>
  <c r="T172" i="22"/>
  <c r="J167" i="22"/>
  <c r="C162" i="22"/>
  <c r="S156" i="22"/>
  <c r="S150" i="22"/>
  <c r="D145" i="22"/>
  <c r="T139" i="22"/>
  <c r="J134" i="22"/>
  <c r="D129" i="22"/>
  <c r="T123" i="22"/>
  <c r="J118" i="22"/>
  <c r="O379" i="22"/>
  <c r="O336" i="22"/>
  <c r="D314" i="22"/>
  <c r="C293" i="22"/>
  <c r="Q270" i="22"/>
  <c r="D263" i="22"/>
  <c r="T256" i="22"/>
  <c r="O251" i="22"/>
  <c r="H247" i="22"/>
  <c r="H243" i="22"/>
  <c r="B239" i="22"/>
  <c r="V235" i="22"/>
  <c r="Q232" i="22"/>
  <c r="L229" i="22"/>
  <c r="E226" i="22"/>
  <c r="A223" i="22"/>
  <c r="V219" i="22"/>
  <c r="Q216" i="22"/>
  <c r="L213" i="22"/>
  <c r="E210" i="22"/>
  <c r="A207" i="22"/>
  <c r="V203" i="22"/>
  <c r="Q200" i="22"/>
  <c r="L197" i="22"/>
  <c r="E194" i="22"/>
  <c r="C190" i="22"/>
  <c r="C186" i="22"/>
  <c r="C182" i="22"/>
  <c r="C178" i="22"/>
  <c r="C174" i="22"/>
  <c r="C170" i="22"/>
  <c r="C166" i="22"/>
  <c r="X161" i="22"/>
  <c r="F156" i="22"/>
  <c r="F150" i="22"/>
  <c r="C146" i="22"/>
  <c r="C142" i="22"/>
  <c r="C138" i="22"/>
  <c r="C134" i="22"/>
  <c r="C130" i="22"/>
  <c r="C126" i="22"/>
  <c r="C122" i="22"/>
  <c r="C118" i="22"/>
  <c r="C114" i="22"/>
  <c r="C110" i="22"/>
  <c r="C106" i="22"/>
  <c r="C102" i="22"/>
  <c r="C98" i="22"/>
  <c r="C94" i="22"/>
  <c r="C90" i="22"/>
  <c r="A416" i="22"/>
  <c r="O303" i="22"/>
  <c r="S258" i="22"/>
  <c r="F240" i="22"/>
  <c r="D223" i="22"/>
  <c r="D207" i="22"/>
  <c r="B190" i="22"/>
  <c r="T302" i="22"/>
  <c r="J259" i="22"/>
  <c r="X240" i="22"/>
  <c r="O224" i="22"/>
  <c r="O208" i="22"/>
  <c r="D337" i="22"/>
  <c r="X270" i="22"/>
  <c r="S252" i="22"/>
  <c r="T234" i="22"/>
  <c r="T218" i="22"/>
  <c r="O323" i="22"/>
  <c r="J267" i="22"/>
  <c r="H249" i="22"/>
  <c r="O230" i="22"/>
  <c r="O214" i="22"/>
  <c r="O198" i="22"/>
  <c r="F191" i="22"/>
  <c r="X166" i="22"/>
  <c r="L152" i="22"/>
  <c r="X130" i="22"/>
  <c r="X113" i="22"/>
  <c r="B103" i="22"/>
  <c r="F92" i="22"/>
  <c r="A86" i="22"/>
  <c r="V82" i="22"/>
  <c r="Q79" i="22"/>
  <c r="L76" i="22"/>
  <c r="Q72" i="22"/>
  <c r="F184" i="22"/>
  <c r="Q162" i="22"/>
  <c r="C149" i="22"/>
  <c r="F128" i="22"/>
  <c r="J113" i="22"/>
  <c r="J105" i="22"/>
  <c r="J97" i="22"/>
  <c r="J89" i="22"/>
  <c r="O84" i="22"/>
  <c r="O80" i="22"/>
  <c r="T198" i="22"/>
  <c r="X172" i="22"/>
  <c r="V156" i="22"/>
  <c r="B140" i="22"/>
  <c r="F119" i="22"/>
  <c r="F107" i="22"/>
  <c r="X96" i="22"/>
  <c r="H87" i="22"/>
  <c r="H83" i="22"/>
  <c r="H79" i="22"/>
  <c r="A76" i="22"/>
  <c r="V74" i="22"/>
  <c r="N73" i="22"/>
  <c r="H72" i="22"/>
  <c r="S70" i="22"/>
  <c r="N69" i="22"/>
  <c r="J67" i="22"/>
  <c r="X65" i="22"/>
  <c r="B64" i="22"/>
  <c r="D201" i="22"/>
  <c r="X187" i="22"/>
  <c r="F182" i="22"/>
  <c r="B175" i="22"/>
  <c r="B167" i="22"/>
  <c r="L161" i="22"/>
  <c r="L157" i="22"/>
  <c r="Q152" i="22"/>
  <c r="B147" i="22"/>
  <c r="X139" i="22"/>
  <c r="X131" i="22"/>
  <c r="F126" i="22"/>
  <c r="B119" i="22"/>
  <c r="O115" i="22"/>
  <c r="D113" i="22"/>
  <c r="T110" i="22"/>
  <c r="O107" i="22"/>
  <c r="D105" i="22"/>
  <c r="T102" i="22"/>
  <c r="O99" i="22"/>
  <c r="D97" i="22"/>
  <c r="T94" i="22"/>
  <c r="O91" i="22"/>
  <c r="D89" i="22"/>
  <c r="X86" i="22"/>
  <c r="X84" i="22"/>
  <c r="B83" i="22"/>
  <c r="F81" i="22"/>
  <c r="F79" i="22"/>
  <c r="X77" i="22"/>
  <c r="T75" i="22"/>
  <c r="J74" i="22"/>
  <c r="X72" i="22"/>
  <c r="J77" i="22"/>
  <c r="E71" i="22"/>
  <c r="J69" i="22"/>
  <c r="B67" i="22"/>
  <c r="C65" i="22"/>
  <c r="T63" i="22"/>
  <c r="N62" i="22"/>
  <c r="C61" i="22"/>
  <c r="S59" i="22"/>
  <c r="N58" i="22"/>
  <c r="C57" i="22"/>
  <c r="S55" i="22"/>
  <c r="N54" i="22"/>
  <c r="E53" i="22"/>
  <c r="E52" i="22"/>
  <c r="E51" i="22"/>
  <c r="A50" i="22"/>
  <c r="A49" i="22"/>
  <c r="A48" i="22"/>
  <c r="V46" i="22"/>
  <c r="V45" i="22"/>
  <c r="V44" i="22"/>
  <c r="Q43" i="22"/>
  <c r="Q42" i="22"/>
  <c r="Q41" i="22"/>
  <c r="L40" i="22"/>
  <c r="L39" i="22"/>
  <c r="L38" i="22"/>
  <c r="E37" i="22"/>
  <c r="E36" i="22"/>
  <c r="C35" i="22"/>
  <c r="C34" i="22"/>
  <c r="C33" i="22"/>
  <c r="C32" i="22"/>
  <c r="C31" i="22"/>
  <c r="C30" i="22"/>
  <c r="C29" i="22"/>
  <c r="C28" i="22"/>
  <c r="C27" i="22"/>
  <c r="C26" i="22"/>
  <c r="C25" i="22"/>
  <c r="C24" i="22"/>
  <c r="B23" i="22"/>
  <c r="X21" i="22"/>
  <c r="F20" i="22"/>
  <c r="B19" i="22"/>
  <c r="X17" i="22"/>
  <c r="F16" i="22"/>
  <c r="B15" i="22"/>
  <c r="X13" i="22"/>
  <c r="F12" i="22"/>
  <c r="B11" i="22"/>
  <c r="X9" i="22"/>
  <c r="F8" i="22"/>
  <c r="B7" i="22"/>
  <c r="E6" i="22"/>
  <c r="B3" i="22"/>
  <c r="X49" i="21"/>
  <c r="H47" i="21"/>
  <c r="C46" i="21"/>
  <c r="S44" i="21"/>
  <c r="J42" i="21"/>
  <c r="D41" i="21"/>
  <c r="T39" i="21"/>
  <c r="J38" i="21"/>
  <c r="D37" i="21"/>
  <c r="F34" i="21"/>
  <c r="E33" i="21"/>
  <c r="D32" i="21"/>
  <c r="F30" i="21"/>
  <c r="E29" i="21"/>
  <c r="D28" i="21"/>
  <c r="F26" i="21"/>
  <c r="E25" i="21"/>
  <c r="D24" i="21"/>
  <c r="F22" i="21"/>
  <c r="E21" i="21"/>
  <c r="D20" i="21"/>
  <c r="F17" i="21"/>
  <c r="E16" i="21"/>
  <c r="Q14" i="21"/>
  <c r="O13" i="21"/>
  <c r="H12" i="21"/>
  <c r="Q10" i="21"/>
  <c r="O9" i="21"/>
  <c r="H8" i="21"/>
  <c r="V5" i="21"/>
  <c r="D3" i="21"/>
  <c r="X87" i="20"/>
  <c r="O86" i="20"/>
  <c r="Q85" i="20"/>
  <c r="T73" i="22"/>
  <c r="X70" i="22"/>
  <c r="V69" i="22"/>
  <c r="V67" i="22"/>
  <c r="S66" i="22"/>
  <c r="H65" i="22"/>
  <c r="E64" i="22"/>
  <c r="X62" i="22"/>
  <c r="F61" i="22"/>
  <c r="B60" i="22"/>
  <c r="X58" i="22"/>
  <c r="F57" i="22"/>
  <c r="B56" i="22"/>
  <c r="X54" i="22"/>
  <c r="J53" i="22"/>
  <c r="J52" i="22"/>
  <c r="J51" i="22"/>
  <c r="J50" i="22"/>
  <c r="J49" i="22"/>
  <c r="J48" i="22"/>
  <c r="J47" i="22"/>
  <c r="J46" i="22"/>
  <c r="J45" i="22"/>
  <c r="J44" i="22"/>
  <c r="J43" i="22"/>
  <c r="J42" i="22"/>
  <c r="J41" i="22"/>
  <c r="J40" i="22"/>
  <c r="J39" i="22"/>
  <c r="J38" i="22"/>
  <c r="J37" i="22"/>
  <c r="J36" i="22"/>
  <c r="B35" i="22"/>
  <c r="X33" i="22"/>
  <c r="F32" i="22"/>
  <c r="B31" i="22"/>
  <c r="X29" i="22"/>
  <c r="F28" i="22"/>
  <c r="B27" i="22"/>
  <c r="X25" i="22"/>
  <c r="F24" i="22"/>
  <c r="A23" i="22"/>
  <c r="E22" i="22"/>
  <c r="L21" i="22"/>
  <c r="Q20" i="22"/>
  <c r="V19" i="22"/>
  <c r="A19" i="22"/>
  <c r="E18" i="22"/>
  <c r="L17" i="22"/>
  <c r="Q16" i="22"/>
  <c r="V15" i="22"/>
  <c r="A15" i="22"/>
  <c r="E14" i="22"/>
  <c r="L13" i="22"/>
  <c r="Q12" i="22"/>
  <c r="V11" i="22"/>
  <c r="A11" i="22"/>
  <c r="E10" i="22"/>
  <c r="L9" i="22"/>
  <c r="Q8" i="22"/>
  <c r="V7" i="22"/>
  <c r="A7" i="22"/>
  <c r="A6" i="22"/>
  <c r="E5" i="22"/>
  <c r="V51" i="21"/>
  <c r="V49" i="21"/>
  <c r="A49" i="21"/>
  <c r="X46" i="21"/>
  <c r="F45" i="21"/>
  <c r="B44" i="21"/>
  <c r="S41" i="21"/>
  <c r="H40" i="21"/>
  <c r="C39" i="21"/>
  <c r="S37" i="21"/>
  <c r="H36" i="21"/>
  <c r="E34" i="21"/>
  <c r="D33" i="21"/>
  <c r="F31" i="21"/>
  <c r="E30" i="21"/>
  <c r="D29" i="21"/>
  <c r="F27" i="21"/>
  <c r="E26" i="21"/>
  <c r="D25" i="21"/>
  <c r="F23" i="21"/>
  <c r="E22" i="21"/>
  <c r="D21" i="21"/>
  <c r="F19" i="21"/>
  <c r="E17" i="21"/>
  <c r="D16" i="21"/>
  <c r="O14" i="21"/>
  <c r="H13" i="21"/>
  <c r="Q11" i="21"/>
  <c r="O10" i="21"/>
  <c r="F75" i="22"/>
  <c r="B71" i="22"/>
  <c r="A70" i="22"/>
  <c r="S67" i="22"/>
  <c r="T65" i="22"/>
  <c r="L64" i="22"/>
  <c r="E63" i="22"/>
  <c r="L62" i="22"/>
  <c r="Q61" i="22"/>
  <c r="V60" i="22"/>
  <c r="A60" i="22"/>
  <c r="E59" i="22"/>
  <c r="L58" i="22"/>
  <c r="Q57" i="22"/>
  <c r="V56" i="22"/>
  <c r="A56" i="22"/>
  <c r="E55" i="22"/>
  <c r="L54" i="22"/>
  <c r="H53" i="22"/>
  <c r="H52" i="22"/>
  <c r="H51" i="22"/>
  <c r="H50" i="22"/>
  <c r="H49" i="22"/>
  <c r="H48" i="22"/>
  <c r="H47" i="22"/>
  <c r="H46" i="22"/>
  <c r="H45" i="22"/>
  <c r="H44" i="22"/>
  <c r="H43" i="22"/>
  <c r="H42" i="22"/>
  <c r="H41" i="22"/>
  <c r="H40" i="22"/>
  <c r="H39" i="22"/>
  <c r="H38" i="22"/>
  <c r="H37" i="22"/>
  <c r="H36" i="22"/>
  <c r="L35" i="22"/>
  <c r="Q34" i="22"/>
  <c r="V33" i="22"/>
  <c r="A33" i="22"/>
  <c r="E32" i="22"/>
  <c r="L31" i="22"/>
  <c r="Q30" i="22"/>
  <c r="V29" i="22"/>
  <c r="A29" i="22"/>
  <c r="E28" i="22"/>
  <c r="L27" i="22"/>
  <c r="Q26" i="22"/>
  <c r="V25" i="22"/>
  <c r="A25" i="22"/>
  <c r="E24" i="22"/>
  <c r="L23" i="22"/>
  <c r="J22" i="22"/>
  <c r="J21" i="22"/>
  <c r="J20" i="22"/>
  <c r="J19" i="22"/>
  <c r="J18" i="22"/>
  <c r="J17" i="22"/>
  <c r="J16" i="22"/>
  <c r="J15" i="22"/>
  <c r="J14" i="22"/>
  <c r="J13" i="22"/>
  <c r="J12" i="22"/>
  <c r="J11" i="22"/>
  <c r="J10" i="22"/>
  <c r="L441" i="22"/>
  <c r="A444" i="22"/>
  <c r="E328" i="22"/>
  <c r="S260" i="22"/>
  <c r="H229" i="22"/>
  <c r="Q170" i="22"/>
  <c r="V115" i="22"/>
  <c r="B265" i="22"/>
  <c r="F207" i="22"/>
  <c r="T188" i="22"/>
  <c r="D182" i="22"/>
  <c r="T176" i="22"/>
  <c r="J171" i="22"/>
  <c r="D166" i="22"/>
  <c r="S160" i="22"/>
  <c r="H155" i="22"/>
  <c r="A149" i="22"/>
  <c r="T143" i="22"/>
  <c r="J138" i="22"/>
  <c r="D133" i="22"/>
  <c r="T127" i="22"/>
  <c r="J122" i="22"/>
  <c r="C469" i="22"/>
  <c r="B360" i="22"/>
  <c r="D330" i="22"/>
  <c r="J309" i="22"/>
  <c r="H288" i="22"/>
  <c r="A269" i="22"/>
  <c r="V261" i="22"/>
  <c r="O255" i="22"/>
  <c r="J250" i="22"/>
  <c r="H246" i="22"/>
  <c r="H242" i="22"/>
  <c r="E238" i="22"/>
  <c r="A235" i="22"/>
  <c r="V231" i="22"/>
  <c r="Q228" i="22"/>
  <c r="L225" i="22"/>
  <c r="E222" i="22"/>
  <c r="A219" i="22"/>
  <c r="V215" i="22"/>
  <c r="Q212" i="22"/>
  <c r="L209" i="22"/>
  <c r="E206" i="22"/>
  <c r="A203" i="22"/>
  <c r="V199" i="22"/>
  <c r="Q196" i="22"/>
  <c r="D193" i="22"/>
  <c r="C189" i="22"/>
  <c r="C185" i="22"/>
  <c r="C181" i="22"/>
  <c r="C177" i="22"/>
  <c r="C173" i="22"/>
  <c r="C169" i="22"/>
  <c r="C165" i="22"/>
  <c r="F160" i="22"/>
  <c r="B155" i="22"/>
  <c r="D149" i="22"/>
  <c r="C145" i="22"/>
  <c r="C141" i="22"/>
  <c r="C137" i="22"/>
  <c r="C133" i="22"/>
  <c r="C129" i="22"/>
  <c r="C125" i="22"/>
  <c r="C121" i="22"/>
  <c r="C117" i="22"/>
  <c r="C113" i="22"/>
  <c r="C109" i="22"/>
  <c r="C105" i="22"/>
  <c r="C101" i="22"/>
  <c r="C97" i="22"/>
  <c r="C93" i="22"/>
  <c r="C89" i="22"/>
  <c r="B351" i="22"/>
  <c r="H287" i="22"/>
  <c r="S254" i="22"/>
  <c r="D235" i="22"/>
  <c r="D219" i="22"/>
  <c r="D203" i="22"/>
  <c r="O391" i="22"/>
  <c r="N286" i="22"/>
  <c r="H255" i="22"/>
  <c r="O236" i="22"/>
  <c r="O220" i="22"/>
  <c r="O204" i="22"/>
  <c r="D321" i="22"/>
  <c r="L264" i="22"/>
  <c r="S248" i="22"/>
  <c r="T230" i="22"/>
  <c r="T214" i="22"/>
  <c r="O307" i="22"/>
  <c r="B263" i="22"/>
  <c r="F245" i="22"/>
  <c r="O226" i="22"/>
  <c r="O210" i="22"/>
  <c r="O194" i="22"/>
  <c r="X182" i="22"/>
  <c r="A162" i="22"/>
  <c r="X146" i="22"/>
  <c r="B126" i="22"/>
  <c r="B111" i="22"/>
  <c r="F100" i="22"/>
  <c r="X89" i="22"/>
  <c r="E85" i="22"/>
  <c r="A82" i="22"/>
  <c r="V78" i="22"/>
  <c r="H75" i="22"/>
  <c r="V71" i="22"/>
  <c r="X177" i="22"/>
  <c r="L159" i="22"/>
  <c r="F144" i="22"/>
  <c r="X121" i="22"/>
  <c r="J111" i="22"/>
  <c r="J103" i="22"/>
  <c r="J95" i="22"/>
  <c r="O87" i="22"/>
  <c r="O83" i="22"/>
  <c r="O79" i="22"/>
  <c r="B189" i="22"/>
  <c r="B168" i="22"/>
  <c r="Q153" i="22"/>
  <c r="F135" i="22"/>
  <c r="F115" i="22"/>
  <c r="X104" i="22"/>
  <c r="B94" i="22"/>
  <c r="H86" i="22"/>
  <c r="H82" i="22"/>
  <c r="H78" i="22"/>
  <c r="Q75" i="22"/>
  <c r="Q74" i="22"/>
  <c r="H73" i="22"/>
  <c r="S71" i="22"/>
  <c r="N70" i="22"/>
  <c r="H69" i="22"/>
  <c r="T66" i="22"/>
  <c r="F65" i="22"/>
  <c r="X63" i="22"/>
  <c r="O196" i="22"/>
  <c r="B187" i="22"/>
  <c r="X179" i="22"/>
  <c r="X171" i="22"/>
  <c r="F166" i="22"/>
  <c r="Q160" i="22"/>
  <c r="V155" i="22"/>
  <c r="V151" i="22"/>
  <c r="F146" i="22"/>
  <c r="F138" i="22"/>
  <c r="B131" i="22"/>
  <c r="X123" i="22"/>
  <c r="O117" i="22"/>
  <c r="D115" i="22"/>
  <c r="T112" i="22"/>
  <c r="O109" i="22"/>
  <c r="D107" i="22"/>
  <c r="T104" i="22"/>
  <c r="O101" i="22"/>
  <c r="D99" i="22"/>
  <c r="T96" i="22"/>
  <c r="O93" i="22"/>
  <c r="D91" i="22"/>
  <c r="T88" i="22"/>
  <c r="B86" i="22"/>
  <c r="F84" i="22"/>
  <c r="X82" i="22"/>
  <c r="X80" i="22"/>
  <c r="B79" i="22"/>
  <c r="F77" i="22"/>
  <c r="J75" i="22"/>
  <c r="D74" i="22"/>
  <c r="F72" i="22"/>
  <c r="X74" i="22"/>
  <c r="L70" i="22"/>
  <c r="B69" i="22"/>
  <c r="N66" i="22"/>
  <c r="V64" i="22"/>
  <c r="N63" i="22"/>
  <c r="C62" i="22"/>
  <c r="S60" i="22"/>
  <c r="N59" i="22"/>
  <c r="C58" i="22"/>
  <c r="S56" i="22"/>
  <c r="N55" i="22"/>
  <c r="A54" i="22"/>
  <c r="A53" i="22"/>
  <c r="A52" i="22"/>
  <c r="V50" i="22"/>
  <c r="V49" i="22"/>
  <c r="V48" i="22"/>
  <c r="Q47" i="22"/>
  <c r="Q46" i="22"/>
  <c r="Q45" i="22"/>
  <c r="L44" i="22"/>
  <c r="L43" i="22"/>
  <c r="L42" i="22"/>
  <c r="E41" i="22"/>
  <c r="E40" i="22"/>
  <c r="E39" i="22"/>
  <c r="A38" i="22"/>
  <c r="A37" i="22"/>
  <c r="S35" i="22"/>
  <c r="S34" i="22"/>
  <c r="S33" i="22"/>
  <c r="S32" i="22"/>
  <c r="S31" i="22"/>
  <c r="S30" i="22"/>
  <c r="S29" i="22"/>
  <c r="S28" i="22"/>
  <c r="S27" i="22"/>
  <c r="S26" i="22"/>
  <c r="S25" i="22"/>
  <c r="S24" i="22"/>
  <c r="S23" i="22"/>
  <c r="X22" i="22"/>
  <c r="F21" i="22"/>
  <c r="B20" i="22"/>
  <c r="X18" i="22"/>
  <c r="F17" i="22"/>
  <c r="B16" i="22"/>
  <c r="X14" i="22"/>
  <c r="F13" i="22"/>
  <c r="B12" i="22"/>
  <c r="X10" i="22"/>
  <c r="F9" i="22"/>
  <c r="B8" i="22"/>
  <c r="V6" i="22"/>
  <c r="X5" i="22"/>
  <c r="X51" i="21"/>
  <c r="F49" i="21"/>
  <c r="C47" i="21"/>
  <c r="S45" i="21"/>
  <c r="H44" i="21"/>
  <c r="D42" i="21"/>
  <c r="T40" i="21"/>
  <c r="J39" i="21"/>
  <c r="D38" i="21"/>
  <c r="T36" i="21"/>
  <c r="B34" i="21"/>
  <c r="A33" i="21"/>
  <c r="N31" i="21"/>
  <c r="B30" i="21"/>
  <c r="A29" i="21"/>
  <c r="N27" i="21"/>
  <c r="B26" i="21"/>
  <c r="A25" i="21"/>
  <c r="N23" i="21"/>
  <c r="B22" i="21"/>
  <c r="A21" i="21"/>
  <c r="N19" i="21"/>
  <c r="B17" i="21"/>
  <c r="A16" i="21"/>
  <c r="L14" i="21"/>
  <c r="J13" i="21"/>
  <c r="C12" i="21"/>
  <c r="L10" i="21"/>
  <c r="J9" i="21"/>
  <c r="C8" i="21"/>
  <c r="O5" i="21"/>
  <c r="S88" i="20"/>
  <c r="F87" i="20"/>
  <c r="J86" i="20"/>
  <c r="J85" i="20"/>
  <c r="D72" i="22"/>
  <c r="Q70" i="22"/>
  <c r="O69" i="22"/>
  <c r="N67" i="22"/>
  <c r="E66" i="22"/>
  <c r="A65" i="22"/>
  <c r="S63" i="22"/>
  <c r="F62" i="22"/>
  <c r="B61" i="22"/>
  <c r="X59" i="22"/>
  <c r="F58" i="22"/>
  <c r="B57" i="22"/>
  <c r="X55" i="22"/>
  <c r="F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X34" i="22"/>
  <c r="F33" i="22"/>
  <c r="B32" i="22"/>
  <c r="X30" i="22"/>
  <c r="F29" i="22"/>
  <c r="B28" i="22"/>
  <c r="X26" i="22"/>
  <c r="F25" i="22"/>
  <c r="B24" i="22"/>
  <c r="V22" i="22"/>
  <c r="A22" i="22"/>
  <c r="E21" i="22"/>
  <c r="L20" i="22"/>
  <c r="Q19" i="22"/>
  <c r="V18" i="22"/>
  <c r="A18" i="22"/>
  <c r="E17" i="22"/>
  <c r="L16" i="22"/>
  <c r="Q15" i="22"/>
  <c r="V14" i="22"/>
  <c r="A14" i="22"/>
  <c r="E13" i="22"/>
  <c r="L12" i="22"/>
  <c r="Q11" i="22"/>
  <c r="V10" i="22"/>
  <c r="A10" i="22"/>
  <c r="E9" i="22"/>
  <c r="L8" i="22"/>
  <c r="Q7" i="22"/>
  <c r="T6" i="22"/>
  <c r="V5" i="22"/>
  <c r="E4" i="22"/>
  <c r="L51" i="21"/>
  <c r="Q49" i="21"/>
  <c r="X47" i="21"/>
  <c r="F46" i="21"/>
  <c r="B45" i="21"/>
  <c r="S42" i="21"/>
  <c r="H41" i="21"/>
  <c r="C40" i="21"/>
  <c r="S38" i="21"/>
  <c r="H37" i="21"/>
  <c r="A36" i="21"/>
  <c r="A34" i="21"/>
  <c r="N32" i="21"/>
  <c r="B31" i="21"/>
  <c r="A30" i="21"/>
  <c r="N28" i="21"/>
  <c r="B27" i="21"/>
  <c r="A26" i="21"/>
  <c r="N24" i="21"/>
  <c r="B23" i="21"/>
  <c r="A22" i="21"/>
  <c r="N20" i="21"/>
  <c r="B19" i="21"/>
  <c r="A17" i="21"/>
  <c r="L15" i="21"/>
  <c r="J14" i="21"/>
  <c r="C13" i="21"/>
  <c r="L11" i="21"/>
  <c r="J10" i="21"/>
  <c r="O73" i="22"/>
  <c r="V70" i="22"/>
  <c r="T69" i="22"/>
  <c r="E67" i="22"/>
  <c r="N65" i="22"/>
  <c r="D64" i="22"/>
  <c r="A63" i="22"/>
  <c r="E62" i="22"/>
  <c r="L61" i="22"/>
  <c r="Q60" i="22"/>
  <c r="V59" i="22"/>
  <c r="A59" i="22"/>
  <c r="E58" i="22"/>
  <c r="L57" i="22"/>
  <c r="Q56" i="22"/>
  <c r="V55" i="22"/>
  <c r="A55" i="22"/>
  <c r="E54" i="22"/>
  <c r="C53" i="22"/>
  <c r="C52" i="22"/>
  <c r="C51" i="22"/>
  <c r="C50" i="22"/>
  <c r="C49" i="22"/>
  <c r="C48" i="22"/>
  <c r="C47" i="22"/>
  <c r="C46" i="22"/>
  <c r="C45" i="22"/>
  <c r="C44" i="22"/>
  <c r="C43" i="22"/>
  <c r="C42" i="22"/>
  <c r="C41" i="22"/>
  <c r="C40" i="22"/>
  <c r="C39" i="22"/>
  <c r="C38" i="22"/>
  <c r="C37" i="22"/>
  <c r="A36" i="22"/>
  <c r="E35" i="22"/>
  <c r="L34" i="22"/>
  <c r="Q33" i="22"/>
  <c r="V32" i="22"/>
  <c r="A32" i="22"/>
  <c r="E31" i="22"/>
  <c r="L30" i="22"/>
  <c r="Q29" i="22"/>
  <c r="V28" i="22"/>
  <c r="A28" i="22"/>
  <c r="E27" i="22"/>
  <c r="L26" i="22"/>
  <c r="Q25" i="22"/>
  <c r="V24" i="22"/>
  <c r="A24" i="22"/>
  <c r="E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X438" i="22"/>
  <c r="E295" i="22"/>
  <c r="E311" i="22"/>
  <c r="J315" i="22"/>
  <c r="H213" i="22"/>
  <c r="J156" i="22"/>
  <c r="A103" i="22"/>
  <c r="A250" i="22"/>
  <c r="F200" i="22"/>
  <c r="D187" i="22"/>
  <c r="T180" i="22"/>
  <c r="J175" i="22"/>
  <c r="D170" i="22"/>
  <c r="T164" i="22"/>
  <c r="H159" i="22"/>
  <c r="C154" i="22"/>
  <c r="T147" i="22"/>
  <c r="J142" i="22"/>
  <c r="D137" i="22"/>
  <c r="T131" i="22"/>
  <c r="J126" i="22"/>
  <c r="D121" i="22"/>
  <c r="V436" i="22"/>
  <c r="E349" i="22"/>
  <c r="J325" i="22"/>
  <c r="O304" i="22"/>
  <c r="B281" i="22"/>
  <c r="X266" i="22"/>
  <c r="E260" i="22"/>
  <c r="D254" i="22"/>
  <c r="J249" i="22"/>
  <c r="H245" i="22"/>
  <c r="H241" i="22"/>
  <c r="L237" i="22"/>
  <c r="E234" i="22"/>
  <c r="A231" i="22"/>
  <c r="V227" i="22"/>
  <c r="Q224" i="22"/>
  <c r="L221" i="22"/>
  <c r="E218" i="22"/>
  <c r="A215" i="22"/>
  <c r="V211" i="22"/>
  <c r="Q208" i="22"/>
  <c r="L205" i="22"/>
  <c r="E202" i="22"/>
  <c r="A199" i="22"/>
  <c r="V195" i="22"/>
  <c r="C192" i="22"/>
  <c r="C188" i="22"/>
  <c r="C184" i="22"/>
  <c r="C180" i="22"/>
  <c r="C176" i="22"/>
  <c r="C172" i="22"/>
  <c r="C168" i="22"/>
  <c r="C164" i="22"/>
  <c r="B159" i="22"/>
  <c r="X153" i="22"/>
  <c r="C148" i="22"/>
  <c r="C144" i="22"/>
  <c r="C140" i="22"/>
  <c r="C136" i="22"/>
  <c r="C132" i="22"/>
  <c r="C128" i="22"/>
  <c r="C124" i="22"/>
  <c r="C120" i="22"/>
  <c r="C116" i="22"/>
  <c r="C112" i="22"/>
  <c r="C108" i="22"/>
  <c r="C104" i="22"/>
  <c r="C100" i="22"/>
  <c r="C96" i="22"/>
  <c r="C92" i="22"/>
  <c r="C88" i="22"/>
  <c r="O335" i="22"/>
  <c r="E269" i="22"/>
  <c r="S250" i="22"/>
  <c r="D231" i="22"/>
  <c r="D215" i="22"/>
  <c r="D199" i="22"/>
  <c r="T334" i="22"/>
  <c r="F271" i="22"/>
  <c r="H251" i="22"/>
  <c r="O232" i="22"/>
  <c r="O216" i="22"/>
  <c r="O200" i="22"/>
  <c r="D305" i="22"/>
  <c r="D260" i="22"/>
  <c r="X243" i="22"/>
  <c r="T226" i="22"/>
  <c r="F359" i="22"/>
  <c r="N294" i="22"/>
  <c r="H257" i="22"/>
  <c r="O238" i="22"/>
  <c r="O222" i="22"/>
  <c r="O206" i="22"/>
  <c r="F190" i="22"/>
  <c r="B178" i="22"/>
  <c r="V158" i="22"/>
  <c r="B142" i="22"/>
  <c r="F121" i="22"/>
  <c r="F108" i="22"/>
  <c r="X97" i="22"/>
  <c r="Q87" i="22"/>
  <c r="L84" i="22"/>
  <c r="E81" i="22"/>
  <c r="A78" i="22"/>
  <c r="H74" i="22"/>
  <c r="O199" i="22"/>
  <c r="B173" i="22"/>
  <c r="E156" i="22"/>
  <c r="X137" i="22"/>
  <c r="J117" i="22"/>
  <c r="J109" i="22"/>
  <c r="J101" i="22"/>
  <c r="J93" i="22"/>
  <c r="O86" i="22"/>
  <c r="O82" i="22"/>
  <c r="O78" i="22"/>
  <c r="B184" i="22"/>
  <c r="F163" i="22"/>
  <c r="A150" i="22"/>
  <c r="X128" i="22"/>
  <c r="X112" i="22"/>
  <c r="B102" i="22"/>
  <c r="F91" i="22"/>
  <c r="H85" i="22"/>
  <c r="H81" i="22"/>
  <c r="H77" i="22"/>
  <c r="L75" i="22"/>
  <c r="L74" i="22"/>
  <c r="S72" i="22"/>
  <c r="N71" i="22"/>
  <c r="H70" i="22"/>
  <c r="T67" i="22"/>
  <c r="O66" i="22"/>
  <c r="B65" i="22"/>
  <c r="O207" i="22"/>
  <c r="C193" i="22"/>
  <c r="F186" i="22"/>
  <c r="F178" i="22"/>
  <c r="B171" i="22"/>
  <c r="X163" i="22"/>
  <c r="A159" i="22"/>
  <c r="A155" i="22"/>
  <c r="Q150" i="22"/>
  <c r="B143" i="22"/>
  <c r="X135" i="22"/>
  <c r="F130" i="22"/>
  <c r="F122" i="22"/>
  <c r="D117" i="22"/>
  <c r="T114" i="22"/>
  <c r="O111" i="22"/>
  <c r="D109" i="22"/>
  <c r="T106" i="22"/>
  <c r="O103" i="22"/>
  <c r="D101" i="22"/>
  <c r="T98" i="22"/>
  <c r="O95" i="22"/>
  <c r="D93" i="22"/>
  <c r="T90" i="22"/>
  <c r="F87" i="22"/>
  <c r="X85" i="22"/>
  <c r="B84" i="22"/>
  <c r="B82" i="22"/>
  <c r="F80" i="22"/>
  <c r="X78" i="22"/>
  <c r="X76" i="22"/>
  <c r="D75" i="22"/>
  <c r="X73" i="22"/>
  <c r="X71" i="22"/>
  <c r="D73" i="22"/>
  <c r="D70" i="22"/>
  <c r="Q67" i="22"/>
  <c r="F66" i="22"/>
  <c r="O64" i="22"/>
  <c r="C63" i="22"/>
  <c r="S61" i="22"/>
  <c r="N60" i="22"/>
  <c r="C59" i="22"/>
  <c r="S57" i="22"/>
  <c r="N56" i="22"/>
  <c r="C55" i="22"/>
  <c r="V53" i="22"/>
  <c r="V52" i="22"/>
  <c r="Q51" i="22"/>
  <c r="Q50" i="22"/>
  <c r="Q49" i="22"/>
  <c r="L48" i="22"/>
  <c r="L47" i="22"/>
  <c r="L46" i="22"/>
  <c r="E45" i="22"/>
  <c r="E44" i="22"/>
  <c r="E43" i="22"/>
  <c r="A42" i="22"/>
  <c r="A41" i="22"/>
  <c r="A40" i="22"/>
  <c r="V38" i="22"/>
  <c r="V37" i="22"/>
  <c r="V36" i="22"/>
  <c r="N35" i="22"/>
  <c r="N34" i="22"/>
  <c r="N33" i="22"/>
  <c r="N32" i="22"/>
  <c r="N31" i="22"/>
  <c r="N30" i="22"/>
  <c r="N29" i="22"/>
  <c r="N28" i="22"/>
  <c r="N27" i="22"/>
  <c r="N26" i="22"/>
  <c r="N25" i="22"/>
  <c r="N24" i="22"/>
  <c r="N23" i="22"/>
  <c r="F22" i="22"/>
  <c r="B21" i="22"/>
  <c r="X19" i="22"/>
  <c r="F18" i="22"/>
  <c r="B17" i="22"/>
  <c r="X15" i="22"/>
  <c r="F14" i="22"/>
  <c r="B13" i="22"/>
  <c r="X11" i="22"/>
  <c r="F10" i="22"/>
  <c r="B9" i="22"/>
  <c r="X7" i="22"/>
  <c r="Q6" i="22"/>
  <c r="F5" i="22"/>
  <c r="F51" i="21"/>
  <c r="B49" i="21"/>
  <c r="S46" i="21"/>
  <c r="H45" i="21"/>
  <c r="C44" i="21"/>
  <c r="T41" i="21"/>
  <c r="J40" i="21"/>
  <c r="D39" i="21"/>
  <c r="T37" i="21"/>
  <c r="J36" i="21"/>
  <c r="Q33" i="21"/>
  <c r="O32" i="21"/>
  <c r="H31" i="21"/>
  <c r="Q29" i="21"/>
  <c r="O28" i="21"/>
  <c r="H27" i="21"/>
  <c r="Q25" i="21"/>
  <c r="O24" i="21"/>
  <c r="H23" i="21"/>
  <c r="Q21" i="21"/>
  <c r="O20" i="21"/>
  <c r="H19" i="21"/>
  <c r="Q16" i="21"/>
  <c r="F15" i="21"/>
  <c r="E14" i="21"/>
  <c r="D13" i="21"/>
  <c r="F11" i="21"/>
  <c r="E10" i="21"/>
  <c r="D9" i="21"/>
  <c r="F7" i="21"/>
  <c r="H5" i="21"/>
  <c r="F88" i="20"/>
  <c r="B87" i="20"/>
  <c r="B86" i="20"/>
  <c r="D77" i="22"/>
  <c r="O71" i="22"/>
  <c r="J70" i="22"/>
  <c r="F69" i="22"/>
  <c r="F67" i="22"/>
  <c r="V65" i="22"/>
  <c r="T64" i="22"/>
  <c r="F63" i="22"/>
  <c r="B62" i="22"/>
  <c r="X60" i="22"/>
  <c r="F59" i="22"/>
  <c r="B58" i="22"/>
  <c r="X56" i="22"/>
  <c r="F55" i="22"/>
  <c r="T53" i="22"/>
  <c r="T52" i="22"/>
  <c r="T51" i="22"/>
  <c r="T50" i="22"/>
  <c r="T49" i="22"/>
  <c r="T48" i="22"/>
  <c r="T47" i="22"/>
  <c r="T46" i="22"/>
  <c r="T45" i="22"/>
  <c r="T44" i="22"/>
  <c r="T43" i="22"/>
  <c r="T42" i="22"/>
  <c r="T41" i="22"/>
  <c r="T40" i="22"/>
  <c r="T39" i="22"/>
  <c r="T38" i="22"/>
  <c r="T37" i="22"/>
  <c r="T36" i="22"/>
  <c r="X35" i="22"/>
  <c r="F34" i="22"/>
  <c r="B33" i="22"/>
  <c r="X31" i="22"/>
  <c r="F30" i="22"/>
  <c r="B29" i="22"/>
  <c r="X27" i="22"/>
  <c r="F26" i="22"/>
  <c r="B25" i="22"/>
  <c r="X23" i="22"/>
  <c r="Q22" i="22"/>
  <c r="V21" i="22"/>
  <c r="A21" i="22"/>
  <c r="E20" i="22"/>
  <c r="L19" i="22"/>
  <c r="Q18" i="22"/>
  <c r="V17" i="22"/>
  <c r="A17" i="22"/>
  <c r="E16" i="22"/>
  <c r="L15" i="22"/>
  <c r="Q14" i="22"/>
  <c r="V13" i="22"/>
  <c r="A13" i="22"/>
  <c r="E12" i="22"/>
  <c r="L11" i="22"/>
  <c r="Q10" i="22"/>
  <c r="V9" i="22"/>
  <c r="A9" i="22"/>
  <c r="E8" i="22"/>
  <c r="L7" i="22"/>
  <c r="O6" i="22"/>
  <c r="Q5" i="22"/>
  <c r="E3" i="22"/>
  <c r="E51" i="21"/>
  <c r="L49" i="21"/>
  <c r="F47" i="21"/>
  <c r="B46" i="21"/>
  <c r="X44" i="21"/>
  <c r="H42" i="21"/>
  <c r="C41" i="21"/>
  <c r="S39" i="21"/>
  <c r="H38" i="21"/>
  <c r="C37" i="21"/>
  <c r="Q34" i="21"/>
  <c r="O33" i="21"/>
  <c r="H32" i="21"/>
  <c r="Q30" i="21"/>
  <c r="O29" i="21"/>
  <c r="H28" i="21"/>
  <c r="Q26" i="21"/>
  <c r="O25" i="21"/>
  <c r="H24" i="21"/>
  <c r="Q22" i="21"/>
  <c r="O21" i="21"/>
  <c r="H20" i="21"/>
  <c r="Q17" i="21"/>
  <c r="O16" i="21"/>
  <c r="E15" i="21"/>
  <c r="D14" i="21"/>
  <c r="F12" i="21"/>
  <c r="E11" i="21"/>
  <c r="D10" i="21"/>
  <c r="T72" i="22"/>
  <c r="O70" i="22"/>
  <c r="E69" i="22"/>
  <c r="L66" i="22"/>
  <c r="E65" i="22"/>
  <c r="Q63" i="22"/>
  <c r="V62" i="22"/>
  <c r="A62" i="22"/>
  <c r="E61" i="22"/>
  <c r="L60" i="22"/>
  <c r="Q59" i="22"/>
  <c r="V58" i="22"/>
  <c r="A58" i="22"/>
  <c r="E57" i="22"/>
  <c r="L56" i="22"/>
  <c r="Q55" i="22"/>
  <c r="V54" i="22"/>
  <c r="S53" i="22"/>
  <c r="S52" i="22"/>
  <c r="S51" i="22"/>
  <c r="S50" i="22"/>
  <c r="S49" i="22"/>
  <c r="S48" i="22"/>
  <c r="S47" i="22"/>
  <c r="S46" i="22"/>
  <c r="S45" i="22"/>
  <c r="S44" i="22"/>
  <c r="S43" i="22"/>
  <c r="S42" i="22"/>
  <c r="S41" i="22"/>
  <c r="S40" i="22"/>
  <c r="S39" i="22"/>
  <c r="S38" i="22"/>
  <c r="S37" i="22"/>
  <c r="S36" i="22"/>
  <c r="V35" i="22"/>
  <c r="A35" i="22"/>
  <c r="E34" i="22"/>
  <c r="L33" i="22"/>
  <c r="Q32" i="22"/>
  <c r="V31" i="22"/>
  <c r="A31" i="22"/>
  <c r="E30" i="22"/>
  <c r="L29" i="22"/>
  <c r="Q28" i="22"/>
  <c r="V27" i="22"/>
  <c r="A27" i="22"/>
  <c r="E26" i="22"/>
  <c r="L25" i="22"/>
  <c r="Q24" i="22"/>
  <c r="V23" i="22"/>
  <c r="T22" i="22"/>
  <c r="T21" i="22"/>
  <c r="T20" i="22"/>
  <c r="T19" i="22"/>
  <c r="T18" i="22"/>
  <c r="T17" i="22"/>
  <c r="T16" i="22"/>
  <c r="T15" i="22"/>
  <c r="T14" i="22"/>
  <c r="T13" i="22"/>
  <c r="T12" i="22"/>
  <c r="T11" i="22"/>
  <c r="T10" i="22"/>
  <c r="T9" i="22"/>
  <c r="T8" i="22"/>
  <c r="T7" i="22"/>
  <c r="S6" i="22"/>
  <c r="O5" i="22"/>
  <c r="T51" i="21"/>
  <c r="T49" i="21"/>
  <c r="A48" i="21"/>
  <c r="A47" i="21"/>
  <c r="A46" i="21"/>
  <c r="A45" i="21"/>
  <c r="A44" i="21"/>
  <c r="X41" i="21"/>
  <c r="F40" i="21"/>
  <c r="B39" i="21"/>
  <c r="X37" i="21"/>
  <c r="F36" i="21"/>
  <c r="D34" i="21"/>
  <c r="F32" i="21"/>
  <c r="E31" i="21"/>
  <c r="D30" i="21"/>
  <c r="F28" i="21"/>
  <c r="E27" i="21"/>
  <c r="D26" i="21"/>
  <c r="F24" i="21"/>
  <c r="E23" i="21"/>
  <c r="D22" i="21"/>
  <c r="F20" i="21"/>
  <c r="E19" i="21"/>
  <c r="D17" i="21"/>
  <c r="J15" i="21"/>
  <c r="C14" i="21"/>
  <c r="L12" i="21"/>
  <c r="J11" i="21"/>
  <c r="C10" i="21"/>
  <c r="L8" i="21"/>
  <c r="J7" i="21"/>
  <c r="L5" i="21"/>
  <c r="V88" i="20"/>
  <c r="J87" i="20"/>
  <c r="S85" i="20"/>
  <c r="V84" i="20"/>
  <c r="F83" i="20"/>
  <c r="X75" i="22"/>
  <c r="O72" i="22"/>
  <c r="T70" i="22"/>
  <c r="L67" i="22"/>
  <c r="H66" i="22"/>
  <c r="Q64" i="22"/>
  <c r="O63" i="22"/>
  <c r="O62" i="22"/>
  <c r="O61" i="22"/>
  <c r="O60" i="22"/>
  <c r="O59" i="22"/>
  <c r="O58" i="22"/>
  <c r="O57" i="22"/>
  <c r="O56" i="22"/>
  <c r="O55" i="22"/>
  <c r="O54" i="22"/>
  <c r="F53" i="22"/>
  <c r="B52" i="22"/>
  <c r="X50" i="22"/>
  <c r="F49" i="22"/>
  <c r="B48" i="22"/>
  <c r="X46" i="22"/>
  <c r="F45" i="22"/>
  <c r="B44" i="22"/>
  <c r="X42" i="22"/>
  <c r="F41" i="22"/>
  <c r="B40" i="22"/>
  <c r="X38" i="22"/>
  <c r="F37" i="22"/>
  <c r="T35" i="22"/>
  <c r="T34" i="22"/>
  <c r="T33" i="22"/>
  <c r="T32" i="22"/>
  <c r="T31" i="22"/>
  <c r="T30" i="22"/>
  <c r="T29" i="22"/>
  <c r="T28" i="22"/>
  <c r="T27" i="22"/>
  <c r="T26" i="22"/>
  <c r="T25" i="22"/>
  <c r="T24" i="22"/>
  <c r="T23" i="22"/>
  <c r="S22" i="22"/>
  <c r="S21" i="22"/>
  <c r="S20" i="22"/>
  <c r="S19" i="22"/>
  <c r="S18" i="22"/>
  <c r="S17" i="22"/>
  <c r="S16" i="22"/>
  <c r="S15" i="22"/>
  <c r="F263" i="22"/>
  <c r="F232" i="22"/>
  <c r="D174" i="22"/>
  <c r="S152" i="22"/>
  <c r="J130" i="22"/>
  <c r="V342" i="22"/>
  <c r="O265" i="22"/>
  <c r="H244" i="22"/>
  <c r="E230" i="22"/>
  <c r="L217" i="22"/>
  <c r="Q204" i="22"/>
  <c r="C191" i="22"/>
  <c r="C175" i="22"/>
  <c r="X157" i="22"/>
  <c r="C139" i="22"/>
  <c r="C123" i="22"/>
  <c r="C107" i="22"/>
  <c r="C91" i="22"/>
  <c r="B245" i="22"/>
  <c r="T318" i="22"/>
  <c r="O212" i="22"/>
  <c r="T238" i="22"/>
  <c r="H253" i="22"/>
  <c r="J200" i="22"/>
  <c r="F116" i="22"/>
  <c r="Q83" i="22"/>
  <c r="F192" i="22"/>
  <c r="J115" i="22"/>
  <c r="O85" i="22"/>
  <c r="A160" i="22"/>
  <c r="F99" i="22"/>
  <c r="H76" i="22"/>
  <c r="H71" i="22"/>
  <c r="F64" i="22"/>
  <c r="X175" i="22"/>
  <c r="E154" i="22"/>
  <c r="B127" i="22"/>
  <c r="D111" i="22"/>
  <c r="T100" i="22"/>
  <c r="O89" i="22"/>
  <c r="X81" i="22"/>
  <c r="T74" i="22"/>
  <c r="Q69" i="22"/>
  <c r="S62" i="22"/>
  <c r="N57" i="22"/>
  <c r="L52" i="22"/>
  <c r="E48" i="22"/>
  <c r="A44" i="22"/>
  <c r="Q39" i="22"/>
  <c r="H35" i="22"/>
  <c r="H31" i="22"/>
  <c r="H27" i="22"/>
  <c r="H23" i="22"/>
  <c r="B18" i="22"/>
  <c r="X12" i="22"/>
  <c r="F7" i="22"/>
  <c r="S47" i="21"/>
  <c r="J41" i="21"/>
  <c r="D36" i="21"/>
  <c r="L29" i="21"/>
  <c r="J24" i="21"/>
  <c r="C19" i="21"/>
  <c r="N12" i="21"/>
  <c r="B7" i="21"/>
  <c r="V85" i="20"/>
  <c r="A69" i="22"/>
  <c r="B63" i="22"/>
  <c r="X57" i="22"/>
  <c r="O52" i="22"/>
  <c r="O48" i="22"/>
  <c r="O44" i="22"/>
  <c r="O40" i="22"/>
  <c r="O36" i="22"/>
  <c r="F31" i="22"/>
  <c r="B26" i="22"/>
  <c r="Q21" i="22"/>
  <c r="L18" i="22"/>
  <c r="E15" i="22"/>
  <c r="A12" i="22"/>
  <c r="V8" i="22"/>
  <c r="L5" i="22"/>
  <c r="B47" i="21"/>
  <c r="S40" i="21"/>
  <c r="L34" i="21"/>
  <c r="J29" i="21"/>
  <c r="C24" i="21"/>
  <c r="L17" i="21"/>
  <c r="B12" i="21"/>
  <c r="F70" i="22"/>
  <c r="L63" i="22"/>
  <c r="E60" i="22"/>
  <c r="A57" i="22"/>
  <c r="N53" i="22"/>
  <c r="N49" i="22"/>
  <c r="N45" i="22"/>
  <c r="N41" i="22"/>
  <c r="N37" i="22"/>
  <c r="A34" i="22"/>
  <c r="V30" i="22"/>
  <c r="Q27" i="22"/>
  <c r="L24" i="22"/>
  <c r="O20" i="22"/>
  <c r="O16" i="22"/>
  <c r="O12" i="22"/>
  <c r="O9" i="22"/>
  <c r="J8" i="22"/>
  <c r="D7" i="22"/>
  <c r="J5" i="22"/>
  <c r="D51" i="21"/>
  <c r="D49" i="21"/>
  <c r="V46" i="21"/>
  <c r="L45" i="21"/>
  <c r="E44" i="21"/>
  <c r="F41" i="21"/>
  <c r="X39" i="21"/>
  <c r="B38" i="21"/>
  <c r="A35" i="21"/>
  <c r="H33" i="21"/>
  <c r="L31" i="21"/>
  <c r="N29" i="21"/>
  <c r="Q27" i="21"/>
  <c r="J26" i="21"/>
  <c r="B24" i="21"/>
  <c r="O22" i="21"/>
  <c r="C21" i="21"/>
  <c r="A19" i="21"/>
  <c r="H16" i="21"/>
  <c r="H14" i="21"/>
  <c r="E12" i="21"/>
  <c r="N10" i="21"/>
  <c r="Q8" i="21"/>
  <c r="D7" i="21"/>
  <c r="N3" i="21"/>
  <c r="T87" i="20"/>
  <c r="N85" i="20"/>
  <c r="D84" i="20"/>
  <c r="T76" i="22"/>
  <c r="T71" i="22"/>
  <c r="L69" i="22"/>
  <c r="Q66" i="22"/>
  <c r="J64" i="22"/>
  <c r="D63" i="22"/>
  <c r="T61" i="22"/>
  <c r="J60" i="22"/>
  <c r="D59" i="22"/>
  <c r="T57" i="22"/>
  <c r="J56" i="22"/>
  <c r="D55" i="22"/>
  <c r="X53" i="22"/>
  <c r="X51" i="22"/>
  <c r="B50" i="22"/>
  <c r="F48" i="22"/>
  <c r="F46" i="22"/>
  <c r="X44" i="22"/>
  <c r="B43" i="22"/>
  <c r="B41" i="22"/>
  <c r="F39" i="22"/>
  <c r="X37" i="22"/>
  <c r="O35" i="22"/>
  <c r="J34" i="22"/>
  <c r="D33" i="22"/>
  <c r="O31" i="22"/>
  <c r="J30" i="22"/>
  <c r="D29" i="22"/>
  <c r="O27" i="22"/>
  <c r="J26" i="22"/>
  <c r="D25" i="22"/>
  <c r="O23" i="22"/>
  <c r="H22" i="22"/>
  <c r="C21" i="22"/>
  <c r="N19" i="22"/>
  <c r="H18" i="22"/>
  <c r="C17" i="22"/>
  <c r="N15" i="22"/>
  <c r="N14" i="22"/>
  <c r="N13" i="22"/>
  <c r="N12" i="22"/>
  <c r="N11" i="22"/>
  <c r="N10" i="22"/>
  <c r="N9" i="22"/>
  <c r="N8" i="22"/>
  <c r="N7" i="22"/>
  <c r="F6" i="22"/>
  <c r="S4" i="22"/>
  <c r="S51" i="21"/>
  <c r="N49" i="21"/>
  <c r="J47" i="21"/>
  <c r="D46" i="21"/>
  <c r="T44" i="21"/>
  <c r="V42" i="21"/>
  <c r="V41" i="21"/>
  <c r="V40" i="21"/>
  <c r="V39" i="21"/>
  <c r="V38" i="21"/>
  <c r="V37" i="21"/>
  <c r="V36" i="21"/>
  <c r="H34" i="21"/>
  <c r="Q32" i="21"/>
  <c r="O31" i="21"/>
  <c r="H30" i="21"/>
  <c r="Q28" i="21"/>
  <c r="O27" i="21"/>
  <c r="H26" i="21"/>
  <c r="Q24" i="21"/>
  <c r="O23" i="21"/>
  <c r="H22" i="21"/>
  <c r="Q20" i="21"/>
  <c r="O19" i="21"/>
  <c r="H17" i="21"/>
  <c r="N15" i="21"/>
  <c r="B14" i="21"/>
  <c r="A13" i="21"/>
  <c r="N11" i="21"/>
  <c r="B10" i="21"/>
  <c r="A9" i="21"/>
  <c r="N7" i="21"/>
  <c r="Q5" i="21"/>
  <c r="E3" i="21"/>
  <c r="C88" i="20"/>
  <c r="X86" i="20"/>
  <c r="X85" i="20"/>
  <c r="T84" i="20"/>
  <c r="L7" i="21"/>
  <c r="V87" i="20"/>
  <c r="L84" i="20"/>
  <c r="X82" i="20"/>
  <c r="F81" i="20"/>
  <c r="E80" i="20"/>
  <c r="C79" i="20"/>
  <c r="X77" i="20"/>
  <c r="H76" i="20"/>
  <c r="J75" i="20"/>
  <c r="E74" i="20"/>
  <c r="A73" i="20"/>
  <c r="E72" i="20"/>
  <c r="F71" i="20"/>
  <c r="H70" i="20"/>
  <c r="J69" i="20"/>
  <c r="E68" i="20"/>
  <c r="F67" i="20"/>
  <c r="E66" i="20"/>
  <c r="D65" i="20"/>
  <c r="D64" i="20"/>
  <c r="D63" i="20"/>
  <c r="D62" i="20"/>
  <c r="A61" i="20"/>
  <c r="B60" i="20"/>
  <c r="C59" i="20"/>
  <c r="C58" i="20"/>
  <c r="A57" i="20"/>
  <c r="B56" i="20"/>
  <c r="D55" i="20"/>
  <c r="X53" i="20"/>
  <c r="T52" i="20"/>
  <c r="S51" i="20"/>
  <c r="T50" i="20"/>
  <c r="V49" i="20"/>
  <c r="A49" i="20"/>
  <c r="B48" i="20"/>
  <c r="D47" i="20"/>
  <c r="C46" i="20"/>
  <c r="A45" i="20"/>
  <c r="D44" i="20"/>
  <c r="A43" i="20"/>
  <c r="C42" i="20"/>
  <c r="C41" i="20"/>
  <c r="B40" i="20"/>
  <c r="X38" i="20"/>
  <c r="Q37" i="20"/>
  <c r="O36" i="20"/>
  <c r="Q35" i="20"/>
  <c r="N34" i="20"/>
  <c r="F33" i="20"/>
  <c r="N31" i="20"/>
  <c r="H30" i="20"/>
  <c r="A29" i="20"/>
  <c r="L27" i="20"/>
  <c r="J26" i="20"/>
  <c r="B25" i="20"/>
  <c r="N23" i="20"/>
  <c r="J22" i="20"/>
  <c r="B21" i="20"/>
  <c r="L19" i="20"/>
  <c r="J18" i="20"/>
  <c r="C17" i="20"/>
  <c r="J15" i="20"/>
  <c r="O13" i="20"/>
  <c r="E12" i="20"/>
  <c r="D11" i="20"/>
  <c r="F9" i="20"/>
  <c r="E8" i="20"/>
  <c r="D7" i="20"/>
  <c r="X5" i="20"/>
  <c r="N4" i="20"/>
  <c r="H282" i="19"/>
  <c r="C281" i="19"/>
  <c r="S279" i="19"/>
  <c r="S278" i="19"/>
  <c r="S277" i="19"/>
  <c r="S276" i="19"/>
  <c r="S275" i="19"/>
  <c r="S274" i="19"/>
  <c r="B273" i="19"/>
  <c r="F271" i="19"/>
  <c r="B270" i="19"/>
  <c r="F268" i="19"/>
  <c r="B267" i="19"/>
  <c r="X265" i="19"/>
  <c r="F264" i="19"/>
  <c r="B263" i="19"/>
  <c r="X261" i="19"/>
  <c r="B260" i="19"/>
  <c r="X258" i="19"/>
  <c r="F257" i="19"/>
  <c r="B256" i="19"/>
  <c r="X254" i="19"/>
  <c r="F253" i="19"/>
  <c r="B252" i="19"/>
  <c r="X250" i="19"/>
  <c r="F249" i="19"/>
  <c r="B248" i="19"/>
  <c r="X246" i="19"/>
  <c r="F245" i="19"/>
  <c r="B244" i="19"/>
  <c r="X242" i="19"/>
  <c r="E241" i="19"/>
  <c r="D240" i="19"/>
  <c r="C239" i="19"/>
  <c r="L237" i="19"/>
  <c r="J236" i="19"/>
  <c r="H235" i="19"/>
  <c r="Q233" i="19"/>
  <c r="O232" i="19"/>
  <c r="N231" i="19"/>
  <c r="B230" i="19"/>
  <c r="A229" i="19"/>
  <c r="S227" i="19"/>
  <c r="F226" i="19"/>
  <c r="E225" i="19"/>
  <c r="D224" i="19"/>
  <c r="C223" i="19"/>
  <c r="L221" i="19"/>
  <c r="J220" i="19"/>
  <c r="H219" i="19"/>
  <c r="Q217" i="19"/>
  <c r="O216" i="19"/>
  <c r="N215" i="19"/>
  <c r="B214" i="19"/>
  <c r="A213" i="19"/>
  <c r="S211" i="19"/>
  <c r="F210" i="19"/>
  <c r="E209" i="19"/>
  <c r="D208" i="19"/>
  <c r="C207" i="19"/>
  <c r="L205" i="19"/>
  <c r="S203" i="19"/>
  <c r="F202" i="19"/>
  <c r="E201" i="19"/>
  <c r="D200" i="19"/>
  <c r="C199" i="19"/>
  <c r="L197" i="19"/>
  <c r="J196" i="19"/>
  <c r="H195" i="19"/>
  <c r="Q193" i="19"/>
  <c r="O192" i="19"/>
  <c r="N191" i="19"/>
  <c r="B190" i="19"/>
  <c r="A189" i="19"/>
  <c r="S187" i="19"/>
  <c r="F186" i="19"/>
  <c r="E185" i="19"/>
  <c r="D184" i="19"/>
  <c r="C183" i="19"/>
  <c r="L181" i="19"/>
  <c r="J180" i="19"/>
  <c r="H179" i="19"/>
  <c r="Q177" i="19"/>
  <c r="O176" i="19"/>
  <c r="N175" i="19"/>
  <c r="B174" i="19"/>
  <c r="A173" i="19"/>
  <c r="S171" i="19"/>
  <c r="F170" i="19"/>
  <c r="E169" i="19"/>
  <c r="D168" i="19"/>
  <c r="C167" i="19"/>
  <c r="L165" i="19"/>
  <c r="J164" i="19"/>
  <c r="H163" i="19"/>
  <c r="Q161" i="19"/>
  <c r="O160" i="19"/>
  <c r="N159" i="19"/>
  <c r="B158" i="19"/>
  <c r="A157" i="19"/>
  <c r="S155" i="19"/>
  <c r="F154" i="19"/>
  <c r="E153" i="19"/>
  <c r="D152" i="19"/>
  <c r="C151" i="19"/>
  <c r="L149" i="19"/>
  <c r="J148" i="19"/>
  <c r="H147" i="19"/>
  <c r="Q145" i="19"/>
  <c r="O144" i="19"/>
  <c r="N143" i="19"/>
  <c r="B142" i="19"/>
  <c r="A141" i="19"/>
  <c r="S139" i="19"/>
  <c r="F138" i="19"/>
  <c r="E137" i="19"/>
  <c r="D136" i="19"/>
  <c r="C135" i="19"/>
  <c r="L133" i="19"/>
  <c r="J132" i="19"/>
  <c r="H131" i="19"/>
  <c r="Q129" i="19"/>
  <c r="O128" i="19"/>
  <c r="N127" i="19"/>
  <c r="B126" i="19"/>
  <c r="A125" i="19"/>
  <c r="S123" i="19"/>
  <c r="F122" i="19"/>
  <c r="E121" i="19"/>
  <c r="D120" i="19"/>
  <c r="C119" i="19"/>
  <c r="L117" i="19"/>
  <c r="J116" i="19"/>
  <c r="H115" i="19"/>
  <c r="Q113" i="19"/>
  <c r="O112" i="19"/>
  <c r="F8" i="21"/>
  <c r="L87" i="20"/>
  <c r="X83" i="20"/>
  <c r="H82" i="20"/>
  <c r="E81" i="20"/>
  <c r="D80" i="20"/>
  <c r="V78" i="20"/>
  <c r="V77" i="20"/>
  <c r="X76" i="20"/>
  <c r="H75" i="20"/>
  <c r="J74" i="20"/>
  <c r="J73" i="20"/>
  <c r="J72" i="20"/>
  <c r="E71" i="20"/>
  <c r="F70" i="20"/>
  <c r="H69" i="20"/>
  <c r="J68" i="20"/>
  <c r="E67" i="20"/>
  <c r="J66" i="20"/>
  <c r="H65" i="20"/>
  <c r="H64" i="20"/>
  <c r="H63" i="20"/>
  <c r="H62" i="20"/>
  <c r="J61" i="20"/>
  <c r="H60" i="20"/>
  <c r="B59" i="20"/>
  <c r="V57" i="20"/>
  <c r="S56" i="20"/>
  <c r="T55" i="20"/>
  <c r="X54" i="20"/>
  <c r="V53" i="20"/>
  <c r="S52" i="20"/>
  <c r="X51" i="20"/>
  <c r="S50" i="20"/>
  <c r="T49" i="20"/>
  <c r="S48" i="20"/>
  <c r="T47" i="20"/>
  <c r="X46" i="20"/>
  <c r="Q45" i="20"/>
  <c r="O44" i="20"/>
  <c r="Q43" i="20"/>
  <c r="N42" i="20"/>
  <c r="F41" i="20"/>
  <c r="E40" i="20"/>
  <c r="L39" i="20"/>
  <c r="Q38" i="20"/>
  <c r="V37" i="20"/>
  <c r="S36" i="20"/>
  <c r="T35" i="20"/>
  <c r="X34" i="20"/>
  <c r="Q33" i="20"/>
  <c r="H32" i="20"/>
  <c r="A31" i="20"/>
  <c r="Q29" i="20"/>
  <c r="F28" i="20"/>
  <c r="D27" i="20"/>
  <c r="L25" i="20"/>
  <c r="H24" i="20"/>
  <c r="A23" i="20"/>
  <c r="L21" i="20"/>
  <c r="F20" i="20"/>
  <c r="D19" i="20"/>
  <c r="F17" i="20"/>
  <c r="E16" i="20"/>
  <c r="C15" i="20"/>
  <c r="A14" i="20"/>
  <c r="Q12" i="20"/>
  <c r="H11" i="20"/>
  <c r="Q9" i="20"/>
  <c r="O8" i="20"/>
  <c r="H7" i="20"/>
  <c r="V5" i="20"/>
  <c r="N3" i="20"/>
  <c r="B282" i="19"/>
  <c r="X280" i="19"/>
  <c r="B279" i="19"/>
  <c r="X277" i="19"/>
  <c r="F276" i="19"/>
  <c r="B275" i="19"/>
  <c r="L273" i="19"/>
  <c r="Q272" i="19"/>
  <c r="Q271" i="19"/>
  <c r="V270" i="19"/>
  <c r="A270" i="19"/>
  <c r="A269" i="19"/>
  <c r="A268" i="19"/>
  <c r="A267" i="19"/>
  <c r="A266" i="19"/>
  <c r="A265" i="19"/>
  <c r="A264" i="19"/>
  <c r="A263" i="19"/>
  <c r="A262" i="19"/>
  <c r="A261" i="19"/>
  <c r="E260" i="19"/>
  <c r="L259" i="19"/>
  <c r="Q258" i="19"/>
  <c r="V257" i="19"/>
  <c r="A257" i="19"/>
  <c r="E256" i="19"/>
  <c r="L255" i="19"/>
  <c r="Q254" i="19"/>
  <c r="V253" i="19"/>
  <c r="A253" i="19"/>
  <c r="E252" i="19"/>
  <c r="L251" i="19"/>
  <c r="Q250" i="19"/>
  <c r="V249" i="19"/>
  <c r="A249" i="19"/>
  <c r="E248" i="19"/>
  <c r="L247" i="19"/>
  <c r="Q246" i="19"/>
  <c r="V245" i="19"/>
  <c r="A245" i="19"/>
  <c r="E244" i="19"/>
  <c r="L243" i="19"/>
  <c r="Q242" i="19"/>
  <c r="J241" i="19"/>
  <c r="H240" i="19"/>
  <c r="Q238" i="19"/>
  <c r="O237" i="19"/>
  <c r="N236" i="19"/>
  <c r="B235" i="19"/>
  <c r="A234" i="19"/>
  <c r="S232" i="19"/>
  <c r="F231" i="19"/>
  <c r="E230" i="19"/>
  <c r="D229" i="19"/>
  <c r="C228" i="19"/>
  <c r="L226" i="19"/>
  <c r="J225" i="19"/>
  <c r="H224" i="19"/>
  <c r="Q222" i="19"/>
  <c r="O221" i="19"/>
  <c r="N220" i="19"/>
  <c r="B219" i="19"/>
  <c r="A218" i="19"/>
  <c r="S216" i="19"/>
  <c r="F215" i="19"/>
  <c r="E214" i="19"/>
  <c r="D213" i="19"/>
  <c r="C212" i="19"/>
  <c r="L210" i="19"/>
  <c r="J209" i="19"/>
  <c r="H208" i="19"/>
  <c r="Q206" i="19"/>
  <c r="O205" i="19"/>
  <c r="H204" i="19"/>
  <c r="L202" i="19"/>
  <c r="J201" i="19"/>
  <c r="H200" i="19"/>
  <c r="Q198" i="19"/>
  <c r="O197" i="19"/>
  <c r="N196" i="19"/>
  <c r="B195" i="19"/>
  <c r="A194" i="19"/>
  <c r="S192" i="19"/>
  <c r="F191" i="19"/>
  <c r="E190" i="19"/>
  <c r="D189" i="19"/>
  <c r="C188" i="19"/>
  <c r="L186" i="19"/>
  <c r="J185" i="19"/>
  <c r="H184" i="19"/>
  <c r="Q182" i="19"/>
  <c r="O181" i="19"/>
  <c r="N180" i="19"/>
  <c r="B179" i="19"/>
  <c r="A178" i="19"/>
  <c r="S176" i="19"/>
  <c r="F175" i="19"/>
  <c r="E174" i="19"/>
  <c r="D173" i="19"/>
  <c r="C172" i="19"/>
  <c r="L170" i="19"/>
  <c r="J169" i="19"/>
  <c r="H168" i="19"/>
  <c r="Q166" i="19"/>
  <c r="O165" i="19"/>
  <c r="N164" i="19"/>
  <c r="B163" i="19"/>
  <c r="A162" i="19"/>
  <c r="S160" i="19"/>
  <c r="F159" i="19"/>
  <c r="E158" i="19"/>
  <c r="D157" i="19"/>
  <c r="C156" i="19"/>
  <c r="L154" i="19"/>
  <c r="J153" i="19"/>
  <c r="H152" i="19"/>
  <c r="Q150" i="19"/>
  <c r="O149" i="19"/>
  <c r="N148" i="19"/>
  <c r="B147" i="19"/>
  <c r="A146" i="19"/>
  <c r="S144" i="19"/>
  <c r="F143" i="19"/>
  <c r="E142" i="19"/>
  <c r="D141" i="19"/>
  <c r="C140" i="19"/>
  <c r="L138" i="19"/>
  <c r="J137" i="19"/>
  <c r="H136" i="19"/>
  <c r="Q134" i="19"/>
  <c r="O133" i="19"/>
  <c r="N132" i="19"/>
  <c r="B131" i="19"/>
  <c r="A7" i="21"/>
  <c r="H86" i="20"/>
  <c r="V83" i="20"/>
  <c r="F82" i="20"/>
  <c r="D81" i="20"/>
  <c r="X79" i="20"/>
  <c r="T78" i="20"/>
  <c r="O77" i="20"/>
  <c r="Q76" i="20"/>
  <c r="N75" i="20"/>
  <c r="O74" i="20"/>
  <c r="O73" i="20"/>
  <c r="N72" i="20"/>
  <c r="Q71" i="20"/>
  <c r="L70" i="20"/>
  <c r="N69" i="20"/>
  <c r="O68" i="20"/>
  <c r="Q67" i="20"/>
  <c r="O66" i="20"/>
  <c r="N65" i="20"/>
  <c r="F64" i="20"/>
  <c r="B63" i="20"/>
  <c r="V61" i="20"/>
  <c r="X60" i="20"/>
  <c r="E59" i="20"/>
  <c r="L58" i="20"/>
  <c r="O57" i="20"/>
  <c r="Q56" i="20"/>
  <c r="N55" i="20"/>
  <c r="O54" i="20"/>
  <c r="O53" i="20"/>
  <c r="F52" i="20"/>
  <c r="H51" i="20"/>
  <c r="J50" i="20"/>
  <c r="H49" i="20"/>
  <c r="J48" i="20"/>
  <c r="F47" i="20"/>
  <c r="L46" i="20"/>
  <c r="O45" i="20"/>
  <c r="N44" i="20"/>
  <c r="O43" i="20"/>
  <c r="L42" i="20"/>
  <c r="Q41" i="20"/>
  <c r="V40" i="20"/>
  <c r="T39" i="20"/>
  <c r="T38" i="20"/>
  <c r="T37" i="20"/>
  <c r="X36" i="20"/>
  <c r="F35" i="20"/>
  <c r="L34" i="20"/>
  <c r="O33" i="20"/>
  <c r="F32" i="20"/>
  <c r="D31" i="20"/>
  <c r="O29" i="20"/>
  <c r="E28" i="20"/>
  <c r="C27" i="20"/>
  <c r="J25" i="20"/>
  <c r="B24" i="20"/>
  <c r="N22" i="20"/>
  <c r="J21" i="20"/>
  <c r="A20" i="20"/>
  <c r="F18" i="20"/>
  <c r="E17" i="20"/>
  <c r="D16" i="20"/>
  <c r="J14" i="20"/>
  <c r="O12" i="20"/>
  <c r="B11" i="20"/>
  <c r="A10" i="20"/>
  <c r="N8" i="20"/>
  <c r="B7" i="20"/>
  <c r="E6" i="20"/>
  <c r="C5" i="20"/>
  <c r="V282" i="19"/>
  <c r="V281" i="19"/>
  <c r="V280" i="19"/>
  <c r="V279" i="19"/>
  <c r="A279" i="19"/>
  <c r="E278" i="19"/>
  <c r="L277" i="19"/>
  <c r="Q276" i="19"/>
  <c r="V275" i="19"/>
  <c r="A275" i="19"/>
  <c r="A274" i="19"/>
  <c r="T272" i="19"/>
  <c r="O271" i="19"/>
  <c r="O270" i="19"/>
  <c r="O269" i="19"/>
  <c r="D268" i="19"/>
  <c r="T266" i="19"/>
  <c r="J265" i="19"/>
  <c r="D264" i="19"/>
  <c r="T262" i="19"/>
  <c r="O261" i="19"/>
  <c r="J260" i="19"/>
  <c r="J259" i="19"/>
  <c r="J258" i="19"/>
  <c r="J257" i="19"/>
  <c r="J256" i="19"/>
  <c r="J255" i="19"/>
  <c r="J254" i="19"/>
  <c r="J253" i="19"/>
  <c r="J252" i="19"/>
  <c r="J251" i="19"/>
  <c r="J250" i="19"/>
  <c r="J249" i="19"/>
  <c r="J248" i="19"/>
  <c r="J247" i="19"/>
  <c r="J246" i="19"/>
  <c r="J245" i="19"/>
  <c r="J244" i="19"/>
  <c r="J243" i="19"/>
  <c r="J242" i="19"/>
  <c r="C241" i="19"/>
  <c r="L239" i="19"/>
  <c r="J238" i="19"/>
  <c r="H237" i="19"/>
  <c r="Q235" i="19"/>
  <c r="O234" i="19"/>
  <c r="N233" i="19"/>
  <c r="B232" i="19"/>
  <c r="A231" i="19"/>
  <c r="S229" i="19"/>
  <c r="F228" i="19"/>
  <c r="E227" i="19"/>
  <c r="D226" i="19"/>
  <c r="C225" i="19"/>
  <c r="L223" i="19"/>
  <c r="J222" i="19"/>
  <c r="H221" i="19"/>
  <c r="Q219" i="19"/>
  <c r="O218" i="19"/>
  <c r="N217" i="19"/>
  <c r="B216" i="19"/>
  <c r="A215" i="19"/>
  <c r="S213" i="19"/>
  <c r="F212" i="19"/>
  <c r="E211" i="19"/>
  <c r="D210" i="19"/>
  <c r="C209" i="19"/>
  <c r="L207" i="19"/>
  <c r="J206" i="19"/>
  <c r="H205" i="19"/>
  <c r="E203" i="19"/>
  <c r="D202" i="19"/>
  <c r="C201" i="19"/>
  <c r="L199" i="19"/>
  <c r="J198" i="19"/>
  <c r="H197" i="19"/>
  <c r="Q195" i="19"/>
  <c r="O194" i="19"/>
  <c r="N193" i="19"/>
  <c r="B192" i="19"/>
  <c r="A191" i="19"/>
  <c r="S189" i="19"/>
  <c r="F188" i="19"/>
  <c r="E187" i="19"/>
  <c r="D186" i="19"/>
  <c r="C185" i="19"/>
  <c r="L183" i="19"/>
  <c r="J182" i="19"/>
  <c r="H181" i="19"/>
  <c r="Q179" i="19"/>
  <c r="O178" i="19"/>
  <c r="N177" i="19"/>
  <c r="B176" i="19"/>
  <c r="A175" i="19"/>
  <c r="S173" i="19"/>
  <c r="F172" i="19"/>
  <c r="E171" i="19"/>
  <c r="D170" i="19"/>
  <c r="C169" i="19"/>
  <c r="L167" i="19"/>
  <c r="J166" i="19"/>
  <c r="H165" i="19"/>
  <c r="Q163" i="19"/>
  <c r="O162" i="19"/>
  <c r="N161" i="19"/>
  <c r="B160" i="19"/>
  <c r="A159" i="19"/>
  <c r="S157" i="19"/>
  <c r="F156" i="19"/>
  <c r="E155" i="19"/>
  <c r="D154" i="19"/>
  <c r="C153" i="19"/>
  <c r="L151" i="19"/>
  <c r="J150" i="19"/>
  <c r="H149" i="19"/>
  <c r="Q147" i="19"/>
  <c r="O146" i="19"/>
  <c r="N145" i="19"/>
  <c r="B144" i="19"/>
  <c r="A143" i="19"/>
  <c r="S141" i="19"/>
  <c r="F140" i="19"/>
  <c r="E139" i="19"/>
  <c r="D138" i="19"/>
  <c r="C137" i="19"/>
  <c r="L135" i="19"/>
  <c r="J134" i="19"/>
  <c r="H133" i="19"/>
  <c r="Q131" i="19"/>
  <c r="O130" i="19"/>
  <c r="N129" i="19"/>
  <c r="B128" i="19"/>
  <c r="A127" i="19"/>
  <c r="S125" i="19"/>
  <c r="F124" i="19"/>
  <c r="E123" i="19"/>
  <c r="D122" i="19"/>
  <c r="C121" i="19"/>
  <c r="L119" i="19"/>
  <c r="J118" i="19"/>
  <c r="H117" i="19"/>
  <c r="Q115" i="19"/>
  <c r="O114" i="19"/>
  <c r="N113" i="19"/>
  <c r="B112" i="19"/>
  <c r="A111" i="19"/>
  <c r="S109" i="19"/>
  <c r="Q7" i="21"/>
  <c r="A88" i="20"/>
  <c r="B84" i="20"/>
  <c r="E82" i="20"/>
  <c r="C81" i="20"/>
  <c r="V79" i="20"/>
  <c r="H78" i="20"/>
  <c r="H77" i="20"/>
  <c r="D76" i="20"/>
  <c r="A75" i="20"/>
  <c r="S73" i="20"/>
  <c r="X72" i="20"/>
  <c r="O71" i="20"/>
  <c r="Q70" i="20"/>
  <c r="L69" i="20"/>
  <c r="N68" i="20"/>
  <c r="O67" i="20"/>
  <c r="N66" i="20"/>
  <c r="E65" i="20"/>
  <c r="L64" i="20"/>
  <c r="Q63" i="20"/>
  <c r="V62" i="20"/>
  <c r="A62" i="20"/>
  <c r="B61" i="20"/>
  <c r="E60" i="20"/>
  <c r="D59" i="20"/>
  <c r="D58" i="20"/>
  <c r="B57" i="20"/>
  <c r="C56" i="20"/>
  <c r="A55" i="20"/>
  <c r="S53" i="20"/>
  <c r="V52" i="20"/>
  <c r="A52" i="20"/>
  <c r="B51" i="20"/>
  <c r="C50" i="20"/>
  <c r="V48" i="20"/>
  <c r="X47" i="20"/>
  <c r="T46" i="20"/>
  <c r="S45" i="20"/>
  <c r="X44" i="20"/>
  <c r="T43" i="20"/>
  <c r="X42" i="20"/>
  <c r="T41" i="20"/>
  <c r="T40" i="20"/>
  <c r="S39" i="20"/>
  <c r="S38" i="20"/>
  <c r="S37" i="20"/>
  <c r="V36" i="20"/>
  <c r="X35" i="20"/>
  <c r="T34" i="20"/>
  <c r="S33" i="20"/>
  <c r="E32" i="20"/>
  <c r="C31" i="20"/>
  <c r="N29" i="20"/>
  <c r="J28" i="20"/>
  <c r="B27" i="20"/>
  <c r="A26" i="20"/>
  <c r="L24" i="20"/>
  <c r="H23" i="20"/>
  <c r="A22" i="20"/>
  <c r="Q20" i="20"/>
  <c r="F19" i="20"/>
  <c r="E18" i="20"/>
  <c r="D17" i="20"/>
  <c r="Q15" i="20"/>
  <c r="N14" i="20"/>
  <c r="L13" i="20"/>
  <c r="F12" i="20"/>
  <c r="E11" i="20"/>
  <c r="D10" i="20"/>
  <c r="F8" i="20"/>
  <c r="E7" i="20"/>
  <c r="J6" i="20"/>
  <c r="A5" i="20"/>
  <c r="D282" i="19"/>
  <c r="T280" i="19"/>
  <c r="O279" i="19"/>
  <c r="O278" i="19"/>
  <c r="O277" i="19"/>
  <c r="O276" i="19"/>
  <c r="O275" i="19"/>
  <c r="O274" i="19"/>
  <c r="C273" i="19"/>
  <c r="S271" i="19"/>
  <c r="S270" i="19"/>
  <c r="S269" i="19"/>
  <c r="H268" i="19"/>
  <c r="C267" i="19"/>
  <c r="N265" i="19"/>
  <c r="H264" i="19"/>
  <c r="C263" i="19"/>
  <c r="S261" i="19"/>
  <c r="N260" i="19"/>
  <c r="N259" i="19"/>
  <c r="N258" i="19"/>
  <c r="N257" i="19"/>
  <c r="N256" i="19"/>
  <c r="N255" i="19"/>
  <c r="N254" i="19"/>
  <c r="N253" i="19"/>
  <c r="N252" i="19"/>
  <c r="N251" i="19"/>
  <c r="N250" i="19"/>
  <c r="N249" i="19"/>
  <c r="N248" i="19"/>
  <c r="N247" i="19"/>
  <c r="N246" i="19"/>
  <c r="N245" i="19"/>
  <c r="N244" i="19"/>
  <c r="N243" i="19"/>
  <c r="N242" i="19"/>
  <c r="Q240" i="19"/>
  <c r="O239" i="19"/>
  <c r="N238" i="19"/>
  <c r="B237" i="19"/>
  <c r="A236" i="19"/>
  <c r="S234" i="19"/>
  <c r="F233" i="19"/>
  <c r="E232" i="19"/>
  <c r="D231" i="19"/>
  <c r="C230" i="19"/>
  <c r="L228" i="19"/>
  <c r="J227" i="19"/>
  <c r="H226" i="19"/>
  <c r="Q224" i="19"/>
  <c r="O223" i="19"/>
  <c r="N222" i="19"/>
  <c r="B221" i="19"/>
  <c r="A220" i="19"/>
  <c r="S218" i="19"/>
  <c r="F217" i="19"/>
  <c r="E216" i="19"/>
  <c r="D215" i="19"/>
  <c r="C214" i="19"/>
  <c r="L212" i="19"/>
  <c r="J211" i="19"/>
  <c r="H210" i="19"/>
  <c r="Q208" i="19"/>
  <c r="O207" i="19"/>
  <c r="N206" i="19"/>
  <c r="Q204" i="19"/>
  <c r="J203" i="19"/>
  <c r="H202" i="19"/>
  <c r="Q200" i="19"/>
  <c r="O199" i="19"/>
  <c r="N198" i="19"/>
  <c r="B197" i="19"/>
  <c r="A196" i="19"/>
  <c r="S194" i="19"/>
  <c r="F193" i="19"/>
  <c r="E192" i="19"/>
  <c r="D191" i="19"/>
  <c r="C190" i="19"/>
  <c r="L188" i="19"/>
  <c r="J187" i="19"/>
  <c r="H186" i="19"/>
  <c r="Q184" i="19"/>
  <c r="O183" i="19"/>
  <c r="N182" i="19"/>
  <c r="B181" i="19"/>
  <c r="A180" i="19"/>
  <c r="S178" i="19"/>
  <c r="F177" i="19"/>
  <c r="E176" i="19"/>
  <c r="D175" i="19"/>
  <c r="C174" i="19"/>
  <c r="L172" i="19"/>
  <c r="J171" i="19"/>
  <c r="N358" i="22"/>
  <c r="H197" i="22"/>
  <c r="T192" i="22"/>
  <c r="T168" i="22"/>
  <c r="J146" i="22"/>
  <c r="D125" i="22"/>
  <c r="O320" i="22"/>
  <c r="D258" i="22"/>
  <c r="H240" i="22"/>
  <c r="A227" i="22"/>
  <c r="E214" i="22"/>
  <c r="L201" i="22"/>
  <c r="C187" i="22"/>
  <c r="C171" i="22"/>
  <c r="F152" i="22"/>
  <c r="C135" i="22"/>
  <c r="C119" i="22"/>
  <c r="C103" i="22"/>
  <c r="V460" i="22"/>
  <c r="D227" i="22"/>
  <c r="T265" i="22"/>
  <c r="J388" i="22"/>
  <c r="T222" i="22"/>
  <c r="O234" i="22"/>
  <c r="F173" i="22"/>
  <c r="X105" i="22"/>
  <c r="L80" i="22"/>
  <c r="F168" i="22"/>
  <c r="J107" i="22"/>
  <c r="O81" i="22"/>
  <c r="X144" i="22"/>
  <c r="X88" i="22"/>
  <c r="E75" i="22"/>
  <c r="S69" i="22"/>
  <c r="J204" i="22"/>
  <c r="F170" i="22"/>
  <c r="X147" i="22"/>
  <c r="X119" i="22"/>
  <c r="T108" i="22"/>
  <c r="O97" i="22"/>
  <c r="B87" i="22"/>
  <c r="B80" i="22"/>
  <c r="B73" i="22"/>
  <c r="H67" i="22"/>
  <c r="N61" i="22"/>
  <c r="C56" i="22"/>
  <c r="L51" i="22"/>
  <c r="E47" i="22"/>
  <c r="V42" i="22"/>
  <c r="Q38" i="22"/>
  <c r="H34" i="22"/>
  <c r="H30" i="22"/>
  <c r="H26" i="22"/>
  <c r="B22" i="22"/>
  <c r="X16" i="22"/>
  <c r="F11" i="22"/>
  <c r="L6" i="22"/>
  <c r="H46" i="21"/>
  <c r="D40" i="21"/>
  <c r="L33" i="21"/>
  <c r="J28" i="21"/>
  <c r="C23" i="21"/>
  <c r="L16" i="21"/>
  <c r="B11" i="21"/>
  <c r="A5" i="21"/>
  <c r="J76" i="22"/>
  <c r="A67" i="22"/>
  <c r="X61" i="22"/>
  <c r="F56" i="22"/>
  <c r="O51" i="22"/>
  <c r="O47" i="22"/>
  <c r="O43" i="22"/>
  <c r="O39" i="22"/>
  <c r="F35" i="22"/>
  <c r="B30" i="22"/>
  <c r="X24" i="22"/>
  <c r="V20" i="22"/>
  <c r="Q17" i="22"/>
  <c r="L14" i="22"/>
  <c r="E11" i="22"/>
  <c r="A8" i="22"/>
  <c r="A3" i="22"/>
  <c r="X45" i="21"/>
  <c r="H39" i="21"/>
  <c r="J33" i="21"/>
  <c r="C28" i="21"/>
  <c r="L22" i="21"/>
  <c r="J16" i="21"/>
  <c r="A11" i="21"/>
  <c r="B68" i="22"/>
  <c r="Q62" i="22"/>
  <c r="L59" i="22"/>
  <c r="E56" i="22"/>
  <c r="N52" i="22"/>
  <c r="N48" i="22"/>
  <c r="N44" i="22"/>
  <c r="N40" i="22"/>
  <c r="N36" i="22"/>
  <c r="E33" i="22"/>
  <c r="A30" i="22"/>
  <c r="V26" i="22"/>
  <c r="Q23" i="22"/>
  <c r="O19" i="22"/>
  <c r="O15" i="22"/>
  <c r="O11" i="22"/>
  <c r="J9" i="22"/>
  <c r="D8" i="22"/>
  <c r="N6" i="22"/>
  <c r="B5" i="22"/>
  <c r="A50" i="21"/>
  <c r="V47" i="21"/>
  <c r="L46" i="21"/>
  <c r="E45" i="21"/>
  <c r="X42" i="21"/>
  <c r="B41" i="21"/>
  <c r="F39" i="21"/>
  <c r="F37" i="21"/>
  <c r="O34" i="21"/>
  <c r="C33" i="21"/>
  <c r="A31" i="21"/>
  <c r="H29" i="21"/>
  <c r="L27" i="21"/>
  <c r="N25" i="21"/>
  <c r="Q23" i="21"/>
  <c r="J22" i="21"/>
  <c r="B20" i="21"/>
  <c r="O17" i="21"/>
  <c r="C16" i="21"/>
  <c r="F13" i="21"/>
  <c r="A12" i="21"/>
  <c r="H10" i="21"/>
  <c r="E8" i="21"/>
  <c r="A6" i="21"/>
  <c r="B3" i="21"/>
  <c r="D87" i="20"/>
  <c r="F85" i="20"/>
  <c r="S83" i="20"/>
  <c r="B75" i="22"/>
  <c r="J71" i="22"/>
  <c r="D69" i="22"/>
  <c r="S65" i="22"/>
  <c r="C64" i="22"/>
  <c r="T62" i="22"/>
  <c r="J61" i="22"/>
  <c r="D60" i="22"/>
  <c r="T58" i="22"/>
  <c r="J57" i="22"/>
  <c r="D56" i="22"/>
  <c r="T54" i="22"/>
  <c r="B53" i="22"/>
  <c r="F51" i="22"/>
  <c r="X49" i="22"/>
  <c r="X47" i="22"/>
  <c r="B46" i="22"/>
  <c r="F44" i="22"/>
  <c r="F42" i="22"/>
  <c r="X40" i="22"/>
  <c r="B39" i="22"/>
  <c r="B37" i="22"/>
  <c r="J35" i="22"/>
  <c r="D34" i="22"/>
  <c r="O32" i="22"/>
  <c r="J31" i="22"/>
  <c r="D30" i="22"/>
  <c r="O28" i="22"/>
  <c r="J27" i="22"/>
  <c r="D26" i="22"/>
  <c r="O24" i="22"/>
  <c r="J23" i="22"/>
  <c r="C22" i="22"/>
  <c r="N20" i="22"/>
  <c r="H19" i="22"/>
  <c r="C18" i="22"/>
  <c r="N16" i="22"/>
  <c r="H15" i="22"/>
  <c r="H14" i="22"/>
  <c r="H13" i="22"/>
  <c r="H12" i="22"/>
  <c r="H11" i="22"/>
  <c r="H10" i="22"/>
  <c r="H9" i="22"/>
  <c r="H8" i="22"/>
  <c r="H7" i="22"/>
  <c r="S5" i="22"/>
  <c r="N4" i="22"/>
  <c r="H51" i="21"/>
  <c r="H49" i="21"/>
  <c r="D47" i="21"/>
  <c r="T45" i="21"/>
  <c r="J44" i="21"/>
  <c r="L42" i="21"/>
  <c r="L41" i="21"/>
  <c r="L40" i="21"/>
  <c r="L39" i="21"/>
  <c r="L38" i="21"/>
  <c r="L37" i="21"/>
  <c r="L36" i="21"/>
  <c r="C34" i="21"/>
  <c r="L32" i="21"/>
  <c r="J31" i="21"/>
  <c r="C30" i="21"/>
  <c r="L28" i="21"/>
  <c r="J27" i="21"/>
  <c r="C26" i="21"/>
  <c r="L24" i="21"/>
  <c r="J23" i="21"/>
  <c r="C22" i="21"/>
  <c r="L20" i="21"/>
  <c r="J19" i="21"/>
  <c r="C17" i="21"/>
  <c r="H15" i="21"/>
  <c r="Q13" i="21"/>
  <c r="O12" i="21"/>
  <c r="H11" i="21"/>
  <c r="Q9" i="21"/>
  <c r="O8" i="21"/>
  <c r="H7" i="21"/>
  <c r="J5" i="21"/>
  <c r="A3" i="21"/>
  <c r="S87" i="20"/>
  <c r="Q86" i="20"/>
  <c r="L85" i="20"/>
  <c r="H84" i="20"/>
  <c r="N5" i="21"/>
  <c r="T86" i="20"/>
  <c r="A84" i="20"/>
  <c r="J82" i="20"/>
  <c r="B81" i="20"/>
  <c r="A80" i="20"/>
  <c r="X78" i="20"/>
  <c r="F77" i="20"/>
  <c r="A76" i="20"/>
  <c r="D75" i="20"/>
  <c r="X73" i="20"/>
  <c r="V72" i="20"/>
  <c r="A72" i="20"/>
  <c r="B71" i="20"/>
  <c r="C70" i="20"/>
  <c r="D69" i="20"/>
  <c r="A68" i="20"/>
  <c r="B67" i="20"/>
  <c r="X65" i="20"/>
  <c r="T64" i="20"/>
  <c r="T63" i="20"/>
  <c r="T62" i="20"/>
  <c r="S61" i="20"/>
  <c r="T60" i="20"/>
  <c r="T59" i="20"/>
  <c r="S58" i="20"/>
  <c r="X57" i="20"/>
  <c r="T56" i="20"/>
  <c r="V55" i="20"/>
  <c r="S54" i="20"/>
  <c r="L53" i="20"/>
  <c r="O52" i="20"/>
  <c r="L51" i="20"/>
  <c r="N50" i="20"/>
  <c r="Q49" i="20"/>
  <c r="T48" i="20"/>
  <c r="V47" i="20"/>
  <c r="S46" i="20"/>
  <c r="X45" i="20"/>
  <c r="V44" i="20"/>
  <c r="S43" i="20"/>
  <c r="V42" i="20"/>
  <c r="S41" i="20"/>
  <c r="S40" i="20"/>
  <c r="X39" i="20"/>
  <c r="F38" i="20"/>
  <c r="J37" i="20"/>
  <c r="J36" i="20"/>
  <c r="J35" i="20"/>
  <c r="H34" i="20"/>
  <c r="Q32" i="20"/>
  <c r="F31" i="20"/>
  <c r="C30" i="20"/>
  <c r="O28" i="20"/>
  <c r="E27" i="20"/>
  <c r="D26" i="20"/>
  <c r="Q24" i="20"/>
  <c r="F23" i="20"/>
  <c r="D22" i="20"/>
  <c r="O20" i="20"/>
  <c r="E19" i="20"/>
  <c r="D18" i="20"/>
  <c r="F16" i="20"/>
  <c r="D15" i="20"/>
  <c r="J13" i="20"/>
  <c r="A12" i="20"/>
  <c r="N10" i="20"/>
  <c r="B9" i="20"/>
  <c r="A8" i="20"/>
  <c r="S6" i="20"/>
  <c r="L5" i="20"/>
  <c r="S3" i="20"/>
  <c r="C282" i="19"/>
  <c r="S280" i="19"/>
  <c r="N279" i="19"/>
  <c r="N278" i="19"/>
  <c r="N277" i="19"/>
  <c r="N276" i="19"/>
  <c r="N275" i="19"/>
  <c r="N274" i="19"/>
  <c r="X272" i="19"/>
  <c r="B271" i="19"/>
  <c r="X269" i="19"/>
  <c r="B268" i="19"/>
  <c r="X266" i="19"/>
  <c r="F265" i="19"/>
  <c r="B264" i="19"/>
  <c r="X262" i="19"/>
  <c r="F261" i="19"/>
  <c r="X259" i="19"/>
  <c r="F258" i="19"/>
  <c r="B257" i="19"/>
  <c r="X255" i="19"/>
  <c r="F254" i="19"/>
  <c r="B253" i="19"/>
  <c r="X251" i="19"/>
  <c r="F250" i="19"/>
  <c r="B249" i="19"/>
  <c r="X247" i="19"/>
  <c r="F246" i="19"/>
  <c r="B245" i="19"/>
  <c r="X243" i="19"/>
  <c r="F242" i="19"/>
  <c r="A241" i="19"/>
  <c r="S239" i="19"/>
  <c r="F238" i="19"/>
  <c r="E237" i="19"/>
  <c r="D236" i="19"/>
  <c r="C235" i="19"/>
  <c r="L233" i="19"/>
  <c r="J232" i="19"/>
  <c r="H231" i="19"/>
  <c r="Q229" i="19"/>
  <c r="O228" i="19"/>
  <c r="N227" i="19"/>
  <c r="B226" i="19"/>
  <c r="A225" i="19"/>
  <c r="S223" i="19"/>
  <c r="F222" i="19"/>
  <c r="E221" i="19"/>
  <c r="D220" i="19"/>
  <c r="C219" i="19"/>
  <c r="L217" i="19"/>
  <c r="J216" i="19"/>
  <c r="H215" i="19"/>
  <c r="Q213" i="19"/>
  <c r="O212" i="19"/>
  <c r="N211" i="19"/>
  <c r="B210" i="19"/>
  <c r="A209" i="19"/>
  <c r="S207" i="19"/>
  <c r="F206" i="19"/>
  <c r="A205" i="19"/>
  <c r="N203" i="19"/>
  <c r="B202" i="19"/>
  <c r="A201" i="19"/>
  <c r="S199" i="19"/>
  <c r="F198" i="19"/>
  <c r="E197" i="19"/>
  <c r="D196" i="19"/>
  <c r="C195" i="19"/>
  <c r="L193" i="19"/>
  <c r="J192" i="19"/>
  <c r="H191" i="19"/>
  <c r="Q189" i="19"/>
  <c r="O188" i="19"/>
  <c r="N187" i="19"/>
  <c r="B186" i="19"/>
  <c r="A185" i="19"/>
  <c r="S183" i="19"/>
  <c r="F182" i="19"/>
  <c r="E181" i="19"/>
  <c r="D180" i="19"/>
  <c r="C179" i="19"/>
  <c r="L177" i="19"/>
  <c r="J176" i="19"/>
  <c r="H175" i="19"/>
  <c r="Q173" i="19"/>
  <c r="O172" i="19"/>
  <c r="N171" i="19"/>
  <c r="B170" i="19"/>
  <c r="A169" i="19"/>
  <c r="S167" i="19"/>
  <c r="F166" i="19"/>
  <c r="E165" i="19"/>
  <c r="D164" i="19"/>
  <c r="C163" i="19"/>
  <c r="L161" i="19"/>
  <c r="J160" i="19"/>
  <c r="H159" i="19"/>
  <c r="Q157" i="19"/>
  <c r="O156" i="19"/>
  <c r="N155" i="19"/>
  <c r="B154" i="19"/>
  <c r="A153" i="19"/>
  <c r="S151" i="19"/>
  <c r="F150" i="19"/>
  <c r="E149" i="19"/>
  <c r="D148" i="19"/>
  <c r="C147" i="19"/>
  <c r="L145" i="19"/>
  <c r="J144" i="19"/>
  <c r="H143" i="19"/>
  <c r="Q141" i="19"/>
  <c r="O140" i="19"/>
  <c r="N139" i="19"/>
  <c r="B138" i="19"/>
  <c r="A137" i="19"/>
  <c r="S135" i="19"/>
  <c r="F134" i="19"/>
  <c r="E133" i="19"/>
  <c r="D132" i="19"/>
  <c r="C131" i="19"/>
  <c r="L129" i="19"/>
  <c r="J128" i="19"/>
  <c r="H127" i="19"/>
  <c r="Q125" i="19"/>
  <c r="O124" i="19"/>
  <c r="N123" i="19"/>
  <c r="B122" i="19"/>
  <c r="A121" i="19"/>
  <c r="S119" i="19"/>
  <c r="F118" i="19"/>
  <c r="E117" i="19"/>
  <c r="D116" i="19"/>
  <c r="C115" i="19"/>
  <c r="L113" i="19"/>
  <c r="J112" i="19"/>
  <c r="E7" i="21"/>
  <c r="N86" i="20"/>
  <c r="J83" i="20"/>
  <c r="C82" i="20"/>
  <c r="A81" i="20"/>
  <c r="S79" i="20"/>
  <c r="L78" i="20"/>
  <c r="Q77" i="20"/>
  <c r="F76" i="20"/>
  <c r="C75" i="20"/>
  <c r="D74" i="20"/>
  <c r="D73" i="20"/>
  <c r="D72" i="20"/>
  <c r="A71" i="20"/>
  <c r="B70" i="20"/>
  <c r="C69" i="20"/>
  <c r="D68" i="20"/>
  <c r="A67" i="20"/>
  <c r="D66" i="20"/>
  <c r="C65" i="20"/>
  <c r="C64" i="20"/>
  <c r="C63" i="20"/>
  <c r="C62" i="20"/>
  <c r="D61" i="20"/>
  <c r="S59" i="20"/>
  <c r="X58" i="20"/>
  <c r="Q57" i="20"/>
  <c r="L56" i="20"/>
  <c r="O55" i="20"/>
  <c r="Q54" i="20"/>
  <c r="Q53" i="20"/>
  <c r="N52" i="20"/>
  <c r="Q51" i="20"/>
  <c r="L50" i="20"/>
  <c r="O49" i="20"/>
  <c r="L48" i="20"/>
  <c r="O47" i="20"/>
  <c r="F46" i="20"/>
  <c r="J45" i="20"/>
  <c r="H44" i="20"/>
  <c r="J43" i="20"/>
  <c r="F42" i="20"/>
  <c r="B41" i="20"/>
  <c r="A40" i="20"/>
  <c r="E39" i="20"/>
  <c r="L38" i="20"/>
  <c r="O37" i="20"/>
  <c r="N36" i="20"/>
  <c r="O35" i="20"/>
  <c r="F34" i="20"/>
  <c r="L33" i="20"/>
  <c r="C32" i="20"/>
  <c r="N30" i="20"/>
  <c r="J29" i="20"/>
  <c r="B28" i="20"/>
  <c r="N26" i="20"/>
  <c r="E25" i="20"/>
  <c r="C24" i="20"/>
  <c r="O22" i="20"/>
  <c r="E21" i="20"/>
  <c r="B20" i="20"/>
  <c r="N18" i="20"/>
  <c r="B17" i="20"/>
  <c r="A16" i="20"/>
  <c r="Q14" i="20"/>
  <c r="N13" i="20"/>
  <c r="J12" i="20"/>
  <c r="C11" i="20"/>
  <c r="L9" i="20"/>
  <c r="J8" i="20"/>
  <c r="C7" i="20"/>
  <c r="Q5" i="20"/>
  <c r="B3" i="20"/>
  <c r="X281" i="19"/>
  <c r="F280" i="19"/>
  <c r="X278" i="19"/>
  <c r="F277" i="19"/>
  <c r="B276" i="19"/>
  <c r="X274" i="19"/>
  <c r="E273" i="19"/>
  <c r="L272" i="19"/>
  <c r="L271" i="19"/>
  <c r="Q270" i="19"/>
  <c r="V269" i="19"/>
  <c r="V268" i="19"/>
  <c r="V267" i="19"/>
  <c r="V266" i="19"/>
  <c r="V265" i="19"/>
  <c r="V264" i="19"/>
  <c r="V263" i="19"/>
  <c r="V262" i="19"/>
  <c r="V261" i="19"/>
  <c r="V260" i="19"/>
  <c r="A260" i="19"/>
  <c r="E259" i="19"/>
  <c r="L258" i="19"/>
  <c r="Q257" i="19"/>
  <c r="V256" i="19"/>
  <c r="A256" i="19"/>
  <c r="E255" i="19"/>
  <c r="L254" i="19"/>
  <c r="Q253" i="19"/>
  <c r="V252" i="19"/>
  <c r="A252" i="19"/>
  <c r="E251" i="19"/>
  <c r="L250" i="19"/>
  <c r="Q249" i="19"/>
  <c r="V248" i="19"/>
  <c r="A248" i="19"/>
  <c r="E247" i="19"/>
  <c r="L246" i="19"/>
  <c r="Q245" i="19"/>
  <c r="V244" i="19"/>
  <c r="A244" i="19"/>
  <c r="E243" i="19"/>
  <c r="L242" i="19"/>
  <c r="D241" i="19"/>
  <c r="C240" i="19"/>
  <c r="L238" i="19"/>
  <c r="J237" i="19"/>
  <c r="H236" i="19"/>
  <c r="Q234" i="19"/>
  <c r="O233" i="19"/>
  <c r="N232" i="19"/>
  <c r="B231" i="19"/>
  <c r="A230" i="19"/>
  <c r="S228" i="19"/>
  <c r="F227" i="19"/>
  <c r="E226" i="19"/>
  <c r="D225" i="19"/>
  <c r="C224" i="19"/>
  <c r="L222" i="19"/>
  <c r="J221" i="19"/>
  <c r="H220" i="19"/>
  <c r="Q218" i="19"/>
  <c r="O217" i="19"/>
  <c r="N216" i="19"/>
  <c r="B215" i="19"/>
  <c r="A214" i="19"/>
  <c r="S212" i="19"/>
  <c r="F211" i="19"/>
  <c r="E210" i="19"/>
  <c r="D209" i="19"/>
  <c r="C208" i="19"/>
  <c r="L206" i="19"/>
  <c r="J205" i="19"/>
  <c r="F203" i="19"/>
  <c r="E202" i="19"/>
  <c r="D201" i="19"/>
  <c r="C200" i="19"/>
  <c r="L198" i="19"/>
  <c r="J197" i="19"/>
  <c r="H196" i="19"/>
  <c r="Q194" i="19"/>
  <c r="O193" i="19"/>
  <c r="N192" i="19"/>
  <c r="B191" i="19"/>
  <c r="A190" i="19"/>
  <c r="S188" i="19"/>
  <c r="F187" i="19"/>
  <c r="E186" i="19"/>
  <c r="D185" i="19"/>
  <c r="C184" i="19"/>
  <c r="L182" i="19"/>
  <c r="J181" i="19"/>
  <c r="H180" i="19"/>
  <c r="Q178" i="19"/>
  <c r="O177" i="19"/>
  <c r="N176" i="19"/>
  <c r="B175" i="19"/>
  <c r="A174" i="19"/>
  <c r="S172" i="19"/>
  <c r="F171" i="19"/>
  <c r="E170" i="19"/>
  <c r="D169" i="19"/>
  <c r="C168" i="19"/>
  <c r="L166" i="19"/>
  <c r="J165" i="19"/>
  <c r="H164" i="19"/>
  <c r="Q162" i="19"/>
  <c r="O161" i="19"/>
  <c r="N160" i="19"/>
  <c r="B159" i="19"/>
  <c r="A158" i="19"/>
  <c r="S156" i="19"/>
  <c r="F155" i="19"/>
  <c r="E154" i="19"/>
  <c r="D153" i="19"/>
  <c r="C152" i="19"/>
  <c r="L150" i="19"/>
  <c r="J149" i="19"/>
  <c r="H148" i="19"/>
  <c r="Q146" i="19"/>
  <c r="O145" i="19"/>
  <c r="N144" i="19"/>
  <c r="B143" i="19"/>
  <c r="A142" i="19"/>
  <c r="S140" i="19"/>
  <c r="F139" i="19"/>
  <c r="E138" i="19"/>
  <c r="D137" i="19"/>
  <c r="C136" i="19"/>
  <c r="L134" i="19"/>
  <c r="J133" i="19"/>
  <c r="H132" i="19"/>
  <c r="Q130" i="19"/>
  <c r="S3" i="21"/>
  <c r="H85" i="20"/>
  <c r="H83" i="20"/>
  <c r="B82" i="20"/>
  <c r="S80" i="20"/>
  <c r="L79" i="20"/>
  <c r="J78" i="20"/>
  <c r="J77" i="20"/>
  <c r="L76" i="20"/>
  <c r="F75" i="20"/>
  <c r="H74" i="20"/>
  <c r="H73" i="20"/>
  <c r="H72" i="20"/>
  <c r="J71" i="20"/>
  <c r="E70" i="20"/>
  <c r="F69" i="20"/>
  <c r="H68" i="20"/>
  <c r="J67" i="20"/>
  <c r="H66" i="20"/>
  <c r="F65" i="20"/>
  <c r="B64" i="20"/>
  <c r="X62" i="20"/>
  <c r="O61" i="20"/>
  <c r="F60" i="20"/>
  <c r="A59" i="20"/>
  <c r="E58" i="20"/>
  <c r="H57" i="20"/>
  <c r="J56" i="20"/>
  <c r="F55" i="20"/>
  <c r="H54" i="20"/>
  <c r="H53" i="20"/>
  <c r="B52" i="20"/>
  <c r="C51" i="20"/>
  <c r="D50" i="20"/>
  <c r="C49" i="20"/>
  <c r="D48" i="20"/>
  <c r="B47" i="20"/>
  <c r="E46" i="20"/>
  <c r="H45" i="20"/>
  <c r="F44" i="20"/>
  <c r="H43" i="20"/>
  <c r="E42" i="20"/>
  <c r="L41" i="20"/>
  <c r="Q40" i="20"/>
  <c r="O39" i="20"/>
  <c r="O38" i="20"/>
  <c r="N37" i="20"/>
  <c r="F36" i="20"/>
  <c r="B35" i="20"/>
  <c r="E34" i="20"/>
  <c r="J33" i="20"/>
  <c r="B32" i="20"/>
  <c r="L30" i="20"/>
  <c r="H29" i="20"/>
  <c r="A28" i="20"/>
  <c r="F26" i="20"/>
  <c r="D25" i="20"/>
  <c r="Q23" i="20"/>
  <c r="F22" i="20"/>
  <c r="D21" i="20"/>
  <c r="O19" i="20"/>
  <c r="B18" i="20"/>
  <c r="A17" i="20"/>
  <c r="F15" i="20"/>
  <c r="D14" i="20"/>
  <c r="H12" i="20"/>
  <c r="Q10" i="20"/>
  <c r="O9" i="20"/>
  <c r="H8" i="20"/>
  <c r="V6" i="20"/>
  <c r="T5" i="20"/>
  <c r="E4" i="20"/>
  <c r="L282" i="19"/>
  <c r="L281" i="19"/>
  <c r="Q280" i="19"/>
  <c r="Q279" i="19"/>
  <c r="V278" i="19"/>
  <c r="A278" i="19"/>
  <c r="E277" i="19"/>
  <c r="L276" i="19"/>
  <c r="Q275" i="19"/>
  <c r="V274" i="19"/>
  <c r="V273" i="19"/>
  <c r="O272" i="19"/>
  <c r="J271" i="19"/>
  <c r="J270" i="19"/>
  <c r="J269" i="19"/>
  <c r="T267" i="19"/>
  <c r="J266" i="19"/>
  <c r="D265" i="19"/>
  <c r="T263" i="19"/>
  <c r="J262" i="19"/>
  <c r="J261" i="19"/>
  <c r="D260" i="19"/>
  <c r="D259" i="19"/>
  <c r="D258" i="19"/>
  <c r="D257" i="19"/>
  <c r="D256" i="19"/>
  <c r="D255" i="19"/>
  <c r="D254" i="19"/>
  <c r="D253" i="19"/>
  <c r="D252" i="19"/>
  <c r="D251" i="19"/>
  <c r="D250" i="19"/>
  <c r="D249" i="19"/>
  <c r="D248" i="19"/>
  <c r="D247" i="19"/>
  <c r="D246" i="19"/>
  <c r="D245" i="19"/>
  <c r="D244" i="19"/>
  <c r="D243" i="19"/>
  <c r="S241" i="19"/>
  <c r="F240" i="19"/>
  <c r="E239" i="19"/>
  <c r="D238" i="19"/>
  <c r="C237" i="19"/>
  <c r="L235" i="19"/>
  <c r="J234" i="19"/>
  <c r="H233" i="19"/>
  <c r="Q231" i="19"/>
  <c r="O230" i="19"/>
  <c r="N229" i="19"/>
  <c r="B228" i="19"/>
  <c r="A227" i="19"/>
  <c r="S225" i="19"/>
  <c r="F224" i="19"/>
  <c r="E223" i="19"/>
  <c r="D222" i="19"/>
  <c r="C221" i="19"/>
  <c r="L219" i="19"/>
  <c r="J218" i="19"/>
  <c r="H217" i="19"/>
  <c r="Q215" i="19"/>
  <c r="O214" i="19"/>
  <c r="N213" i="19"/>
  <c r="B212" i="19"/>
  <c r="A211" i="19"/>
  <c r="S209" i="19"/>
  <c r="F208" i="19"/>
  <c r="E207" i="19"/>
  <c r="D206" i="19"/>
  <c r="F204" i="19"/>
  <c r="A203" i="19"/>
  <c r="S201" i="19"/>
  <c r="F200" i="19"/>
  <c r="E199" i="19"/>
  <c r="D198" i="19"/>
  <c r="C197" i="19"/>
  <c r="L195" i="19"/>
  <c r="J194" i="19"/>
  <c r="H193" i="19"/>
  <c r="Q191" i="19"/>
  <c r="O190" i="19"/>
  <c r="N189" i="19"/>
  <c r="B188" i="19"/>
  <c r="A187" i="19"/>
  <c r="S185" i="19"/>
  <c r="F184" i="19"/>
  <c r="E183" i="19"/>
  <c r="D182" i="19"/>
  <c r="C181" i="19"/>
  <c r="L179" i="19"/>
  <c r="J178" i="19"/>
  <c r="H177" i="19"/>
  <c r="Q175" i="19"/>
  <c r="O174" i="19"/>
  <c r="N173" i="19"/>
  <c r="B172" i="19"/>
  <c r="A171" i="19"/>
  <c r="S169" i="19"/>
  <c r="F168" i="19"/>
  <c r="E167" i="19"/>
  <c r="D166" i="19"/>
  <c r="C165" i="19"/>
  <c r="L163" i="19"/>
  <c r="J162" i="19"/>
  <c r="H161" i="19"/>
  <c r="Q159" i="19"/>
  <c r="O158" i="19"/>
  <c r="N157" i="19"/>
  <c r="B156" i="19"/>
  <c r="A155" i="19"/>
  <c r="S153" i="19"/>
  <c r="F152" i="19"/>
  <c r="E151" i="19"/>
  <c r="D150" i="19"/>
  <c r="C149" i="19"/>
  <c r="L147" i="19"/>
  <c r="J146" i="19"/>
  <c r="H145" i="19"/>
  <c r="Q143" i="19"/>
  <c r="O142" i="19"/>
  <c r="N141" i="19"/>
  <c r="B140" i="19"/>
  <c r="A139" i="19"/>
  <c r="S137" i="19"/>
  <c r="F136" i="19"/>
  <c r="E135" i="19"/>
  <c r="D134" i="19"/>
  <c r="C133" i="19"/>
  <c r="L131" i="19"/>
  <c r="J130" i="19"/>
  <c r="H129" i="19"/>
  <c r="Q127" i="19"/>
  <c r="O126" i="19"/>
  <c r="N125" i="19"/>
  <c r="B124" i="19"/>
  <c r="A123" i="19"/>
  <c r="S121" i="19"/>
  <c r="F120" i="19"/>
  <c r="E119" i="19"/>
  <c r="D118" i="19"/>
  <c r="C117" i="19"/>
  <c r="L115" i="19"/>
  <c r="J114" i="19"/>
  <c r="H113" i="19"/>
  <c r="Q111" i="19"/>
  <c r="O110" i="19"/>
  <c r="N109" i="19"/>
  <c r="T5" i="21"/>
  <c r="A87" i="20"/>
  <c r="T83" i="20"/>
  <c r="A82" i="20"/>
  <c r="X80" i="20"/>
  <c r="J79" i="20"/>
  <c r="C78" i="20"/>
  <c r="T76" i="20"/>
  <c r="X75" i="20"/>
  <c r="T74" i="20"/>
  <c r="N73" i="20"/>
  <c r="F72" i="20"/>
  <c r="H71" i="20"/>
  <c r="J70" i="20"/>
  <c r="E69" i="20"/>
  <c r="F68" i="20"/>
  <c r="H67" i="20"/>
  <c r="F66" i="20"/>
  <c r="A65" i="20"/>
  <c r="E64" i="20"/>
  <c r="L63" i="20"/>
  <c r="Q62" i="20"/>
  <c r="T61" i="20"/>
  <c r="V60" i="20"/>
  <c r="V59" i="20"/>
  <c r="T58" i="20"/>
  <c r="S57" i="20"/>
  <c r="V56" i="20"/>
  <c r="X55" i="20"/>
  <c r="T54" i="20"/>
  <c r="N53" i="20"/>
  <c r="Q52" i="20"/>
  <c r="T51" i="20"/>
  <c r="V50" i="20"/>
  <c r="T292" i="22"/>
  <c r="E90" i="22"/>
  <c r="J179" i="22"/>
  <c r="C158" i="22"/>
  <c r="T135" i="22"/>
  <c r="T398" i="22"/>
  <c r="X273" i="22"/>
  <c r="H248" i="22"/>
  <c r="L233" i="22"/>
  <c r="Q220" i="22"/>
  <c r="V207" i="22"/>
  <c r="A195" i="22"/>
  <c r="C179" i="22"/>
  <c r="B163" i="22"/>
  <c r="C143" i="22"/>
  <c r="C127" i="22"/>
  <c r="C111" i="22"/>
  <c r="C95" i="22"/>
  <c r="X263" i="22"/>
  <c r="D195" i="22"/>
  <c r="O228" i="22"/>
  <c r="S256" i="22"/>
  <c r="F275" i="22"/>
  <c r="O202" i="22"/>
  <c r="F137" i="22"/>
  <c r="V86" i="22"/>
  <c r="L73" i="22"/>
  <c r="B133" i="22"/>
  <c r="J91" i="22"/>
  <c r="F179" i="22"/>
  <c r="B110" i="22"/>
  <c r="H80" i="22"/>
  <c r="N72" i="22"/>
  <c r="J66" i="22"/>
  <c r="B183" i="22"/>
  <c r="E158" i="22"/>
  <c r="B135" i="22"/>
  <c r="O113" i="22"/>
  <c r="D103" i="22"/>
  <c r="T92" i="22"/>
  <c r="F83" i="22"/>
  <c r="F76" i="22"/>
  <c r="J72" i="22"/>
  <c r="A64" i="22"/>
  <c r="S58" i="22"/>
  <c r="Q53" i="22"/>
  <c r="E49" i="22"/>
  <c r="A45" i="22"/>
  <c r="V40" i="22"/>
  <c r="L36" i="22"/>
  <c r="H32" i="22"/>
  <c r="H28" i="22"/>
  <c r="H24" i="22"/>
  <c r="F19" i="22"/>
  <c r="B14" i="22"/>
  <c r="X8" i="22"/>
  <c r="B51" i="21"/>
  <c r="T42" i="21"/>
  <c r="J37" i="21"/>
  <c r="C31" i="21"/>
  <c r="L25" i="21"/>
  <c r="J20" i="21"/>
  <c r="A14" i="21"/>
  <c r="N8" i="21"/>
  <c r="V86" i="20"/>
  <c r="B70" i="22"/>
  <c r="N64" i="22"/>
  <c r="B59" i="22"/>
  <c r="O53" i="22"/>
  <c r="O49" i="22"/>
  <c r="O45" i="22"/>
  <c r="O41" i="22"/>
  <c r="O37" i="22"/>
  <c r="X32" i="22"/>
  <c r="F27" i="22"/>
  <c r="L22" i="22"/>
  <c r="E19" i="22"/>
  <c r="A16" i="22"/>
  <c r="V12" i="22"/>
  <c r="Q9" i="22"/>
  <c r="J6" i="22"/>
  <c r="E49" i="21"/>
  <c r="C42" i="21"/>
  <c r="S36" i="21"/>
  <c r="L30" i="21"/>
  <c r="J25" i="21"/>
  <c r="C20" i="21"/>
  <c r="N13" i="21"/>
  <c r="L71" i="22"/>
  <c r="S64" i="22"/>
  <c r="A61" i="22"/>
  <c r="V57" i="22"/>
  <c r="Q54" i="22"/>
  <c r="N50" i="22"/>
  <c r="N46" i="22"/>
  <c r="N42" i="22"/>
  <c r="N38" i="22"/>
  <c r="V34" i="22"/>
  <c r="Q31" i="22"/>
  <c r="L28" i="22"/>
  <c r="E25" i="22"/>
  <c r="O21" i="22"/>
  <c r="O17" i="22"/>
  <c r="O13" i="22"/>
  <c r="D10" i="22"/>
  <c r="O8" i="22"/>
  <c r="J7" i="22"/>
  <c r="T5" i="22"/>
  <c r="J51" i="21"/>
  <c r="J49" i="21"/>
  <c r="E47" i="21"/>
  <c r="V45" i="21"/>
  <c r="L44" i="21"/>
  <c r="B42" i="21"/>
  <c r="B40" i="21"/>
  <c r="F38" i="21"/>
  <c r="X36" i="21"/>
  <c r="N33" i="21"/>
  <c r="Q31" i="21"/>
  <c r="J30" i="21"/>
  <c r="B28" i="21"/>
  <c r="O26" i="21"/>
  <c r="C25" i="21"/>
  <c r="A23" i="21"/>
  <c r="H21" i="21"/>
  <c r="L19" i="21"/>
  <c r="N16" i="21"/>
  <c r="N14" i="21"/>
  <c r="Q12" i="21"/>
  <c r="D11" i="21"/>
  <c r="B9" i="21"/>
  <c r="O7" i="21"/>
  <c r="E5" i="21"/>
  <c r="D88" i="20"/>
  <c r="F86" i="20"/>
  <c r="J84" i="20"/>
  <c r="V82" i="20"/>
  <c r="J73" i="22"/>
  <c r="E70" i="22"/>
  <c r="X66" i="22"/>
  <c r="D65" i="22"/>
  <c r="J63" i="22"/>
  <c r="D62" i="22"/>
  <c r="T60" i="22"/>
  <c r="J59" i="22"/>
  <c r="D58" i="22"/>
  <c r="T56" i="22"/>
  <c r="J55" i="22"/>
  <c r="D54" i="22"/>
  <c r="F52" i="22"/>
  <c r="F50" i="22"/>
  <c r="X48" i="22"/>
  <c r="B47" i="22"/>
  <c r="B45" i="22"/>
  <c r="F43" i="22"/>
  <c r="X41" i="22"/>
  <c r="X39" i="22"/>
  <c r="B38" i="22"/>
  <c r="F36" i="22"/>
  <c r="O34" i="22"/>
  <c r="J33" i="22"/>
  <c r="D32" i="22"/>
  <c r="O30" i="22"/>
  <c r="J29" i="22"/>
  <c r="D28" i="22"/>
  <c r="O26" i="22"/>
  <c r="J25" i="22"/>
  <c r="D24" i="22"/>
  <c r="N22" i="22"/>
  <c r="H21" i="22"/>
  <c r="C20" i="22"/>
  <c r="N18" i="22"/>
  <c r="H17" i="22"/>
  <c r="C16" i="22"/>
  <c r="S14" i="22"/>
  <c r="S13" i="22"/>
  <c r="S12" i="22"/>
  <c r="S11" i="22"/>
  <c r="S10" i="22"/>
  <c r="S9" i="22"/>
  <c r="S8" i="22"/>
  <c r="S7" i="22"/>
  <c r="X6" i="22"/>
  <c r="H5" i="22"/>
  <c r="C3" i="22"/>
  <c r="S49" i="21"/>
  <c r="T47" i="21"/>
  <c r="J46" i="21"/>
  <c r="D45" i="21"/>
  <c r="A43" i="21"/>
  <c r="A42" i="21"/>
  <c r="A41" i="21"/>
  <c r="A40" i="21"/>
  <c r="A39" i="21"/>
  <c r="A38" i="21"/>
  <c r="A37" i="21"/>
  <c r="N34" i="21"/>
  <c r="B33" i="21"/>
  <c r="A32" i="21"/>
  <c r="N30" i="21"/>
  <c r="B29" i="21"/>
  <c r="A28" i="21"/>
  <c r="N26" i="21"/>
  <c r="B25" i="21"/>
  <c r="A24" i="21"/>
  <c r="N22" i="21"/>
  <c r="B21" i="21"/>
  <c r="A20" i="21"/>
  <c r="N17" i="21"/>
  <c r="B16" i="21"/>
  <c r="F14" i="21"/>
  <c r="E13" i="21"/>
  <c r="D12" i="21"/>
  <c r="F10" i="21"/>
  <c r="E9" i="21"/>
  <c r="D8" i="21"/>
  <c r="X5" i="21"/>
  <c r="E4" i="21"/>
  <c r="H88" i="20"/>
  <c r="C87" i="20"/>
  <c r="E86" i="20"/>
  <c r="A85" i="20"/>
  <c r="N9" i="21"/>
  <c r="X88" i="20"/>
  <c r="C85" i="20"/>
  <c r="D83" i="20"/>
  <c r="S81" i="20"/>
  <c r="L80" i="20"/>
  <c r="H79" i="20"/>
  <c r="B78" i="20"/>
  <c r="N76" i="20"/>
  <c r="Q75" i="20"/>
  <c r="L74" i="20"/>
  <c r="E73" i="20"/>
  <c r="L72" i="20"/>
  <c r="N71" i="20"/>
  <c r="O70" i="20"/>
  <c r="Q69" i="20"/>
  <c r="L68" i="20"/>
  <c r="N67" i="20"/>
  <c r="L66" i="20"/>
  <c r="J65" i="20"/>
  <c r="J64" i="20"/>
  <c r="J63" i="20"/>
  <c r="J62" i="20"/>
  <c r="E61" i="20"/>
  <c r="J60" i="20"/>
  <c r="H59" i="20"/>
  <c r="H58" i="20"/>
  <c r="E57" i="20"/>
  <c r="F56" i="20"/>
  <c r="J55" i="20"/>
  <c r="E54" i="20"/>
  <c r="A53" i="20"/>
  <c r="D52" i="20"/>
  <c r="A51" i="20"/>
  <c r="B50" i="20"/>
  <c r="E49" i="20"/>
  <c r="F48" i="20"/>
  <c r="J47" i="20"/>
  <c r="H46" i="20"/>
  <c r="E45" i="20"/>
  <c r="J44" i="20"/>
  <c r="E43" i="20"/>
  <c r="H42" i="20"/>
  <c r="H41" i="20"/>
  <c r="F40" i="20"/>
  <c r="B39" i="20"/>
  <c r="X37" i="20"/>
  <c r="T36" i="20"/>
  <c r="V35" i="20"/>
  <c r="S34" i="20"/>
  <c r="X33" i="20"/>
  <c r="D32" i="20"/>
  <c r="O30" i="20"/>
  <c r="E29" i="20"/>
  <c r="C28" i="20"/>
  <c r="O26" i="20"/>
  <c r="F25" i="20"/>
  <c r="D24" i="20"/>
  <c r="Q22" i="20"/>
  <c r="F21" i="20"/>
  <c r="C20" i="20"/>
  <c r="O18" i="20"/>
  <c r="H17" i="20"/>
  <c r="O15" i="20"/>
  <c r="B14" i="20"/>
  <c r="L12" i="20"/>
  <c r="J11" i="20"/>
  <c r="C10" i="20"/>
  <c r="L8" i="20"/>
  <c r="J7" i="20"/>
  <c r="H6" i="20"/>
  <c r="S4" i="20"/>
  <c r="N282" i="19"/>
  <c r="H281" i="19"/>
  <c r="H280" i="19"/>
  <c r="C279" i="19"/>
  <c r="C278" i="19"/>
  <c r="C277" i="19"/>
  <c r="C276" i="19"/>
  <c r="C275" i="19"/>
  <c r="F273" i="19"/>
  <c r="X271" i="19"/>
  <c r="F270" i="19"/>
  <c r="X268" i="19"/>
  <c r="F267" i="19"/>
  <c r="B266" i="19"/>
  <c r="X264" i="19"/>
  <c r="F263" i="19"/>
  <c r="B262" i="19"/>
  <c r="F260" i="19"/>
  <c r="B259" i="19"/>
  <c r="X257" i="19"/>
  <c r="F256" i="19"/>
  <c r="B255" i="19"/>
  <c r="X253" i="19"/>
  <c r="F252" i="19"/>
  <c r="B251" i="19"/>
  <c r="X249" i="19"/>
  <c r="F248" i="19"/>
  <c r="B247" i="19"/>
  <c r="X245" i="19"/>
  <c r="F244" i="19"/>
  <c r="B243" i="19"/>
  <c r="L241" i="19"/>
  <c r="J240" i="19"/>
  <c r="H239" i="19"/>
  <c r="Q237" i="19"/>
  <c r="O236" i="19"/>
  <c r="N235" i="19"/>
  <c r="B234" i="19"/>
  <c r="A233" i="19"/>
  <c r="S231" i="19"/>
  <c r="F230" i="19"/>
  <c r="E229" i="19"/>
  <c r="D228" i="19"/>
  <c r="C227" i="19"/>
  <c r="L225" i="19"/>
  <c r="J224" i="19"/>
  <c r="H223" i="19"/>
  <c r="Q221" i="19"/>
  <c r="O220" i="19"/>
  <c r="N219" i="19"/>
  <c r="B218" i="19"/>
  <c r="A217" i="19"/>
  <c r="S215" i="19"/>
  <c r="F214" i="19"/>
  <c r="E213" i="19"/>
  <c r="D212" i="19"/>
  <c r="C211" i="19"/>
  <c r="L209" i="19"/>
  <c r="J208" i="19"/>
  <c r="H207" i="19"/>
  <c r="Q205" i="19"/>
  <c r="J204" i="19"/>
  <c r="C203" i="19"/>
  <c r="L201" i="19"/>
  <c r="J200" i="19"/>
  <c r="H199" i="19"/>
  <c r="Q197" i="19"/>
  <c r="O196" i="19"/>
  <c r="N195" i="19"/>
  <c r="B194" i="19"/>
  <c r="A193" i="19"/>
  <c r="S191" i="19"/>
  <c r="F190" i="19"/>
  <c r="E189" i="19"/>
  <c r="D188" i="19"/>
  <c r="C187" i="19"/>
  <c r="L185" i="19"/>
  <c r="J184" i="19"/>
  <c r="H183" i="19"/>
  <c r="Q181" i="19"/>
  <c r="O180" i="19"/>
  <c r="N179" i="19"/>
  <c r="B178" i="19"/>
  <c r="A177" i="19"/>
  <c r="S175" i="19"/>
  <c r="F174" i="19"/>
  <c r="E173" i="19"/>
  <c r="D172" i="19"/>
  <c r="C171" i="19"/>
  <c r="L169" i="19"/>
  <c r="J168" i="19"/>
  <c r="H167" i="19"/>
  <c r="Q165" i="19"/>
  <c r="O164" i="19"/>
  <c r="N163" i="19"/>
  <c r="B162" i="19"/>
  <c r="A161" i="19"/>
  <c r="S159" i="19"/>
  <c r="F158" i="19"/>
  <c r="E157" i="19"/>
  <c r="D156" i="19"/>
  <c r="C155" i="19"/>
  <c r="L153" i="19"/>
  <c r="J152" i="19"/>
  <c r="H151" i="19"/>
  <c r="Q149" i="19"/>
  <c r="O148" i="19"/>
  <c r="N147" i="19"/>
  <c r="B146" i="19"/>
  <c r="A145" i="19"/>
  <c r="S143" i="19"/>
  <c r="F142" i="19"/>
  <c r="E141" i="19"/>
  <c r="D140" i="19"/>
  <c r="C139" i="19"/>
  <c r="L137" i="19"/>
  <c r="J136" i="19"/>
  <c r="H135" i="19"/>
  <c r="Q133" i="19"/>
  <c r="O132" i="19"/>
  <c r="N131" i="19"/>
  <c r="B130" i="19"/>
  <c r="A129" i="19"/>
  <c r="S127" i="19"/>
  <c r="F126" i="19"/>
  <c r="E125" i="19"/>
  <c r="D124" i="19"/>
  <c r="C123" i="19"/>
  <c r="L121" i="19"/>
  <c r="J120" i="19"/>
  <c r="H119" i="19"/>
  <c r="Q117" i="19"/>
  <c r="O116" i="19"/>
  <c r="N115" i="19"/>
  <c r="B114" i="19"/>
  <c r="A113" i="19"/>
  <c r="H9" i="21"/>
  <c r="L88" i="20"/>
  <c r="F84" i="20"/>
  <c r="T82" i="20"/>
  <c r="L81" i="20"/>
  <c r="J80" i="20"/>
  <c r="B79" i="20"/>
  <c r="A78" i="20"/>
  <c r="E77" i="20"/>
  <c r="O75" i="20"/>
  <c r="Q74" i="20"/>
  <c r="Q73" i="20"/>
  <c r="O72" i="20"/>
  <c r="L71" i="20"/>
  <c r="N70" i="20"/>
  <c r="O69" i="20"/>
  <c r="Q68" i="20"/>
  <c r="L67" i="20"/>
  <c r="Q66" i="20"/>
  <c r="O65" i="20"/>
  <c r="N64" i="20"/>
  <c r="N63" i="20"/>
  <c r="N62" i="20"/>
  <c r="Q61" i="20"/>
  <c r="N60" i="20"/>
  <c r="F59" i="20"/>
  <c r="B58" i="20"/>
  <c r="D57" i="20"/>
  <c r="A56" i="20"/>
  <c r="C55" i="20"/>
  <c r="D54" i="20"/>
  <c r="D53" i="20"/>
  <c r="C52" i="20"/>
  <c r="D51" i="20"/>
  <c r="A50" i="20"/>
  <c r="D49" i="20"/>
  <c r="A48" i="20"/>
  <c r="C47" i="20"/>
  <c r="V45" i="20"/>
  <c r="T44" i="20"/>
  <c r="X43" i="20"/>
  <c r="T42" i="20"/>
  <c r="X41" i="20"/>
  <c r="L40" i="20"/>
  <c r="Q39" i="20"/>
  <c r="V38" i="20"/>
  <c r="A38" i="20"/>
  <c r="C37" i="20"/>
  <c r="A36" i="20"/>
  <c r="C35" i="20"/>
  <c r="V33" i="20"/>
  <c r="O32" i="20"/>
  <c r="E31" i="20"/>
  <c r="B30" i="20"/>
  <c r="N28" i="20"/>
  <c r="J27" i="20"/>
  <c r="C26" i="20"/>
  <c r="O24" i="20"/>
  <c r="E23" i="20"/>
  <c r="C22" i="20"/>
  <c r="N20" i="20"/>
  <c r="J19" i="20"/>
  <c r="C18" i="20"/>
  <c r="L16" i="20"/>
  <c r="H15" i="20"/>
  <c r="E14" i="20"/>
  <c r="C13" i="20"/>
  <c r="N11" i="20"/>
  <c r="B10" i="20"/>
  <c r="A9" i="20"/>
  <c r="N7" i="20"/>
  <c r="F6" i="20"/>
  <c r="D5" i="20"/>
  <c r="F282" i="19"/>
  <c r="B281" i="19"/>
  <c r="F279" i="19"/>
  <c r="B278" i="19"/>
  <c r="X276" i="19"/>
  <c r="F275" i="19"/>
  <c r="X273" i="19"/>
  <c r="V272" i="19"/>
  <c r="V271" i="19"/>
  <c r="A271" i="19"/>
  <c r="E270" i="19"/>
  <c r="L269" i="19"/>
  <c r="E268" i="19"/>
  <c r="E267" i="19"/>
  <c r="E266" i="19"/>
  <c r="E265" i="19"/>
  <c r="E264" i="19"/>
  <c r="E263" i="19"/>
  <c r="E262" i="19"/>
  <c r="L261" i="19"/>
  <c r="L260" i="19"/>
  <c r="Q259" i="19"/>
  <c r="V258" i="19"/>
  <c r="A258" i="19"/>
  <c r="E257" i="19"/>
  <c r="L256" i="19"/>
  <c r="Q255" i="19"/>
  <c r="V254" i="19"/>
  <c r="A254" i="19"/>
  <c r="E253" i="19"/>
  <c r="L252" i="19"/>
  <c r="Q251" i="19"/>
  <c r="V250" i="19"/>
  <c r="A250" i="19"/>
  <c r="E249" i="19"/>
  <c r="L248" i="19"/>
  <c r="Q247" i="19"/>
  <c r="V246" i="19"/>
  <c r="A246" i="19"/>
  <c r="E245" i="19"/>
  <c r="L244" i="19"/>
  <c r="Q243" i="19"/>
  <c r="V242" i="19"/>
  <c r="O241" i="19"/>
  <c r="N240" i="19"/>
  <c r="B239" i="19"/>
  <c r="A238" i="19"/>
  <c r="S236" i="19"/>
  <c r="F235" i="19"/>
  <c r="E234" i="19"/>
  <c r="D233" i="19"/>
  <c r="C232" i="19"/>
  <c r="L230" i="19"/>
  <c r="J229" i="19"/>
  <c r="H228" i="19"/>
  <c r="Q226" i="19"/>
  <c r="O225" i="19"/>
  <c r="N224" i="19"/>
  <c r="B223" i="19"/>
  <c r="A222" i="19"/>
  <c r="S220" i="19"/>
  <c r="F219" i="19"/>
  <c r="E218" i="19"/>
  <c r="D217" i="19"/>
  <c r="C216" i="19"/>
  <c r="L214" i="19"/>
  <c r="J213" i="19"/>
  <c r="H212" i="19"/>
  <c r="Q210" i="19"/>
  <c r="O209" i="19"/>
  <c r="N208" i="19"/>
  <c r="B207" i="19"/>
  <c r="A206" i="19"/>
  <c r="N204" i="19"/>
  <c r="Q202" i="19"/>
  <c r="O201" i="19"/>
  <c r="N200" i="19"/>
  <c r="B199" i="19"/>
  <c r="A198" i="19"/>
  <c r="S196" i="19"/>
  <c r="F195" i="19"/>
  <c r="E194" i="19"/>
  <c r="D193" i="19"/>
  <c r="C192" i="19"/>
  <c r="L190" i="19"/>
  <c r="J189" i="19"/>
  <c r="H188" i="19"/>
  <c r="Q186" i="19"/>
  <c r="O185" i="19"/>
  <c r="N184" i="19"/>
  <c r="B183" i="19"/>
  <c r="A182" i="19"/>
  <c r="S180" i="19"/>
  <c r="F179" i="19"/>
  <c r="E178" i="19"/>
  <c r="D177" i="19"/>
  <c r="C176" i="19"/>
  <c r="L174" i="19"/>
  <c r="J173" i="19"/>
  <c r="H172" i="19"/>
  <c r="Q170" i="19"/>
  <c r="O169" i="19"/>
  <c r="N168" i="19"/>
  <c r="B167" i="19"/>
  <c r="A166" i="19"/>
  <c r="S164" i="19"/>
  <c r="F163" i="19"/>
  <c r="E162" i="19"/>
  <c r="D161" i="19"/>
  <c r="C160" i="19"/>
  <c r="L158" i="19"/>
  <c r="J157" i="19"/>
  <c r="H156" i="19"/>
  <c r="Q154" i="19"/>
  <c r="O153" i="19"/>
  <c r="N152" i="19"/>
  <c r="B151" i="19"/>
  <c r="A150" i="19"/>
  <c r="S148" i="19"/>
  <c r="F147" i="19"/>
  <c r="E146" i="19"/>
  <c r="D145" i="19"/>
  <c r="C144" i="19"/>
  <c r="L142" i="19"/>
  <c r="J141" i="19"/>
  <c r="H140" i="19"/>
  <c r="Q138" i="19"/>
  <c r="O137" i="19"/>
  <c r="N136" i="19"/>
  <c r="B135" i="19"/>
  <c r="A134" i="19"/>
  <c r="S132" i="19"/>
  <c r="F131" i="19"/>
  <c r="B8" i="21"/>
  <c r="E87" i="20"/>
  <c r="E84" i="20"/>
  <c r="S82" i="20"/>
  <c r="J81" i="20"/>
  <c r="C80" i="20"/>
  <c r="A79" i="20"/>
  <c r="T77" i="20"/>
  <c r="V76" i="20"/>
  <c r="S75" i="20"/>
  <c r="V74" i="20"/>
  <c r="T73" i="20"/>
  <c r="S72" i="20"/>
  <c r="X71" i="20"/>
  <c r="S70" i="20"/>
  <c r="T69" i="20"/>
  <c r="V68" i="20"/>
  <c r="X67" i="20"/>
  <c r="T66" i="20"/>
  <c r="T65" i="20"/>
  <c r="X64" i="20"/>
  <c r="F63" i="20"/>
  <c r="B62" i="20"/>
  <c r="C61" i="20"/>
  <c r="L59" i="20"/>
  <c r="Q58" i="20"/>
  <c r="T57" i="20"/>
  <c r="X56" i="20"/>
  <c r="S55" i="20"/>
  <c r="V54" i="20"/>
  <c r="T53" i="20"/>
  <c r="X52" i="20"/>
  <c r="O51" i="20"/>
  <c r="Q50" i="20"/>
  <c r="N49" i="20"/>
  <c r="Q48" i="20"/>
  <c r="N47" i="20"/>
  <c r="Q46" i="20"/>
  <c r="T45" i="20"/>
  <c r="S44" i="20"/>
  <c r="V43" i="20"/>
  <c r="S42" i="20"/>
  <c r="V41" i="20"/>
  <c r="A41" i="20"/>
  <c r="D40" i="20"/>
  <c r="D39" i="20"/>
  <c r="D38" i="20"/>
  <c r="B37" i="20"/>
  <c r="N35" i="20"/>
  <c r="Q34" i="20"/>
  <c r="T33" i="20"/>
  <c r="N32" i="20"/>
  <c r="J31" i="20"/>
  <c r="A30" i="20"/>
  <c r="L28" i="20"/>
  <c r="H27" i="20"/>
  <c r="Q25" i="20"/>
  <c r="F24" i="20"/>
  <c r="D23" i="20"/>
  <c r="Q21" i="20"/>
  <c r="E20" i="20"/>
  <c r="C19" i="20"/>
  <c r="L17" i="20"/>
  <c r="J16" i="20"/>
  <c r="O14" i="20"/>
  <c r="B13" i="20"/>
  <c r="F11" i="20"/>
  <c r="E10" i="20"/>
  <c r="D9" i="20"/>
  <c r="F7" i="20"/>
  <c r="L6" i="20"/>
  <c r="H5" i="20"/>
  <c r="A3" i="20"/>
  <c r="A282" i="19"/>
  <c r="A281" i="19"/>
  <c r="A280" i="19"/>
  <c r="E279" i="19"/>
  <c r="L278" i="19"/>
  <c r="Q277" i="19"/>
  <c r="V276" i="19"/>
  <c r="A276" i="19"/>
  <c r="E275" i="19"/>
  <c r="L274" i="19"/>
  <c r="D273" i="19"/>
  <c r="T271" i="19"/>
  <c r="T270" i="19"/>
  <c r="T269" i="19"/>
  <c r="J268" i="19"/>
  <c r="D267" i="19"/>
  <c r="T265" i="19"/>
  <c r="J264" i="19"/>
  <c r="D263" i="19"/>
  <c r="T261" i="19"/>
  <c r="O260" i="19"/>
  <c r="O259" i="19"/>
  <c r="O258" i="19"/>
  <c r="O257" i="19"/>
  <c r="O256" i="19"/>
  <c r="O255" i="19"/>
  <c r="O254" i="19"/>
  <c r="O253" i="19"/>
  <c r="O252" i="19"/>
  <c r="O251" i="19"/>
  <c r="O250" i="19"/>
  <c r="O249" i="19"/>
  <c r="O248" i="19"/>
  <c r="O247" i="19"/>
  <c r="O246" i="19"/>
  <c r="O245" i="19"/>
  <c r="O244" i="19"/>
  <c r="O243" i="19"/>
  <c r="O242" i="19"/>
  <c r="H241" i="19"/>
  <c r="Q239" i="19"/>
  <c r="O238" i="19"/>
  <c r="N237" i="19"/>
  <c r="B236" i="19"/>
  <c r="A235" i="19"/>
  <c r="S233" i="19"/>
  <c r="F232" i="19"/>
  <c r="E231" i="19"/>
  <c r="D230" i="19"/>
  <c r="C229" i="19"/>
  <c r="L227" i="19"/>
  <c r="J226" i="19"/>
  <c r="H225" i="19"/>
  <c r="Q223" i="19"/>
  <c r="O222" i="19"/>
  <c r="N221" i="19"/>
  <c r="B220" i="19"/>
  <c r="A219" i="19"/>
  <c r="S217" i="19"/>
  <c r="F216" i="19"/>
  <c r="E215" i="19"/>
  <c r="D214" i="19"/>
  <c r="C213" i="19"/>
  <c r="L211" i="19"/>
  <c r="J210" i="19"/>
  <c r="H209" i="19"/>
  <c r="Q207" i="19"/>
  <c r="O206" i="19"/>
  <c r="N205" i="19"/>
  <c r="L203" i="19"/>
  <c r="J202" i="19"/>
  <c r="H201" i="19"/>
  <c r="Q199" i="19"/>
  <c r="O198" i="19"/>
  <c r="N197" i="19"/>
  <c r="B196" i="19"/>
  <c r="A195" i="19"/>
  <c r="S193" i="19"/>
  <c r="F192" i="19"/>
  <c r="E191" i="19"/>
  <c r="D190" i="19"/>
  <c r="C189" i="19"/>
  <c r="L187" i="19"/>
  <c r="J186" i="19"/>
  <c r="H185" i="19"/>
  <c r="Q183" i="19"/>
  <c r="O182" i="19"/>
  <c r="N181" i="19"/>
  <c r="B180" i="19"/>
  <c r="A179" i="19"/>
  <c r="S177" i="19"/>
  <c r="F176" i="19"/>
  <c r="E175" i="19"/>
  <c r="D174" i="19"/>
  <c r="C173" i="19"/>
  <c r="L171" i="19"/>
  <c r="J170" i="19"/>
  <c r="H169" i="19"/>
  <c r="Q167" i="19"/>
  <c r="O166" i="19"/>
  <c r="N165" i="19"/>
  <c r="B164" i="19"/>
  <c r="A163" i="19"/>
  <c r="S161" i="19"/>
  <c r="F160" i="19"/>
  <c r="E159" i="19"/>
  <c r="D158" i="19"/>
  <c r="C157" i="19"/>
  <c r="L155" i="19"/>
  <c r="J154" i="19"/>
  <c r="H153" i="19"/>
  <c r="Q151" i="19"/>
  <c r="O150" i="19"/>
  <c r="N149" i="19"/>
  <c r="B148" i="19"/>
  <c r="A147" i="19"/>
  <c r="S145" i="19"/>
  <c r="F144" i="19"/>
  <c r="E143" i="19"/>
  <c r="D142" i="19"/>
  <c r="C141" i="19"/>
  <c r="L139" i="19"/>
  <c r="J138" i="19"/>
  <c r="H137" i="19"/>
  <c r="Q135" i="19"/>
  <c r="O134" i="19"/>
  <c r="N133" i="19"/>
  <c r="B132" i="19"/>
  <c r="A131" i="19"/>
  <c r="S129" i="19"/>
  <c r="F128" i="19"/>
  <c r="E127" i="19"/>
  <c r="D126" i="19"/>
  <c r="C125" i="19"/>
  <c r="L123" i="19"/>
  <c r="J122" i="19"/>
  <c r="H121" i="19"/>
  <c r="Q119" i="19"/>
  <c r="O118" i="19"/>
  <c r="N117" i="19"/>
  <c r="B116" i="19"/>
  <c r="A115" i="19"/>
  <c r="S113" i="19"/>
  <c r="F112" i="19"/>
  <c r="E111" i="19"/>
  <c r="D110" i="19"/>
  <c r="C109" i="19"/>
  <c r="C3" i="21"/>
  <c r="S84" i="20"/>
  <c r="L82" i="20"/>
  <c r="H81" i="20"/>
  <c r="B80" i="20"/>
  <c r="S78" i="20"/>
  <c r="N77" i="20"/>
  <c r="J76" i="20"/>
  <c r="E75" i="20"/>
  <c r="F74" i="20"/>
  <c r="B73" i="20"/>
  <c r="V71" i="20"/>
  <c r="X70" i="20"/>
  <c r="S69" i="20"/>
  <c r="T68" i="20"/>
  <c r="V67" i="20"/>
  <c r="S66" i="20"/>
  <c r="L65" i="20"/>
  <c r="Q64" i="20"/>
  <c r="V63" i="20"/>
  <c r="A63" i="20"/>
  <c r="E62" i="20"/>
  <c r="F61" i="20"/>
  <c r="L60" i="20"/>
  <c r="J59" i="20"/>
  <c r="J58" i="20"/>
  <c r="F57" i="20"/>
  <c r="H56" i="20"/>
  <c r="E55" i="20"/>
  <c r="F54" i="20"/>
  <c r="B53" i="20"/>
  <c r="E52" i="20"/>
  <c r="F51" i="20"/>
  <c r="H50" i="20"/>
  <c r="L141" i="22"/>
  <c r="T119" i="22"/>
  <c r="V223" i="22"/>
  <c r="C167" i="22"/>
  <c r="C99" i="22"/>
  <c r="S285" i="22"/>
  <c r="B95" i="22"/>
  <c r="O77" i="22"/>
  <c r="O67" i="22"/>
  <c r="T116" i="22"/>
  <c r="B78" i="22"/>
  <c r="S54" i="22"/>
  <c r="Q37" i="22"/>
  <c r="X20" i="22"/>
  <c r="C45" i="21"/>
  <c r="L21" i="21"/>
  <c r="D71" i="22"/>
  <c r="O50" i="22"/>
  <c r="B34" i="22"/>
  <c r="V16" i="22"/>
  <c r="A51" i="21"/>
  <c r="L26" i="21"/>
  <c r="A66" i="22"/>
  <c r="N51" i="22"/>
  <c r="Q35" i="22"/>
  <c r="O22" i="22"/>
  <c r="D9" i="22"/>
  <c r="O49" i="21"/>
  <c r="F42" i="21"/>
  <c r="J34" i="21"/>
  <c r="A27" i="21"/>
  <c r="Q19" i="21"/>
  <c r="O11" i="21"/>
  <c r="J88" i="20"/>
  <c r="F74" i="22"/>
  <c r="V63" i="22"/>
  <c r="J58" i="22"/>
  <c r="X52" i="22"/>
  <c r="X45" i="22"/>
  <c r="F38" i="22"/>
  <c r="J32" i="22"/>
  <c r="D27" i="22"/>
  <c r="N21" i="22"/>
  <c r="H16" i="22"/>
  <c r="C12" i="22"/>
  <c r="C8" i="22"/>
  <c r="C51" i="21"/>
  <c r="D44" i="21"/>
  <c r="E39" i="21"/>
  <c r="F33" i="21"/>
  <c r="E28" i="21"/>
  <c r="D23" i="21"/>
  <c r="F16" i="21"/>
  <c r="C11" i="21"/>
  <c r="D5" i="21"/>
  <c r="E85" i="20"/>
  <c r="L83" i="20"/>
  <c r="F78" i="20"/>
  <c r="L73" i="20"/>
  <c r="X69" i="20"/>
  <c r="Q65" i="20"/>
  <c r="L61" i="20"/>
  <c r="L57" i="20"/>
  <c r="E53" i="20"/>
  <c r="L49" i="20"/>
  <c r="L45" i="20"/>
  <c r="N41" i="20"/>
  <c r="D37" i="20"/>
  <c r="J32" i="20"/>
  <c r="A27" i="20"/>
  <c r="N21" i="20"/>
  <c r="B16" i="20"/>
  <c r="H10" i="20"/>
  <c r="E5" i="20"/>
  <c r="H279" i="19"/>
  <c r="H275" i="19"/>
  <c r="F269" i="19"/>
  <c r="X263" i="19"/>
  <c r="B258" i="19"/>
  <c r="X252" i="19"/>
  <c r="F247" i="19"/>
  <c r="Q241" i="19"/>
  <c r="A237" i="19"/>
  <c r="D232" i="19"/>
  <c r="H227" i="19"/>
  <c r="B222" i="19"/>
  <c r="E217" i="19"/>
  <c r="J212" i="19"/>
  <c r="N207" i="19"/>
  <c r="Q201" i="19"/>
  <c r="A197" i="19"/>
  <c r="D192" i="19"/>
  <c r="H187" i="19"/>
  <c r="B182" i="19"/>
  <c r="E177" i="19"/>
  <c r="J172" i="19"/>
  <c r="N167" i="19"/>
  <c r="F162" i="19"/>
  <c r="L157" i="19"/>
  <c r="O152" i="19"/>
  <c r="S147" i="19"/>
  <c r="C143" i="19"/>
  <c r="Q137" i="19"/>
  <c r="A133" i="19"/>
  <c r="D128" i="19"/>
  <c r="H123" i="19"/>
  <c r="B118" i="19"/>
  <c r="E113" i="19"/>
  <c r="C83" i="20"/>
  <c r="E78" i="20"/>
  <c r="V73" i="20"/>
  <c r="V69" i="20"/>
  <c r="V65" i="20"/>
  <c r="X61" i="20"/>
  <c r="J57" i="20"/>
  <c r="J53" i="20"/>
  <c r="J49" i="20"/>
  <c r="D45" i="20"/>
  <c r="X40" i="20"/>
  <c r="H37" i="20"/>
  <c r="E33" i="20"/>
  <c r="Q27" i="20"/>
  <c r="H22" i="20"/>
  <c r="Q16" i="20"/>
  <c r="D12" i="20"/>
  <c r="X6" i="20"/>
  <c r="X279" i="19"/>
  <c r="F274" i="19"/>
  <c r="L270" i="19"/>
  <c r="L266" i="19"/>
  <c r="L262" i="19"/>
  <c r="A259" i="19"/>
  <c r="V255" i="19"/>
  <c r="Q252" i="19"/>
  <c r="L249" i="19"/>
  <c r="E246" i="19"/>
  <c r="A243" i="19"/>
  <c r="E238" i="19"/>
  <c r="J233" i="19"/>
  <c r="N228" i="19"/>
  <c r="F223" i="19"/>
  <c r="L218" i="19"/>
  <c r="O213" i="19"/>
  <c r="S208" i="19"/>
  <c r="B203" i="19"/>
  <c r="E198" i="19"/>
  <c r="J193" i="19"/>
  <c r="N188" i="19"/>
  <c r="F183" i="19"/>
  <c r="L178" i="19"/>
  <c r="O173" i="19"/>
  <c r="S168" i="19"/>
  <c r="C164" i="19"/>
  <c r="Q158" i="19"/>
  <c r="A154" i="19"/>
  <c r="D149" i="19"/>
  <c r="H144" i="19"/>
  <c r="B139" i="19"/>
  <c r="E134" i="19"/>
  <c r="E88" i="20"/>
  <c r="H80" i="20"/>
  <c r="E76" i="20"/>
  <c r="C72" i="20"/>
  <c r="C68" i="20"/>
  <c r="X63" i="20"/>
  <c r="V58" i="20"/>
  <c r="B55" i="20"/>
  <c r="X50" i="20"/>
  <c r="V46" i="20"/>
  <c r="C43" i="20"/>
  <c r="J39" i="20"/>
  <c r="V34" i="20"/>
  <c r="E30" i="20"/>
  <c r="N24" i="20"/>
  <c r="H19" i="20"/>
  <c r="F13" i="20"/>
  <c r="C8" i="20"/>
  <c r="E282" i="19"/>
  <c r="Q278" i="19"/>
  <c r="L275" i="19"/>
  <c r="D271" i="19"/>
  <c r="D266" i="19"/>
  <c r="T260" i="19"/>
  <c r="T256" i="19"/>
  <c r="T252" i="19"/>
  <c r="T248" i="19"/>
  <c r="T244" i="19"/>
  <c r="B240" i="19"/>
  <c r="E235" i="19"/>
  <c r="J230" i="19"/>
  <c r="N225" i="19"/>
  <c r="F220" i="19"/>
  <c r="L215" i="19"/>
  <c r="O210" i="19"/>
  <c r="S205" i="19"/>
  <c r="B200" i="19"/>
  <c r="E195" i="19"/>
  <c r="J190" i="19"/>
  <c r="N185" i="19"/>
  <c r="F180" i="19"/>
  <c r="L175" i="19"/>
  <c r="O170" i="19"/>
  <c r="S165" i="19"/>
  <c r="C161" i="19"/>
  <c r="Q155" i="19"/>
  <c r="A151" i="19"/>
  <c r="D146" i="19"/>
  <c r="H141" i="19"/>
  <c r="B136" i="19"/>
  <c r="E131" i="19"/>
  <c r="J126" i="19"/>
  <c r="N121" i="19"/>
  <c r="F116" i="19"/>
  <c r="L111" i="19"/>
  <c r="D85" i="20"/>
  <c r="D79" i="20"/>
  <c r="N74" i="20"/>
  <c r="D70" i="20"/>
  <c r="S65" i="20"/>
  <c r="L62" i="20"/>
  <c r="O58" i="20"/>
  <c r="N54" i="20"/>
  <c r="O50" i="20"/>
  <c r="O48" i="20"/>
  <c r="E47" i="20"/>
  <c r="D46" i="20"/>
  <c r="L44" i="20"/>
  <c r="F43" i="20"/>
  <c r="D42" i="20"/>
  <c r="O40" i="20"/>
  <c r="H39" i="20"/>
  <c r="C38" i="20"/>
  <c r="Q36" i="20"/>
  <c r="E35" i="20"/>
  <c r="D34" i="20"/>
  <c r="A32" i="20"/>
  <c r="J30" i="20"/>
  <c r="Q28" i="20"/>
  <c r="Q26" i="20"/>
  <c r="H25" i="20"/>
  <c r="O23" i="20"/>
  <c r="O21" i="20"/>
  <c r="D20" i="20"/>
  <c r="L18" i="20"/>
  <c r="N16" i="20"/>
  <c r="E15" i="20"/>
  <c r="Q13" i="20"/>
  <c r="B12" i="20"/>
  <c r="O10" i="20"/>
  <c r="C9" i="20"/>
  <c r="A7" i="20"/>
  <c r="N5" i="20"/>
  <c r="J282" i="19"/>
  <c r="O280" i="19"/>
  <c r="D279" i="19"/>
  <c r="T277" i="19"/>
  <c r="J276" i="19"/>
  <c r="D275" i="19"/>
  <c r="H273" i="19"/>
  <c r="N271" i="19"/>
  <c r="H270" i="19"/>
  <c r="N268" i="19"/>
  <c r="N266" i="19"/>
  <c r="C265" i="19"/>
  <c r="H263" i="19"/>
  <c r="N261" i="19"/>
  <c r="C260" i="19"/>
  <c r="S258" i="19"/>
  <c r="H257" i="19"/>
  <c r="C256" i="19"/>
  <c r="S254" i="19"/>
  <c r="H253" i="19"/>
  <c r="C252" i="19"/>
  <c r="S250" i="19"/>
  <c r="H249" i="19"/>
  <c r="C248" i="19"/>
  <c r="S246" i="19"/>
  <c r="H245" i="19"/>
  <c r="C244" i="19"/>
  <c r="S242" i="19"/>
  <c r="L240" i="19"/>
  <c r="D239" i="19"/>
  <c r="F237" i="19"/>
  <c r="O235" i="19"/>
  <c r="H234" i="19"/>
  <c r="L232" i="19"/>
  <c r="S230" i="19"/>
  <c r="B229" i="19"/>
  <c r="O227" i="19"/>
  <c r="C226" i="19"/>
  <c r="E224" i="19"/>
  <c r="S222" i="19"/>
  <c r="Q220" i="19"/>
  <c r="J219" i="19"/>
  <c r="C218" i="19"/>
  <c r="A216" i="19"/>
  <c r="N214" i="19"/>
  <c r="Q212" i="19"/>
  <c r="D211" i="19"/>
  <c r="F209" i="19"/>
  <c r="A208" i="19"/>
  <c r="H206" i="19"/>
  <c r="A204" i="19"/>
  <c r="N202" i="19"/>
  <c r="L200" i="19"/>
  <c r="D199" i="19"/>
  <c r="F197" i="19"/>
  <c r="O195" i="19"/>
  <c r="H194" i="19"/>
  <c r="L192" i="19"/>
  <c r="S190" i="19"/>
  <c r="B189" i="19"/>
  <c r="O187" i="19"/>
  <c r="C186" i="19"/>
  <c r="E184" i="19"/>
  <c r="S182" i="19"/>
  <c r="Q180" i="19"/>
  <c r="J179" i="19"/>
  <c r="C178" i="19"/>
  <c r="A176" i="19"/>
  <c r="N174" i="19"/>
  <c r="Q172" i="19"/>
  <c r="D171" i="19"/>
  <c r="C170" i="19"/>
  <c r="L168" i="19"/>
  <c r="J167" i="19"/>
  <c r="H166" i="19"/>
  <c r="Q164" i="19"/>
  <c r="O163" i="19"/>
  <c r="N162" i="19"/>
  <c r="B161" i="19"/>
  <c r="A160" i="19"/>
  <c r="S158" i="19"/>
  <c r="F157" i="19"/>
  <c r="E156" i="19"/>
  <c r="D155" i="19"/>
  <c r="C154" i="19"/>
  <c r="L152" i="19"/>
  <c r="J151" i="19"/>
  <c r="H150" i="19"/>
  <c r="Q148" i="19"/>
  <c r="O147" i="19"/>
  <c r="N146" i="19"/>
  <c r="B145" i="19"/>
  <c r="A144" i="19"/>
  <c r="S142" i="19"/>
  <c r="F141" i="19"/>
  <c r="E140" i="19"/>
  <c r="D139" i="19"/>
  <c r="C138" i="19"/>
  <c r="L136" i="19"/>
  <c r="J135" i="19"/>
  <c r="H134" i="19"/>
  <c r="Q132" i="19"/>
  <c r="O131" i="19"/>
  <c r="N130" i="19"/>
  <c r="B129" i="19"/>
  <c r="A128" i="19"/>
  <c r="S126" i="19"/>
  <c r="F125" i="19"/>
  <c r="E124" i="19"/>
  <c r="D123" i="19"/>
  <c r="C122" i="19"/>
  <c r="L120" i="19"/>
  <c r="J119" i="19"/>
  <c r="H118" i="19"/>
  <c r="Q116" i="19"/>
  <c r="O115" i="19"/>
  <c r="N114" i="19"/>
  <c r="B113" i="19"/>
  <c r="A112" i="19"/>
  <c r="S110" i="19"/>
  <c r="L130" i="19"/>
  <c r="E126" i="19"/>
  <c r="A122" i="19"/>
  <c r="N116" i="19"/>
  <c r="N111" i="19"/>
  <c r="D109" i="19"/>
  <c r="L107" i="19"/>
  <c r="J106" i="19"/>
  <c r="H105" i="19"/>
  <c r="Q103" i="19"/>
  <c r="O102" i="19"/>
  <c r="N101" i="19"/>
  <c r="B100" i="19"/>
  <c r="A99" i="19"/>
  <c r="S97" i="19"/>
  <c r="F96" i="19"/>
  <c r="E95" i="19"/>
  <c r="D94" i="19"/>
  <c r="C93" i="19"/>
  <c r="L91" i="19"/>
  <c r="J90" i="19"/>
  <c r="H89" i="19"/>
  <c r="Q87" i="19"/>
  <c r="O86" i="19"/>
  <c r="N85" i="19"/>
  <c r="B84" i="19"/>
  <c r="A83" i="19"/>
  <c r="S81" i="19"/>
  <c r="F80" i="19"/>
  <c r="E79" i="19"/>
  <c r="D78" i="19"/>
  <c r="C77" i="19"/>
  <c r="H75" i="19"/>
  <c r="H73" i="19"/>
  <c r="Q71" i="19"/>
  <c r="O70" i="19"/>
  <c r="N69" i="19"/>
  <c r="B68" i="19"/>
  <c r="A67" i="19"/>
  <c r="Q65" i="19"/>
  <c r="O64" i="19"/>
  <c r="N63" i="19"/>
  <c r="B62" i="19"/>
  <c r="A61" i="19"/>
  <c r="S59" i="19"/>
  <c r="F58" i="19"/>
  <c r="E57" i="19"/>
  <c r="D56" i="19"/>
  <c r="C55" i="19"/>
  <c r="H53" i="19"/>
  <c r="Q51" i="19"/>
  <c r="O50" i="19"/>
  <c r="N49" i="19"/>
  <c r="B48" i="19"/>
  <c r="A47" i="19"/>
  <c r="S45" i="19"/>
  <c r="F44" i="19"/>
  <c r="E43" i="19"/>
  <c r="D42" i="19"/>
  <c r="C41" i="19"/>
  <c r="L39" i="19"/>
  <c r="J38" i="19"/>
  <c r="H37" i="19"/>
  <c r="H35" i="19"/>
  <c r="Q33" i="19"/>
  <c r="O32" i="19"/>
  <c r="N31" i="19"/>
  <c r="B30" i="19"/>
  <c r="A29" i="19"/>
  <c r="S27" i="19"/>
  <c r="F26" i="19"/>
  <c r="E25" i="19"/>
  <c r="D24" i="19"/>
  <c r="C23" i="19"/>
  <c r="L21" i="19"/>
  <c r="J20" i="19"/>
  <c r="H19" i="19"/>
  <c r="Q17" i="19"/>
  <c r="O16" i="19"/>
  <c r="N15" i="19"/>
  <c r="B14" i="19"/>
  <c r="A13" i="19"/>
  <c r="S11" i="19"/>
  <c r="F10" i="19"/>
  <c r="E9" i="19"/>
  <c r="D8" i="19"/>
  <c r="C7" i="19"/>
  <c r="E3" i="19"/>
  <c r="E133" i="18"/>
  <c r="E131" i="18"/>
  <c r="H129" i="18"/>
  <c r="H128" i="18"/>
  <c r="H127" i="18"/>
  <c r="H126" i="18"/>
  <c r="H125" i="18"/>
  <c r="H124" i="18"/>
  <c r="H123" i="18"/>
  <c r="L121" i="18"/>
  <c r="Q120" i="18"/>
  <c r="V119" i="18"/>
  <c r="A119" i="18"/>
  <c r="E118" i="18"/>
  <c r="L117" i="18"/>
  <c r="Q116" i="18"/>
  <c r="V115" i="18"/>
  <c r="A115" i="18"/>
  <c r="E114" i="18"/>
  <c r="L113" i="18"/>
  <c r="Q112" i="18"/>
  <c r="V111" i="18"/>
  <c r="A111" i="18"/>
  <c r="E110" i="18"/>
  <c r="B109" i="18"/>
  <c r="X107" i="18"/>
  <c r="F106" i="18"/>
  <c r="B105" i="18"/>
  <c r="X103" i="18"/>
  <c r="F102" i="18"/>
  <c r="B101" i="18"/>
  <c r="X99" i="18"/>
  <c r="F98" i="18"/>
  <c r="H96" i="18"/>
  <c r="B95" i="18"/>
  <c r="E94" i="18"/>
  <c r="J93" i="18"/>
  <c r="H92" i="18"/>
  <c r="B91" i="18"/>
  <c r="E90" i="18"/>
  <c r="J89" i="18"/>
  <c r="H88" i="18"/>
  <c r="B87" i="18"/>
  <c r="E86" i="18"/>
  <c r="J85" i="18"/>
  <c r="V83" i="18"/>
  <c r="A83" i="18"/>
  <c r="E82" i="18"/>
  <c r="J81" i="18"/>
  <c r="H80" i="18"/>
  <c r="B79" i="18"/>
  <c r="E78" i="18"/>
  <c r="J77" i="18"/>
  <c r="D76" i="18"/>
  <c r="E75" i="18"/>
  <c r="J74" i="18"/>
  <c r="L73" i="18"/>
  <c r="O72" i="18"/>
  <c r="N71" i="18"/>
  <c r="N70" i="18"/>
  <c r="F69" i="18"/>
  <c r="L68" i="18"/>
  <c r="O67" i="18"/>
  <c r="N66" i="18"/>
  <c r="O65" i="18"/>
  <c r="F64" i="18"/>
  <c r="L63" i="18"/>
  <c r="O62" i="18"/>
  <c r="F61" i="18"/>
  <c r="L60" i="18"/>
  <c r="O59" i="18"/>
  <c r="N58" i="18"/>
  <c r="F57" i="18"/>
  <c r="E55" i="18"/>
  <c r="T53" i="18"/>
  <c r="B52" i="18"/>
  <c r="H50" i="18"/>
  <c r="J49" i="18"/>
  <c r="H48" i="18"/>
  <c r="A47" i="18"/>
  <c r="N45" i="18"/>
  <c r="E44" i="18"/>
  <c r="L43" i="18"/>
  <c r="E42" i="18"/>
  <c r="D41" i="18"/>
  <c r="C40" i="18"/>
  <c r="X38" i="18"/>
  <c r="Q37" i="18"/>
  <c r="T36" i="18"/>
  <c r="V35" i="18"/>
  <c r="A35" i="18"/>
  <c r="D34" i="18"/>
  <c r="T32" i="18"/>
  <c r="T31" i="18"/>
  <c r="N30" i="18"/>
  <c r="N29" i="18"/>
  <c r="F28" i="18"/>
  <c r="H27" i="18"/>
  <c r="H26" i="18"/>
  <c r="C25" i="18"/>
  <c r="X23" i="18"/>
  <c r="Q22" i="18"/>
  <c r="T21" i="18"/>
  <c r="O20" i="18"/>
  <c r="O19" i="18"/>
  <c r="H18" i="18"/>
  <c r="H17" i="18"/>
  <c r="B16" i="18"/>
  <c r="E15" i="18"/>
  <c r="J14" i="18"/>
  <c r="H13" i="18"/>
  <c r="B12" i="18"/>
  <c r="E11" i="18"/>
  <c r="J10" i="18"/>
  <c r="H9" i="18"/>
  <c r="B8" i="18"/>
  <c r="E7" i="18"/>
  <c r="H5" i="18"/>
  <c r="L100" i="17"/>
  <c r="L98" i="17"/>
  <c r="L96" i="17"/>
  <c r="L94" i="17"/>
  <c r="L92" i="17"/>
  <c r="L90" i="17"/>
  <c r="L88" i="17"/>
  <c r="F86" i="17"/>
  <c r="A85" i="17"/>
  <c r="X83" i="17"/>
  <c r="S82" i="17"/>
  <c r="E130" i="19"/>
  <c r="A126" i="19"/>
  <c r="N120" i="19"/>
  <c r="F115" i="19"/>
  <c r="B111" i="19"/>
  <c r="B109" i="19"/>
  <c r="A108" i="19"/>
  <c r="S106" i="19"/>
  <c r="F105" i="19"/>
  <c r="E104" i="19"/>
  <c r="D103" i="19"/>
  <c r="C102" i="19"/>
  <c r="L100" i="19"/>
  <c r="J99" i="19"/>
  <c r="H98" i="19"/>
  <c r="Q96" i="19"/>
  <c r="O95" i="19"/>
  <c r="N94" i="19"/>
  <c r="B93" i="19"/>
  <c r="A92" i="19"/>
  <c r="S90" i="19"/>
  <c r="F89" i="19"/>
  <c r="E88" i="19"/>
  <c r="D87" i="19"/>
  <c r="C86" i="19"/>
  <c r="L84" i="19"/>
  <c r="J83" i="19"/>
  <c r="H82" i="19"/>
  <c r="Q80" i="19"/>
  <c r="O79" i="19"/>
  <c r="N78" i="19"/>
  <c r="B77" i="19"/>
  <c r="F75" i="19"/>
  <c r="F73" i="19"/>
  <c r="E72" i="19"/>
  <c r="D71" i="19"/>
  <c r="C70" i="19"/>
  <c r="L68" i="19"/>
  <c r="J67" i="19"/>
  <c r="H66" i="19"/>
  <c r="D65" i="19"/>
  <c r="C64" i="19"/>
  <c r="L62" i="19"/>
  <c r="J61" i="19"/>
  <c r="H60" i="19"/>
  <c r="Q58" i="19"/>
  <c r="O57" i="19"/>
  <c r="N56" i="19"/>
  <c r="B55" i="19"/>
  <c r="F53" i="19"/>
  <c r="E52" i="19"/>
  <c r="D51" i="19"/>
  <c r="C50" i="19"/>
  <c r="L48" i="19"/>
  <c r="J47" i="19"/>
  <c r="H46" i="19"/>
  <c r="Q44" i="19"/>
  <c r="O43" i="19"/>
  <c r="N42" i="19"/>
  <c r="B41" i="19"/>
  <c r="A40" i="19"/>
  <c r="S38" i="19"/>
  <c r="F37" i="19"/>
  <c r="F35" i="19"/>
  <c r="E34" i="19"/>
  <c r="D33" i="19"/>
  <c r="C32" i="19"/>
  <c r="L30" i="19"/>
  <c r="J29" i="19"/>
  <c r="H28" i="19"/>
  <c r="Q26" i="19"/>
  <c r="O25" i="19"/>
  <c r="N24" i="19"/>
  <c r="B23" i="19"/>
  <c r="A22" i="19"/>
  <c r="S20" i="19"/>
  <c r="F19" i="19"/>
  <c r="E18" i="19"/>
  <c r="D17" i="19"/>
  <c r="C16" i="19"/>
  <c r="L14" i="19"/>
  <c r="J13" i="19"/>
  <c r="H12" i="19"/>
  <c r="Q10" i="19"/>
  <c r="O9" i="19"/>
  <c r="N8" i="19"/>
  <c r="B7" i="19"/>
  <c r="V5" i="19"/>
  <c r="D3" i="19"/>
  <c r="D132" i="18"/>
  <c r="D130" i="18"/>
  <c r="B128" i="18"/>
  <c r="B126" i="18"/>
  <c r="B124" i="18"/>
  <c r="J121" i="18"/>
  <c r="J120" i="18"/>
  <c r="J119" i="18"/>
  <c r="J118" i="18"/>
  <c r="J117" i="18"/>
  <c r="J116" i="18"/>
  <c r="J115" i="18"/>
  <c r="J114" i="18"/>
  <c r="J113" i="18"/>
  <c r="J112" i="18"/>
  <c r="J111" i="18"/>
  <c r="J110" i="18"/>
  <c r="E109" i="18"/>
  <c r="L108" i="18"/>
  <c r="Q107" i="18"/>
  <c r="V106" i="18"/>
  <c r="A106" i="18"/>
  <c r="E105" i="18"/>
  <c r="L104" i="18"/>
  <c r="Q103" i="18"/>
  <c r="V102" i="18"/>
  <c r="A102" i="18"/>
  <c r="E101" i="18"/>
  <c r="L100" i="18"/>
  <c r="Q99" i="18"/>
  <c r="V98" i="18"/>
  <c r="A98" i="18"/>
  <c r="V95" i="18"/>
  <c r="A95" i="18"/>
  <c r="D94" i="18"/>
  <c r="C93" i="18"/>
  <c r="V91" i="18"/>
  <c r="A91" i="18"/>
  <c r="D90" i="18"/>
  <c r="C89" i="18"/>
  <c r="V87" i="18"/>
  <c r="A87" i="18"/>
  <c r="D86" i="18"/>
  <c r="C85" i="18"/>
  <c r="E84" i="18"/>
  <c r="J83" i="18"/>
  <c r="J82" i="18"/>
  <c r="H81" i="18"/>
  <c r="B80" i="18"/>
  <c r="E79" i="18"/>
  <c r="J78" i="18"/>
  <c r="H77" i="18"/>
  <c r="H76" i="18"/>
  <c r="J75" i="18"/>
  <c r="H74" i="18"/>
  <c r="J73" i="18"/>
  <c r="H72" i="18"/>
  <c r="B71" i="18"/>
  <c r="V69" i="18"/>
  <c r="A69" i="18"/>
  <c r="D68" i="18"/>
  <c r="C67" i="18"/>
  <c r="N65" i="18"/>
  <c r="Q64" i="18"/>
  <c r="T63" i="18"/>
  <c r="S62" i="18"/>
  <c r="X61" i="18"/>
  <c r="A61" i="18"/>
  <c r="D60" i="18"/>
  <c r="C59" i="18"/>
  <c r="V57" i="18"/>
  <c r="A57" i="18"/>
  <c r="D55" i="18"/>
  <c r="C53" i="18"/>
  <c r="H51" i="18"/>
  <c r="V49" i="18"/>
  <c r="S48" i="18"/>
  <c r="D47" i="18"/>
  <c r="F45" i="18"/>
  <c r="T43" i="18"/>
  <c r="J42" i="18"/>
  <c r="H41" i="18"/>
  <c r="V39" i="18"/>
  <c r="A39" i="18"/>
  <c r="E38" i="18"/>
  <c r="J37" i="18"/>
  <c r="H36" i="18"/>
  <c r="J35" i="18"/>
  <c r="H34" i="18"/>
  <c r="C33" i="18"/>
  <c r="C32" i="18"/>
  <c r="C31" i="18"/>
  <c r="F29" i="18"/>
  <c r="L28" i="18"/>
  <c r="F27" i="18"/>
  <c r="B26" i="18"/>
  <c r="V24" i="18"/>
  <c r="A24" i="18"/>
  <c r="E23" i="18"/>
  <c r="J22" i="18"/>
  <c r="C21" i="18"/>
  <c r="C20" i="18"/>
  <c r="C19" i="18"/>
  <c r="X17" i="18"/>
  <c r="Q16" i="18"/>
  <c r="T15" i="18"/>
  <c r="S14" i="18"/>
  <c r="X13" i="18"/>
  <c r="O125" i="19"/>
  <c r="H120" i="19"/>
  <c r="C116" i="19"/>
  <c r="S111" i="19"/>
  <c r="F109" i="19"/>
  <c r="D108" i="19"/>
  <c r="C107" i="19"/>
  <c r="L105" i="19"/>
  <c r="J104" i="19"/>
  <c r="H103" i="19"/>
  <c r="Q101" i="19"/>
  <c r="O100" i="19"/>
  <c r="N99" i="19"/>
  <c r="B98" i="19"/>
  <c r="A97" i="19"/>
  <c r="S95" i="19"/>
  <c r="F94" i="19"/>
  <c r="E93" i="19"/>
  <c r="D92" i="19"/>
  <c r="C91" i="19"/>
  <c r="L89" i="19"/>
  <c r="J88" i="19"/>
  <c r="H87" i="19"/>
  <c r="Q85" i="19"/>
  <c r="O84" i="19"/>
  <c r="N83" i="19"/>
  <c r="B82" i="19"/>
  <c r="A81" i="19"/>
  <c r="S79" i="19"/>
  <c r="F78" i="19"/>
  <c r="E77" i="19"/>
  <c r="D76" i="19"/>
  <c r="O74" i="19"/>
  <c r="L73" i="19"/>
  <c r="J72" i="19"/>
  <c r="H71" i="19"/>
  <c r="Q69" i="19"/>
  <c r="O68" i="19"/>
  <c r="N67" i="19"/>
  <c r="S65" i="19"/>
  <c r="F64" i="19"/>
  <c r="E63" i="19"/>
  <c r="D62" i="19"/>
  <c r="C61" i="19"/>
  <c r="L59" i="19"/>
  <c r="J58" i="19"/>
  <c r="H57" i="19"/>
  <c r="Q55" i="19"/>
  <c r="O54" i="19"/>
  <c r="L53" i="19"/>
  <c r="J52" i="19"/>
  <c r="H51" i="19"/>
  <c r="Q49" i="19"/>
  <c r="O48" i="19"/>
  <c r="N47" i="19"/>
  <c r="B46" i="19"/>
  <c r="A45" i="19"/>
  <c r="S43" i="19"/>
  <c r="F42" i="19"/>
  <c r="E41" i="19"/>
  <c r="D40" i="19"/>
  <c r="C39" i="19"/>
  <c r="L37" i="19"/>
  <c r="D36" i="19"/>
  <c r="A35" i="19"/>
  <c r="S33" i="19"/>
  <c r="F32" i="19"/>
  <c r="E31" i="19"/>
  <c r="D30" i="19"/>
  <c r="C29" i="19"/>
  <c r="L27" i="19"/>
  <c r="J26" i="19"/>
  <c r="H25" i="19"/>
  <c r="Q23" i="19"/>
  <c r="O22" i="19"/>
  <c r="N21" i="19"/>
  <c r="B20" i="19"/>
  <c r="A19" i="19"/>
  <c r="S17" i="19"/>
  <c r="F16" i="19"/>
  <c r="E15" i="19"/>
  <c r="D14" i="19"/>
  <c r="C13" i="19"/>
  <c r="L11" i="19"/>
  <c r="J10" i="19"/>
  <c r="H9" i="19"/>
  <c r="Q7" i="19"/>
  <c r="O6" i="19"/>
  <c r="J5" i="19"/>
  <c r="S133" i="18"/>
  <c r="A132" i="18"/>
  <c r="A130" i="18"/>
  <c r="A129" i="18"/>
  <c r="A128" i="18"/>
  <c r="J185" i="22"/>
  <c r="S298" i="22"/>
  <c r="A211" i="22"/>
  <c r="C147" i="22"/>
  <c r="O319" i="22"/>
  <c r="O339" i="22"/>
  <c r="E77" i="22"/>
  <c r="B124" i="22"/>
  <c r="X189" i="22"/>
  <c r="O105" i="22"/>
  <c r="F71" i="22"/>
  <c r="L50" i="22"/>
  <c r="H33" i="22"/>
  <c r="F15" i="22"/>
  <c r="T38" i="21"/>
  <c r="B15" i="21"/>
  <c r="O65" i="22"/>
  <c r="O46" i="22"/>
  <c r="X28" i="22"/>
  <c r="Q13" i="22"/>
  <c r="F44" i="21"/>
  <c r="J21" i="21"/>
  <c r="V61" i="22"/>
  <c r="N47" i="22"/>
  <c r="L32" i="22"/>
  <c r="O18" i="22"/>
  <c r="O7" i="22"/>
  <c r="L47" i="21"/>
  <c r="X40" i="21"/>
  <c r="B32" i="21"/>
  <c r="H25" i="21"/>
  <c r="J17" i="21"/>
  <c r="F9" i="21"/>
  <c r="S86" i="20"/>
  <c r="A71" i="22"/>
  <c r="J62" i="22"/>
  <c r="D57" i="22"/>
  <c r="B51" i="22"/>
  <c r="X43" i="22"/>
  <c r="X36" i="22"/>
  <c r="D31" i="22"/>
  <c r="O25" i="22"/>
  <c r="H20" i="22"/>
  <c r="C15" i="22"/>
  <c r="C11" i="22"/>
  <c r="C7" i="22"/>
  <c r="C49" i="21"/>
  <c r="E42" i="21"/>
  <c r="E38" i="21"/>
  <c r="E32" i="21"/>
  <c r="D27" i="21"/>
  <c r="F21" i="21"/>
  <c r="C15" i="21"/>
  <c r="L9" i="21"/>
  <c r="T88" i="20"/>
  <c r="C84" i="20"/>
  <c r="D82" i="20"/>
  <c r="S76" i="20"/>
  <c r="Q72" i="20"/>
  <c r="S68" i="20"/>
  <c r="O64" i="20"/>
  <c r="O60" i="20"/>
  <c r="N56" i="20"/>
  <c r="J52" i="20"/>
  <c r="N48" i="20"/>
  <c r="Q44" i="20"/>
  <c r="N40" i="20"/>
  <c r="D36" i="20"/>
  <c r="B31" i="20"/>
  <c r="N25" i="20"/>
  <c r="H20" i="20"/>
  <c r="F14" i="20"/>
  <c r="Q8" i="20"/>
  <c r="C3" i="20"/>
  <c r="H278" i="19"/>
  <c r="H274" i="19"/>
  <c r="X267" i="19"/>
  <c r="F262" i="19"/>
  <c r="X256" i="19"/>
  <c r="F251" i="19"/>
  <c r="B246" i="19"/>
  <c r="O240" i="19"/>
  <c r="S235" i="19"/>
  <c r="C231" i="19"/>
  <c r="Q225" i="19"/>
  <c r="A221" i="19"/>
  <c r="D216" i="19"/>
  <c r="H211" i="19"/>
  <c r="B206" i="19"/>
  <c r="O200" i="19"/>
  <c r="S195" i="19"/>
  <c r="C191" i="19"/>
  <c r="Q185" i="19"/>
  <c r="A181" i="19"/>
  <c r="D176" i="19"/>
  <c r="H171" i="19"/>
  <c r="B166" i="19"/>
  <c r="E161" i="19"/>
  <c r="J156" i="19"/>
  <c r="N151" i="19"/>
  <c r="F146" i="19"/>
  <c r="L141" i="19"/>
  <c r="O136" i="19"/>
  <c r="S131" i="19"/>
  <c r="C127" i="19"/>
  <c r="Q121" i="19"/>
  <c r="A117" i="19"/>
  <c r="D112" i="19"/>
  <c r="X81" i="20"/>
  <c r="L77" i="20"/>
  <c r="T72" i="20"/>
  <c r="X68" i="20"/>
  <c r="S64" i="20"/>
  <c r="S60" i="20"/>
  <c r="E56" i="20"/>
  <c r="H52" i="20"/>
  <c r="E48" i="20"/>
  <c r="C44" i="20"/>
  <c r="V39" i="20"/>
  <c r="H36" i="20"/>
  <c r="L31" i="20"/>
  <c r="H26" i="20"/>
  <c r="A21" i="20"/>
  <c r="N15" i="20"/>
  <c r="F10" i="20"/>
  <c r="J5" i="20"/>
  <c r="F278" i="19"/>
  <c r="A273" i="19"/>
  <c r="Q269" i="19"/>
  <c r="L265" i="19"/>
  <c r="Q261" i="19"/>
  <c r="E258" i="19"/>
  <c r="A255" i="19"/>
  <c r="V251" i="19"/>
  <c r="Q248" i="19"/>
  <c r="L245" i="19"/>
  <c r="A242" i="19"/>
  <c r="D237" i="19"/>
  <c r="H232" i="19"/>
  <c r="B227" i="19"/>
  <c r="E222" i="19"/>
  <c r="J217" i="19"/>
  <c r="N212" i="19"/>
  <c r="F207" i="19"/>
  <c r="A202" i="19"/>
  <c r="D197" i="19"/>
  <c r="H192" i="19"/>
  <c r="B187" i="19"/>
  <c r="E182" i="19"/>
  <c r="J177" i="19"/>
  <c r="N172" i="19"/>
  <c r="F167" i="19"/>
  <c r="L162" i="19"/>
  <c r="O157" i="19"/>
  <c r="S152" i="19"/>
  <c r="C148" i="19"/>
  <c r="Q142" i="19"/>
  <c r="A138" i="19"/>
  <c r="D133" i="19"/>
  <c r="X84" i="20"/>
  <c r="E79" i="20"/>
  <c r="B75" i="20"/>
  <c r="D71" i="20"/>
  <c r="D67" i="20"/>
  <c r="F62" i="20"/>
  <c r="A58" i="20"/>
  <c r="A54" i="20"/>
  <c r="S49" i="20"/>
  <c r="A46" i="20"/>
  <c r="A42" i="20"/>
  <c r="J38" i="20"/>
  <c r="A34" i="20"/>
  <c r="C29" i="20"/>
  <c r="J23" i="20"/>
  <c r="Q17" i="20"/>
  <c r="C12" i="20"/>
  <c r="Q6" i="20"/>
  <c r="E281" i="19"/>
  <c r="V277" i="19"/>
  <c r="Q274" i="19"/>
  <c r="D270" i="19"/>
  <c r="T264" i="19"/>
  <c r="T259" i="19"/>
  <c r="T255" i="19"/>
  <c r="T251" i="19"/>
  <c r="T247" i="19"/>
  <c r="T243" i="19"/>
  <c r="A239" i="19"/>
  <c r="D234" i="19"/>
  <c r="H229" i="19"/>
  <c r="B224" i="19"/>
  <c r="E219" i="19"/>
  <c r="J214" i="19"/>
  <c r="N209" i="19"/>
  <c r="Q203" i="19"/>
  <c r="A199" i="19"/>
  <c r="D194" i="19"/>
  <c r="H189" i="19"/>
  <c r="B184" i="19"/>
  <c r="E179" i="19"/>
  <c r="J174" i="19"/>
  <c r="N169" i="19"/>
  <c r="F164" i="19"/>
  <c r="L159" i="19"/>
  <c r="O154" i="19"/>
  <c r="S149" i="19"/>
  <c r="C145" i="19"/>
  <c r="Q139" i="19"/>
  <c r="A135" i="19"/>
  <c r="D130" i="19"/>
  <c r="H125" i="19"/>
  <c r="B120" i="19"/>
  <c r="E115" i="19"/>
  <c r="J110" i="19"/>
  <c r="E83" i="20"/>
  <c r="S77" i="20"/>
  <c r="F73" i="20"/>
  <c r="A69" i="20"/>
  <c r="V64" i="20"/>
  <c r="N61" i="20"/>
  <c r="N57" i="20"/>
  <c r="F53" i="20"/>
  <c r="X49" i="20"/>
  <c r="H48" i="20"/>
  <c r="A47" i="20"/>
  <c r="N45" i="20"/>
  <c r="E44" i="20"/>
  <c r="B43" i="20"/>
  <c r="O41" i="20"/>
  <c r="H40" i="20"/>
  <c r="C39" i="20"/>
  <c r="L37" i="20"/>
  <c r="L36" i="20"/>
  <c r="A35" i="20"/>
  <c r="N33" i="20"/>
  <c r="O31" i="20"/>
  <c r="D30" i="20"/>
  <c r="D28" i="20"/>
  <c r="L26" i="20"/>
  <c r="C25" i="20"/>
  <c r="C23" i="20"/>
  <c r="H21" i="20"/>
  <c r="N19" i="20"/>
  <c r="A18" i="20"/>
  <c r="H16" i="20"/>
  <c r="A15" i="20"/>
  <c r="E13" i="20"/>
  <c r="Q11" i="20"/>
  <c r="J10" i="20"/>
  <c r="B8" i="20"/>
  <c r="T6" i="20"/>
  <c r="F5" i="20"/>
  <c r="T281" i="19"/>
  <c r="J280" i="19"/>
  <c r="T278" i="19"/>
  <c r="J277" i="19"/>
  <c r="D276" i="19"/>
  <c r="T274" i="19"/>
  <c r="S272" i="19"/>
  <c r="H271" i="19"/>
  <c r="C270" i="19"/>
  <c r="C268" i="19"/>
  <c r="H266" i="19"/>
  <c r="N264" i="19"/>
  <c r="N262" i="19"/>
  <c r="H261" i="19"/>
  <c r="S259" i="19"/>
  <c r="H258" i="19"/>
  <c r="C257" i="19"/>
  <c r="S255" i="19"/>
  <c r="H254" i="19"/>
  <c r="C253" i="19"/>
  <c r="S251" i="19"/>
  <c r="H250" i="19"/>
  <c r="C249" i="19"/>
  <c r="S247" i="19"/>
  <c r="H246" i="19"/>
  <c r="C245" i="19"/>
  <c r="S243" i="19"/>
  <c r="H242" i="19"/>
  <c r="E240" i="19"/>
  <c r="S238" i="19"/>
  <c r="Q236" i="19"/>
  <c r="J235" i="19"/>
  <c r="C234" i="19"/>
  <c r="A232" i="19"/>
  <c r="N230" i="19"/>
  <c r="Q228" i="19"/>
  <c r="D227" i="19"/>
  <c r="F225" i="19"/>
  <c r="A224" i="19"/>
  <c r="H222" i="19"/>
  <c r="L220" i="19"/>
  <c r="D219" i="19"/>
  <c r="B217" i="19"/>
  <c r="O215" i="19"/>
  <c r="H214" i="19"/>
  <c r="E212" i="19"/>
  <c r="S210" i="19"/>
  <c r="B209" i="19"/>
  <c r="J207" i="19"/>
  <c r="C206" i="19"/>
  <c r="O203" i="19"/>
  <c r="C202" i="19"/>
  <c r="E200" i="19"/>
  <c r="S198" i="19"/>
  <c r="Q196" i="19"/>
  <c r="J195" i="19"/>
  <c r="C194" i="19"/>
  <c r="A192" i="19"/>
  <c r="N190" i="19"/>
  <c r="Q188" i="19"/>
  <c r="D187" i="19"/>
  <c r="F185" i="19"/>
  <c r="A184" i="19"/>
  <c r="H182" i="19"/>
  <c r="L180" i="19"/>
  <c r="D179" i="19"/>
  <c r="B177" i="19"/>
  <c r="O175" i="19"/>
  <c r="H174" i="19"/>
  <c r="E172" i="19"/>
  <c r="S170" i="19"/>
  <c r="F169" i="19"/>
  <c r="E168" i="19"/>
  <c r="D167" i="19"/>
  <c r="C166" i="19"/>
  <c r="L164" i="19"/>
  <c r="J163" i="19"/>
  <c r="H162" i="19"/>
  <c r="Q160" i="19"/>
  <c r="O159" i="19"/>
  <c r="N158" i="19"/>
  <c r="B157" i="19"/>
  <c r="A156" i="19"/>
  <c r="S154" i="19"/>
  <c r="F153" i="19"/>
  <c r="E152" i="19"/>
  <c r="D151" i="19"/>
  <c r="C150" i="19"/>
  <c r="L148" i="19"/>
  <c r="J147" i="19"/>
  <c r="H146" i="19"/>
  <c r="Q144" i="19"/>
  <c r="O143" i="19"/>
  <c r="N142" i="19"/>
  <c r="B141" i="19"/>
  <c r="A140" i="19"/>
  <c r="S138" i="19"/>
  <c r="F137" i="19"/>
  <c r="E136" i="19"/>
  <c r="D135" i="19"/>
  <c r="C134" i="19"/>
  <c r="L132" i="19"/>
  <c r="J131" i="19"/>
  <c r="H130" i="19"/>
  <c r="Q128" i="19"/>
  <c r="O127" i="19"/>
  <c r="N126" i="19"/>
  <c r="B125" i="19"/>
  <c r="A124" i="19"/>
  <c r="S122" i="19"/>
  <c r="F121" i="19"/>
  <c r="E120" i="19"/>
  <c r="D119" i="19"/>
  <c r="C118" i="19"/>
  <c r="L116" i="19"/>
  <c r="J115" i="19"/>
  <c r="H114" i="19"/>
  <c r="Q112" i="19"/>
  <c r="O111" i="19"/>
  <c r="N110" i="19"/>
  <c r="J129" i="19"/>
  <c r="D125" i="19"/>
  <c r="S120" i="19"/>
  <c r="L114" i="19"/>
  <c r="C111" i="19"/>
  <c r="F108" i="19"/>
  <c r="E107" i="19"/>
  <c r="D106" i="19"/>
  <c r="C105" i="19"/>
  <c r="L103" i="19"/>
  <c r="J102" i="19"/>
  <c r="H101" i="19"/>
  <c r="Q99" i="19"/>
  <c r="O98" i="19"/>
  <c r="N97" i="19"/>
  <c r="B96" i="19"/>
  <c r="A95" i="19"/>
  <c r="S93" i="19"/>
  <c r="F92" i="19"/>
  <c r="E91" i="19"/>
  <c r="D90" i="19"/>
  <c r="C89" i="19"/>
  <c r="L87" i="19"/>
  <c r="J86" i="19"/>
  <c r="H85" i="19"/>
  <c r="Q83" i="19"/>
  <c r="O82" i="19"/>
  <c r="N81" i="19"/>
  <c r="B80" i="19"/>
  <c r="A79" i="19"/>
  <c r="S77" i="19"/>
  <c r="F76" i="19"/>
  <c r="F74" i="19"/>
  <c r="C73" i="19"/>
  <c r="L71" i="19"/>
  <c r="J70" i="19"/>
  <c r="H69" i="19"/>
  <c r="Q67" i="19"/>
  <c r="O66" i="19"/>
  <c r="L65" i="19"/>
  <c r="J64" i="19"/>
  <c r="H63" i="19"/>
  <c r="Q61" i="19"/>
  <c r="O60" i="19"/>
  <c r="N59" i="19"/>
  <c r="B58" i="19"/>
  <c r="A57" i="19"/>
  <c r="S55" i="19"/>
  <c r="F54" i="19"/>
  <c r="C53" i="19"/>
  <c r="L51" i="19"/>
  <c r="J50" i="19"/>
  <c r="H49" i="19"/>
  <c r="Q47" i="19"/>
  <c r="O46" i="19"/>
  <c r="N45" i="19"/>
  <c r="B44" i="19"/>
  <c r="A43" i="19"/>
  <c r="S41" i="19"/>
  <c r="F40" i="19"/>
  <c r="E39" i="19"/>
  <c r="D38" i="19"/>
  <c r="F36" i="19"/>
  <c r="C35" i="19"/>
  <c r="L33" i="19"/>
  <c r="J32" i="19"/>
  <c r="H31" i="19"/>
  <c r="Q29" i="19"/>
  <c r="O28" i="19"/>
  <c r="N27" i="19"/>
  <c r="B26" i="19"/>
  <c r="A25" i="19"/>
  <c r="S23" i="19"/>
  <c r="F22" i="19"/>
  <c r="E21" i="19"/>
  <c r="D20" i="19"/>
  <c r="C19" i="19"/>
  <c r="L17" i="19"/>
  <c r="J16" i="19"/>
  <c r="H15" i="19"/>
  <c r="Q13" i="19"/>
  <c r="O12" i="19"/>
  <c r="N11" i="19"/>
  <c r="B10" i="19"/>
  <c r="A9" i="19"/>
  <c r="S7" i="19"/>
  <c r="F6" i="19"/>
  <c r="A3" i="19"/>
  <c r="A133" i="18"/>
  <c r="A131" i="18"/>
  <c r="C129" i="18"/>
  <c r="C128" i="18"/>
  <c r="C127" i="18"/>
  <c r="C126" i="18"/>
  <c r="C125" i="18"/>
  <c r="C124" i="18"/>
  <c r="C123" i="18"/>
  <c r="E121" i="18"/>
  <c r="L120" i="18"/>
  <c r="Q119" i="18"/>
  <c r="V118" i="18"/>
  <c r="A118" i="18"/>
  <c r="E117" i="18"/>
  <c r="L116" i="18"/>
  <c r="Q115" i="18"/>
  <c r="V114" i="18"/>
  <c r="A114" i="18"/>
  <c r="E113" i="18"/>
  <c r="L112" i="18"/>
  <c r="Q111" i="18"/>
  <c r="V110" i="18"/>
  <c r="A110" i="18"/>
  <c r="X108" i="18"/>
  <c r="F107" i="18"/>
  <c r="B106" i="18"/>
  <c r="X104" i="18"/>
  <c r="F103" i="18"/>
  <c r="B102" i="18"/>
  <c r="X100" i="18"/>
  <c r="F99" i="18"/>
  <c r="B98" i="18"/>
  <c r="C96" i="18"/>
  <c r="V94" i="18"/>
  <c r="A94" i="18"/>
  <c r="D93" i="18"/>
  <c r="C92" i="18"/>
  <c r="V90" i="18"/>
  <c r="A90" i="18"/>
  <c r="D89" i="18"/>
  <c r="C88" i="18"/>
  <c r="V86" i="18"/>
  <c r="A86" i="18"/>
  <c r="D85" i="18"/>
  <c r="Q83" i="18"/>
  <c r="V82" i="18"/>
  <c r="A82" i="18"/>
  <c r="D81" i="18"/>
  <c r="C80" i="18"/>
  <c r="V78" i="18"/>
  <c r="A78" i="18"/>
  <c r="D77" i="18"/>
  <c r="V75" i="18"/>
  <c r="A75" i="18"/>
  <c r="D74" i="18"/>
  <c r="E73" i="18"/>
  <c r="J72" i="18"/>
  <c r="H71" i="18"/>
  <c r="H70" i="18"/>
  <c r="B69" i="18"/>
  <c r="E68" i="18"/>
  <c r="J67" i="18"/>
  <c r="H66" i="18"/>
  <c r="J65" i="18"/>
  <c r="B64" i="18"/>
  <c r="E63" i="18"/>
  <c r="J62" i="18"/>
  <c r="B61" i="18"/>
  <c r="E60" i="18"/>
  <c r="J59" i="18"/>
  <c r="H58" i="18"/>
  <c r="B57" i="18"/>
  <c r="A55" i="18"/>
  <c r="J53" i="18"/>
  <c r="J51" i="18"/>
  <c r="C50" i="18"/>
  <c r="D49" i="18"/>
  <c r="C48" i="18"/>
  <c r="T46" i="18"/>
  <c r="H45" i="18"/>
  <c r="A44" i="18"/>
  <c r="E43" i="18"/>
  <c r="A42" i="18"/>
  <c r="S40" i="18"/>
  <c r="X39" i="18"/>
  <c r="F38" i="18"/>
  <c r="L37" i="18"/>
  <c r="O36" i="18"/>
  <c r="Q35" i="18"/>
  <c r="T34" i="18"/>
  <c r="T33" i="18"/>
  <c r="O32" i="18"/>
  <c r="O31" i="18"/>
  <c r="H30" i="18"/>
  <c r="H29" i="18"/>
  <c r="B28" i="18"/>
  <c r="C27" i="18"/>
  <c r="C26" i="18"/>
  <c r="X24" i="18"/>
  <c r="F23" i="18"/>
  <c r="L22" i="18"/>
  <c r="J21" i="18"/>
  <c r="J20" i="18"/>
  <c r="J19" i="18"/>
  <c r="C18" i="18"/>
  <c r="C17" i="18"/>
  <c r="V15" i="18"/>
  <c r="A15" i="18"/>
  <c r="D14" i="18"/>
  <c r="C13" i="18"/>
  <c r="V11" i="18"/>
  <c r="A11" i="18"/>
  <c r="D10" i="18"/>
  <c r="C9" i="18"/>
  <c r="V7" i="18"/>
  <c r="A7" i="18"/>
  <c r="A5" i="18"/>
  <c r="E100" i="17"/>
  <c r="E98" i="17"/>
  <c r="E96" i="17"/>
  <c r="E94" i="17"/>
  <c r="E92" i="17"/>
  <c r="E90" i="17"/>
  <c r="E88" i="17"/>
  <c r="X85" i="17"/>
  <c r="S84" i="17"/>
  <c r="Q83" i="17"/>
  <c r="L82" i="17"/>
  <c r="D129" i="19"/>
  <c r="S124" i="19"/>
  <c r="L118" i="19"/>
  <c r="E114" i="19"/>
  <c r="L110" i="19"/>
  <c r="Q108" i="19"/>
  <c r="O107" i="19"/>
  <c r="N106" i="19"/>
  <c r="B105" i="19"/>
  <c r="A104" i="19"/>
  <c r="S102" i="19"/>
  <c r="F101" i="19"/>
  <c r="E100" i="19"/>
  <c r="D99" i="19"/>
  <c r="C98" i="19"/>
  <c r="L96" i="19"/>
  <c r="J95" i="19"/>
  <c r="H94" i="19"/>
  <c r="Q92" i="19"/>
  <c r="O91" i="19"/>
  <c r="N90" i="19"/>
  <c r="B89" i="19"/>
  <c r="A88" i="19"/>
  <c r="S86" i="19"/>
  <c r="F85" i="19"/>
  <c r="E84" i="19"/>
  <c r="D83" i="19"/>
  <c r="C82" i="19"/>
  <c r="L80" i="19"/>
  <c r="J79" i="19"/>
  <c r="H78" i="19"/>
  <c r="Q76" i="19"/>
  <c r="Q74" i="19"/>
  <c r="B73" i="19"/>
  <c r="A72" i="19"/>
  <c r="S70" i="19"/>
  <c r="F69" i="19"/>
  <c r="E68" i="19"/>
  <c r="D67" i="19"/>
  <c r="A66" i="19"/>
  <c r="S64" i="19"/>
  <c r="F63" i="19"/>
  <c r="E62" i="19"/>
  <c r="D61" i="19"/>
  <c r="C60" i="19"/>
  <c r="L58" i="19"/>
  <c r="J57" i="19"/>
  <c r="H56" i="19"/>
  <c r="Q54" i="19"/>
  <c r="B53" i="19"/>
  <c r="A52" i="19"/>
  <c r="S50" i="19"/>
  <c r="F49" i="19"/>
  <c r="E48" i="19"/>
  <c r="D47" i="19"/>
  <c r="C46" i="19"/>
  <c r="L44" i="19"/>
  <c r="J43" i="19"/>
  <c r="H42" i="19"/>
  <c r="Q40" i="19"/>
  <c r="O39" i="19"/>
  <c r="N38" i="19"/>
  <c r="Q36" i="19"/>
  <c r="B35" i="19"/>
  <c r="A34" i="19"/>
  <c r="S32" i="19"/>
  <c r="F31" i="19"/>
  <c r="E30" i="19"/>
  <c r="D29" i="19"/>
  <c r="C28" i="19"/>
  <c r="L26" i="19"/>
  <c r="J25" i="19"/>
  <c r="H24" i="19"/>
  <c r="Q22" i="19"/>
  <c r="O21" i="19"/>
  <c r="N20" i="19"/>
  <c r="B19" i="19"/>
  <c r="A18" i="19"/>
  <c r="S16" i="19"/>
  <c r="F15" i="19"/>
  <c r="E14" i="19"/>
  <c r="D13" i="19"/>
  <c r="C12" i="19"/>
  <c r="L10" i="19"/>
  <c r="J9" i="19"/>
  <c r="H8" i="19"/>
  <c r="Q6" i="19"/>
  <c r="Q5" i="19"/>
  <c r="O133" i="18"/>
  <c r="O131" i="18"/>
  <c r="F129" i="18"/>
  <c r="F127" i="18"/>
  <c r="F125" i="18"/>
  <c r="F123" i="18"/>
  <c r="D121" i="18"/>
  <c r="D120" i="18"/>
  <c r="D119" i="18"/>
  <c r="D118" i="18"/>
  <c r="D117" i="18"/>
  <c r="D116" i="18"/>
  <c r="D115" i="18"/>
  <c r="D114" i="18"/>
  <c r="D113" i="18"/>
  <c r="D112" i="18"/>
  <c r="D111" i="18"/>
  <c r="D110" i="18"/>
  <c r="A109" i="18"/>
  <c r="E108" i="18"/>
  <c r="L107" i="18"/>
  <c r="Q106" i="18"/>
  <c r="V105" i="18"/>
  <c r="A105" i="18"/>
  <c r="E104" i="18"/>
  <c r="L103" i="18"/>
  <c r="Q102" i="18"/>
  <c r="V101" i="18"/>
  <c r="A101" i="18"/>
  <c r="E100" i="18"/>
  <c r="L99" i="18"/>
  <c r="Q98" i="18"/>
  <c r="X96" i="18"/>
  <c r="Q95" i="18"/>
  <c r="T94" i="18"/>
  <c r="S93" i="18"/>
  <c r="X92" i="18"/>
  <c r="Q91" i="18"/>
  <c r="T90" i="18"/>
  <c r="S89" i="18"/>
  <c r="X88" i="18"/>
  <c r="Q87" i="18"/>
  <c r="T86" i="18"/>
  <c r="S85" i="18"/>
  <c r="V84" i="18"/>
  <c r="A84" i="18"/>
  <c r="D83" i="18"/>
  <c r="D82" i="18"/>
  <c r="C81" i="18"/>
  <c r="V79" i="18"/>
  <c r="A79" i="18"/>
  <c r="D78" i="18"/>
  <c r="C77" i="18"/>
  <c r="A76" i="18"/>
  <c r="D75" i="18"/>
  <c r="A74" i="18"/>
  <c r="D73" i="18"/>
  <c r="C72" i="18"/>
  <c r="X70" i="18"/>
  <c r="Q69" i="18"/>
  <c r="T68" i="18"/>
  <c r="S67" i="18"/>
  <c r="X66" i="18"/>
  <c r="H65" i="18"/>
  <c r="L64" i="18"/>
  <c r="O63" i="18"/>
  <c r="N62" i="18"/>
  <c r="Q61" i="18"/>
  <c r="T60" i="18"/>
  <c r="S59" i="18"/>
  <c r="X58" i="18"/>
  <c r="Q57" i="18"/>
  <c r="X55" i="18"/>
  <c r="F54" i="18"/>
  <c r="L52" i="18"/>
  <c r="C51" i="18"/>
  <c r="N49" i="18"/>
  <c r="F48" i="18"/>
  <c r="N46" i="18"/>
  <c r="B45" i="18"/>
  <c r="O43" i="18"/>
  <c r="D42" i="18"/>
  <c r="C41" i="18"/>
  <c r="Q39" i="18"/>
  <c r="V38" i="18"/>
  <c r="A38" i="18"/>
  <c r="D37" i="18"/>
  <c r="A36" i="18"/>
  <c r="D35" i="18"/>
  <c r="C34" i="18"/>
  <c r="S32" i="18"/>
  <c r="S31" i="18"/>
  <c r="F30" i="18"/>
  <c r="B29" i="18"/>
  <c r="E28" i="18"/>
  <c r="B27" i="18"/>
  <c r="X25" i="18"/>
  <c r="Q24" i="18"/>
  <c r="V23" i="18"/>
  <c r="A23" i="18"/>
  <c r="D22" i="18"/>
  <c r="S20" i="18"/>
  <c r="S19" i="18"/>
  <c r="X18" i="18"/>
  <c r="F17" i="18"/>
  <c r="L16" i="18"/>
  <c r="O15" i="18"/>
  <c r="N14" i="18"/>
  <c r="A130" i="19"/>
  <c r="N124" i="19"/>
  <c r="F119" i="19"/>
  <c r="B115" i="19"/>
  <c r="H111" i="19"/>
  <c r="A109" i="19"/>
  <c r="S107" i="19"/>
  <c r="F106" i="19"/>
  <c r="E105" i="19"/>
  <c r="D104" i="19"/>
  <c r="C103" i="19"/>
  <c r="L101" i="19"/>
  <c r="J100" i="19"/>
  <c r="H99" i="19"/>
  <c r="Q97" i="19"/>
  <c r="O96" i="19"/>
  <c r="N95" i="19"/>
  <c r="B94" i="19"/>
  <c r="A93" i="19"/>
  <c r="S91" i="19"/>
  <c r="F90" i="19"/>
  <c r="E89" i="19"/>
  <c r="D88" i="19"/>
  <c r="C87" i="19"/>
  <c r="L85" i="19"/>
  <c r="J84" i="19"/>
  <c r="H83" i="19"/>
  <c r="Q81" i="19"/>
  <c r="O80" i="19"/>
  <c r="N79" i="19"/>
  <c r="B78" i="19"/>
  <c r="A77" i="19"/>
  <c r="Q75" i="19"/>
  <c r="J74" i="19"/>
  <c r="E73" i="19"/>
  <c r="D72" i="19"/>
  <c r="C71" i="19"/>
  <c r="L69" i="19"/>
  <c r="J68" i="19"/>
  <c r="H67" i="19"/>
  <c r="N65" i="19"/>
  <c r="B64" i="19"/>
  <c r="A63" i="19"/>
  <c r="S61" i="19"/>
  <c r="F60" i="19"/>
  <c r="E59" i="19"/>
  <c r="D58" i="19"/>
  <c r="C57" i="19"/>
  <c r="L55" i="19"/>
  <c r="J54" i="19"/>
  <c r="E53" i="19"/>
  <c r="D52" i="19"/>
  <c r="C51" i="19"/>
  <c r="L49" i="19"/>
  <c r="J48" i="19"/>
  <c r="H47" i="19"/>
  <c r="Q45" i="19"/>
  <c r="O44" i="19"/>
  <c r="N43" i="19"/>
  <c r="B42" i="19"/>
  <c r="A41" i="19"/>
  <c r="S39" i="19"/>
  <c r="F38" i="19"/>
  <c r="A37" i="19"/>
  <c r="Q35" i="19"/>
  <c r="O34" i="19"/>
  <c r="N33" i="19"/>
  <c r="B32" i="19"/>
  <c r="A31" i="19"/>
  <c r="S29" i="19"/>
  <c r="F28" i="19"/>
  <c r="E27" i="19"/>
  <c r="D26" i="19"/>
  <c r="C25" i="19"/>
  <c r="L23" i="19"/>
  <c r="J22" i="19"/>
  <c r="H21" i="19"/>
  <c r="Q19" i="19"/>
  <c r="O18" i="19"/>
  <c r="N17" i="19"/>
  <c r="B16" i="19"/>
  <c r="A15" i="19"/>
  <c r="S13" i="19"/>
  <c r="F12" i="19"/>
  <c r="E11" i="19"/>
  <c r="D10" i="19"/>
  <c r="C9" i="19"/>
  <c r="L7" i="19"/>
  <c r="J6" i="19"/>
  <c r="S4" i="19"/>
  <c r="N133" i="18"/>
  <c r="N131" i="18"/>
  <c r="Q129" i="18"/>
  <c r="J163" i="22"/>
  <c r="T252" i="22"/>
  <c r="E198" i="22"/>
  <c r="C131" i="22"/>
  <c r="D211" i="22"/>
  <c r="O218" i="22"/>
  <c r="A153" i="22"/>
  <c r="H84" i="22"/>
  <c r="E162" i="22"/>
  <c r="D95" i="22"/>
  <c r="Q65" i="22"/>
  <c r="A46" i="22"/>
  <c r="H29" i="22"/>
  <c r="B10" i="22"/>
  <c r="J32" i="21"/>
  <c r="A10" i="21"/>
  <c r="F60" i="22"/>
  <c r="O42" i="22"/>
  <c r="F23" i="22"/>
  <c r="L10" i="22"/>
  <c r="C38" i="21"/>
  <c r="A15" i="21"/>
  <c r="Q58" i="22"/>
  <c r="N43" i="22"/>
  <c r="E29" i="22"/>
  <c r="O14" i="22"/>
  <c r="H6" i="22"/>
  <c r="E46" i="21"/>
  <c r="X38" i="21"/>
  <c r="O30" i="21"/>
  <c r="L23" i="21"/>
  <c r="D15" i="21"/>
  <c r="A8" i="21"/>
  <c r="B85" i="20"/>
  <c r="C67" i="22"/>
  <c r="D61" i="22"/>
  <c r="T55" i="22"/>
  <c r="B49" i="22"/>
  <c r="B42" i="22"/>
  <c r="D35" i="22"/>
  <c r="O29" i="22"/>
  <c r="J24" i="22"/>
  <c r="C19" i="22"/>
  <c r="C14" i="22"/>
  <c r="C10" i="22"/>
  <c r="N5" i="22"/>
  <c r="T46" i="21"/>
  <c r="E41" i="21"/>
  <c r="E37" i="21"/>
  <c r="D31" i="21"/>
  <c r="F25" i="21"/>
  <c r="E20" i="21"/>
  <c r="L13" i="21"/>
  <c r="J8" i="21"/>
  <c r="H87" i="20"/>
  <c r="N4" i="21"/>
  <c r="V80" i="20"/>
  <c r="V75" i="20"/>
  <c r="T71" i="20"/>
  <c r="T67" i="20"/>
  <c r="O63" i="20"/>
  <c r="O59" i="20"/>
  <c r="Q55" i="20"/>
  <c r="E51" i="20"/>
  <c r="Q47" i="20"/>
  <c r="L43" i="20"/>
  <c r="F39" i="20"/>
  <c r="D35" i="20"/>
  <c r="L29" i="20"/>
  <c r="J24" i="20"/>
  <c r="A19" i="20"/>
  <c r="D13" i="20"/>
  <c r="O7" i="20"/>
  <c r="N281" i="19"/>
  <c r="H277" i="19"/>
  <c r="F272" i="19"/>
  <c r="F266" i="19"/>
  <c r="X260" i="19"/>
  <c r="F255" i="19"/>
  <c r="B250" i="19"/>
  <c r="X244" i="19"/>
  <c r="N239" i="19"/>
  <c r="F234" i="19"/>
  <c r="L229" i="19"/>
  <c r="O224" i="19"/>
  <c r="S219" i="19"/>
  <c r="C215" i="19"/>
  <c r="Q209" i="19"/>
  <c r="O204" i="19"/>
  <c r="N199" i="19"/>
  <c r="F194" i="19"/>
  <c r="L189" i="19"/>
  <c r="O184" i="19"/>
  <c r="S179" i="19"/>
  <c r="C175" i="19"/>
  <c r="Q169" i="19"/>
  <c r="A165" i="19"/>
  <c r="D160" i="19"/>
  <c r="H155" i="19"/>
  <c r="B150" i="19"/>
  <c r="E145" i="19"/>
  <c r="J140" i="19"/>
  <c r="N135" i="19"/>
  <c r="F130" i="19"/>
  <c r="L125" i="19"/>
  <c r="O120" i="19"/>
  <c r="S115" i="19"/>
  <c r="F5" i="21"/>
  <c r="T80" i="20"/>
  <c r="T75" i="20"/>
  <c r="S71" i="20"/>
  <c r="S67" i="20"/>
  <c r="S63" i="20"/>
  <c r="N59" i="20"/>
  <c r="H55" i="20"/>
  <c r="J51" i="20"/>
  <c r="H47" i="20"/>
  <c r="D43" i="20"/>
  <c r="A39" i="20"/>
  <c r="H35" i="20"/>
  <c r="F30" i="20"/>
  <c r="A25" i="20"/>
  <c r="Q19" i="20"/>
  <c r="L14" i="20"/>
  <c r="E9" i="20"/>
  <c r="X282" i="19"/>
  <c r="B277" i="19"/>
  <c r="A272" i="19"/>
  <c r="L268" i="19"/>
  <c r="L264" i="19"/>
  <c r="Q260" i="19"/>
  <c r="L257" i="19"/>
  <c r="E254" i="19"/>
  <c r="A251" i="19"/>
  <c r="V247" i="19"/>
  <c r="Q244" i="19"/>
  <c r="S240" i="19"/>
  <c r="C236" i="19"/>
  <c r="Q230" i="19"/>
  <c r="A226" i="19"/>
  <c r="D221" i="19"/>
  <c r="H216" i="19"/>
  <c r="B211" i="19"/>
  <c r="E206" i="19"/>
  <c r="S200" i="19"/>
  <c r="C196" i="19"/>
  <c r="Q190" i="19"/>
  <c r="A186" i="19"/>
  <c r="D181" i="19"/>
  <c r="H176" i="19"/>
  <c r="B171" i="19"/>
  <c r="E166" i="19"/>
  <c r="J161" i="19"/>
  <c r="N156" i="19"/>
  <c r="F151" i="19"/>
  <c r="L146" i="19"/>
  <c r="O141" i="19"/>
  <c r="S136" i="19"/>
  <c r="C132" i="19"/>
  <c r="A83" i="20"/>
  <c r="D78" i="20"/>
  <c r="A74" i="20"/>
  <c r="A70" i="20"/>
  <c r="A66" i="20"/>
  <c r="H61" i="20"/>
  <c r="C57" i="20"/>
  <c r="C53" i="20"/>
  <c r="X48" i="20"/>
  <c r="C45" i="20"/>
  <c r="E41" i="20"/>
  <c r="F37" i="20"/>
  <c r="B33" i="20"/>
  <c r="O27" i="20"/>
  <c r="B22" i="20"/>
  <c r="O16" i="20"/>
  <c r="L10" i="20"/>
  <c r="O5" i="20"/>
  <c r="L280" i="19"/>
  <c r="A277" i="19"/>
  <c r="J273" i="19"/>
  <c r="T268" i="19"/>
  <c r="J263" i="19"/>
  <c r="T258" i="19"/>
  <c r="T254" i="19"/>
  <c r="T250" i="19"/>
  <c r="T246" i="19"/>
  <c r="T242" i="19"/>
  <c r="S237" i="19"/>
  <c r="C233" i="19"/>
  <c r="Q227" i="19"/>
  <c r="A223" i="19"/>
  <c r="D218" i="19"/>
  <c r="H213" i="19"/>
  <c r="B208" i="19"/>
  <c r="O202" i="19"/>
  <c r="S197" i="19"/>
  <c r="C193" i="19"/>
  <c r="Q187" i="19"/>
  <c r="A183" i="19"/>
  <c r="D178" i="19"/>
  <c r="H173" i="19"/>
  <c r="B168" i="19"/>
  <c r="E163" i="19"/>
  <c r="J158" i="19"/>
  <c r="N153" i="19"/>
  <c r="F148" i="19"/>
  <c r="L143" i="19"/>
  <c r="O138" i="19"/>
  <c r="S133" i="19"/>
  <c r="C129" i="19"/>
  <c r="Q123" i="19"/>
  <c r="A119" i="19"/>
  <c r="D114" i="19"/>
  <c r="H109" i="19"/>
  <c r="T81" i="20"/>
  <c r="O76" i="20"/>
  <c r="B72" i="20"/>
  <c r="B68" i="20"/>
  <c r="A64" i="20"/>
  <c r="Q60" i="20"/>
  <c r="O56" i="20"/>
  <c r="L52" i="20"/>
  <c r="F49" i="20"/>
  <c r="C48" i="20"/>
  <c r="O46" i="20"/>
  <c r="F45" i="20"/>
  <c r="A44" i="20"/>
  <c r="Q42" i="20"/>
  <c r="J41" i="20"/>
  <c r="C40" i="20"/>
  <c r="N38" i="20"/>
  <c r="E37" i="20"/>
  <c r="E36" i="20"/>
  <c r="O34" i="20"/>
  <c r="H33" i="20"/>
  <c r="H31" i="20"/>
  <c r="F29" i="20"/>
  <c r="N27" i="20"/>
  <c r="E26" i="20"/>
  <c r="E24" i="20"/>
  <c r="L22" i="20"/>
  <c r="C21" i="20"/>
  <c r="B19" i="20"/>
  <c r="O17" i="20"/>
  <c r="C16" i="20"/>
  <c r="H14" i="20"/>
  <c r="A13" i="20"/>
  <c r="L11" i="20"/>
  <c r="N9" i="20"/>
  <c r="Q7" i="20"/>
  <c r="O6" i="20"/>
  <c r="D3" i="20"/>
  <c r="J281" i="19"/>
  <c r="T279" i="19"/>
  <c r="J278" i="19"/>
  <c r="D277" i="19"/>
  <c r="T275" i="19"/>
  <c r="J274" i="19"/>
  <c r="N272" i="19"/>
  <c r="C271" i="19"/>
  <c r="N269" i="19"/>
  <c r="N267" i="19"/>
  <c r="C266" i="19"/>
  <c r="C264" i="19"/>
  <c r="H262" i="19"/>
  <c r="S260" i="19"/>
  <c r="H259" i="19"/>
  <c r="C258" i="19"/>
  <c r="S256" i="19"/>
  <c r="H255" i="19"/>
  <c r="C254" i="19"/>
  <c r="S252" i="19"/>
  <c r="H251" i="19"/>
  <c r="C250" i="19"/>
  <c r="S248" i="19"/>
  <c r="H247" i="19"/>
  <c r="C246" i="19"/>
  <c r="S244" i="19"/>
  <c r="H243" i="19"/>
  <c r="F241" i="19"/>
  <c r="A240" i="19"/>
  <c r="H238" i="19"/>
  <c r="L236" i="19"/>
  <c r="D235" i="19"/>
  <c r="B233" i="19"/>
  <c r="O231" i="19"/>
  <c r="H230" i="19"/>
  <c r="E228" i="19"/>
  <c r="S226" i="19"/>
  <c r="B225" i="19"/>
  <c r="J223" i="19"/>
  <c r="C222" i="19"/>
  <c r="E220" i="19"/>
  <c r="N218" i="19"/>
  <c r="Q216" i="19"/>
  <c r="J215" i="19"/>
  <c r="F213" i="19"/>
  <c r="A212" i="19"/>
  <c r="N210" i="19"/>
  <c r="L208" i="19"/>
  <c r="D207" i="19"/>
  <c r="F205" i="19"/>
  <c r="D203" i="19"/>
  <c r="F201" i="19"/>
  <c r="A200" i="19"/>
  <c r="H198" i="19"/>
  <c r="L196" i="19"/>
  <c r="D195" i="19"/>
  <c r="B193" i="19"/>
  <c r="O191" i="19"/>
  <c r="H190" i="19"/>
  <c r="E188" i="19"/>
  <c r="S186" i="19"/>
  <c r="B185" i="19"/>
  <c r="J183" i="19"/>
  <c r="C182" i="19"/>
  <c r="E180" i="19"/>
  <c r="N178" i="19"/>
  <c r="Q176" i="19"/>
  <c r="J175" i="19"/>
  <c r="F173" i="19"/>
  <c r="A172" i="19"/>
  <c r="N170" i="19"/>
  <c r="B169" i="19"/>
  <c r="A168" i="19"/>
  <c r="S166" i="19"/>
  <c r="F165" i="19"/>
  <c r="E164" i="19"/>
  <c r="D163" i="19"/>
  <c r="C162" i="19"/>
  <c r="L160" i="19"/>
  <c r="J159" i="19"/>
  <c r="H158" i="19"/>
  <c r="Q156" i="19"/>
  <c r="O155" i="19"/>
  <c r="N154" i="19"/>
  <c r="B153" i="19"/>
  <c r="A152" i="19"/>
  <c r="S150" i="19"/>
  <c r="F149" i="19"/>
  <c r="E148" i="19"/>
  <c r="D147" i="19"/>
  <c r="C146" i="19"/>
  <c r="L144" i="19"/>
  <c r="J143" i="19"/>
  <c r="H142" i="19"/>
  <c r="Q140" i="19"/>
  <c r="O139" i="19"/>
  <c r="N138" i="19"/>
  <c r="B137" i="19"/>
  <c r="A136" i="19"/>
  <c r="S134" i="19"/>
  <c r="F133" i="19"/>
  <c r="E132" i="19"/>
  <c r="D131" i="19"/>
  <c r="C130" i="19"/>
  <c r="L128" i="19"/>
  <c r="J127" i="19"/>
  <c r="H126" i="19"/>
  <c r="Q124" i="19"/>
  <c r="O123" i="19"/>
  <c r="N122" i="19"/>
  <c r="B121" i="19"/>
  <c r="A120" i="19"/>
  <c r="S118" i="19"/>
  <c r="F117" i="19"/>
  <c r="E116" i="19"/>
  <c r="D115" i="19"/>
  <c r="C114" i="19"/>
  <c r="L112" i="19"/>
  <c r="J111" i="19"/>
  <c r="H110" i="19"/>
  <c r="H128" i="19"/>
  <c r="C124" i="19"/>
  <c r="Q118" i="19"/>
  <c r="J113" i="19"/>
  <c r="B110" i="19"/>
  <c r="B108" i="19"/>
  <c r="A107" i="19"/>
  <c r="S105" i="19"/>
  <c r="F104" i="19"/>
  <c r="E103" i="19"/>
  <c r="D102" i="19"/>
  <c r="C101" i="19"/>
  <c r="L99" i="19"/>
  <c r="J98" i="19"/>
  <c r="H97" i="19"/>
  <c r="Q95" i="19"/>
  <c r="O94" i="19"/>
  <c r="N93" i="19"/>
  <c r="B92" i="19"/>
  <c r="A91" i="19"/>
  <c r="S89" i="19"/>
  <c r="F88" i="19"/>
  <c r="E87" i="19"/>
  <c r="D86" i="19"/>
  <c r="C85" i="19"/>
  <c r="L83" i="19"/>
  <c r="J82" i="19"/>
  <c r="H81" i="19"/>
  <c r="Q79" i="19"/>
  <c r="O78" i="19"/>
  <c r="N77" i="19"/>
  <c r="S75" i="19"/>
  <c r="S73" i="19"/>
  <c r="F72" i="19"/>
  <c r="E71" i="19"/>
  <c r="D70" i="19"/>
  <c r="C69" i="19"/>
  <c r="L67" i="19"/>
  <c r="J66" i="19"/>
  <c r="E65" i="19"/>
  <c r="D64" i="19"/>
  <c r="C63" i="19"/>
  <c r="L61" i="19"/>
  <c r="J60" i="19"/>
  <c r="H59" i="19"/>
  <c r="Q57" i="19"/>
  <c r="O56" i="19"/>
  <c r="N55" i="19"/>
  <c r="S53" i="19"/>
  <c r="F52" i="19"/>
  <c r="E51" i="19"/>
  <c r="D50" i="19"/>
  <c r="C49" i="19"/>
  <c r="L47" i="19"/>
  <c r="J46" i="19"/>
  <c r="H45" i="19"/>
  <c r="Q43" i="19"/>
  <c r="O42" i="19"/>
  <c r="N41" i="19"/>
  <c r="B40" i="19"/>
  <c r="A39" i="19"/>
  <c r="S37" i="19"/>
  <c r="S35" i="19"/>
  <c r="F34" i="19"/>
  <c r="E33" i="19"/>
  <c r="D32" i="19"/>
  <c r="C31" i="19"/>
  <c r="L29" i="19"/>
  <c r="J28" i="19"/>
  <c r="H27" i="19"/>
  <c r="Q25" i="19"/>
  <c r="O24" i="19"/>
  <c r="N23" i="19"/>
  <c r="B22" i="19"/>
  <c r="A21" i="19"/>
  <c r="S19" i="19"/>
  <c r="F18" i="19"/>
  <c r="E17" i="19"/>
  <c r="D16" i="19"/>
  <c r="C15" i="19"/>
  <c r="L13" i="19"/>
  <c r="J12" i="19"/>
  <c r="H11" i="19"/>
  <c r="Q9" i="19"/>
  <c r="O8" i="19"/>
  <c r="N7" i="19"/>
  <c r="X5" i="19"/>
  <c r="Q133" i="18"/>
  <c r="Q131" i="18"/>
  <c r="S129" i="18"/>
  <c r="S128" i="18"/>
  <c r="S127" i="18"/>
  <c r="S126" i="18"/>
  <c r="S125" i="18"/>
  <c r="S124" i="18"/>
  <c r="S123" i="18"/>
  <c r="A122" i="18"/>
  <c r="A121" i="18"/>
  <c r="E120" i="18"/>
  <c r="L119" i="18"/>
  <c r="Q118" i="18"/>
  <c r="V117" i="18"/>
  <c r="A117" i="18"/>
  <c r="E116" i="18"/>
  <c r="L115" i="18"/>
  <c r="Q114" i="18"/>
  <c r="V113" i="18"/>
  <c r="A113" i="18"/>
  <c r="E112" i="18"/>
  <c r="L111" i="18"/>
  <c r="Q110" i="18"/>
  <c r="V109" i="18"/>
  <c r="F108" i="18"/>
  <c r="B107" i="18"/>
  <c r="X105" i="18"/>
  <c r="F104" i="18"/>
  <c r="B103" i="18"/>
  <c r="X101" i="18"/>
  <c r="F100" i="18"/>
  <c r="B99" i="18"/>
  <c r="S96" i="18"/>
  <c r="X95" i="18"/>
  <c r="Q94" i="18"/>
  <c r="T93" i="18"/>
  <c r="S92" i="18"/>
  <c r="X91" i="18"/>
  <c r="Q90" i="18"/>
  <c r="T89" i="18"/>
  <c r="S88" i="18"/>
  <c r="X87" i="18"/>
  <c r="Q86" i="18"/>
  <c r="T85" i="18"/>
  <c r="F84" i="18"/>
  <c r="L83" i="18"/>
  <c r="Q82" i="18"/>
  <c r="T81" i="18"/>
  <c r="S80" i="18"/>
  <c r="X79" i="18"/>
  <c r="Q78" i="18"/>
  <c r="T77" i="18"/>
  <c r="S76" i="18"/>
  <c r="Q75" i="18"/>
  <c r="T74" i="18"/>
  <c r="V73" i="18"/>
  <c r="A73" i="18"/>
  <c r="D72" i="18"/>
  <c r="C71" i="18"/>
  <c r="C70" i="18"/>
  <c r="V68" i="18"/>
  <c r="A68" i="18"/>
  <c r="D67" i="18"/>
  <c r="A66" i="18"/>
  <c r="D65" i="18"/>
  <c r="V63" i="18"/>
  <c r="A63" i="18"/>
  <c r="D62" i="18"/>
  <c r="V60" i="18"/>
  <c r="A60" i="18"/>
  <c r="D59" i="18"/>
  <c r="C58" i="18"/>
  <c r="Q55" i="18"/>
  <c r="H54" i="18"/>
  <c r="D53" i="18"/>
  <c r="D51" i="18"/>
  <c r="X49" i="18"/>
  <c r="T48" i="18"/>
  <c r="L47" i="18"/>
  <c r="J46" i="18"/>
  <c r="C45" i="18"/>
  <c r="V43" i="18"/>
  <c r="A43" i="18"/>
  <c r="O41" i="18"/>
  <c r="N40" i="18"/>
  <c r="F39" i="18"/>
  <c r="B38" i="18"/>
  <c r="E37" i="18"/>
  <c r="J36" i="18"/>
  <c r="L35" i="18"/>
  <c r="O34" i="18"/>
  <c r="J33" i="18"/>
  <c r="J32" i="18"/>
  <c r="J31" i="18"/>
  <c r="C30" i="18"/>
  <c r="C29" i="18"/>
  <c r="X27" i="18"/>
  <c r="S26" i="18"/>
  <c r="N25" i="18"/>
  <c r="F24" i="18"/>
  <c r="B23" i="18"/>
  <c r="E22" i="18"/>
  <c r="D21" i="18"/>
  <c r="D20" i="18"/>
  <c r="D19" i="18"/>
  <c r="S17" i="18"/>
  <c r="X16" i="18"/>
  <c r="Q15" i="18"/>
  <c r="T14" i="18"/>
  <c r="S13" i="18"/>
  <c r="X12" i="18"/>
  <c r="Q11" i="18"/>
  <c r="T10" i="18"/>
  <c r="S9" i="18"/>
  <c r="X8" i="18"/>
  <c r="Q7" i="18"/>
  <c r="S5" i="18"/>
  <c r="D3" i="18"/>
  <c r="L99" i="17"/>
  <c r="L97" i="17"/>
  <c r="L95" i="17"/>
  <c r="L93" i="17"/>
  <c r="L91" i="17"/>
  <c r="L89" i="17"/>
  <c r="L87" i="17"/>
  <c r="L85" i="17"/>
  <c r="N84" i="17"/>
  <c r="J83" i="17"/>
  <c r="E82" i="17"/>
  <c r="C128" i="19"/>
  <c r="Q122" i="19"/>
  <c r="J117" i="19"/>
  <c r="D113" i="19"/>
  <c r="A110" i="19"/>
  <c r="L108" i="19"/>
  <c r="J107" i="19"/>
  <c r="H106" i="19"/>
  <c r="Q104" i="19"/>
  <c r="O103" i="19"/>
  <c r="N102" i="19"/>
  <c r="B101" i="19"/>
  <c r="A100" i="19"/>
  <c r="S98" i="19"/>
  <c r="F97" i="19"/>
  <c r="E96" i="19"/>
  <c r="D95" i="19"/>
  <c r="C94" i="19"/>
  <c r="L92" i="19"/>
  <c r="J91" i="19"/>
  <c r="H90" i="19"/>
  <c r="Q88" i="19"/>
  <c r="O87" i="19"/>
  <c r="N86" i="19"/>
  <c r="B85" i="19"/>
  <c r="A84" i="19"/>
  <c r="S82" i="19"/>
  <c r="F81" i="19"/>
  <c r="E80" i="19"/>
  <c r="D79" i="19"/>
  <c r="C78" i="19"/>
  <c r="L76" i="19"/>
  <c r="L74" i="19"/>
  <c r="Q72" i="19"/>
  <c r="O71" i="19"/>
  <c r="N70" i="19"/>
  <c r="B69" i="19"/>
  <c r="A68" i="19"/>
  <c r="S66" i="19"/>
  <c r="O65" i="19"/>
  <c r="N64" i="19"/>
  <c r="B63" i="19"/>
  <c r="A62" i="19"/>
  <c r="S60" i="19"/>
  <c r="F59" i="19"/>
  <c r="E58" i="19"/>
  <c r="D57" i="19"/>
  <c r="C56" i="19"/>
  <c r="L54" i="19"/>
  <c r="Q52" i="19"/>
  <c r="O51" i="19"/>
  <c r="N50" i="19"/>
  <c r="B49" i="19"/>
  <c r="A48" i="19"/>
  <c r="S46" i="19"/>
  <c r="F45" i="19"/>
  <c r="E44" i="19"/>
  <c r="D43" i="19"/>
  <c r="C42" i="19"/>
  <c r="L40" i="19"/>
  <c r="J39" i="19"/>
  <c r="H38" i="19"/>
  <c r="L36" i="19"/>
  <c r="Q34" i="19"/>
  <c r="O33" i="19"/>
  <c r="N32" i="19"/>
  <c r="B31" i="19"/>
  <c r="A30" i="19"/>
  <c r="S28" i="19"/>
  <c r="F27" i="19"/>
  <c r="E26" i="19"/>
  <c r="D25" i="19"/>
  <c r="C24" i="19"/>
  <c r="L22" i="19"/>
  <c r="J21" i="19"/>
  <c r="H20" i="19"/>
  <c r="Q18" i="19"/>
  <c r="O17" i="19"/>
  <c r="N16" i="19"/>
  <c r="B15" i="19"/>
  <c r="A14" i="19"/>
  <c r="S12" i="19"/>
  <c r="F11" i="19"/>
  <c r="E10" i="19"/>
  <c r="D9" i="19"/>
  <c r="C8" i="19"/>
  <c r="L6" i="19"/>
  <c r="L5" i="19"/>
  <c r="J133" i="18"/>
  <c r="J131" i="18"/>
  <c r="B129" i="18"/>
  <c r="B127" i="18"/>
  <c r="B125" i="18"/>
  <c r="B123" i="18"/>
  <c r="T120" i="18"/>
  <c r="T119" i="18"/>
  <c r="T118" i="18"/>
  <c r="T117" i="18"/>
  <c r="T116" i="18"/>
  <c r="T115" i="18"/>
  <c r="T114" i="18"/>
  <c r="T113" i="18"/>
  <c r="T112" i="18"/>
  <c r="T111" i="18"/>
  <c r="T110" i="18"/>
  <c r="T109" i="18"/>
  <c r="V108" i="18"/>
  <c r="A108" i="18"/>
  <c r="E107" i="18"/>
  <c r="L106" i="18"/>
  <c r="Q105" i="18"/>
  <c r="V104" i="18"/>
  <c r="A104" i="18"/>
  <c r="E103" i="18"/>
  <c r="L102" i="18"/>
  <c r="Q101" i="18"/>
  <c r="V100" i="18"/>
  <c r="A100" i="18"/>
  <c r="E99" i="18"/>
  <c r="L98" i="18"/>
  <c r="F96" i="18"/>
  <c r="L95" i="18"/>
  <c r="O94" i="18"/>
  <c r="N93" i="18"/>
  <c r="F92" i="18"/>
  <c r="L91" i="18"/>
  <c r="O90" i="18"/>
  <c r="N89" i="18"/>
  <c r="F88" i="18"/>
  <c r="L87" i="18"/>
  <c r="O86" i="18"/>
  <c r="N85" i="18"/>
  <c r="Q84" i="18"/>
  <c r="T83" i="18"/>
  <c r="T82" i="18"/>
  <c r="S81" i="18"/>
  <c r="X80" i="18"/>
  <c r="Q79" i="18"/>
  <c r="T78" i="18"/>
  <c r="S77" i="18"/>
  <c r="X76" i="18"/>
  <c r="T75" i="18"/>
  <c r="S74" i="18"/>
  <c r="T73" i="18"/>
  <c r="S72" i="18"/>
  <c r="X71" i="18"/>
  <c r="F70" i="18"/>
  <c r="L69" i="18"/>
  <c r="O68" i="18"/>
  <c r="N67" i="18"/>
  <c r="F66" i="18"/>
  <c r="C65" i="18"/>
  <c r="E64" i="18"/>
  <c r="J63" i="18"/>
  <c r="H62" i="18"/>
  <c r="L61" i="18"/>
  <c r="O60" i="18"/>
  <c r="N59" i="18"/>
  <c r="F58" i="18"/>
  <c r="L57" i="18"/>
  <c r="O55" i="18"/>
  <c r="N53" i="18"/>
  <c r="E52" i="18"/>
  <c r="F50" i="18"/>
  <c r="H49" i="18"/>
  <c r="B48" i="18"/>
  <c r="H46" i="18"/>
  <c r="J44" i="18"/>
  <c r="J43" i="18"/>
  <c r="S41" i="18"/>
  <c r="F40" i="18"/>
  <c r="L39" i="18"/>
  <c r="Q38" i="18"/>
  <c r="T37" i="18"/>
  <c r="S36" i="18"/>
  <c r="T35" i="18"/>
  <c r="S34" i="18"/>
  <c r="N33" i="18"/>
  <c r="N32" i="18"/>
  <c r="N31" i="18"/>
  <c r="B30" i="18"/>
  <c r="V28" i="18"/>
  <c r="A28" i="18"/>
  <c r="X26" i="18"/>
  <c r="F25" i="18"/>
  <c r="L24" i="18"/>
  <c r="Q23" i="18"/>
  <c r="T22" i="18"/>
  <c r="N21" i="18"/>
  <c r="N20" i="18"/>
  <c r="N19" i="18"/>
  <c r="F18" i="18"/>
  <c r="B17" i="18"/>
  <c r="E16" i="18"/>
  <c r="J15" i="18"/>
  <c r="H14" i="18"/>
  <c r="S128" i="19"/>
  <c r="L122" i="19"/>
  <c r="E118" i="19"/>
  <c r="A114" i="19"/>
  <c r="F110" i="19"/>
  <c r="O108" i="19"/>
  <c r="N107" i="19"/>
  <c r="B106" i="19"/>
  <c r="A105" i="19"/>
  <c r="S103" i="19"/>
  <c r="F102" i="19"/>
  <c r="E101" i="19"/>
  <c r="D100" i="19"/>
  <c r="C99" i="19"/>
  <c r="L97" i="19"/>
  <c r="J96" i="19"/>
  <c r="H95" i="19"/>
  <c r="Q93" i="19"/>
  <c r="O92" i="19"/>
  <c r="N91" i="19"/>
  <c r="B90" i="19"/>
  <c r="A89" i="19"/>
  <c r="S87" i="19"/>
  <c r="F86" i="19"/>
  <c r="E85" i="19"/>
  <c r="D84" i="19"/>
  <c r="C83" i="19"/>
  <c r="L81" i="19"/>
  <c r="J80" i="19"/>
  <c r="H79" i="19"/>
  <c r="Q77" i="19"/>
  <c r="O76" i="19"/>
  <c r="L75" i="19"/>
  <c r="D74" i="19"/>
  <c r="A73" i="19"/>
  <c r="S71" i="19"/>
  <c r="F70" i="19"/>
  <c r="E69" i="19"/>
  <c r="D68" i="19"/>
  <c r="C67" i="19"/>
  <c r="H65" i="19"/>
  <c r="Q63" i="19"/>
  <c r="O62" i="19"/>
  <c r="N61" i="19"/>
  <c r="B60" i="19"/>
  <c r="A59" i="19"/>
  <c r="S57" i="19"/>
  <c r="F56" i="19"/>
  <c r="E55" i="19"/>
  <c r="D54" i="19"/>
  <c r="A53" i="19"/>
  <c r="S51" i="19"/>
  <c r="F50" i="19"/>
  <c r="E49" i="19"/>
  <c r="D48" i="19"/>
  <c r="C47" i="19"/>
  <c r="L45" i="19"/>
  <c r="J44" i="19"/>
  <c r="H43" i="19"/>
  <c r="Q41" i="19"/>
  <c r="O40" i="19"/>
  <c r="N39" i="19"/>
  <c r="B38" i="19"/>
  <c r="O36" i="19"/>
  <c r="L35" i="19"/>
  <c r="J34" i="19"/>
  <c r="H33" i="19"/>
  <c r="Q31" i="19"/>
  <c r="O30" i="19"/>
  <c r="N29" i="19"/>
  <c r="B28" i="19"/>
  <c r="A27" i="19"/>
  <c r="S25" i="19"/>
  <c r="F24" i="19"/>
  <c r="E23" i="19"/>
  <c r="D22" i="19"/>
  <c r="C21" i="19"/>
  <c r="L19" i="19"/>
  <c r="J18" i="19"/>
  <c r="H17" i="19"/>
  <c r="Q15" i="19"/>
  <c r="O14" i="19"/>
  <c r="N13" i="19"/>
  <c r="B12" i="19"/>
  <c r="A11" i="19"/>
  <c r="S9" i="19"/>
  <c r="F8" i="19"/>
  <c r="E7" i="19"/>
  <c r="T5" i="19"/>
  <c r="N4" i="19"/>
  <c r="H133" i="18"/>
  <c r="H131" i="18"/>
  <c r="L129" i="18"/>
  <c r="L128" i="18"/>
  <c r="L127" i="18"/>
  <c r="L126" i="18"/>
  <c r="L125" i="18"/>
  <c r="L124" i="18"/>
  <c r="L123" i="18"/>
  <c r="N121" i="18"/>
  <c r="N120" i="18"/>
  <c r="N119" i="18"/>
  <c r="N118" i="18"/>
  <c r="N117" i="18"/>
  <c r="N116" i="18"/>
  <c r="N115" i="18"/>
  <c r="N114" i="18"/>
  <c r="N113" i="18"/>
  <c r="N112" i="18"/>
  <c r="N111" i="18"/>
  <c r="N110" i="18"/>
  <c r="J109" i="18"/>
  <c r="J108" i="18"/>
  <c r="J107" i="18"/>
  <c r="J106" i="18"/>
  <c r="J105" i="18"/>
  <c r="J104" i="18"/>
  <c r="J103" i="18"/>
  <c r="J102" i="18"/>
  <c r="J101" i="18"/>
  <c r="J100" i="18"/>
  <c r="J99" i="18"/>
  <c r="J98" i="18"/>
  <c r="Q96" i="18"/>
  <c r="T95" i="18"/>
  <c r="S94" i="18"/>
  <c r="X93" i="18"/>
  <c r="Q92" i="18"/>
  <c r="T91" i="18"/>
  <c r="S90" i="18"/>
  <c r="X89" i="18"/>
  <c r="Q88" i="18"/>
  <c r="T87" i="18"/>
  <c r="S86" i="18"/>
  <c r="X85" i="18"/>
  <c r="O84" i="18"/>
  <c r="N83" i="18"/>
  <c r="N82" i="18"/>
  <c r="F81" i="18"/>
  <c r="L80" i="18"/>
  <c r="O79" i="18"/>
  <c r="N78" i="18"/>
  <c r="F77" i="18"/>
  <c r="S75" i="18"/>
  <c r="X74" i="18"/>
  <c r="H73" i="18"/>
  <c r="B72" i="18"/>
  <c r="E71" i="18"/>
  <c r="L70" i="18"/>
  <c r="O69" i="18"/>
  <c r="N68" i="18"/>
  <c r="F67" i="18"/>
  <c r="L66" i="18"/>
  <c r="B65" i="18"/>
  <c r="D64" i="18"/>
  <c r="C63" i="18"/>
  <c r="V61" i="18"/>
  <c r="S60" i="18"/>
  <c r="X59" i="18"/>
  <c r="Q58" i="18"/>
  <c r="T57" i="18"/>
  <c r="D56" i="18"/>
  <c r="C55" i="18"/>
  <c r="F53" i="18"/>
  <c r="F51" i="18"/>
  <c r="A50" i="18"/>
  <c r="X48" i="18"/>
  <c r="H47" i="18"/>
  <c r="B46" i="18"/>
  <c r="H44" i="18"/>
  <c r="H43" i="18"/>
  <c r="C42" i="18"/>
  <c r="L40" i="18"/>
  <c r="O39" i="18"/>
  <c r="O38" i="18"/>
  <c r="N37" i="18"/>
  <c r="F36" i="18"/>
  <c r="C35" i="18"/>
  <c r="X33" i="18"/>
  <c r="F32" i="18"/>
  <c r="B31" i="18"/>
  <c r="V29" i="18"/>
  <c r="A29" i="18"/>
  <c r="D28" i="18"/>
  <c r="A27" i="18"/>
  <c r="E26" i="18"/>
  <c r="E25" i="18"/>
  <c r="J24" i="18"/>
  <c r="J23" i="18"/>
  <c r="H22" i="18"/>
  <c r="B21" i="18"/>
  <c r="X19" i="18"/>
  <c r="L18" i="18"/>
  <c r="Q17" i="18"/>
  <c r="T16" i="18"/>
  <c r="S15" i="18"/>
  <c r="X14" i="18"/>
  <c r="Q13" i="18"/>
  <c r="T12" i="18"/>
  <c r="S11" i="18"/>
  <c r="X10" i="18"/>
  <c r="Q9" i="18"/>
  <c r="T8" i="18"/>
  <c r="S7" i="18"/>
  <c r="A6" i="18"/>
  <c r="E5" i="18"/>
  <c r="D101" i="17"/>
  <c r="B99" i="17"/>
  <c r="B97" i="17"/>
  <c r="B95" i="17"/>
  <c r="B93" i="17"/>
  <c r="B91" i="17"/>
  <c r="B89" i="17"/>
  <c r="B87" i="17"/>
  <c r="O85" i="17"/>
  <c r="Q84" i="17"/>
  <c r="N83" i="17"/>
  <c r="O82" i="17"/>
  <c r="Q81" i="17"/>
  <c r="L80" i="17"/>
  <c r="N79" i="17"/>
  <c r="O78" i="17"/>
  <c r="J125" i="19"/>
  <c r="D121" i="19"/>
  <c r="S116" i="19"/>
  <c r="F111" i="19"/>
  <c r="E109" i="19"/>
  <c r="C108" i="19"/>
  <c r="L106" i="19"/>
  <c r="J105" i="19"/>
  <c r="H104" i="19"/>
  <c r="Q102" i="19"/>
  <c r="O101" i="19"/>
  <c r="N100" i="19"/>
  <c r="B99" i="19"/>
  <c r="A98" i="19"/>
  <c r="S96" i="19"/>
  <c r="F95" i="19"/>
  <c r="V438" i="22"/>
  <c r="C115" i="22"/>
  <c r="S73" i="22"/>
  <c r="V41" i="22"/>
  <c r="B88" i="20"/>
  <c r="E7" i="22"/>
  <c r="N39" i="22"/>
  <c r="V44" i="21"/>
  <c r="B13" i="21"/>
  <c r="T59" i="22"/>
  <c r="O33" i="22"/>
  <c r="C13" i="22"/>
  <c r="E40" i="21"/>
  <c r="D19" i="21"/>
  <c r="T85" i="20"/>
  <c r="X66" i="20"/>
  <c r="F50" i="20"/>
  <c r="C34" i="20"/>
  <c r="O11" i="20"/>
  <c r="X270" i="19"/>
  <c r="X248" i="19"/>
  <c r="J228" i="19"/>
  <c r="O208" i="19"/>
  <c r="J188" i="19"/>
  <c r="O168" i="19"/>
  <c r="A149" i="19"/>
  <c r="E129" i="19"/>
  <c r="O85" i="20"/>
  <c r="V66" i="20"/>
  <c r="E50" i="20"/>
  <c r="B34" i="20"/>
  <c r="H13" i="20"/>
  <c r="E271" i="19"/>
  <c r="Q256" i="19"/>
  <c r="V243" i="19"/>
  <c r="S224" i="19"/>
  <c r="S204" i="19"/>
  <c r="S184" i="19"/>
  <c r="D165" i="19"/>
  <c r="J145" i="19"/>
  <c r="V81" i="20"/>
  <c r="B65" i="20"/>
  <c r="S47" i="20"/>
  <c r="Q31" i="20"/>
  <c r="J9" i="20"/>
  <c r="J272" i="19"/>
  <c r="T253" i="19"/>
  <c r="F236" i="19"/>
  <c r="C217" i="19"/>
  <c r="F196" i="19"/>
  <c r="C177" i="19"/>
  <c r="H157" i="19"/>
  <c r="N137" i="19"/>
  <c r="S117" i="19"/>
  <c r="L75" i="20"/>
  <c r="Q59" i="20"/>
  <c r="L47" i="20"/>
  <c r="J42" i="20"/>
  <c r="A37" i="20"/>
  <c r="Q30" i="20"/>
  <c r="A24" i="20"/>
  <c r="J17" i="20"/>
  <c r="A11" i="20"/>
  <c r="T282" i="19"/>
  <c r="T276" i="19"/>
  <c r="N270" i="19"/>
  <c r="N263" i="19"/>
  <c r="S257" i="19"/>
  <c r="H252" i="19"/>
  <c r="C247" i="19"/>
  <c r="B241" i="19"/>
  <c r="N234" i="19"/>
  <c r="A228" i="19"/>
  <c r="F221" i="19"/>
  <c r="S214" i="19"/>
  <c r="E208" i="19"/>
  <c r="B201" i="19"/>
  <c r="N194" i="19"/>
  <c r="A188" i="19"/>
  <c r="F181" i="19"/>
  <c r="S174" i="19"/>
  <c r="Q168" i="19"/>
  <c r="A164" i="19"/>
  <c r="D159" i="19"/>
  <c r="H154" i="19"/>
  <c r="B149" i="19"/>
  <c r="E144" i="19"/>
  <c r="J139" i="19"/>
  <c r="N134" i="19"/>
  <c r="F129" i="19"/>
  <c r="L124" i="19"/>
  <c r="O119" i="19"/>
  <c r="S114" i="19"/>
  <c r="C110" i="19"/>
  <c r="H112" i="19"/>
  <c r="N105" i="19"/>
  <c r="F100" i="19"/>
  <c r="L95" i="19"/>
  <c r="O90" i="19"/>
  <c r="S85" i="19"/>
  <c r="C81" i="19"/>
  <c r="N75" i="19"/>
  <c r="S69" i="19"/>
  <c r="A65" i="19"/>
  <c r="D60" i="19"/>
  <c r="H55" i="19"/>
  <c r="S49" i="19"/>
  <c r="C45" i="19"/>
  <c r="Q39" i="19"/>
  <c r="B34" i="19"/>
  <c r="E29" i="19"/>
  <c r="J24" i="19"/>
  <c r="N19" i="19"/>
  <c r="F14" i="19"/>
  <c r="L9" i="19"/>
  <c r="L133" i="18"/>
  <c r="N127" i="18"/>
  <c r="N123" i="18"/>
  <c r="E119" i="18"/>
  <c r="A116" i="18"/>
  <c r="V112" i="18"/>
  <c r="F109" i="18"/>
  <c r="B104" i="18"/>
  <c r="X98" i="18"/>
  <c r="O93" i="18"/>
  <c r="O89" i="18"/>
  <c r="O85" i="18"/>
  <c r="O81" i="18"/>
  <c r="O77" i="18"/>
  <c r="Q73" i="18"/>
  <c r="X69" i="18"/>
  <c r="T65" i="18"/>
  <c r="S61" i="18"/>
  <c r="X57" i="18"/>
  <c r="N50" i="18"/>
  <c r="D46" i="18"/>
  <c r="J41" i="18"/>
  <c r="A37" i="18"/>
  <c r="D33" i="18"/>
  <c r="X28" i="18"/>
  <c r="B24" i="18"/>
  <c r="T19" i="18"/>
  <c r="L15" i="18"/>
  <c r="L11" i="18"/>
  <c r="L7" i="18"/>
  <c r="E97" i="17"/>
  <c r="E89" i="17"/>
  <c r="D83" i="17"/>
  <c r="H116" i="19"/>
  <c r="D107" i="19"/>
  <c r="H102" i="19"/>
  <c r="B97" i="19"/>
  <c r="E92" i="19"/>
  <c r="J87" i="19"/>
  <c r="N82" i="19"/>
  <c r="F77" i="19"/>
  <c r="J71" i="19"/>
  <c r="N66" i="19"/>
  <c r="O61" i="19"/>
  <c r="S56" i="19"/>
  <c r="J51" i="19"/>
  <c r="N46" i="19"/>
  <c r="F41" i="19"/>
  <c r="E36" i="19"/>
  <c r="Q30" i="19"/>
  <c r="A26" i="19"/>
  <c r="D21" i="19"/>
  <c r="H16" i="19"/>
  <c r="B11" i="19"/>
  <c r="A6" i="19"/>
  <c r="F128" i="18"/>
  <c r="O120" i="18"/>
  <c r="O116" i="18"/>
  <c r="O112" i="18"/>
  <c r="Q108" i="18"/>
  <c r="L105" i="18"/>
  <c r="E102" i="18"/>
  <c r="A99" i="18"/>
  <c r="J94" i="18"/>
  <c r="J90" i="18"/>
  <c r="J86" i="18"/>
  <c r="O82" i="18"/>
  <c r="O78" i="18"/>
  <c r="N74" i="18"/>
  <c r="B70" i="18"/>
  <c r="S65" i="18"/>
  <c r="C62" i="18"/>
  <c r="B58" i="18"/>
  <c r="A52" i="18"/>
  <c r="C46" i="18"/>
  <c r="B40" i="18"/>
  <c r="N36" i="18"/>
  <c r="H32" i="18"/>
  <c r="V27" i="18"/>
  <c r="L23" i="18"/>
  <c r="H19" i="18"/>
  <c r="D15" i="18"/>
  <c r="D117" i="19"/>
  <c r="H107" i="19"/>
  <c r="B102" i="19"/>
  <c r="E97" i="19"/>
  <c r="J92" i="19"/>
  <c r="N87" i="19"/>
  <c r="F82" i="19"/>
  <c r="L77" i="19"/>
  <c r="O72" i="19"/>
  <c r="S67" i="19"/>
  <c r="J62" i="19"/>
  <c r="N57" i="19"/>
  <c r="O52" i="19"/>
  <c r="S47" i="19"/>
  <c r="C43" i="19"/>
  <c r="Q37" i="19"/>
  <c r="C33" i="19"/>
  <c r="Q27" i="19"/>
  <c r="A23" i="19"/>
  <c r="D18" i="19"/>
  <c r="H13" i="19"/>
  <c r="B8" i="19"/>
  <c r="C133" i="18"/>
  <c r="E128" i="18"/>
  <c r="Q126" i="18"/>
  <c r="E125" i="18"/>
  <c r="A124" i="18"/>
  <c r="S121" i="18"/>
  <c r="H120" i="18"/>
  <c r="C119" i="18"/>
  <c r="S117" i="18"/>
  <c r="H116" i="18"/>
  <c r="C115" i="18"/>
  <c r="S113" i="18"/>
  <c r="H112" i="18"/>
  <c r="C111" i="18"/>
  <c r="S109" i="18"/>
  <c r="D108" i="18"/>
  <c r="T106" i="18"/>
  <c r="O105" i="18"/>
  <c r="D104" i="18"/>
  <c r="T102" i="18"/>
  <c r="O101" i="18"/>
  <c r="D100" i="18"/>
  <c r="T98" i="18"/>
  <c r="V96" i="18"/>
  <c r="O95" i="18"/>
  <c r="H94" i="18"/>
  <c r="V92" i="18"/>
  <c r="O91" i="18"/>
  <c r="H90" i="18"/>
  <c r="V88" i="18"/>
  <c r="O87" i="18"/>
  <c r="H86" i="18"/>
  <c r="T84" i="18"/>
  <c r="H83" i="18"/>
  <c r="C82" i="18"/>
  <c r="Q80" i="18"/>
  <c r="J79" i="18"/>
  <c r="C78" i="18"/>
  <c r="F76" i="18"/>
  <c r="F74" i="18"/>
  <c r="X72" i="18"/>
  <c r="L71" i="18"/>
  <c r="E70" i="18"/>
  <c r="D69" i="18"/>
  <c r="X67" i="18"/>
  <c r="E66" i="18"/>
  <c r="O64" i="18"/>
  <c r="H63" i="18"/>
  <c r="O61" i="18"/>
  <c r="H60" i="18"/>
  <c r="V58" i="18"/>
  <c r="O57" i="18"/>
  <c r="N55" i="18"/>
  <c r="X53" i="18"/>
  <c r="B51" i="18"/>
  <c r="F49" i="18"/>
  <c r="A48" i="18"/>
  <c r="L45" i="18"/>
  <c r="S43" i="18"/>
  <c r="H42" i="18"/>
  <c r="E40" i="18"/>
  <c r="D39" i="18"/>
  <c r="S37" i="18"/>
  <c r="S35" i="18"/>
  <c r="F34" i="18"/>
  <c r="X32" i="18"/>
  <c r="L30" i="18"/>
  <c r="L29" i="18"/>
  <c r="J28" i="18"/>
  <c r="V26" i="18"/>
  <c r="V25" i="18"/>
  <c r="O24" i="18"/>
  <c r="D23" i="18"/>
  <c r="X21" i="18"/>
  <c r="B20" i="18"/>
  <c r="E18" i="18"/>
  <c r="E17" i="18"/>
  <c r="D16" i="18"/>
  <c r="F14" i="18"/>
  <c r="E13" i="18"/>
  <c r="D12" i="18"/>
  <c r="F10" i="18"/>
  <c r="E9" i="18"/>
  <c r="D8" i="18"/>
  <c r="V5" i="18"/>
  <c r="B3" i="18"/>
  <c r="H99" i="17"/>
  <c r="H96" i="17"/>
  <c r="B94" i="17"/>
  <c r="H91" i="17"/>
  <c r="H88" i="17"/>
  <c r="B86" i="17"/>
  <c r="V84" i="17"/>
  <c r="F83" i="17"/>
  <c r="C82" i="17"/>
  <c r="S80" i="17"/>
  <c r="F79" i="17"/>
  <c r="N128" i="19"/>
  <c r="E122" i="19"/>
  <c r="Q114" i="19"/>
  <c r="E110" i="19"/>
  <c r="H108" i="19"/>
  <c r="E106" i="19"/>
  <c r="S104" i="19"/>
  <c r="B103" i="19"/>
  <c r="J101" i="19"/>
  <c r="C100" i="19"/>
  <c r="E98" i="19"/>
  <c r="N96" i="19"/>
  <c r="Q94" i="19"/>
  <c r="O93" i="19"/>
  <c r="N92" i="19"/>
  <c r="B91" i="19"/>
  <c r="A90" i="19"/>
  <c r="S88" i="19"/>
  <c r="F87" i="19"/>
  <c r="E86" i="19"/>
  <c r="D85" i="19"/>
  <c r="C84" i="19"/>
  <c r="L82" i="19"/>
  <c r="J81" i="19"/>
  <c r="H80" i="19"/>
  <c r="Q78" i="19"/>
  <c r="O77" i="19"/>
  <c r="N76" i="19"/>
  <c r="J75" i="19"/>
  <c r="A74" i="19"/>
  <c r="S72" i="19"/>
  <c r="F71" i="19"/>
  <c r="E70" i="19"/>
  <c r="D69" i="19"/>
  <c r="C68" i="19"/>
  <c r="L66" i="19"/>
  <c r="Q64" i="19"/>
  <c r="O63" i="19"/>
  <c r="N62" i="19"/>
  <c r="B61" i="19"/>
  <c r="A60" i="19"/>
  <c r="S58" i="19"/>
  <c r="F57" i="19"/>
  <c r="E56" i="19"/>
  <c r="D55" i="19"/>
  <c r="A54" i="19"/>
  <c r="S52" i="19"/>
  <c r="F51" i="19"/>
  <c r="E50" i="19"/>
  <c r="D49" i="19"/>
  <c r="C48" i="19"/>
  <c r="L46" i="19"/>
  <c r="J45" i="19"/>
  <c r="H44" i="19"/>
  <c r="Q42" i="19"/>
  <c r="O41" i="19"/>
  <c r="N40" i="19"/>
  <c r="B39" i="19"/>
  <c r="A38" i="19"/>
  <c r="N36" i="19"/>
  <c r="J35" i="19"/>
  <c r="H34" i="19"/>
  <c r="Q32" i="19"/>
  <c r="O31" i="19"/>
  <c r="N30" i="19"/>
  <c r="B29" i="19"/>
  <c r="A28" i="19"/>
  <c r="S26" i="19"/>
  <c r="F25" i="19"/>
  <c r="E24" i="19"/>
  <c r="D23" i="19"/>
  <c r="C22" i="19"/>
  <c r="L20" i="19"/>
  <c r="J19" i="19"/>
  <c r="H18" i="19"/>
  <c r="Q16" i="19"/>
  <c r="O15" i="19"/>
  <c r="N14" i="19"/>
  <c r="B13" i="19"/>
  <c r="A12" i="19"/>
  <c r="S10" i="19"/>
  <c r="F9" i="19"/>
  <c r="E8" i="19"/>
  <c r="D7" i="19"/>
  <c r="S5" i="19"/>
  <c r="F133" i="18"/>
  <c r="B131" i="18"/>
  <c r="O128" i="18"/>
  <c r="J127" i="18"/>
  <c r="D126" i="18"/>
  <c r="O124" i="18"/>
  <c r="J123" i="18"/>
  <c r="B121" i="18"/>
  <c r="X119" i="18"/>
  <c r="F118" i="18"/>
  <c r="B117" i="18"/>
  <c r="X115" i="18"/>
  <c r="F114" i="18"/>
  <c r="B113" i="18"/>
  <c r="X111" i="18"/>
  <c r="F110" i="18"/>
  <c r="H109" i="18"/>
  <c r="H108" i="18"/>
  <c r="H107" i="18"/>
  <c r="H106" i="18"/>
  <c r="H105" i="18"/>
  <c r="H104" i="18"/>
  <c r="H103" i="18"/>
  <c r="H102" i="18"/>
  <c r="H101" i="18"/>
  <c r="H100" i="18"/>
  <c r="H99" i="18"/>
  <c r="H98" i="18"/>
  <c r="O96" i="18"/>
  <c r="N95" i="18"/>
  <c r="F94" i="18"/>
  <c r="L93" i="18"/>
  <c r="O92" i="18"/>
  <c r="N91" i="18"/>
  <c r="F90" i="18"/>
  <c r="L89" i="18"/>
  <c r="O88" i="18"/>
  <c r="N87" i="18"/>
  <c r="F86" i="18"/>
  <c r="L85" i="18"/>
  <c r="N84" i="18"/>
  <c r="F83" i="18"/>
  <c r="B82" i="18"/>
  <c r="E81" i="18"/>
  <c r="J80" i="18"/>
  <c r="H79" i="18"/>
  <c r="B78" i="18"/>
  <c r="E77" i="18"/>
  <c r="E76" i="18"/>
  <c r="V74" i="18"/>
  <c r="X73" i="18"/>
  <c r="Q72" i="18"/>
  <c r="T71" i="18"/>
  <c r="T70" i="18"/>
  <c r="S69" i="18"/>
  <c r="X68" i="18"/>
  <c r="Q67" i="18"/>
  <c r="T66" i="18"/>
  <c r="V65" i="18"/>
  <c r="A65" i="18"/>
  <c r="C64" i="18"/>
  <c r="V62" i="18"/>
  <c r="A62" i="18"/>
  <c r="C61" i="18"/>
  <c r="V59" i="18"/>
  <c r="A59" i="18"/>
  <c r="D58" i="18"/>
  <c r="C57" i="18"/>
  <c r="B55" i="18"/>
  <c r="L53" i="18"/>
  <c r="C52" i="18"/>
  <c r="J50" i="18"/>
  <c r="E49" i="18"/>
  <c r="J48" i="18"/>
  <c r="V46" i="18"/>
  <c r="J45" i="18"/>
  <c r="X43" i="18"/>
  <c r="B42" i="18"/>
  <c r="A41" i="18"/>
  <c r="S39" i="18"/>
  <c r="S38" i="18"/>
  <c r="X37" i="18"/>
  <c r="Q36" i="18"/>
  <c r="F35" i="18"/>
  <c r="L34" i="18"/>
  <c r="L33" i="18"/>
  <c r="Q32" i="18"/>
  <c r="V31" i="18"/>
  <c r="A31" i="18"/>
  <c r="O29" i="18"/>
  <c r="N28" i="18"/>
  <c r="J27" i="18"/>
  <c r="J26" i="18"/>
  <c r="D25" i="18"/>
  <c r="C24" i="18"/>
  <c r="C23" i="18"/>
  <c r="V21" i="18"/>
  <c r="V20" i="18"/>
  <c r="A20" i="18"/>
  <c r="E19" i="18"/>
  <c r="D18" i="18"/>
  <c r="D17" i="18"/>
  <c r="C16" i="18"/>
  <c r="V14" i="18"/>
  <c r="A14" i="18"/>
  <c r="D13" i="18"/>
  <c r="C12" i="18"/>
  <c r="V10" i="18"/>
  <c r="A10" i="18"/>
  <c r="D9" i="18"/>
  <c r="C8" i="18"/>
  <c r="T5" i="18"/>
  <c r="E4" i="18"/>
  <c r="B101" i="17"/>
  <c r="A99" i="17"/>
  <c r="A97" i="17"/>
  <c r="A95" i="17"/>
  <c r="A93" i="17"/>
  <c r="A91" i="17"/>
  <c r="A89" i="17"/>
  <c r="A87" i="17"/>
  <c r="F85" i="17"/>
  <c r="H84" i="17"/>
  <c r="A83" i="17"/>
  <c r="B82" i="17"/>
  <c r="C81" i="17"/>
  <c r="D80" i="17"/>
  <c r="D11" i="18"/>
  <c r="D6" i="18"/>
  <c r="D97" i="17"/>
  <c r="D89" i="17"/>
  <c r="Q82" i="17"/>
  <c r="H80" i="17"/>
  <c r="X78" i="17"/>
  <c r="V77" i="17"/>
  <c r="V76" i="17"/>
  <c r="T75" i="17"/>
  <c r="V74" i="17"/>
  <c r="T73" i="17"/>
  <c r="V72" i="17"/>
  <c r="X71" i="17"/>
  <c r="S70" i="17"/>
  <c r="T69" i="17"/>
  <c r="V68" i="17"/>
  <c r="V67" i="17"/>
  <c r="X66" i="17"/>
  <c r="V65" i="17"/>
  <c r="X64" i="17"/>
  <c r="S63" i="17"/>
  <c r="T62" i="17"/>
  <c r="V61" i="17"/>
  <c r="X60" i="17"/>
  <c r="S59" i="17"/>
  <c r="T58" i="17"/>
  <c r="V57" i="17"/>
  <c r="X56" i="17"/>
  <c r="S55" i="17"/>
  <c r="T54" i="17"/>
  <c r="L53" i="17"/>
  <c r="O52" i="17"/>
  <c r="H51" i="17"/>
  <c r="D50" i="17"/>
  <c r="N48" i="17"/>
  <c r="H47" i="17"/>
  <c r="D46" i="17"/>
  <c r="N44" i="17"/>
  <c r="H43" i="17"/>
  <c r="D42" i="17"/>
  <c r="N40" i="17"/>
  <c r="H39" i="17"/>
  <c r="D38" i="17"/>
  <c r="N36" i="17"/>
  <c r="A35" i="17"/>
  <c r="O33" i="17"/>
  <c r="J32" i="17"/>
  <c r="A31" i="17"/>
  <c r="O29" i="17"/>
  <c r="J28" i="17"/>
  <c r="A27" i="17"/>
  <c r="O25" i="17"/>
  <c r="J24" i="17"/>
  <c r="A23" i="17"/>
  <c r="O21" i="17"/>
  <c r="J20" i="17"/>
  <c r="A19" i="17"/>
  <c r="O17" i="17"/>
  <c r="J16" i="17"/>
  <c r="A15" i="17"/>
  <c r="O13" i="17"/>
  <c r="J12" i="17"/>
  <c r="A11" i="17"/>
  <c r="O9" i="17"/>
  <c r="J8" i="17"/>
  <c r="A7" i="17"/>
  <c r="T5" i="17"/>
  <c r="E4" i="17"/>
  <c r="N79" i="16"/>
  <c r="O78" i="16"/>
  <c r="J77" i="16"/>
  <c r="F76" i="16"/>
  <c r="X74" i="16"/>
  <c r="J73" i="16"/>
  <c r="E72" i="16"/>
  <c r="J71" i="16"/>
  <c r="E70" i="16"/>
  <c r="H69" i="16"/>
  <c r="J68" i="16"/>
  <c r="E67" i="16"/>
  <c r="E66" i="16"/>
  <c r="C65" i="16"/>
  <c r="C64" i="16"/>
  <c r="A63" i="16"/>
  <c r="C62" i="16"/>
  <c r="C61" i="16"/>
  <c r="C60" i="16"/>
  <c r="C59" i="16"/>
  <c r="J57" i="16"/>
  <c r="A56" i="16"/>
  <c r="N54" i="16"/>
  <c r="A53" i="16"/>
  <c r="N51" i="16"/>
  <c r="F50" i="16"/>
  <c r="C49" i="16"/>
  <c r="L47" i="16"/>
  <c r="F46" i="16"/>
  <c r="L45" i="16"/>
  <c r="B44" i="16"/>
  <c r="N42" i="16"/>
  <c r="F41" i="16"/>
  <c r="B40" i="16"/>
  <c r="O38" i="16"/>
  <c r="H37" i="16"/>
  <c r="A36" i="16"/>
  <c r="F34" i="16"/>
  <c r="B33" i="16"/>
  <c r="L31" i="16"/>
  <c r="D30" i="16"/>
  <c r="Q28" i="16"/>
  <c r="E27" i="16"/>
  <c r="B26" i="16"/>
  <c r="O24" i="16"/>
  <c r="H23" i="16"/>
  <c r="C22" i="16"/>
  <c r="L20" i="16"/>
  <c r="F19" i="16"/>
  <c r="C18" i="16"/>
  <c r="Q16" i="16"/>
  <c r="H15" i="16"/>
  <c r="D14" i="16"/>
  <c r="N12" i="16"/>
  <c r="H11" i="16"/>
  <c r="C10" i="16"/>
  <c r="Q8" i="16"/>
  <c r="F7" i="16"/>
  <c r="L6" i="16"/>
  <c r="L5" i="16"/>
  <c r="X139" i="15"/>
  <c r="X137" i="15"/>
  <c r="V136" i="15"/>
  <c r="S135" i="15"/>
  <c r="O134" i="15"/>
  <c r="Q133" i="15"/>
  <c r="O132" i="15"/>
  <c r="N131" i="15"/>
  <c r="O130" i="15"/>
  <c r="N129" i="15"/>
  <c r="Q128" i="15"/>
  <c r="O127" i="15"/>
  <c r="L126" i="15"/>
  <c r="H125" i="15"/>
  <c r="B124" i="15"/>
  <c r="D123" i="15"/>
  <c r="A122" i="15"/>
  <c r="C121" i="15"/>
  <c r="A120" i="15"/>
  <c r="S118" i="15"/>
  <c r="J117" i="15"/>
  <c r="H116" i="15"/>
  <c r="F115" i="15"/>
  <c r="J114" i="15"/>
  <c r="H113" i="15"/>
  <c r="F112" i="15"/>
  <c r="E111" i="15"/>
  <c r="L110" i="15"/>
  <c r="Q109" i="15"/>
  <c r="N108" i="15"/>
  <c r="L107" i="15"/>
  <c r="Q106" i="15"/>
  <c r="O105" i="15"/>
  <c r="N104" i="15"/>
  <c r="L103" i="15"/>
  <c r="Q102" i="15"/>
  <c r="F101" i="15"/>
  <c r="D100" i="15"/>
  <c r="Q98" i="15"/>
  <c r="F97" i="15"/>
  <c r="D96" i="15"/>
  <c r="Q94" i="15"/>
  <c r="F93" i="15"/>
  <c r="D92" i="15"/>
  <c r="Q90" i="15"/>
  <c r="F89" i="15"/>
  <c r="D88" i="15"/>
  <c r="Q86" i="15"/>
  <c r="F85" i="15"/>
  <c r="D84" i="15"/>
  <c r="Q82" i="15"/>
  <c r="F81" i="15"/>
  <c r="D80" i="15"/>
  <c r="Q78" i="15"/>
  <c r="F77" i="15"/>
  <c r="D76" i="15"/>
  <c r="N74" i="15"/>
  <c r="B73" i="15"/>
  <c r="N71" i="15"/>
  <c r="J70" i="15"/>
  <c r="B69" i="15"/>
  <c r="N67" i="15"/>
  <c r="J66" i="15"/>
  <c r="D65" i="15"/>
  <c r="Q63" i="15"/>
  <c r="F62" i="15"/>
  <c r="D61" i="15"/>
  <c r="Q59" i="15"/>
  <c r="F58" i="15"/>
  <c r="D57" i="15"/>
  <c r="Q55" i="15"/>
  <c r="F54" i="15"/>
  <c r="Q52" i="15"/>
  <c r="F51" i="15"/>
  <c r="D50" i="15"/>
  <c r="Q48" i="15"/>
  <c r="F47" i="15"/>
  <c r="D46" i="15"/>
  <c r="O44" i="15"/>
  <c r="E43" i="15"/>
  <c r="B42" i="15"/>
  <c r="L40" i="15"/>
  <c r="H39" i="15"/>
  <c r="A38" i="15"/>
  <c r="L36" i="15"/>
  <c r="A35" i="15"/>
  <c r="L33" i="15"/>
  <c r="H32" i="15"/>
  <c r="A31" i="15"/>
  <c r="L29" i="15"/>
  <c r="H28" i="15"/>
  <c r="Q26" i="15"/>
  <c r="H25" i="15"/>
  <c r="A24" i="15"/>
  <c r="L22" i="15"/>
  <c r="H21" i="15"/>
  <c r="A20" i="15"/>
  <c r="N18" i="15"/>
  <c r="J17" i="15"/>
  <c r="B16" i="15"/>
  <c r="A15" i="15"/>
  <c r="L13" i="15"/>
  <c r="H12" i="15"/>
  <c r="A11" i="15"/>
  <c r="F9" i="15"/>
  <c r="E8" i="15"/>
  <c r="D7" i="15"/>
  <c r="H5" i="15"/>
  <c r="B389" i="14"/>
  <c r="B387" i="14"/>
  <c r="B385" i="14"/>
  <c r="B383" i="14"/>
  <c r="L380" i="14"/>
  <c r="C379" i="14"/>
  <c r="H377" i="14"/>
  <c r="A376" i="14"/>
  <c r="E374" i="14"/>
  <c r="L372" i="14"/>
  <c r="C371" i="14"/>
  <c r="H369" i="14"/>
  <c r="A368" i="14"/>
  <c r="E366" i="14"/>
  <c r="L364" i="14"/>
  <c r="C363" i="14"/>
  <c r="C10" i="18"/>
  <c r="X5" i="18"/>
  <c r="J96" i="17"/>
  <c r="J88" i="17"/>
  <c r="H83" i="17"/>
  <c r="T80" i="17"/>
  <c r="C79" i="17"/>
  <c r="A78" i="17"/>
  <c r="B77" i="17"/>
  <c r="S75" i="17"/>
  <c r="T74" i="17"/>
  <c r="L73" i="17"/>
  <c r="N72" i="17"/>
  <c r="O71" i="17"/>
  <c r="Q70" i="17"/>
  <c r="L69" i="17"/>
  <c r="O68" i="17"/>
  <c r="N67" i="17"/>
  <c r="O66" i="17"/>
  <c r="N65" i="17"/>
  <c r="O64" i="17"/>
  <c r="Q63" i="17"/>
  <c r="L62" i="17"/>
  <c r="N61" i="17"/>
  <c r="O60" i="17"/>
  <c r="Q59" i="17"/>
  <c r="L58" i="17"/>
  <c r="N57" i="17"/>
  <c r="O56" i="17"/>
  <c r="Q55" i="17"/>
  <c r="L54" i="17"/>
  <c r="J53" i="17"/>
  <c r="H52" i="17"/>
  <c r="O50" i="17"/>
  <c r="J49" i="17"/>
  <c r="A48" i="17"/>
  <c r="O46" i="17"/>
  <c r="J45" i="17"/>
  <c r="A44" i="17"/>
  <c r="O42" i="17"/>
  <c r="J41" i="17"/>
  <c r="A40" i="17"/>
  <c r="O38" i="17"/>
  <c r="J37" i="17"/>
  <c r="Q35" i="17"/>
  <c r="E34" i="17"/>
  <c r="B33" i="17"/>
  <c r="Q31" i="17"/>
  <c r="E30" i="17"/>
  <c r="B29" i="17"/>
  <c r="Q27" i="17"/>
  <c r="E26" i="17"/>
  <c r="B25" i="17"/>
  <c r="Q23" i="17"/>
  <c r="E22" i="17"/>
  <c r="B21" i="17"/>
  <c r="Q19" i="17"/>
  <c r="E18" i="17"/>
  <c r="B17" i="17"/>
  <c r="Q15" i="17"/>
  <c r="E14" i="17"/>
  <c r="B13" i="17"/>
  <c r="Q11" i="17"/>
  <c r="E10" i="17"/>
  <c r="B9" i="17"/>
  <c r="Q7" i="17"/>
  <c r="N6" i="17"/>
  <c r="H5" i="17"/>
  <c r="L79" i="16"/>
  <c r="N78" i="16"/>
  <c r="H77" i="16"/>
  <c r="E76" i="16"/>
  <c r="V74" i="16"/>
  <c r="H73" i="16"/>
  <c r="D72" i="16"/>
  <c r="X70" i="16"/>
  <c r="S69" i="16"/>
  <c r="O68" i="16"/>
  <c r="J67" i="16"/>
  <c r="J66" i="16"/>
  <c r="F65" i="16"/>
  <c r="F64" i="16"/>
  <c r="J63" i="16"/>
  <c r="F62" i="16"/>
  <c r="F61" i="16"/>
  <c r="F60" i="16"/>
  <c r="F59" i="16"/>
  <c r="L58" i="16"/>
  <c r="C57" i="16"/>
  <c r="Q55" i="16"/>
  <c r="E54" i="16"/>
  <c r="L52" i="16"/>
  <c r="E51" i="16"/>
  <c r="A50" i="16"/>
  <c r="O48" i="16"/>
  <c r="J47" i="16"/>
  <c r="A46" i="16"/>
  <c r="A45" i="16"/>
  <c r="L43" i="16"/>
  <c r="E42" i="16"/>
  <c r="A41" i="16"/>
  <c r="L39" i="16"/>
  <c r="F38" i="16"/>
  <c r="B37" i="16"/>
  <c r="L35" i="16"/>
  <c r="E34" i="16"/>
  <c r="A33" i="16"/>
  <c r="J31" i="16"/>
  <c r="C30" i="16"/>
  <c r="O28" i="16"/>
  <c r="J27" i="16"/>
  <c r="A26" i="16"/>
  <c r="N24" i="16"/>
  <c r="F23" i="16"/>
  <c r="B22" i="16"/>
  <c r="Q20" i="16"/>
  <c r="E19" i="16"/>
  <c r="B18" i="16"/>
  <c r="O16" i="16"/>
  <c r="B15" i="16"/>
  <c r="Q13" i="16"/>
  <c r="E12" i="16"/>
  <c r="B11" i="16"/>
  <c r="N9" i="16"/>
  <c r="H8" i="16"/>
  <c r="A7" i="16"/>
  <c r="A6" i="16"/>
  <c r="D5" i="16"/>
  <c r="V139" i="15"/>
  <c r="V138" i="15"/>
  <c r="V137" i="15"/>
  <c r="O136" i="15"/>
  <c r="L135" i="15"/>
  <c r="N134" i="15"/>
  <c r="O133" i="15"/>
  <c r="N132" i="15"/>
  <c r="L131" i="15"/>
  <c r="N130" i="15"/>
  <c r="L129" i="15"/>
  <c r="O128" i="15"/>
  <c r="N127" i="15"/>
  <c r="J126" i="15"/>
  <c r="B125" i="15"/>
  <c r="A124" i="15"/>
  <c r="C123" i="15"/>
  <c r="D122" i="15"/>
  <c r="B121" i="15"/>
  <c r="S119" i="15"/>
  <c r="L118" i="15"/>
  <c r="H117" i="15"/>
  <c r="F116" i="15"/>
  <c r="E115" i="15"/>
  <c r="H114" i="15"/>
  <c r="F113" i="15"/>
  <c r="E112" i="15"/>
  <c r="J111" i="15"/>
  <c r="J110" i="15"/>
  <c r="H109" i="15"/>
  <c r="E108" i="15"/>
  <c r="J107" i="15"/>
  <c r="H106" i="15"/>
  <c r="F105" i="15"/>
  <c r="E104" i="15"/>
  <c r="J103" i="15"/>
  <c r="H102" i="15"/>
  <c r="A101" i="15"/>
  <c r="L99" i="15"/>
  <c r="H98" i="15"/>
  <c r="A97" i="15"/>
  <c r="L95" i="15"/>
  <c r="H94" i="15"/>
  <c r="A93" i="15"/>
  <c r="L91" i="15"/>
  <c r="H90" i="15"/>
  <c r="A89" i="15"/>
  <c r="L87" i="15"/>
  <c r="H86" i="15"/>
  <c r="A85" i="15"/>
  <c r="L83" i="15"/>
  <c r="H82" i="15"/>
  <c r="A81" i="15"/>
  <c r="L79" i="15"/>
  <c r="H78" i="15"/>
  <c r="A77" i="15"/>
  <c r="O75" i="15"/>
  <c r="E74" i="15"/>
  <c r="O72" i="15"/>
  <c r="E71" i="15"/>
  <c r="C70" i="15"/>
  <c r="O68" i="15"/>
  <c r="E67" i="15"/>
  <c r="A66" i="15"/>
  <c r="L64" i="15"/>
  <c r="H63" i="15"/>
  <c r="A62" i="15"/>
  <c r="L60" i="15"/>
  <c r="H59" i="15"/>
  <c r="A58" i="15"/>
  <c r="L56" i="15"/>
  <c r="H55" i="15"/>
  <c r="L53" i="15"/>
  <c r="H52" i="15"/>
  <c r="A51" i="15"/>
  <c r="L49" i="15"/>
  <c r="H48" i="15"/>
  <c r="A47" i="15"/>
  <c r="Q45" i="15"/>
  <c r="F44" i="15"/>
  <c r="D43" i="15"/>
  <c r="N41" i="15"/>
  <c r="J40" i="15"/>
  <c r="B39" i="15"/>
  <c r="N37" i="15"/>
  <c r="J36" i="15"/>
  <c r="D35" i="15"/>
  <c r="Q33" i="15"/>
  <c r="F32" i="15"/>
  <c r="D31" i="15"/>
  <c r="Q29" i="15"/>
  <c r="F28" i="15"/>
  <c r="E27" i="15"/>
  <c r="C26" i="15"/>
  <c r="J24" i="15"/>
  <c r="B23" i="15"/>
  <c r="N21" i="15"/>
  <c r="J20" i="15"/>
  <c r="C19" i="15"/>
  <c r="O17" i="15"/>
  <c r="E16" i="15"/>
  <c r="S10" i="18"/>
  <c r="J7" i="18"/>
  <c r="D98" i="17"/>
  <c r="D90" i="17"/>
  <c r="E84" i="17"/>
  <c r="B81" i="17"/>
  <c r="H79" i="17"/>
  <c r="D78" i="17"/>
  <c r="S76" i="17"/>
  <c r="Q75" i="17"/>
  <c r="L74" i="17"/>
  <c r="J73" i="17"/>
  <c r="E72" i="17"/>
  <c r="F71" i="17"/>
  <c r="H70" i="17"/>
  <c r="J69" i="17"/>
  <c r="H68" i="17"/>
  <c r="A67" i="17"/>
  <c r="S65" i="17"/>
  <c r="T64" i="17"/>
  <c r="V63" i="17"/>
  <c r="X62" i="17"/>
  <c r="S61" i="17"/>
  <c r="T60" i="17"/>
  <c r="V59" i="17"/>
  <c r="X58" i="17"/>
  <c r="S57" i="17"/>
  <c r="T56" i="17"/>
  <c r="V55" i="17"/>
  <c r="X54" i="17"/>
  <c r="V53" i="17"/>
  <c r="X52" i="17"/>
  <c r="E51" i="17"/>
  <c r="B50" i="17"/>
  <c r="Q48" i="17"/>
  <c r="E47" i="17"/>
  <c r="B46" i="17"/>
  <c r="Q44" i="17"/>
  <c r="E43" i="17"/>
  <c r="B42" i="17"/>
  <c r="Q40" i="17"/>
  <c r="E39" i="17"/>
  <c r="B38" i="17"/>
  <c r="Q36" i="17"/>
  <c r="H35" i="17"/>
  <c r="D34" i="17"/>
  <c r="N32" i="17"/>
  <c r="H31" i="17"/>
  <c r="D30" i="17"/>
  <c r="N28" i="17"/>
  <c r="H27" i="17"/>
  <c r="D26" i="17"/>
  <c r="N24" i="17"/>
  <c r="H23" i="17"/>
  <c r="D22" i="17"/>
  <c r="N20" i="17"/>
  <c r="H19" i="17"/>
  <c r="D18" i="17"/>
  <c r="N16" i="17"/>
  <c r="H15" i="17"/>
  <c r="D14" i="17"/>
  <c r="N12" i="17"/>
  <c r="H11" i="17"/>
  <c r="D10" i="17"/>
  <c r="N8" i="17"/>
  <c r="H7" i="17"/>
  <c r="X5" i="17"/>
  <c r="S3" i="17"/>
  <c r="J79" i="16"/>
  <c r="E78" i="16"/>
  <c r="B77" i="16"/>
  <c r="A76" i="16"/>
  <c r="T74" i="16"/>
  <c r="F73" i="16"/>
  <c r="C72" i="16"/>
  <c r="O70" i="16"/>
  <c r="Q69" i="16"/>
  <c r="S68" i="16"/>
  <c r="T67" i="16"/>
  <c r="O66" i="16"/>
  <c r="L65" i="16"/>
  <c r="D141" i="22"/>
  <c r="F247" i="22"/>
  <c r="F142" i="22"/>
  <c r="H25" i="22"/>
  <c r="B55" i="22"/>
  <c r="C32" i="21"/>
  <c r="A26" i="22"/>
  <c r="B37" i="21"/>
  <c r="S5" i="21"/>
  <c r="J54" i="22"/>
  <c r="J28" i="22"/>
  <c r="C9" i="22"/>
  <c r="E36" i="21"/>
  <c r="J12" i="21"/>
  <c r="T79" i="20"/>
  <c r="O62" i="20"/>
  <c r="N46" i="20"/>
  <c r="H28" i="20"/>
  <c r="N6" i="20"/>
  <c r="B265" i="19"/>
  <c r="F243" i="19"/>
  <c r="N223" i="19"/>
  <c r="H203" i="19"/>
  <c r="N183" i="19"/>
  <c r="S163" i="19"/>
  <c r="D144" i="19"/>
  <c r="J124" i="19"/>
  <c r="F79" i="20"/>
  <c r="S62" i="20"/>
  <c r="B46" i="20"/>
  <c r="D29" i="20"/>
  <c r="D8" i="20"/>
  <c r="L267" i="19"/>
  <c r="L253" i="19"/>
  <c r="F239" i="19"/>
  <c r="C220" i="19"/>
  <c r="F199" i="19"/>
  <c r="C180" i="19"/>
  <c r="H160" i="19"/>
  <c r="N140" i="19"/>
  <c r="B77" i="20"/>
  <c r="X59" i="20"/>
  <c r="B44" i="20"/>
  <c r="B26" i="20"/>
  <c r="E3" i="20"/>
  <c r="J267" i="19"/>
  <c r="T249" i="19"/>
  <c r="L231" i="19"/>
  <c r="Q211" i="19"/>
  <c r="L191" i="19"/>
  <c r="Q171" i="19"/>
  <c r="B152" i="19"/>
  <c r="F132" i="19"/>
  <c r="C113" i="19"/>
  <c r="C71" i="20"/>
  <c r="L55" i="20"/>
  <c r="J46" i="20"/>
  <c r="D41" i="20"/>
  <c r="L35" i="20"/>
  <c r="B29" i="20"/>
  <c r="E22" i="20"/>
  <c r="L15" i="20"/>
  <c r="H9" i="20"/>
  <c r="D281" i="19"/>
  <c r="J275" i="19"/>
  <c r="H269" i="19"/>
  <c r="C262" i="19"/>
  <c r="H256" i="19"/>
  <c r="C251" i="19"/>
  <c r="S245" i="19"/>
  <c r="J239" i="19"/>
  <c r="Q232" i="19"/>
  <c r="N226" i="19"/>
  <c r="O219" i="19"/>
  <c r="B213" i="19"/>
  <c r="S206" i="19"/>
  <c r="J199" i="19"/>
  <c r="Q192" i="19"/>
  <c r="N186" i="19"/>
  <c r="O179" i="19"/>
  <c r="B173" i="19"/>
  <c r="O167" i="19"/>
  <c r="S162" i="19"/>
  <c r="C158" i="19"/>
  <c r="Q152" i="19"/>
  <c r="A148" i="19"/>
  <c r="D143" i="19"/>
  <c r="H138" i="19"/>
  <c r="B133" i="19"/>
  <c r="E128" i="19"/>
  <c r="J123" i="19"/>
  <c r="N118" i="19"/>
  <c r="F113" i="19"/>
  <c r="F127" i="19"/>
  <c r="L109" i="19"/>
  <c r="B104" i="19"/>
  <c r="E99" i="19"/>
  <c r="J94" i="19"/>
  <c r="N89" i="19"/>
  <c r="F84" i="19"/>
  <c r="L79" i="19"/>
  <c r="N73" i="19"/>
  <c r="F68" i="19"/>
  <c r="S63" i="19"/>
  <c r="C59" i="19"/>
  <c r="N53" i="19"/>
  <c r="F48" i="19"/>
  <c r="L43" i="19"/>
  <c r="O38" i="19"/>
  <c r="A33" i="19"/>
  <c r="D28" i="19"/>
  <c r="H23" i="19"/>
  <c r="B18" i="19"/>
  <c r="E13" i="19"/>
  <c r="J8" i="19"/>
  <c r="L131" i="18"/>
  <c r="N126" i="18"/>
  <c r="Q121" i="18"/>
  <c r="L118" i="18"/>
  <c r="E115" i="18"/>
  <c r="A112" i="18"/>
  <c r="B108" i="18"/>
  <c r="X102" i="18"/>
  <c r="N96" i="18"/>
  <c r="N92" i="18"/>
  <c r="N88" i="18"/>
  <c r="B84" i="18"/>
  <c r="N80" i="18"/>
  <c r="J76" i="18"/>
  <c r="T72" i="18"/>
  <c r="Q68" i="18"/>
  <c r="S64" i="18"/>
  <c r="Q60" i="18"/>
  <c r="L55" i="18"/>
  <c r="O49" i="18"/>
  <c r="L44" i="18"/>
  <c r="H40" i="18"/>
  <c r="D36" i="18"/>
  <c r="D32" i="18"/>
  <c r="N27" i="18"/>
  <c r="V22" i="18"/>
  <c r="N18" i="18"/>
  <c r="O14" i="18"/>
  <c r="O10" i="18"/>
  <c r="N5" i="18"/>
  <c r="E95" i="17"/>
  <c r="E87" i="17"/>
  <c r="A82" i="17"/>
  <c r="C112" i="19"/>
  <c r="C106" i="19"/>
  <c r="Q100" i="19"/>
  <c r="A96" i="19"/>
  <c r="D91" i="19"/>
  <c r="H86" i="19"/>
  <c r="B81" i="19"/>
  <c r="E76" i="19"/>
  <c r="H70" i="19"/>
  <c r="J65" i="19"/>
  <c r="N60" i="19"/>
  <c r="F55" i="19"/>
  <c r="H50" i="19"/>
  <c r="B45" i="19"/>
  <c r="E40" i="19"/>
  <c r="L34" i="19"/>
  <c r="O29" i="19"/>
  <c r="S24" i="19"/>
  <c r="C20" i="19"/>
  <c r="Q14" i="19"/>
  <c r="A10" i="19"/>
  <c r="A5" i="19"/>
  <c r="F126" i="18"/>
  <c r="O119" i="18"/>
  <c r="O115" i="18"/>
  <c r="O111" i="18"/>
  <c r="V107" i="18"/>
  <c r="Q104" i="18"/>
  <c r="L101" i="18"/>
  <c r="E98" i="18"/>
  <c r="H93" i="18"/>
  <c r="H89" i="18"/>
  <c r="H85" i="18"/>
  <c r="N81" i="18"/>
  <c r="N77" i="18"/>
  <c r="O73" i="18"/>
  <c r="E69" i="18"/>
  <c r="X64" i="18"/>
  <c r="E61" i="18"/>
  <c r="E57" i="18"/>
  <c r="B50" i="18"/>
  <c r="D44" i="18"/>
  <c r="E39" i="18"/>
  <c r="O35" i="18"/>
  <c r="H31" i="18"/>
  <c r="F26" i="18"/>
  <c r="O22" i="18"/>
  <c r="B18" i="18"/>
  <c r="C14" i="18"/>
  <c r="S112" i="19"/>
  <c r="Q105" i="19"/>
  <c r="A101" i="19"/>
  <c r="D96" i="19"/>
  <c r="H91" i="19"/>
  <c r="B86" i="19"/>
  <c r="E81" i="19"/>
  <c r="J76" i="19"/>
  <c r="N71" i="19"/>
  <c r="F66" i="19"/>
  <c r="H61" i="19"/>
  <c r="B56" i="19"/>
  <c r="N51" i="19"/>
  <c r="F46" i="19"/>
  <c r="L41" i="19"/>
  <c r="J36" i="19"/>
  <c r="L31" i="19"/>
  <c r="O26" i="19"/>
  <c r="S21" i="19"/>
  <c r="C17" i="19"/>
  <c r="Q11" i="19"/>
  <c r="A7" i="19"/>
  <c r="C131" i="18"/>
  <c r="Q127" i="18"/>
  <c r="E126" i="18"/>
  <c r="A125" i="18"/>
  <c r="Q123" i="18"/>
  <c r="H121" i="18"/>
  <c r="C120" i="18"/>
  <c r="S118" i="18"/>
  <c r="H117" i="18"/>
  <c r="C116" i="18"/>
  <c r="S114" i="18"/>
  <c r="H113" i="18"/>
  <c r="C112" i="18"/>
  <c r="S110" i="18"/>
  <c r="D109" i="18"/>
  <c r="T107" i="18"/>
  <c r="O106" i="18"/>
  <c r="D105" i="18"/>
  <c r="T103" i="18"/>
  <c r="O102" i="18"/>
  <c r="D101" i="18"/>
  <c r="T99" i="18"/>
  <c r="O98" i="18"/>
  <c r="L96" i="18"/>
  <c r="J95" i="18"/>
  <c r="C94" i="18"/>
  <c r="L92" i="18"/>
  <c r="J91" i="18"/>
  <c r="C90" i="18"/>
  <c r="L88" i="18"/>
  <c r="J87" i="18"/>
  <c r="C86" i="18"/>
  <c r="J84" i="18"/>
  <c r="C83" i="18"/>
  <c r="X81" i="18"/>
  <c r="E80" i="18"/>
  <c r="D79" i="18"/>
  <c r="X77" i="18"/>
  <c r="N75" i="18"/>
  <c r="S73" i="18"/>
  <c r="F72" i="18"/>
  <c r="A71" i="18"/>
  <c r="A70" i="18"/>
  <c r="S68" i="18"/>
  <c r="B67" i="18"/>
  <c r="X65" i="18"/>
  <c r="J64" i="18"/>
  <c r="X62" i="18"/>
  <c r="J61" i="18"/>
  <c r="C60" i="18"/>
  <c r="L58" i="18"/>
  <c r="J57" i="18"/>
  <c r="H55" i="18"/>
  <c r="B53" i="18"/>
  <c r="L50" i="18"/>
  <c r="B49" i="18"/>
  <c r="C47" i="18"/>
  <c r="E45" i="18"/>
  <c r="N43" i="18"/>
  <c r="F41" i="18"/>
  <c r="A40" i="18"/>
  <c r="T38" i="18"/>
  <c r="H37" i="18"/>
  <c r="N35" i="18"/>
  <c r="B34" i="18"/>
  <c r="B32" i="18"/>
  <c r="E30" i="18"/>
  <c r="E29" i="18"/>
  <c r="T27" i="18"/>
  <c r="Q26" i="18"/>
  <c r="L25" i="18"/>
  <c r="D24" i="18"/>
  <c r="S22" i="18"/>
  <c r="F21" i="18"/>
  <c r="F19" i="18"/>
  <c r="A18" i="18"/>
  <c r="A17" i="18"/>
  <c r="N15" i="18"/>
  <c r="B14" i="18"/>
  <c r="A13" i="18"/>
  <c r="N11" i="18"/>
  <c r="B10" i="18"/>
  <c r="A9" i="18"/>
  <c r="N7" i="18"/>
  <c r="Q5" i="18"/>
  <c r="J101" i="17"/>
  <c r="H98" i="17"/>
  <c r="B96" i="17"/>
  <c r="H93" i="17"/>
  <c r="H90" i="17"/>
  <c r="B88" i="17"/>
  <c r="T85" i="17"/>
  <c r="J84" i="17"/>
  <c r="B83" i="17"/>
  <c r="X81" i="17"/>
  <c r="E80" i="17"/>
  <c r="B79" i="17"/>
  <c r="L126" i="19"/>
  <c r="C120" i="19"/>
  <c r="O113" i="19"/>
  <c r="O109" i="19"/>
  <c r="F107" i="19"/>
  <c r="A106" i="19"/>
  <c r="N104" i="19"/>
  <c r="L102" i="19"/>
  <c r="D101" i="19"/>
  <c r="F99" i="19"/>
  <c r="O97" i="19"/>
  <c r="H96" i="19"/>
  <c r="L94" i="19"/>
  <c r="J93" i="19"/>
  <c r="H92" i="19"/>
  <c r="Q90" i="19"/>
  <c r="O89" i="19"/>
  <c r="N88" i="19"/>
  <c r="B87" i="19"/>
  <c r="A86" i="19"/>
  <c r="S84" i="19"/>
  <c r="F83" i="19"/>
  <c r="E82" i="19"/>
  <c r="D81" i="19"/>
  <c r="C80" i="19"/>
  <c r="L78" i="19"/>
  <c r="J77" i="19"/>
  <c r="H76" i="19"/>
  <c r="S74" i="19"/>
  <c r="O73" i="19"/>
  <c r="N72" i="19"/>
  <c r="B71" i="19"/>
  <c r="A70" i="19"/>
  <c r="S68" i="19"/>
  <c r="F67" i="19"/>
  <c r="E66" i="19"/>
  <c r="L64" i="19"/>
  <c r="J63" i="19"/>
  <c r="H62" i="19"/>
  <c r="Q60" i="19"/>
  <c r="O59" i="19"/>
  <c r="N58" i="19"/>
  <c r="B57" i="19"/>
  <c r="A56" i="19"/>
  <c r="S54" i="19"/>
  <c r="O53" i="19"/>
  <c r="N52" i="19"/>
  <c r="B51" i="19"/>
  <c r="A50" i="19"/>
  <c r="S48" i="19"/>
  <c r="F47" i="19"/>
  <c r="E46" i="19"/>
  <c r="D45" i="19"/>
  <c r="C44" i="19"/>
  <c r="L42" i="19"/>
  <c r="J41" i="19"/>
  <c r="H40" i="19"/>
  <c r="Q38" i="19"/>
  <c r="O37" i="19"/>
  <c r="H36" i="19"/>
  <c r="D35" i="19"/>
  <c r="C34" i="19"/>
  <c r="L32" i="19"/>
  <c r="J31" i="19"/>
  <c r="H30" i="19"/>
  <c r="Q28" i="19"/>
  <c r="O27" i="19"/>
  <c r="N26" i="19"/>
  <c r="B25" i="19"/>
  <c r="A24" i="19"/>
  <c r="S22" i="19"/>
  <c r="F21" i="19"/>
  <c r="E20" i="19"/>
  <c r="D19" i="19"/>
  <c r="C18" i="19"/>
  <c r="L16" i="19"/>
  <c r="J15" i="19"/>
  <c r="H14" i="19"/>
  <c r="Q12" i="19"/>
  <c r="O11" i="19"/>
  <c r="N10" i="19"/>
  <c r="B9" i="19"/>
  <c r="A8" i="19"/>
  <c r="S6" i="19"/>
  <c r="N5" i="19"/>
  <c r="B133" i="18"/>
  <c r="O129" i="18"/>
  <c r="J128" i="18"/>
  <c r="D127" i="18"/>
  <c r="O125" i="18"/>
  <c r="J124" i="18"/>
  <c r="D123" i="18"/>
  <c r="X120" i="18"/>
  <c r="F119" i="18"/>
  <c r="B118" i="18"/>
  <c r="X116" i="18"/>
  <c r="F115" i="18"/>
  <c r="B114" i="18"/>
  <c r="X112" i="18"/>
  <c r="F111" i="18"/>
  <c r="B110" i="18"/>
  <c r="C109" i="18"/>
  <c r="C108" i="18"/>
  <c r="C107" i="18"/>
  <c r="C106" i="18"/>
  <c r="C105" i="18"/>
  <c r="C104" i="18"/>
  <c r="C103" i="18"/>
  <c r="C102" i="18"/>
  <c r="C101" i="18"/>
  <c r="C100" i="18"/>
  <c r="C99" i="18"/>
  <c r="C98" i="18"/>
  <c r="J96" i="18"/>
  <c r="H95" i="18"/>
  <c r="B94" i="18"/>
  <c r="E93" i="18"/>
  <c r="J92" i="18"/>
  <c r="H91" i="18"/>
  <c r="B90" i="18"/>
  <c r="E89" i="18"/>
  <c r="J88" i="18"/>
  <c r="H87" i="18"/>
  <c r="B86" i="18"/>
  <c r="E85" i="18"/>
  <c r="H84" i="18"/>
  <c r="B83" i="18"/>
  <c r="V81" i="18"/>
  <c r="A81" i="18"/>
  <c r="D80" i="18"/>
  <c r="C79" i="18"/>
  <c r="V77" i="18"/>
  <c r="A77" i="18"/>
  <c r="X75" i="18"/>
  <c r="Q74" i="18"/>
  <c r="F73" i="18"/>
  <c r="L72" i="18"/>
  <c r="O71" i="18"/>
  <c r="O70" i="18"/>
  <c r="N69" i="18"/>
  <c r="F68" i="18"/>
  <c r="L67" i="18"/>
  <c r="O66" i="18"/>
  <c r="Q65" i="18"/>
  <c r="T64" i="18"/>
  <c r="X63" i="18"/>
  <c r="Q62" i="18"/>
  <c r="T61" i="18"/>
  <c r="X60" i="18"/>
  <c r="Q59" i="18"/>
  <c r="T58" i="18"/>
  <c r="S57" i="18"/>
  <c r="A56" i="18"/>
  <c r="J54" i="18"/>
  <c r="E53" i="18"/>
  <c r="L51" i="18"/>
  <c r="D50" i="18"/>
  <c r="A49" i="18"/>
  <c r="D48" i="18"/>
  <c r="L46" i="18"/>
  <c r="D45" i="18"/>
  <c r="F43" i="18"/>
  <c r="Q41" i="18"/>
  <c r="O40" i="18"/>
  <c r="N39" i="18"/>
  <c r="N38" i="18"/>
  <c r="F37" i="18"/>
  <c r="L36" i="18"/>
  <c r="B35" i="18"/>
  <c r="E34" i="18"/>
  <c r="E33" i="18"/>
  <c r="L32" i="18"/>
  <c r="Q31" i="18"/>
  <c r="J30" i="18"/>
  <c r="J29" i="18"/>
  <c r="H28" i="18"/>
  <c r="D27" i="18"/>
  <c r="D26" i="18"/>
  <c r="S24" i="18"/>
  <c r="S23" i="18"/>
  <c r="X22" i="18"/>
  <c r="L21" i="18"/>
  <c r="Q20" i="18"/>
  <c r="V19" i="18"/>
  <c r="A19" i="18"/>
  <c r="T17" i="18"/>
  <c r="S16" i="18"/>
  <c r="X15" i="18"/>
  <c r="Q14" i="18"/>
  <c r="T13" i="18"/>
  <c r="S12" i="18"/>
  <c r="X11" i="18"/>
  <c r="Q10" i="18"/>
  <c r="T9" i="18"/>
  <c r="S8" i="18"/>
  <c r="X7" i="18"/>
  <c r="O5" i="18"/>
  <c r="E3" i="18"/>
  <c r="F100" i="17"/>
  <c r="F98" i="17"/>
  <c r="F96" i="17"/>
  <c r="F94" i="17"/>
  <c r="F92" i="17"/>
  <c r="F90" i="17"/>
  <c r="F88" i="17"/>
  <c r="H86" i="17"/>
  <c r="B85" i="17"/>
  <c r="S83" i="17"/>
  <c r="T82" i="17"/>
  <c r="V81" i="17"/>
  <c r="X80" i="17"/>
  <c r="S79" i="17"/>
  <c r="H10" i="18"/>
  <c r="F5" i="18"/>
  <c r="D95" i="17"/>
  <c r="D87" i="17"/>
  <c r="T81" i="17"/>
  <c r="X79" i="17"/>
  <c r="N78" i="17"/>
  <c r="Q77" i="17"/>
  <c r="O76" i="17"/>
  <c r="N75" i="17"/>
  <c r="O74" i="17"/>
  <c r="N73" i="17"/>
  <c r="O72" i="17"/>
  <c r="Q71" i="17"/>
  <c r="L70" i="17"/>
  <c r="N69" i="17"/>
  <c r="Q68" i="17"/>
  <c r="O67" i="17"/>
  <c r="Q66" i="17"/>
  <c r="O65" i="17"/>
  <c r="Q64" i="17"/>
  <c r="L63" i="17"/>
  <c r="N62" i="17"/>
  <c r="O61" i="17"/>
  <c r="Q60" i="17"/>
  <c r="L59" i="17"/>
  <c r="N58" i="17"/>
  <c r="O57" i="17"/>
  <c r="Q56" i="17"/>
  <c r="L55" i="17"/>
  <c r="N54" i="17"/>
  <c r="E53" i="17"/>
  <c r="J52" i="17"/>
  <c r="C51" i="17"/>
  <c r="L49" i="17"/>
  <c r="F48" i="17"/>
  <c r="C47" i="17"/>
  <c r="L45" i="17"/>
  <c r="F44" i="17"/>
  <c r="C43" i="17"/>
  <c r="L41" i="17"/>
  <c r="F40" i="17"/>
  <c r="C39" i="17"/>
  <c r="L37" i="17"/>
  <c r="F36" i="17"/>
  <c r="N34" i="17"/>
  <c r="H33" i="17"/>
  <c r="D32" i="17"/>
  <c r="N30" i="17"/>
  <c r="H29" i="17"/>
  <c r="D28" i="17"/>
  <c r="N26" i="17"/>
  <c r="H25" i="17"/>
  <c r="D24" i="17"/>
  <c r="N22" i="17"/>
  <c r="H21" i="17"/>
  <c r="D20" i="17"/>
  <c r="N18" i="17"/>
  <c r="H17" i="17"/>
  <c r="D16" i="17"/>
  <c r="N14" i="17"/>
  <c r="H13" i="17"/>
  <c r="D12" i="17"/>
  <c r="N10" i="17"/>
  <c r="H9" i="17"/>
  <c r="D8" i="17"/>
  <c r="T6" i="17"/>
  <c r="O5" i="17"/>
  <c r="E3" i="17"/>
  <c r="F79" i="16"/>
  <c r="H78" i="16"/>
  <c r="D77" i="16"/>
  <c r="V75" i="16"/>
  <c r="L74" i="16"/>
  <c r="D73" i="16"/>
  <c r="A72" i="16"/>
  <c r="A71" i="16"/>
  <c r="A70" i="16"/>
  <c r="C69" i="16"/>
  <c r="D68" i="16"/>
  <c r="A67" i="16"/>
  <c r="V65" i="16"/>
  <c r="V64" i="16"/>
  <c r="X63" i="16"/>
  <c r="T62" i="16"/>
  <c r="V61" i="16"/>
  <c r="V60" i="16"/>
  <c r="V59" i="16"/>
  <c r="X58" i="16"/>
  <c r="D57" i="16"/>
  <c r="L55" i="16"/>
  <c r="F54" i="16"/>
  <c r="N52" i="16"/>
  <c r="F51" i="16"/>
  <c r="B50" i="16"/>
  <c r="Q48" i="16"/>
  <c r="E47" i="16"/>
  <c r="B46" i="16"/>
  <c r="E45" i="16"/>
  <c r="N43" i="16"/>
  <c r="F42" i="16"/>
  <c r="B41" i="16"/>
  <c r="N39" i="16"/>
  <c r="H38" i="16"/>
  <c r="C37" i="16"/>
  <c r="F35" i="16"/>
  <c r="B34" i="16"/>
  <c r="L32" i="16"/>
  <c r="E31" i="16"/>
  <c r="Q29" i="16"/>
  <c r="J28" i="16"/>
  <c r="A27" i="16"/>
  <c r="N25" i="16"/>
  <c r="H24" i="16"/>
  <c r="C23" i="16"/>
  <c r="Q21" i="16"/>
  <c r="E20" i="16"/>
  <c r="B19" i="16"/>
  <c r="Q17" i="16"/>
  <c r="J16" i="16"/>
  <c r="C15" i="16"/>
  <c r="L13" i="16"/>
  <c r="F12" i="16"/>
  <c r="C11" i="16"/>
  <c r="O9" i="16"/>
  <c r="J8" i="16"/>
  <c r="B7" i="16"/>
  <c r="E6" i="16"/>
  <c r="E5" i="16"/>
  <c r="F139" i="15"/>
  <c r="L137" i="15"/>
  <c r="Q136" i="15"/>
  <c r="F135" i="15"/>
  <c r="H134" i="15"/>
  <c r="J133" i="15"/>
  <c r="H132" i="15"/>
  <c r="F131" i="15"/>
  <c r="H130" i="15"/>
  <c r="F129" i="15"/>
  <c r="J128" i="15"/>
  <c r="H127" i="15"/>
  <c r="E126" i="15"/>
  <c r="C125" i="15"/>
  <c r="X123" i="15"/>
  <c r="S122" i="15"/>
  <c r="V121" i="15"/>
  <c r="X120" i="15"/>
  <c r="T119" i="15"/>
  <c r="F118" i="15"/>
  <c r="D117" i="15"/>
  <c r="C116" i="15"/>
  <c r="B115" i="15"/>
  <c r="D114" i="15"/>
  <c r="C113" i="15"/>
  <c r="B112" i="15"/>
  <c r="A111" i="15"/>
  <c r="E110" i="15"/>
  <c r="J109" i="15"/>
  <c r="F108" i="15"/>
  <c r="E107" i="15"/>
  <c r="J106" i="15"/>
  <c r="H105" i="15"/>
  <c r="F104" i="15"/>
  <c r="E103" i="15"/>
  <c r="J102" i="15"/>
  <c r="B101" i="15"/>
  <c r="N99" i="15"/>
  <c r="J98" i="15"/>
  <c r="B97" i="15"/>
  <c r="N95" i="15"/>
  <c r="J94" i="15"/>
  <c r="B93" i="15"/>
  <c r="N91" i="15"/>
  <c r="J90" i="15"/>
  <c r="B89" i="15"/>
  <c r="N87" i="15"/>
  <c r="J86" i="15"/>
  <c r="B85" i="15"/>
  <c r="N83" i="15"/>
  <c r="J82" i="15"/>
  <c r="B81" i="15"/>
  <c r="N79" i="15"/>
  <c r="J78" i="15"/>
  <c r="B77" i="15"/>
  <c r="Q75" i="15"/>
  <c r="F74" i="15"/>
  <c r="Q72" i="15"/>
  <c r="F71" i="15"/>
  <c r="D70" i="15"/>
  <c r="Q68" i="15"/>
  <c r="F67" i="15"/>
  <c r="D66" i="15"/>
  <c r="N64" i="15"/>
  <c r="J63" i="15"/>
  <c r="B62" i="15"/>
  <c r="N60" i="15"/>
  <c r="J59" i="15"/>
  <c r="B58" i="15"/>
  <c r="N56" i="15"/>
  <c r="J55" i="15"/>
  <c r="N53" i="15"/>
  <c r="J52" i="15"/>
  <c r="B51" i="15"/>
  <c r="N49" i="15"/>
  <c r="J48" i="15"/>
  <c r="B47" i="15"/>
  <c r="L45" i="15"/>
  <c r="H44" i="15"/>
  <c r="A43" i="15"/>
  <c r="O41" i="15"/>
  <c r="E40" i="15"/>
  <c r="C39" i="15"/>
  <c r="O37" i="15"/>
  <c r="E36" i="15"/>
  <c r="O34" i="15"/>
  <c r="E33" i="15"/>
  <c r="C32" i="15"/>
  <c r="O30" i="15"/>
  <c r="E29" i="15"/>
  <c r="C28" i="15"/>
  <c r="J26" i="15"/>
  <c r="C25" i="15"/>
  <c r="O23" i="15"/>
  <c r="E22" i="15"/>
  <c r="C21" i="15"/>
  <c r="O19" i="15"/>
  <c r="F18" i="15"/>
  <c r="D17" i="15"/>
  <c r="Q15" i="15"/>
  <c r="O14" i="15"/>
  <c r="E13" i="15"/>
  <c r="C12" i="15"/>
  <c r="O10" i="15"/>
  <c r="B9" i="15"/>
  <c r="A8" i="15"/>
  <c r="F6" i="15"/>
  <c r="A5" i="15"/>
  <c r="J388" i="14"/>
  <c r="J386" i="14"/>
  <c r="J384" i="14"/>
  <c r="J382" i="14"/>
  <c r="E380" i="14"/>
  <c r="L378" i="14"/>
  <c r="C377" i="14"/>
  <c r="H375" i="14"/>
  <c r="A374" i="14"/>
  <c r="E372" i="14"/>
  <c r="L370" i="14"/>
  <c r="C369" i="14"/>
  <c r="H367" i="14"/>
  <c r="A366" i="14"/>
  <c r="E364" i="14"/>
  <c r="L362" i="14"/>
  <c r="F9" i="18"/>
  <c r="S3" i="18"/>
  <c r="J94" i="17"/>
  <c r="L86" i="17"/>
  <c r="J82" i="17"/>
  <c r="F80" i="17"/>
  <c r="T78" i="17"/>
  <c r="T77" i="17"/>
  <c r="T76" i="17"/>
  <c r="L75" i="17"/>
  <c r="N74" i="17"/>
  <c r="E73" i="17"/>
  <c r="F72" i="17"/>
  <c r="H71" i="17"/>
  <c r="J70" i="17"/>
  <c r="E69" i="17"/>
  <c r="J68" i="17"/>
  <c r="F67" i="17"/>
  <c r="H66" i="17"/>
  <c r="F65" i="17"/>
  <c r="H64" i="17"/>
  <c r="J63" i="17"/>
  <c r="E62" i="17"/>
  <c r="F61" i="17"/>
  <c r="H60" i="17"/>
  <c r="J59" i="17"/>
  <c r="E58" i="17"/>
  <c r="F57" i="17"/>
  <c r="H56" i="17"/>
  <c r="J55" i="17"/>
  <c r="E54" i="17"/>
  <c r="D53" i="17"/>
  <c r="N51" i="17"/>
  <c r="H50" i="17"/>
  <c r="D49" i="17"/>
  <c r="N47" i="17"/>
  <c r="H46" i="17"/>
  <c r="D45" i="17"/>
  <c r="N43" i="17"/>
  <c r="H42" i="17"/>
  <c r="D41" i="17"/>
  <c r="N39" i="17"/>
  <c r="H38" i="17"/>
  <c r="D37" i="17"/>
  <c r="J35" i="17"/>
  <c r="A34" i="17"/>
  <c r="O32" i="17"/>
  <c r="J31" i="17"/>
  <c r="A30" i="17"/>
  <c r="O28" i="17"/>
  <c r="J27" i="17"/>
  <c r="A26" i="17"/>
  <c r="O24" i="17"/>
  <c r="J23" i="17"/>
  <c r="A22" i="17"/>
  <c r="O20" i="17"/>
  <c r="J19" i="17"/>
  <c r="A18" i="17"/>
  <c r="O16" i="17"/>
  <c r="J15" i="17"/>
  <c r="A14" i="17"/>
  <c r="O12" i="17"/>
  <c r="J11" i="17"/>
  <c r="A10" i="17"/>
  <c r="O8" i="17"/>
  <c r="J7" i="17"/>
  <c r="H6" i="17"/>
  <c r="A5" i="17"/>
  <c r="E79" i="16"/>
  <c r="F78" i="16"/>
  <c r="C77" i="16"/>
  <c r="T75" i="16"/>
  <c r="J74" i="16"/>
  <c r="C73" i="16"/>
  <c r="S71" i="16"/>
  <c r="Q70" i="16"/>
  <c r="F69" i="16"/>
  <c r="H68" i="16"/>
  <c r="D67" i="16"/>
  <c r="D66" i="16"/>
  <c r="B65" i="16"/>
  <c r="B64" i="16"/>
  <c r="D63" i="16"/>
  <c r="B62" i="16"/>
  <c r="B61" i="16"/>
  <c r="B60" i="16"/>
  <c r="B59" i="16"/>
  <c r="E58" i="16"/>
  <c r="Q56" i="16"/>
  <c r="J55" i="16"/>
  <c r="Q53" i="16"/>
  <c r="E52" i="16"/>
  <c r="A51" i="16"/>
  <c r="N49" i="16"/>
  <c r="H48" i="16"/>
  <c r="D47" i="16"/>
  <c r="T45" i="16"/>
  <c r="L44" i="16"/>
  <c r="E43" i="16"/>
  <c r="A42" i="16"/>
  <c r="L40" i="16"/>
  <c r="E39" i="16"/>
  <c r="B38" i="16"/>
  <c r="N36" i="16"/>
  <c r="E35" i="16"/>
  <c r="A34" i="16"/>
  <c r="J32" i="16"/>
  <c r="D31" i="16"/>
  <c r="O29" i="16"/>
  <c r="H28" i="16"/>
  <c r="D27" i="16"/>
  <c r="L25" i="16"/>
  <c r="F24" i="16"/>
  <c r="B23" i="16"/>
  <c r="O21" i="16"/>
  <c r="J20" i="16"/>
  <c r="A19" i="16"/>
  <c r="O17" i="16"/>
  <c r="H16" i="16"/>
  <c r="N14" i="16"/>
  <c r="J13" i="16"/>
  <c r="A12" i="16"/>
  <c r="N10" i="16"/>
  <c r="F9" i="16"/>
  <c r="C8" i="16"/>
  <c r="T6" i="16"/>
  <c r="T5" i="16"/>
  <c r="E4" i="16"/>
  <c r="Q139" i="15"/>
  <c r="Q138" i="15"/>
  <c r="J137" i="15"/>
  <c r="H136" i="15"/>
  <c r="E135" i="15"/>
  <c r="F134" i="15"/>
  <c r="H133" i="15"/>
  <c r="F132" i="15"/>
  <c r="E131" i="15"/>
  <c r="F130" i="15"/>
  <c r="E129" i="15"/>
  <c r="H128" i="15"/>
  <c r="F127" i="15"/>
  <c r="D126" i="15"/>
  <c r="X124" i="15"/>
  <c r="V123" i="15"/>
  <c r="X122" i="15"/>
  <c r="T121" i="15"/>
  <c r="V120" i="15"/>
  <c r="F119" i="15"/>
  <c r="E118" i="15"/>
  <c r="C117" i="15"/>
  <c r="B116" i="15"/>
  <c r="A115" i="15"/>
  <c r="C114" i="15"/>
  <c r="B113" i="15"/>
  <c r="A112" i="15"/>
  <c r="D111" i="15"/>
  <c r="D110" i="15"/>
  <c r="C109" i="15"/>
  <c r="A108" i="15"/>
  <c r="D107" i="15"/>
  <c r="C106" i="15"/>
  <c r="B105" i="15"/>
  <c r="A104" i="15"/>
  <c r="D103" i="15"/>
  <c r="C102" i="15"/>
  <c r="O100" i="15"/>
  <c r="E99" i="15"/>
  <c r="C98" i="15"/>
  <c r="O96" i="15"/>
  <c r="E95" i="15"/>
  <c r="C94" i="15"/>
  <c r="O92" i="15"/>
  <c r="E91" i="15"/>
  <c r="C90" i="15"/>
  <c r="O88" i="15"/>
  <c r="E87" i="15"/>
  <c r="C86" i="15"/>
  <c r="O84" i="15"/>
  <c r="E83" i="15"/>
  <c r="C82" i="15"/>
  <c r="O80" i="15"/>
  <c r="E79" i="15"/>
  <c r="C78" i="15"/>
  <c r="O76" i="15"/>
  <c r="H75" i="15"/>
  <c r="L73" i="15"/>
  <c r="H72" i="15"/>
  <c r="A71" i="15"/>
  <c r="L69" i="15"/>
  <c r="H68" i="15"/>
  <c r="A67" i="15"/>
  <c r="O65" i="15"/>
  <c r="E64" i="15"/>
  <c r="C63" i="15"/>
  <c r="O61" i="15"/>
  <c r="E60" i="15"/>
  <c r="C59" i="15"/>
  <c r="O57" i="15"/>
  <c r="E56" i="15"/>
  <c r="C55" i="15"/>
  <c r="E53" i="15"/>
  <c r="C52" i="15"/>
  <c r="O50" i="15"/>
  <c r="E49" i="15"/>
  <c r="C48" i="15"/>
  <c r="O46" i="15"/>
  <c r="J45" i="15"/>
  <c r="B44" i="15"/>
  <c r="L42" i="15"/>
  <c r="F41" i="15"/>
  <c r="D40" i="15"/>
  <c r="Q38" i="15"/>
  <c r="F37" i="15"/>
  <c r="D36" i="15"/>
  <c r="N34" i="15"/>
  <c r="J33" i="15"/>
  <c r="B32" i="15"/>
  <c r="N30" i="15"/>
  <c r="J29" i="15"/>
  <c r="B28" i="15"/>
  <c r="A27" i="15"/>
  <c r="F25" i="15"/>
  <c r="D24" i="15"/>
  <c r="Q22" i="15"/>
  <c r="F21" i="15"/>
  <c r="D20" i="15"/>
  <c r="L18" i="15"/>
  <c r="H17" i="15"/>
  <c r="F13" i="18"/>
  <c r="X9" i="18"/>
  <c r="S4" i="18"/>
  <c r="D96" i="17"/>
  <c r="D88" i="17"/>
  <c r="C83" i="17"/>
  <c r="O80" i="17"/>
  <c r="A79" i="17"/>
  <c r="S77" i="17"/>
  <c r="L76" i="17"/>
  <c r="J75" i="17"/>
  <c r="E74" i="17"/>
  <c r="D73" i="17"/>
  <c r="A72" i="17"/>
  <c r="C183" i="22"/>
  <c r="J99" i="22"/>
  <c r="C60" i="22"/>
  <c r="C27" i="21"/>
  <c r="A20" i="22"/>
  <c r="L55" i="22"/>
  <c r="D3" i="22"/>
  <c r="N21" i="21"/>
  <c r="L65" i="22"/>
  <c r="F40" i="22"/>
  <c r="N17" i="22"/>
  <c r="J45" i="21"/>
  <c r="E24" i="21"/>
  <c r="L86" i="20"/>
  <c r="V70" i="20"/>
  <c r="L54" i="20"/>
  <c r="B38" i="20"/>
  <c r="N17" i="20"/>
  <c r="H276" i="19"/>
  <c r="B254" i="19"/>
  <c r="E233" i="19"/>
  <c r="L213" i="19"/>
  <c r="E193" i="19"/>
  <c r="L173" i="19"/>
  <c r="Q153" i="19"/>
  <c r="B134" i="19"/>
  <c r="F114" i="19"/>
  <c r="T70" i="20"/>
  <c r="J54" i="20"/>
  <c r="E38" i="20"/>
  <c r="H18" i="20"/>
  <c r="X275" i="19"/>
  <c r="V259" i="19"/>
  <c r="A247" i="19"/>
  <c r="O229" i="19"/>
  <c r="A210" i="19"/>
  <c r="O189" i="19"/>
  <c r="A170" i="19"/>
  <c r="E150" i="19"/>
  <c r="C9" i="21"/>
  <c r="B69" i="20"/>
  <c r="V51" i="20"/>
  <c r="S35" i="20"/>
  <c r="B15" i="20"/>
  <c r="E276" i="19"/>
  <c r="T257" i="19"/>
  <c r="N241" i="19"/>
  <c r="S221" i="19"/>
  <c r="N201" i="19"/>
  <c r="S181" i="19"/>
  <c r="D162" i="19"/>
  <c r="J142" i="19"/>
  <c r="O122" i="19"/>
  <c r="F80" i="20"/>
  <c r="E63" i="20"/>
  <c r="B49" i="20"/>
  <c r="N43" i="20"/>
  <c r="H38" i="20"/>
  <c r="L32" i="20"/>
  <c r="O25" i="20"/>
  <c r="Q18" i="20"/>
  <c r="N12" i="20"/>
  <c r="S5" i="20"/>
  <c r="D278" i="19"/>
  <c r="H272" i="19"/>
  <c r="H265" i="19"/>
  <c r="C259" i="19"/>
  <c r="S253" i="19"/>
  <c r="H248" i="19"/>
  <c r="C243" i="19"/>
  <c r="E236" i="19"/>
  <c r="F229" i="19"/>
  <c r="D223" i="19"/>
  <c r="L216" i="19"/>
  <c r="C210" i="19"/>
  <c r="S202" i="19"/>
  <c r="E196" i="19"/>
  <c r="F189" i="19"/>
  <c r="D183" i="19"/>
  <c r="L176" i="19"/>
  <c r="H170" i="19"/>
  <c r="B165" i="19"/>
  <c r="E160" i="19"/>
  <c r="J155" i="19"/>
  <c r="N150" i="19"/>
  <c r="F145" i="19"/>
  <c r="L140" i="19"/>
  <c r="O135" i="19"/>
  <c r="S130" i="19"/>
  <c r="C126" i="19"/>
  <c r="Q120" i="19"/>
  <c r="A116" i="19"/>
  <c r="D111" i="19"/>
  <c r="O117" i="19"/>
  <c r="O106" i="19"/>
  <c r="S101" i="19"/>
  <c r="C97" i="19"/>
  <c r="Q91" i="19"/>
  <c r="A87" i="19"/>
  <c r="D82" i="19"/>
  <c r="H77" i="19"/>
  <c r="A71" i="19"/>
  <c r="D66" i="19"/>
  <c r="E61" i="19"/>
  <c r="J56" i="19"/>
  <c r="A51" i="19"/>
  <c r="D46" i="19"/>
  <c r="H41" i="19"/>
  <c r="N35" i="19"/>
  <c r="F30" i="19"/>
  <c r="L25" i="19"/>
  <c r="O20" i="19"/>
  <c r="S15" i="19"/>
  <c r="C11" i="19"/>
  <c r="F5" i="19"/>
  <c r="N128" i="18"/>
  <c r="N124" i="18"/>
  <c r="A120" i="18"/>
  <c r="V116" i="18"/>
  <c r="Q113" i="18"/>
  <c r="L110" i="18"/>
  <c r="F105" i="18"/>
  <c r="B100" i="18"/>
  <c r="L94" i="18"/>
  <c r="L90" i="18"/>
  <c r="L86" i="18"/>
  <c r="L82" i="18"/>
  <c r="L78" i="18"/>
  <c r="O74" i="18"/>
  <c r="S70" i="18"/>
  <c r="S66" i="18"/>
  <c r="T62" i="18"/>
  <c r="S58" i="18"/>
  <c r="F52" i="18"/>
  <c r="E47" i="18"/>
  <c r="L42" i="18"/>
  <c r="V37" i="18"/>
  <c r="J34" i="18"/>
  <c r="S29" i="18"/>
  <c r="H25" i="18"/>
  <c r="T20" i="18"/>
  <c r="F16" i="18"/>
  <c r="F12" i="18"/>
  <c r="F8" i="18"/>
  <c r="E99" i="17"/>
  <c r="E91" i="17"/>
  <c r="F84" i="17"/>
  <c r="O121" i="19"/>
  <c r="E108" i="19"/>
  <c r="J103" i="19"/>
  <c r="N98" i="19"/>
  <c r="F93" i="19"/>
  <c r="L88" i="19"/>
  <c r="O83" i="19"/>
  <c r="S78" i="19"/>
  <c r="L72" i="19"/>
  <c r="O67" i="19"/>
  <c r="Q62" i="19"/>
  <c r="A58" i="19"/>
  <c r="L52" i="19"/>
  <c r="O47" i="19"/>
  <c r="S42" i="19"/>
  <c r="C38" i="19"/>
  <c r="H32" i="19"/>
  <c r="B27" i="19"/>
  <c r="E22" i="19"/>
  <c r="J17" i="19"/>
  <c r="N12" i="19"/>
  <c r="F7" i="19"/>
  <c r="D131" i="18"/>
  <c r="O121" i="18"/>
  <c r="O117" i="18"/>
  <c r="O113" i="18"/>
  <c r="L109" i="18"/>
  <c r="E106" i="18"/>
  <c r="A103" i="18"/>
  <c r="V99" i="18"/>
  <c r="E95" i="18"/>
  <c r="E91" i="18"/>
  <c r="E87" i="18"/>
  <c r="O83" i="18"/>
  <c r="L79" i="18"/>
  <c r="O75" i="18"/>
  <c r="F71" i="18"/>
  <c r="H67" i="18"/>
  <c r="D63" i="18"/>
  <c r="H59" i="18"/>
  <c r="H53" i="18"/>
  <c r="J47" i="18"/>
  <c r="N41" i="18"/>
  <c r="O37" i="18"/>
  <c r="H33" i="18"/>
  <c r="Q28" i="18"/>
  <c r="E24" i="18"/>
  <c r="H20" i="18"/>
  <c r="A16" i="18"/>
  <c r="J121" i="19"/>
  <c r="J108" i="19"/>
  <c r="N103" i="19"/>
  <c r="F98" i="19"/>
  <c r="L93" i="19"/>
  <c r="O88" i="19"/>
  <c r="S83" i="19"/>
  <c r="C79" i="19"/>
  <c r="Q73" i="19"/>
  <c r="A69" i="19"/>
  <c r="L63" i="19"/>
  <c r="O58" i="19"/>
  <c r="Q53" i="19"/>
  <c r="A49" i="19"/>
  <c r="D44" i="19"/>
  <c r="H39" i="19"/>
  <c r="D34" i="19"/>
  <c r="H29" i="19"/>
  <c r="B24" i="19"/>
  <c r="E19" i="19"/>
  <c r="J14" i="19"/>
  <c r="N9" i="19"/>
  <c r="C3" i="19"/>
  <c r="Q128" i="18"/>
  <c r="A127" i="18"/>
  <c r="Q125" i="18"/>
  <c r="E124" i="18"/>
  <c r="A123" i="18"/>
  <c r="S120" i="18"/>
  <c r="H119" i="18"/>
  <c r="C118" i="18"/>
  <c r="S116" i="18"/>
  <c r="H115" i="18"/>
  <c r="C114" i="18"/>
  <c r="S112" i="18"/>
  <c r="H111" i="18"/>
  <c r="C110" i="18"/>
  <c r="O108" i="18"/>
  <c r="D107" i="18"/>
  <c r="T105" i="18"/>
  <c r="O104" i="18"/>
  <c r="D103" i="18"/>
  <c r="T101" i="18"/>
  <c r="O100" i="18"/>
  <c r="D99" i="18"/>
  <c r="D97" i="18"/>
  <c r="A96" i="18"/>
  <c r="N94" i="18"/>
  <c r="B93" i="18"/>
  <c r="A92" i="18"/>
  <c r="N90" i="18"/>
  <c r="B89" i="18"/>
  <c r="A88" i="18"/>
  <c r="N86" i="18"/>
  <c r="B85" i="18"/>
  <c r="S83" i="18"/>
  <c r="H82" i="18"/>
  <c r="V80" i="18"/>
  <c r="T79" i="18"/>
  <c r="H78" i="18"/>
  <c r="V76" i="18"/>
  <c r="C75" i="18"/>
  <c r="C73" i="18"/>
  <c r="Q71" i="18"/>
  <c r="Q70" i="18"/>
  <c r="J69" i="18"/>
  <c r="C68" i="18"/>
  <c r="Q66" i="18"/>
  <c r="V64" i="18"/>
  <c r="N63" i="18"/>
  <c r="B62" i="18"/>
  <c r="N60" i="18"/>
  <c r="B59" i="18"/>
  <c r="A58" i="18"/>
  <c r="V55" i="18"/>
  <c r="E54" i="18"/>
  <c r="D52" i="18"/>
  <c r="T49" i="18"/>
  <c r="E48" i="18"/>
  <c r="F46" i="18"/>
  <c r="C44" i="18"/>
  <c r="N42" i="18"/>
  <c r="Q40" i="18"/>
  <c r="J39" i="18"/>
  <c r="D38" i="18"/>
  <c r="X36" i="18"/>
  <c r="X34" i="18"/>
  <c r="B33" i="18"/>
  <c r="F31" i="18"/>
  <c r="Q29" i="18"/>
  <c r="O28" i="18"/>
  <c r="E27" i="18"/>
  <c r="A26" i="18"/>
  <c r="T24" i="18"/>
  <c r="O23" i="18"/>
  <c r="C22" i="18"/>
  <c r="F20" i="18"/>
  <c r="V18" i="18"/>
  <c r="L17" i="18"/>
  <c r="J16" i="18"/>
  <c r="C15" i="18"/>
  <c r="L13" i="18"/>
  <c r="J12" i="18"/>
  <c r="C11" i="18"/>
  <c r="L9" i="18"/>
  <c r="J8" i="18"/>
  <c r="C7" i="18"/>
  <c r="N3" i="18"/>
  <c r="B100" i="17"/>
  <c r="H97" i="17"/>
  <c r="H94" i="17"/>
  <c r="B92" i="17"/>
  <c r="H89" i="17"/>
  <c r="J86" i="17"/>
  <c r="C85" i="17"/>
  <c r="T83" i="17"/>
  <c r="H82" i="17"/>
  <c r="D81" i="17"/>
  <c r="T79" i="17"/>
  <c r="O129" i="19"/>
  <c r="F123" i="19"/>
  <c r="A118" i="19"/>
  <c r="Q110" i="19"/>
  <c r="N108" i="19"/>
  <c r="Q106" i="19"/>
  <c r="D105" i="19"/>
  <c r="F103" i="19"/>
  <c r="A102" i="19"/>
  <c r="H100" i="19"/>
  <c r="L98" i="19"/>
  <c r="D97" i="19"/>
  <c r="B95" i="19"/>
  <c r="A94" i="19"/>
  <c r="S92" i="19"/>
  <c r="F91" i="19"/>
  <c r="E90" i="19"/>
  <c r="D89" i="19"/>
  <c r="C88" i="19"/>
  <c r="L86" i="19"/>
  <c r="J85" i="19"/>
  <c r="H84" i="19"/>
  <c r="Q82" i="19"/>
  <c r="O81" i="19"/>
  <c r="N80" i="19"/>
  <c r="B79" i="19"/>
  <c r="A78" i="19"/>
  <c r="S76" i="19"/>
  <c r="O75" i="19"/>
  <c r="H74" i="19"/>
  <c r="D73" i="19"/>
  <c r="C72" i="19"/>
  <c r="L70" i="19"/>
  <c r="J69" i="19"/>
  <c r="H68" i="19"/>
  <c r="Q66" i="19"/>
  <c r="B65" i="19"/>
  <c r="A64" i="19"/>
  <c r="S62" i="19"/>
  <c r="F61" i="19"/>
  <c r="E60" i="19"/>
  <c r="D59" i="19"/>
  <c r="C58" i="19"/>
  <c r="L56" i="19"/>
  <c r="J55" i="19"/>
  <c r="H54" i="19"/>
  <c r="D53" i="19"/>
  <c r="C52" i="19"/>
  <c r="L50" i="19"/>
  <c r="J49" i="19"/>
  <c r="H48" i="19"/>
  <c r="Q46" i="19"/>
  <c r="O45" i="19"/>
  <c r="N44" i="19"/>
  <c r="B43" i="19"/>
  <c r="A42" i="19"/>
  <c r="S40" i="19"/>
  <c r="F39" i="19"/>
  <c r="E38" i="19"/>
  <c r="S36" i="19"/>
  <c r="O35" i="19"/>
  <c r="N34" i="19"/>
  <c r="B33" i="19"/>
  <c r="A32" i="19"/>
  <c r="S30" i="19"/>
  <c r="F29" i="19"/>
  <c r="E28" i="19"/>
  <c r="D27" i="19"/>
  <c r="C26" i="19"/>
  <c r="L24" i="19"/>
  <c r="J23" i="19"/>
  <c r="H22" i="19"/>
  <c r="Q20" i="19"/>
  <c r="O19" i="19"/>
  <c r="N18" i="19"/>
  <c r="B17" i="19"/>
  <c r="A16" i="19"/>
  <c r="S14" i="19"/>
  <c r="F13" i="19"/>
  <c r="E12" i="19"/>
  <c r="D11" i="19"/>
  <c r="C10" i="19"/>
  <c r="L8" i="19"/>
  <c r="J7" i="19"/>
  <c r="H6" i="19"/>
  <c r="B3" i="19"/>
  <c r="F131" i="18"/>
  <c r="D129" i="18"/>
  <c r="O127" i="18"/>
  <c r="J126" i="18"/>
  <c r="D125" i="18"/>
  <c r="O123" i="18"/>
  <c r="F121" i="18"/>
  <c r="B120" i="18"/>
  <c r="X118" i="18"/>
  <c r="F117" i="18"/>
  <c r="B116" i="18"/>
  <c r="X114" i="18"/>
  <c r="F113" i="18"/>
  <c r="B112" i="18"/>
  <c r="X110" i="18"/>
  <c r="N109" i="18"/>
  <c r="N108" i="18"/>
  <c r="N107" i="18"/>
  <c r="N106" i="18"/>
  <c r="N105" i="18"/>
  <c r="N104" i="18"/>
  <c r="N103" i="18"/>
  <c r="N102" i="18"/>
  <c r="N101" i="18"/>
  <c r="N100" i="18"/>
  <c r="N99" i="18"/>
  <c r="N98" i="18"/>
  <c r="T96" i="18"/>
  <c r="S95" i="18"/>
  <c r="X94" i="18"/>
  <c r="Q93" i="18"/>
  <c r="T92" i="18"/>
  <c r="S91" i="18"/>
  <c r="X90" i="18"/>
  <c r="Q89" i="18"/>
  <c r="T88" i="18"/>
  <c r="S87" i="18"/>
  <c r="X86" i="18"/>
  <c r="Q85" i="18"/>
  <c r="S84" i="18"/>
  <c r="X83" i="18"/>
  <c r="F82" i="18"/>
  <c r="L81" i="18"/>
  <c r="O80" i="18"/>
  <c r="N79" i="18"/>
  <c r="F78" i="18"/>
  <c r="L77" i="18"/>
  <c r="L76" i="18"/>
  <c r="B75" i="18"/>
  <c r="E74" i="18"/>
  <c r="V72" i="18"/>
  <c r="A72" i="18"/>
  <c r="D71" i="18"/>
  <c r="D70" i="18"/>
  <c r="C69" i="18"/>
  <c r="V67" i="18"/>
  <c r="A67" i="18"/>
  <c r="D66" i="18"/>
  <c r="E65" i="18"/>
  <c r="H64" i="18"/>
  <c r="B63" i="18"/>
  <c r="E62" i="18"/>
  <c r="H61" i="18"/>
  <c r="B60" i="18"/>
  <c r="E59" i="18"/>
  <c r="J58" i="18"/>
  <c r="H57" i="18"/>
  <c r="F55" i="18"/>
  <c r="V53" i="18"/>
  <c r="H52" i="18"/>
  <c r="A51" i="18"/>
  <c r="L49" i="18"/>
  <c r="Q48" i="18"/>
  <c r="B47" i="18"/>
  <c r="A46" i="18"/>
  <c r="B44" i="18"/>
  <c r="F42" i="18"/>
  <c r="E41" i="18"/>
  <c r="D40" i="18"/>
  <c r="C39" i="18"/>
  <c r="C38" i="18"/>
  <c r="V36" i="18"/>
  <c r="X35" i="18"/>
  <c r="Q34" i="18"/>
  <c r="V33" i="18"/>
  <c r="V32" i="18"/>
  <c r="A32" i="18"/>
  <c r="E31" i="18"/>
  <c r="T29" i="18"/>
  <c r="S28" i="18"/>
  <c r="S27" i="18"/>
  <c r="O26" i="18"/>
  <c r="J25" i="18"/>
  <c r="H24" i="18"/>
  <c r="H23" i="18"/>
  <c r="B22" i="18"/>
  <c r="A21" i="18"/>
  <c r="E20" i="18"/>
  <c r="L19" i="18"/>
  <c r="J18" i="18"/>
  <c r="J17" i="18"/>
  <c r="H16" i="18"/>
  <c r="B15" i="18"/>
  <c r="E14" i="18"/>
  <c r="J13" i="18"/>
  <c r="H12" i="18"/>
  <c r="B11" i="18"/>
  <c r="E10" i="18"/>
  <c r="J9" i="18"/>
  <c r="H8" i="18"/>
  <c r="B7" i="18"/>
  <c r="D5" i="18"/>
  <c r="H101" i="17"/>
  <c r="F99" i="17"/>
  <c r="F97" i="17"/>
  <c r="F95" i="17"/>
  <c r="F93" i="17"/>
  <c r="F91" i="17"/>
  <c r="F89" i="17"/>
  <c r="F87" i="17"/>
  <c r="N85" i="17"/>
  <c r="O84" i="17"/>
  <c r="E83" i="17"/>
  <c r="F82" i="17"/>
  <c r="H81" i="17"/>
  <c r="J80" i="17"/>
  <c r="A12" i="18"/>
  <c r="T7" i="18"/>
  <c r="D99" i="17"/>
  <c r="D91" i="17"/>
  <c r="O83" i="17"/>
  <c r="V80" i="17"/>
  <c r="D79" i="17"/>
  <c r="B78" i="17"/>
  <c r="E77" i="17"/>
  <c r="A76" i="17"/>
  <c r="B75" i="17"/>
  <c r="A74" i="17"/>
  <c r="B73" i="17"/>
  <c r="C72" i="17"/>
  <c r="D71" i="17"/>
  <c r="A70" i="17"/>
  <c r="B69" i="17"/>
  <c r="E68" i="17"/>
  <c r="C67" i="17"/>
  <c r="D66" i="17"/>
  <c r="C65" i="17"/>
  <c r="D64" i="17"/>
  <c r="A63" i="17"/>
  <c r="B62" i="17"/>
  <c r="C61" i="17"/>
  <c r="D60" i="17"/>
  <c r="A59" i="17"/>
  <c r="B58" i="17"/>
  <c r="C57" i="17"/>
  <c r="D56" i="17"/>
  <c r="A55" i="17"/>
  <c r="S53" i="17"/>
  <c r="T52" i="17"/>
  <c r="O51" i="17"/>
  <c r="J50" i="17"/>
  <c r="A49" i="17"/>
  <c r="O47" i="17"/>
  <c r="J46" i="17"/>
  <c r="A45" i="17"/>
  <c r="O43" i="17"/>
  <c r="J42" i="17"/>
  <c r="A41" i="17"/>
  <c r="O39" i="17"/>
  <c r="J38" i="17"/>
  <c r="A37" i="17"/>
  <c r="E35" i="17"/>
  <c r="B34" i="17"/>
  <c r="Q32" i="17"/>
  <c r="E31" i="17"/>
  <c r="B30" i="17"/>
  <c r="Q28" i="17"/>
  <c r="E27" i="17"/>
  <c r="B26" i="17"/>
  <c r="Q24" i="17"/>
  <c r="E23" i="17"/>
  <c r="B22" i="17"/>
  <c r="Q20" i="17"/>
  <c r="E19" i="17"/>
  <c r="B18" i="17"/>
  <c r="Q16" i="17"/>
  <c r="E15" i="17"/>
  <c r="B14" i="17"/>
  <c r="Q12" i="17"/>
  <c r="E11" i="17"/>
  <c r="B10" i="17"/>
  <c r="Q8" i="17"/>
  <c r="E7" i="17"/>
  <c r="J6" i="17"/>
  <c r="D5" i="17"/>
  <c r="S79" i="16"/>
  <c r="T78" i="16"/>
  <c r="Q77" i="16"/>
  <c r="N76" i="16"/>
  <c r="D75" i="16"/>
  <c r="V73" i="16"/>
  <c r="L72" i="16"/>
  <c r="O71" i="16"/>
  <c r="L70" i="16"/>
  <c r="N69" i="16"/>
  <c r="Q68" i="16"/>
  <c r="L67" i="16"/>
  <c r="L66" i="16"/>
  <c r="H65" i="16"/>
  <c r="H64" i="16"/>
  <c r="E63" i="16"/>
  <c r="H62" i="16"/>
  <c r="H61" i="16"/>
  <c r="H60" i="16"/>
  <c r="H59" i="16"/>
  <c r="Q57" i="16"/>
  <c r="E56" i="16"/>
  <c r="A55" i="16"/>
  <c r="E53" i="16"/>
  <c r="B52" i="16"/>
  <c r="N50" i="16"/>
  <c r="H49" i="16"/>
  <c r="D48" i="16"/>
  <c r="N46" i="16"/>
  <c r="Q45" i="16"/>
  <c r="F44" i="16"/>
  <c r="B43" i="16"/>
  <c r="N41" i="16"/>
  <c r="F40" i="16"/>
  <c r="B39" i="16"/>
  <c r="O37" i="16"/>
  <c r="H36" i="16"/>
  <c r="N34" i="16"/>
  <c r="F33" i="16"/>
  <c r="A32" i="16"/>
  <c r="J30" i="16"/>
  <c r="D29" i="16"/>
  <c r="L27" i="16"/>
  <c r="F26" i="16"/>
  <c r="B25" i="16"/>
  <c r="O23" i="16"/>
  <c r="H22" i="16"/>
  <c r="D21" i="16"/>
  <c r="N19" i="16"/>
  <c r="H18" i="16"/>
  <c r="D17" i="16"/>
  <c r="N15" i="16"/>
  <c r="J14" i="16"/>
  <c r="A13" i="16"/>
  <c r="O11" i="16"/>
  <c r="H10" i="16"/>
  <c r="C9" i="16"/>
  <c r="N7" i="16"/>
  <c r="Q6" i="16"/>
  <c r="Q5" i="16"/>
  <c r="B3" i="16"/>
  <c r="F138" i="15"/>
  <c r="A137" i="15"/>
  <c r="D136" i="15"/>
  <c r="V134" i="15"/>
  <c r="X133" i="15"/>
  <c r="T132" i="15"/>
  <c r="S131" i="15"/>
  <c r="V130" i="15"/>
  <c r="S129" i="15"/>
  <c r="V128" i="15"/>
  <c r="T127" i="15"/>
  <c r="X126" i="15"/>
  <c r="T125" i="15"/>
  <c r="F124" i="15"/>
  <c r="J123" i="15"/>
  <c r="E122" i="15"/>
  <c r="H121" i="15"/>
  <c r="E120" i="15"/>
  <c r="C119" i="15"/>
  <c r="V117" i="15"/>
  <c r="O116" i="15"/>
  <c r="N115" i="15"/>
  <c r="Q114" i="15"/>
  <c r="O113" i="15"/>
  <c r="N112" i="15"/>
  <c r="L111" i="15"/>
  <c r="Q110" i="15"/>
  <c r="V109" i="15"/>
  <c r="T108" i="15"/>
  <c r="X107" i="15"/>
  <c r="V106" i="15"/>
  <c r="T105" i="15"/>
  <c r="S104" i="15"/>
  <c r="X103" i="15"/>
  <c r="V102" i="15"/>
  <c r="N101" i="15"/>
  <c r="J100" i="15"/>
  <c r="B99" i="15"/>
  <c r="N97" i="15"/>
  <c r="J96" i="15"/>
  <c r="B95" i="15"/>
  <c r="N93" i="15"/>
  <c r="J92" i="15"/>
  <c r="B91" i="15"/>
  <c r="N89" i="15"/>
  <c r="J88" i="15"/>
  <c r="B87" i="15"/>
  <c r="N85" i="15"/>
  <c r="J84" i="15"/>
  <c r="B83" i="15"/>
  <c r="N81" i="15"/>
  <c r="J80" i="15"/>
  <c r="B79" i="15"/>
  <c r="N77" i="15"/>
  <c r="J76" i="15"/>
  <c r="D75" i="15"/>
  <c r="F73" i="15"/>
  <c r="D72" i="15"/>
  <c r="Q70" i="15"/>
  <c r="F69" i="15"/>
  <c r="D68" i="15"/>
  <c r="Q66" i="15"/>
  <c r="J65" i="15"/>
  <c r="B64" i="15"/>
  <c r="N62" i="15"/>
  <c r="J61" i="15"/>
  <c r="B60" i="15"/>
  <c r="N58" i="15"/>
  <c r="J57" i="15"/>
  <c r="B56" i="15"/>
  <c r="N54" i="15"/>
  <c r="B53" i="15"/>
  <c r="N51" i="15"/>
  <c r="J50" i="15"/>
  <c r="B49" i="15"/>
  <c r="N47" i="15"/>
  <c r="J46" i="15"/>
  <c r="A45" i="15"/>
  <c r="L43" i="15"/>
  <c r="F42" i="15"/>
  <c r="C41" i="15"/>
  <c r="O39" i="15"/>
  <c r="E38" i="15"/>
  <c r="C37" i="15"/>
  <c r="E35" i="15"/>
  <c r="C34" i="15"/>
  <c r="O32" i="15"/>
  <c r="E31" i="15"/>
  <c r="C30" i="15"/>
  <c r="O28" i="15"/>
  <c r="B27" i="15"/>
  <c r="N25" i="15"/>
  <c r="E24" i="15"/>
  <c r="C23" i="15"/>
  <c r="O21" i="15"/>
  <c r="E20" i="15"/>
  <c r="D19" i="15"/>
  <c r="Q17" i="15"/>
  <c r="F16" i="15"/>
  <c r="E15" i="15"/>
  <c r="C14" i="15"/>
  <c r="O12" i="15"/>
  <c r="E11" i="15"/>
  <c r="C10" i="15"/>
  <c r="L8" i="15"/>
  <c r="J7" i="15"/>
  <c r="N5" i="15"/>
  <c r="F389" i="14"/>
  <c r="F387" i="14"/>
  <c r="F385" i="14"/>
  <c r="F383" i="14"/>
  <c r="F381" i="14"/>
  <c r="H379" i="14"/>
  <c r="A378" i="14"/>
  <c r="E376" i="14"/>
  <c r="L374" i="14"/>
  <c r="C373" i="14"/>
  <c r="H371" i="14"/>
  <c r="A370" i="14"/>
  <c r="E368" i="14"/>
  <c r="L366" i="14"/>
  <c r="C365" i="14"/>
  <c r="H363" i="14"/>
  <c r="T11" i="18"/>
  <c r="O7" i="18"/>
  <c r="J98" i="17"/>
  <c r="J90" i="17"/>
  <c r="L84" i="17"/>
  <c r="E81" i="17"/>
  <c r="J79" i="17"/>
  <c r="E78" i="17"/>
  <c r="J77" i="17"/>
  <c r="F76" i="17"/>
  <c r="A75" i="17"/>
  <c r="S73" i="17"/>
  <c r="T72" i="17"/>
  <c r="V71" i="17"/>
  <c r="X70" i="17"/>
  <c r="S69" i="17"/>
  <c r="T68" i="17"/>
  <c r="T67" i="17"/>
  <c r="V66" i="17"/>
  <c r="T65" i="17"/>
  <c r="V64" i="17"/>
  <c r="X63" i="17"/>
  <c r="S62" i="17"/>
  <c r="T61" i="17"/>
  <c r="V60" i="17"/>
  <c r="X59" i="17"/>
  <c r="S58" i="17"/>
  <c r="T57" i="17"/>
  <c r="V56" i="17"/>
  <c r="X55" i="17"/>
  <c r="S54" i="17"/>
  <c r="Q53" i="17"/>
  <c r="N52" i="17"/>
  <c r="B51" i="17"/>
  <c r="Q49" i="17"/>
  <c r="E48" i="17"/>
  <c r="B47" i="17"/>
  <c r="Q45" i="17"/>
  <c r="E44" i="17"/>
  <c r="B43" i="17"/>
  <c r="Q41" i="17"/>
  <c r="E40" i="17"/>
  <c r="B39" i="17"/>
  <c r="Q37" i="17"/>
  <c r="E36" i="17"/>
  <c r="L34" i="17"/>
  <c r="F33" i="17"/>
  <c r="C32" i="17"/>
  <c r="L30" i="17"/>
  <c r="F29" i="17"/>
  <c r="C28" i="17"/>
  <c r="L26" i="17"/>
  <c r="F25" i="17"/>
  <c r="C24" i="17"/>
  <c r="L22" i="17"/>
  <c r="F21" i="17"/>
  <c r="C20" i="17"/>
  <c r="L18" i="17"/>
  <c r="F17" i="17"/>
  <c r="C16" i="17"/>
  <c r="L14" i="17"/>
  <c r="F13" i="17"/>
  <c r="C12" i="17"/>
  <c r="L10" i="17"/>
  <c r="F9" i="17"/>
  <c r="C8" i="17"/>
  <c r="S6" i="17"/>
  <c r="N5" i="17"/>
  <c r="X79" i="16"/>
  <c r="S78" i="16"/>
  <c r="O77" i="16"/>
  <c r="L76" i="16"/>
  <c r="C75" i="16"/>
  <c r="T73" i="16"/>
  <c r="J72" i="16"/>
  <c r="H71" i="16"/>
  <c r="D70" i="16"/>
  <c r="T68" i="16"/>
  <c r="V67" i="16"/>
  <c r="Q66" i="16"/>
  <c r="N65" i="16"/>
  <c r="N64" i="16"/>
  <c r="Q63" i="16"/>
  <c r="N62" i="16"/>
  <c r="N61" i="16"/>
  <c r="N60" i="16"/>
  <c r="N59" i="16"/>
  <c r="Q58" i="16"/>
  <c r="H57" i="16"/>
  <c r="D56" i="16"/>
  <c r="L54" i="16"/>
  <c r="D53" i="16"/>
  <c r="L51" i="16"/>
  <c r="E50" i="16"/>
  <c r="B49" i="16"/>
  <c r="Q47" i="16"/>
  <c r="E46" i="16"/>
  <c r="J45" i="16"/>
  <c r="A44" i="16"/>
  <c r="L42" i="16"/>
  <c r="E41" i="16"/>
  <c r="A40" i="16"/>
  <c r="N38" i="16"/>
  <c r="F37" i="16"/>
  <c r="Q35" i="16"/>
  <c r="L34" i="16"/>
  <c r="E33" i="16"/>
  <c r="Q31" i="16"/>
  <c r="H30" i="16"/>
  <c r="C29" i="16"/>
  <c r="Q27" i="16"/>
  <c r="E26" i="16"/>
  <c r="A25" i="16"/>
  <c r="N23" i="16"/>
  <c r="F22" i="16"/>
  <c r="C21" i="16"/>
  <c r="L19" i="16"/>
  <c r="F18" i="16"/>
  <c r="C17" i="16"/>
  <c r="F15" i="16"/>
  <c r="C14" i="16"/>
  <c r="L12" i="16"/>
  <c r="F11" i="16"/>
  <c r="B10" i="16"/>
  <c r="O8" i="16"/>
  <c r="E7" i="16"/>
  <c r="J6" i="16"/>
  <c r="J5" i="16"/>
  <c r="A3" i="16"/>
  <c r="E139" i="15"/>
  <c r="E138" i="15"/>
  <c r="T136" i="15"/>
  <c r="X135" i="15"/>
  <c r="T134" i="15"/>
  <c r="V133" i="15"/>
  <c r="S132" i="15"/>
  <c r="X131" i="15"/>
  <c r="T130" i="15"/>
  <c r="X129" i="15"/>
  <c r="T128" i="15"/>
  <c r="S127" i="15"/>
  <c r="V126" i="15"/>
  <c r="F125" i="15"/>
  <c r="E124" i="15"/>
  <c r="H123" i="15"/>
  <c r="J122" i="15"/>
  <c r="F121" i="15"/>
  <c r="D120" i="15"/>
  <c r="X118" i="15"/>
  <c r="T117" i="15"/>
  <c r="N116" i="15"/>
  <c r="L115" i="15"/>
  <c r="O114" i="15"/>
  <c r="N113" i="15"/>
  <c r="L112" i="15"/>
  <c r="Q111" i="15"/>
  <c r="O110" i="15"/>
  <c r="O109" i="15"/>
  <c r="L108" i="15"/>
  <c r="Q107" i="15"/>
  <c r="O106" i="15"/>
  <c r="N105" i="15"/>
  <c r="L104" i="15"/>
  <c r="Q103" i="15"/>
  <c r="O102" i="15"/>
  <c r="E101" i="15"/>
  <c r="C100" i="15"/>
  <c r="O98" i="15"/>
  <c r="E97" i="15"/>
  <c r="C96" i="15"/>
  <c r="O94" i="15"/>
  <c r="E93" i="15"/>
  <c r="C92" i="15"/>
  <c r="O90" i="15"/>
  <c r="E89" i="15"/>
  <c r="C88" i="15"/>
  <c r="O86" i="15"/>
  <c r="E85" i="15"/>
  <c r="C84" i="15"/>
  <c r="O82" i="15"/>
  <c r="E81" i="15"/>
  <c r="C80" i="15"/>
  <c r="O78" i="15"/>
  <c r="E77" i="15"/>
  <c r="A76" i="15"/>
  <c r="L74" i="15"/>
  <c r="A73" i="15"/>
  <c r="L71" i="15"/>
  <c r="H70" i="15"/>
  <c r="A69" i="15"/>
  <c r="L67" i="15"/>
  <c r="H66" i="15"/>
  <c r="C65" i="15"/>
  <c r="O63" i="15"/>
  <c r="E62" i="15"/>
  <c r="C61" i="15"/>
  <c r="O59" i="15"/>
  <c r="E58" i="15"/>
  <c r="C57" i="15"/>
  <c r="O55" i="15"/>
  <c r="E54" i="15"/>
  <c r="O52" i="15"/>
  <c r="E51" i="15"/>
  <c r="C50" i="15"/>
  <c r="O48" i="15"/>
  <c r="E47" i="15"/>
  <c r="C46" i="15"/>
  <c r="N44" i="15"/>
  <c r="J43" i="15"/>
  <c r="A42" i="15"/>
  <c r="Q40" i="15"/>
  <c r="F39" i="15"/>
  <c r="D38" i="15"/>
  <c r="Q36" i="15"/>
  <c r="J35" i="15"/>
  <c r="B34" i="15"/>
  <c r="N32" i="15"/>
  <c r="J31" i="15"/>
  <c r="B30" i="15"/>
  <c r="N28" i="15"/>
  <c r="L27" i="15"/>
  <c r="H26" i="15"/>
  <c r="Q24" i="15"/>
  <c r="F23" i="15"/>
  <c r="D22" i="15"/>
  <c r="Q20" i="15"/>
  <c r="H19" i="15"/>
  <c r="A18" i="15"/>
  <c r="L16" i="15"/>
  <c r="O11" i="18"/>
  <c r="E8" i="18"/>
  <c r="D100" i="17"/>
  <c r="D92" i="17"/>
  <c r="D85" i="17"/>
  <c r="N81" i="17"/>
  <c r="Q79" i="17"/>
  <c r="J78" i="17"/>
  <c r="H77" i="17"/>
  <c r="X75" i="17"/>
  <c r="S74" i="17"/>
  <c r="Q73" i="17"/>
  <c r="L72" i="17"/>
  <c r="N71" i="17"/>
  <c r="F85" i="22"/>
  <c r="O10" i="22"/>
  <c r="D23" i="22"/>
  <c r="S74" i="20"/>
  <c r="N280" i="19"/>
  <c r="B198" i="19"/>
  <c r="N119" i="19"/>
  <c r="L23" i="20"/>
  <c r="L234" i="19"/>
  <c r="B155" i="19"/>
  <c r="J40" i="20"/>
  <c r="T245" i="19"/>
  <c r="A167" i="19"/>
  <c r="C67" i="20"/>
  <c r="J34" i="20"/>
  <c r="L7" i="20"/>
  <c r="H260" i="19"/>
  <c r="C238" i="19"/>
  <c r="O211" i="19"/>
  <c r="L184" i="19"/>
  <c r="F161" i="19"/>
  <c r="C142" i="19"/>
  <c r="H122" i="19"/>
  <c r="Q107" i="19"/>
  <c r="B88" i="19"/>
  <c r="E67" i="19"/>
  <c r="E47" i="19"/>
  <c r="C27" i="19"/>
  <c r="H7" i="19"/>
  <c r="Q117" i="18"/>
  <c r="F101" i="18"/>
  <c r="E83" i="18"/>
  <c r="T67" i="18"/>
  <c r="O48" i="18"/>
  <c r="D31" i="18"/>
  <c r="N13" i="18"/>
  <c r="E85" i="17"/>
  <c r="O99" i="19"/>
  <c r="A80" i="19"/>
  <c r="B59" i="19"/>
  <c r="D39" i="19"/>
  <c r="L18" i="19"/>
  <c r="F124" i="18"/>
  <c r="A107" i="18"/>
  <c r="B92" i="18"/>
  <c r="N76" i="18"/>
  <c r="J60" i="18"/>
  <c r="L38" i="18"/>
  <c r="H21" i="18"/>
  <c r="O104" i="19"/>
  <c r="A85" i="19"/>
  <c r="C65" i="19"/>
  <c r="E45" i="19"/>
  <c r="N25" i="19"/>
  <c r="O5" i="19"/>
  <c r="Q124" i="18"/>
  <c r="H118" i="18"/>
  <c r="C113" i="18"/>
  <c r="O107" i="18"/>
  <c r="D102" i="18"/>
  <c r="E96" i="18"/>
  <c r="D91" i="18"/>
  <c r="F85" i="18"/>
  <c r="A80" i="18"/>
  <c r="N73" i="18"/>
  <c r="H68" i="18"/>
  <c r="F62" i="18"/>
  <c r="D57" i="18"/>
  <c r="L48" i="18"/>
  <c r="B41" i="18"/>
  <c r="H35" i="18"/>
  <c r="T28" i="18"/>
  <c r="T23" i="18"/>
  <c r="V17" i="18"/>
  <c r="O12" i="18"/>
  <c r="H7" i="18"/>
  <c r="H95" i="17"/>
  <c r="H85" i="17"/>
  <c r="A80" i="17"/>
  <c r="N112" i="19"/>
  <c r="C104" i="19"/>
  <c r="J97" i="19"/>
  <c r="C92" i="19"/>
  <c r="Q86" i="19"/>
  <c r="A82" i="19"/>
  <c r="D77" i="19"/>
  <c r="H72" i="19"/>
  <c r="B67" i="19"/>
  <c r="C62" i="19"/>
  <c r="Q56" i="19"/>
  <c r="H52" i="19"/>
  <c r="B47" i="19"/>
  <c r="E42" i="19"/>
  <c r="J37" i="19"/>
  <c r="E32" i="19"/>
  <c r="J27" i="19"/>
  <c r="N22" i="19"/>
  <c r="F17" i="19"/>
  <c r="L12" i="19"/>
  <c r="O7" i="19"/>
  <c r="J129" i="18"/>
  <c r="D124" i="18"/>
  <c r="X117" i="18"/>
  <c r="F112" i="18"/>
  <c r="S107" i="18"/>
  <c r="S103" i="18"/>
  <c r="S99" i="18"/>
  <c r="C95" i="18"/>
  <c r="C91" i="18"/>
  <c r="C87" i="18"/>
  <c r="X82" i="18"/>
  <c r="X78" i="18"/>
  <c r="L74" i="18"/>
  <c r="J70" i="18"/>
  <c r="J66" i="18"/>
  <c r="L62" i="18"/>
  <c r="O58" i="18"/>
  <c r="A53" i="18"/>
  <c r="F47" i="18"/>
  <c r="L41" i="18"/>
  <c r="B37" i="18"/>
  <c r="A33" i="18"/>
  <c r="D29" i="18"/>
  <c r="N24" i="18"/>
  <c r="L20" i="18"/>
  <c r="N16" i="18"/>
  <c r="N12" i="18"/>
  <c r="N8" i="18"/>
  <c r="A100" i="17"/>
  <c r="A92" i="17"/>
  <c r="T84" i="17"/>
  <c r="Q80" i="17"/>
  <c r="D93" i="17"/>
  <c r="F78" i="17"/>
  <c r="H74" i="17"/>
  <c r="E70" i="17"/>
  <c r="J66" i="17"/>
  <c r="F62" i="17"/>
  <c r="F58" i="17"/>
  <c r="F54" i="17"/>
  <c r="E49" i="17"/>
  <c r="B44" i="17"/>
  <c r="Q38" i="17"/>
  <c r="C33" i="17"/>
  <c r="L27" i="17"/>
  <c r="F22" i="17"/>
  <c r="C17" i="17"/>
  <c r="L11" i="17"/>
  <c r="O6" i="17"/>
  <c r="X77" i="16"/>
  <c r="X72" i="16"/>
  <c r="V68" i="16"/>
  <c r="O64" i="16"/>
  <c r="O60" i="16"/>
  <c r="E55" i="16"/>
  <c r="O49" i="16"/>
  <c r="N44" i="16"/>
  <c r="F39" i="16"/>
  <c r="N33" i="16"/>
  <c r="D28" i="16"/>
  <c r="O22" i="16"/>
  <c r="J17" i="16"/>
  <c r="B12" i="16"/>
  <c r="V6" i="16"/>
  <c r="E137" i="15"/>
  <c r="D133" i="15"/>
  <c r="B129" i="15"/>
  <c r="S124" i="15"/>
  <c r="L120" i="15"/>
  <c r="S115" i="15"/>
  <c r="X111" i="15"/>
  <c r="B108" i="15"/>
  <c r="B104" i="15"/>
  <c r="F99" i="15"/>
  <c r="D94" i="15"/>
  <c r="Q88" i="15"/>
  <c r="F83" i="15"/>
  <c r="D78" i="15"/>
  <c r="J72" i="15"/>
  <c r="B67" i="15"/>
  <c r="Q61" i="15"/>
  <c r="F56" i="15"/>
  <c r="Q50" i="15"/>
  <c r="E45" i="15"/>
  <c r="A40" i="15"/>
  <c r="H34" i="15"/>
  <c r="A29" i="15"/>
  <c r="H23" i="15"/>
  <c r="B18" i="15"/>
  <c r="A13" i="15"/>
  <c r="O7" i="15"/>
  <c r="D386" i="14"/>
  <c r="E378" i="14"/>
  <c r="A372" i="14"/>
  <c r="H365" i="14"/>
  <c r="J100" i="17"/>
  <c r="V79" i="17"/>
  <c r="E75" i="17"/>
  <c r="C71" i="17"/>
  <c r="B67" i="17"/>
  <c r="D63" i="17"/>
  <c r="D59" i="17"/>
  <c r="D55" i="17"/>
  <c r="C50" i="17"/>
  <c r="L44" i="17"/>
  <c r="F39" i="17"/>
  <c r="N33" i="17"/>
  <c r="H28" i="17"/>
  <c r="D23" i="17"/>
  <c r="N17" i="17"/>
  <c r="H12" i="17"/>
  <c r="D7" i="17"/>
  <c r="V77" i="16"/>
  <c r="V72" i="16"/>
  <c r="C68" i="16"/>
  <c r="V63" i="16"/>
  <c r="T59" i="16"/>
  <c r="D55" i="16"/>
  <c r="F49" i="16"/>
  <c r="E44" i="16"/>
  <c r="A39" i="16"/>
  <c r="L33" i="16"/>
  <c r="C28" i="16"/>
  <c r="N22" i="16"/>
  <c r="H17" i="16"/>
  <c r="N11" i="16"/>
  <c r="O6" i="16"/>
  <c r="L138" i="15"/>
  <c r="B134" i="15"/>
  <c r="B130" i="15"/>
  <c r="S125" i="15"/>
  <c r="N121" i="15"/>
  <c r="S116" i="15"/>
  <c r="X112" i="15"/>
  <c r="S108" i="15"/>
  <c r="X104" i="15"/>
  <c r="H100" i="15"/>
  <c r="A95" i="15"/>
  <c r="L89" i="15"/>
  <c r="H84" i="15"/>
  <c r="A79" i="15"/>
  <c r="E73" i="15"/>
  <c r="C68" i="15"/>
  <c r="L62" i="15"/>
  <c r="H57" i="15"/>
  <c r="L51" i="15"/>
  <c r="H46" i="15"/>
  <c r="B41" i="15"/>
  <c r="Q35" i="15"/>
  <c r="F30" i="15"/>
  <c r="B25" i="15"/>
  <c r="N19" i="15"/>
  <c r="B9" i="18"/>
  <c r="D82" i="17"/>
  <c r="E76" i="17"/>
  <c r="T71" i="17"/>
  <c r="C70" i="17"/>
  <c r="S68" i="17"/>
  <c r="E67" i="17"/>
  <c r="L65" i="17"/>
  <c r="F64" i="17"/>
  <c r="C63" i="17"/>
  <c r="L61" i="17"/>
  <c r="F60" i="17"/>
  <c r="C59" i="17"/>
  <c r="L57" i="17"/>
  <c r="F56" i="17"/>
  <c r="C55" i="17"/>
  <c r="O53" i="17"/>
  <c r="S51" i="17"/>
  <c r="F50" i="17"/>
  <c r="J48" i="17"/>
  <c r="N46" i="17"/>
  <c r="C45" i="17"/>
  <c r="A43" i="17"/>
  <c r="H41" i="17"/>
  <c r="L39" i="17"/>
  <c r="O37" i="17"/>
  <c r="D36" i="17"/>
  <c r="J34" i="17"/>
  <c r="F32" i="17"/>
  <c r="Q30" i="17"/>
  <c r="A29" i="17"/>
  <c r="C27" i="17"/>
  <c r="E25" i="17"/>
  <c r="O23" i="17"/>
  <c r="L21" i="17"/>
  <c r="B20" i="17"/>
  <c r="J18" i="17"/>
  <c r="F16" i="17"/>
  <c r="Q14" i="17"/>
  <c r="A13" i="17"/>
  <c r="C11" i="17"/>
  <c r="E9" i="17"/>
  <c r="O7" i="17"/>
  <c r="F5" i="17"/>
  <c r="V79" i="16"/>
  <c r="L78" i="16"/>
  <c r="V76" i="16"/>
  <c r="F75" i="16"/>
  <c r="S73" i="16"/>
  <c r="X71" i="16"/>
  <c r="C70" i="16"/>
  <c r="A69" i="16"/>
  <c r="H67" i="16"/>
  <c r="A66" i="16"/>
  <c r="S64" i="16"/>
  <c r="T63" i="16"/>
  <c r="X62" i="16"/>
  <c r="S61" i="16"/>
  <c r="S60" i="16"/>
  <c r="S59" i="16"/>
  <c r="T58" i="16"/>
  <c r="N57" i="16"/>
  <c r="H56" i="16"/>
  <c r="C55" i="16"/>
  <c r="O53" i="16"/>
  <c r="J52" i="16"/>
  <c r="D51" i="16"/>
  <c r="L49" i="16"/>
  <c r="F48" i="16"/>
  <c r="C47" i="16"/>
  <c r="S45" i="16"/>
  <c r="J44" i="16"/>
  <c r="D43" i="16"/>
  <c r="Q41" i="16"/>
  <c r="J40" i="16"/>
  <c r="D39" i="16"/>
  <c r="L37" i="16"/>
  <c r="E36" i="16"/>
  <c r="Q34" i="16"/>
  <c r="J33" i="16"/>
  <c r="C32" i="16"/>
  <c r="N30" i="16"/>
  <c r="F29" i="16"/>
  <c r="B28" i="16"/>
  <c r="Q26" i="16"/>
  <c r="J25" i="16"/>
  <c r="A24" i="16"/>
  <c r="L22" i="16"/>
  <c r="F21" i="16"/>
  <c r="C20" i="16"/>
  <c r="L18" i="16"/>
  <c r="F17" i="16"/>
  <c r="B16" i="16"/>
  <c r="A15" i="16"/>
  <c r="H13" i="16"/>
  <c r="D12" i="16"/>
  <c r="L10" i="16"/>
  <c r="E9" i="16"/>
  <c r="B8" i="16"/>
  <c r="S6" i="16"/>
  <c r="N5" i="16"/>
  <c r="T139" i="15"/>
  <c r="O138" i="15"/>
  <c r="H137" i="15"/>
  <c r="F136" i="15"/>
  <c r="D135" i="15"/>
  <c r="A134" i="15"/>
  <c r="B133" i="15"/>
  <c r="A132" i="15"/>
  <c r="D131" i="15"/>
  <c r="A130" i="15"/>
  <c r="D129" i="15"/>
  <c r="B128" i="15"/>
  <c r="A127" i="15"/>
  <c r="X125" i="15"/>
  <c r="V124" i="15"/>
  <c r="N123" i="15"/>
  <c r="O122" i="15"/>
  <c r="L121" i="15"/>
  <c r="H120" i="15"/>
  <c r="E119" i="15"/>
  <c r="D118" i="15"/>
  <c r="X116" i="15"/>
  <c r="V115" i="15"/>
  <c r="S114" i="15"/>
  <c r="X113" i="15"/>
  <c r="V112" i="15"/>
  <c r="T111" i="15"/>
  <c r="S110" i="15"/>
  <c r="S109" i="15"/>
  <c r="X108" i="15"/>
  <c r="T107" i="15"/>
  <c r="S106" i="15"/>
  <c r="X105" i="15"/>
  <c r="V104" i="15"/>
  <c r="T103" i="15"/>
  <c r="S102" i="15"/>
  <c r="Q101" i="15"/>
  <c r="F100" i="15"/>
  <c r="D99" i="15"/>
  <c r="Q97" i="15"/>
  <c r="F96" i="15"/>
  <c r="D95" i="15"/>
  <c r="Q93" i="15"/>
  <c r="F92" i="15"/>
  <c r="D91" i="15"/>
  <c r="Q89" i="15"/>
  <c r="F88" i="15"/>
  <c r="D87" i="15"/>
  <c r="Q85" i="15"/>
  <c r="F84" i="15"/>
  <c r="D83" i="15"/>
  <c r="Q81" i="15"/>
  <c r="F80" i="15"/>
  <c r="D79" i="15"/>
  <c r="Q77" i="15"/>
  <c r="F76" i="15"/>
  <c r="Q74" i="15"/>
  <c r="J73" i="15"/>
  <c r="B72" i="15"/>
  <c r="N70" i="15"/>
  <c r="J69" i="15"/>
  <c r="B68" i="15"/>
  <c r="N66" i="15"/>
  <c r="B65" i="15"/>
  <c r="N63" i="15"/>
  <c r="J62" i="15"/>
  <c r="B61" i="15"/>
  <c r="N59" i="15"/>
  <c r="J58" i="15"/>
  <c r="B57" i="15"/>
  <c r="N55" i="15"/>
  <c r="J54" i="15"/>
  <c r="D53" i="15"/>
  <c r="Q51" i="15"/>
  <c r="F50" i="15"/>
  <c r="D49" i="15"/>
  <c r="Q47" i="15"/>
  <c r="F46" i="15"/>
  <c r="C45" i="15"/>
  <c r="O43" i="15"/>
  <c r="J42" i="15"/>
  <c r="A41" i="15"/>
  <c r="L39" i="15"/>
  <c r="H38" i="15"/>
  <c r="A37" i="15"/>
  <c r="O35" i="15"/>
  <c r="E34" i="15"/>
  <c r="C33" i="15"/>
  <c r="O31" i="15"/>
  <c r="E30" i="15"/>
  <c r="C29" i="15"/>
  <c r="O27" i="15"/>
  <c r="F26" i="15"/>
  <c r="E25" i="15"/>
  <c r="C24" i="15"/>
  <c r="O22" i="15"/>
  <c r="E21" i="15"/>
  <c r="C20" i="15"/>
  <c r="J18" i="15"/>
  <c r="B17" i="15"/>
  <c r="N15" i="15"/>
  <c r="E14" i="15"/>
  <c r="C13" i="15"/>
  <c r="O11" i="15"/>
  <c r="E10" i="15"/>
  <c r="D9" i="15"/>
  <c r="F7" i="15"/>
  <c r="D6" i="15"/>
  <c r="E5" i="15"/>
  <c r="D389" i="14"/>
  <c r="D387" i="14"/>
  <c r="D385" i="14"/>
  <c r="D383" i="14"/>
  <c r="D381" i="14"/>
  <c r="E379" i="14"/>
  <c r="L377" i="14"/>
  <c r="C376" i="14"/>
  <c r="H374" i="14"/>
  <c r="A373" i="14"/>
  <c r="E371" i="14"/>
  <c r="L369" i="14"/>
  <c r="C368" i="14"/>
  <c r="H366" i="14"/>
  <c r="A365" i="14"/>
  <c r="E363" i="14"/>
  <c r="L361" i="14"/>
  <c r="C360" i="14"/>
  <c r="H358" i="14"/>
  <c r="A357" i="14"/>
  <c r="E355" i="14"/>
  <c r="B13" i="18"/>
  <c r="V8" i="18"/>
  <c r="L101" i="17"/>
  <c r="J93" i="17"/>
  <c r="V85" i="17"/>
  <c r="L81" i="17"/>
  <c r="O79" i="17"/>
  <c r="C78" i="17"/>
  <c r="Q76" i="17"/>
  <c r="O75" i="17"/>
  <c r="Q74" i="17"/>
  <c r="O73" i="17"/>
  <c r="Q72" i="17"/>
  <c r="L71" i="17"/>
  <c r="N70" i="17"/>
  <c r="O69" i="17"/>
  <c r="F68" i="17"/>
  <c r="D67" i="17"/>
  <c r="X65" i="17"/>
  <c r="S64" i="17"/>
  <c r="T63" i="17"/>
  <c r="V62" i="17"/>
  <c r="X61" i="17"/>
  <c r="S60" i="17"/>
  <c r="T59" i="17"/>
  <c r="V58" i="17"/>
  <c r="X57" i="17"/>
  <c r="S56" i="17"/>
  <c r="T55" i="17"/>
  <c r="V54" i="17"/>
  <c r="T53" i="17"/>
  <c r="V52" i="17"/>
  <c r="Q51" i="17"/>
  <c r="E50" i="17"/>
  <c r="B49" i="17"/>
  <c r="Q47" i="17"/>
  <c r="E46" i="17"/>
  <c r="B45" i="17"/>
  <c r="Q43" i="17"/>
  <c r="E42" i="17"/>
  <c r="B41" i="17"/>
  <c r="Q39" i="17"/>
  <c r="E38" i="17"/>
  <c r="B37" i="17"/>
  <c r="N35" i="17"/>
  <c r="H34" i="17"/>
  <c r="D33" i="17"/>
  <c r="N31" i="17"/>
  <c r="H30" i="17"/>
  <c r="D29" i="17"/>
  <c r="N27" i="17"/>
  <c r="H26" i="17"/>
  <c r="D25" i="17"/>
  <c r="N23" i="17"/>
  <c r="H22" i="17"/>
  <c r="D21" i="17"/>
  <c r="N19" i="17"/>
  <c r="H18" i="17"/>
  <c r="D17" i="17"/>
  <c r="N15" i="17"/>
  <c r="H14" i="17"/>
  <c r="D13" i="17"/>
  <c r="N11" i="17"/>
  <c r="H10" i="17"/>
  <c r="D9" i="17"/>
  <c r="N7" i="17"/>
  <c r="Q6" i="17"/>
  <c r="Q5" i="17"/>
  <c r="B3" i="17"/>
  <c r="C79" i="16"/>
  <c r="A78" i="16"/>
  <c r="A77" i="16"/>
  <c r="X75" i="16"/>
  <c r="S74" i="16"/>
  <c r="E73" i="16"/>
  <c r="B72" i="16"/>
  <c r="E71" i="16"/>
  <c r="B70" i="16"/>
  <c r="D69" i="16"/>
  <c r="A68" i="16"/>
  <c r="T66" i="16"/>
  <c r="Q65" i="16"/>
  <c r="Q64" i="16"/>
  <c r="N63" i="16"/>
  <c r="Q62" i="16"/>
  <c r="Q61" i="16"/>
  <c r="Q60" i="16"/>
  <c r="Q59" i="16"/>
  <c r="N58" i="16"/>
  <c r="A57" i="16"/>
  <c r="N55" i="16"/>
  <c r="H54" i="16"/>
  <c r="B53" i="16"/>
  <c r="O51" i="16"/>
  <c r="H50" i="16"/>
  <c r="D49" i="16"/>
  <c r="N47" i="16"/>
  <c r="H46" i="16"/>
  <c r="O44" i="16"/>
  <c r="H43" i="16"/>
  <c r="C42" i="16"/>
  <c r="O40" i="16"/>
  <c r="H39" i="16"/>
  <c r="D38" i="16"/>
  <c r="Q36" i="16"/>
  <c r="H35" i="16"/>
  <c r="C34" i="16"/>
  <c r="N32" i="16"/>
  <c r="F31" i="16"/>
  <c r="A30" i="16"/>
  <c r="L28" i="16"/>
  <c r="F27" i="16"/>
  <c r="C26" i="16"/>
  <c r="Q24" i="16"/>
  <c r="J23" i="16"/>
  <c r="D22" i="16"/>
  <c r="N20" i="16"/>
  <c r="H19" i="16"/>
  <c r="D18" i="16"/>
  <c r="L16" i="16"/>
  <c r="J15" i="16"/>
  <c r="E14" i="16"/>
  <c r="B13" i="16"/>
  <c r="Q11" i="16"/>
  <c r="J10" i="16"/>
  <c r="D9" i="16"/>
  <c r="O7" i="16"/>
  <c r="F6" i="16"/>
  <c r="N4" i="16"/>
  <c r="N139" i="15"/>
  <c r="H138" i="15"/>
  <c r="X136" i="15"/>
  <c r="T135" i="15"/>
  <c r="Q134" i="15"/>
  <c r="L133" i="15"/>
  <c r="Q132" i="15"/>
  <c r="O131" i="15"/>
  <c r="Q130" i="15"/>
  <c r="O129" i="15"/>
  <c r="L128" i="15"/>
  <c r="Q127" i="15"/>
  <c r="F126" i="15"/>
  <c r="D125" i="15"/>
  <c r="S123" i="15"/>
  <c r="T122" i="15"/>
  <c r="X121" i="15"/>
  <c r="S120" i="15"/>
  <c r="J119" i="15"/>
  <c r="C118" i="15"/>
  <c r="A117" i="15"/>
  <c r="D116" i="15"/>
  <c r="C115" i="15"/>
  <c r="A114" i="15"/>
  <c r="D113" i="15"/>
  <c r="C112" i="15"/>
  <c r="B111" i="15"/>
  <c r="X109" i="15"/>
  <c r="V108" i="15"/>
  <c r="S107" i="15"/>
  <c r="X106" i="15"/>
  <c r="V105" i="15"/>
  <c r="T104" i="15"/>
  <c r="S103" i="15"/>
  <c r="X102" i="15"/>
  <c r="O101" i="15"/>
  <c r="E100" i="15"/>
  <c r="C99" i="15"/>
  <c r="O97" i="15"/>
  <c r="E96" i="15"/>
  <c r="C95" i="15"/>
  <c r="O93" i="15"/>
  <c r="E92" i="15"/>
  <c r="C91" i="15"/>
  <c r="O89" i="15"/>
  <c r="E88" i="15"/>
  <c r="C87" i="15"/>
  <c r="O85" i="15"/>
  <c r="E84" i="15"/>
  <c r="C83" i="15"/>
  <c r="O81" i="15"/>
  <c r="E80" i="15"/>
  <c r="C79" i="15"/>
  <c r="O77" i="15"/>
  <c r="E76" i="15"/>
  <c r="O74" i="15"/>
  <c r="H73" i="15"/>
  <c r="A72" i="15"/>
  <c r="L70" i="15"/>
  <c r="H69" i="15"/>
  <c r="A68" i="15"/>
  <c r="L66" i="15"/>
  <c r="A65" i="15"/>
  <c r="L63" i="15"/>
  <c r="H62" i="15"/>
  <c r="A61" i="15"/>
  <c r="L59" i="15"/>
  <c r="H58" i="15"/>
  <c r="A57" i="15"/>
  <c r="L55" i="15"/>
  <c r="H54" i="15"/>
  <c r="C53" i="15"/>
  <c r="O51" i="15"/>
  <c r="E50" i="15"/>
  <c r="C49" i="15"/>
  <c r="O47" i="15"/>
  <c r="E46" i="15"/>
  <c r="B45" i="15"/>
  <c r="N43" i="15"/>
  <c r="H42" i="15"/>
  <c r="D41" i="15"/>
  <c r="Q39" i="15"/>
  <c r="F38" i="15"/>
  <c r="D37" i="15"/>
  <c r="F35" i="15"/>
  <c r="D34" i="15"/>
  <c r="Q32" i="15"/>
  <c r="F31" i="15"/>
  <c r="D30" i="15"/>
  <c r="Q28" i="15"/>
  <c r="H27" i="15"/>
  <c r="A26" i="15"/>
  <c r="N24" i="15"/>
  <c r="J23" i="15"/>
  <c r="B22" i="15"/>
  <c r="N20" i="15"/>
  <c r="L19" i="15"/>
  <c r="H18" i="15"/>
  <c r="A17" i="15"/>
  <c r="F15" i="15"/>
  <c r="D14" i="15"/>
  <c r="Q12" i="15"/>
  <c r="F11" i="15"/>
  <c r="D10" i="15"/>
  <c r="F8" i="15"/>
  <c r="E7" i="15"/>
  <c r="A6" i="15"/>
  <c r="D5" i="15"/>
  <c r="H389" i="14"/>
  <c r="A388" i="14"/>
  <c r="E386" i="14"/>
  <c r="L384" i="14"/>
  <c r="C383" i="14"/>
  <c r="H381" i="14"/>
  <c r="D379" i="14"/>
  <c r="D377" i="14"/>
  <c r="D375" i="14"/>
  <c r="D373" i="14"/>
  <c r="D371" i="14"/>
  <c r="D369" i="14"/>
  <c r="D367" i="14"/>
  <c r="D365" i="14"/>
  <c r="Q13" i="15"/>
  <c r="E9" i="15"/>
  <c r="S3" i="15"/>
  <c r="C384" i="14"/>
  <c r="F377" i="14"/>
  <c r="F369" i="14"/>
  <c r="J362" i="14"/>
  <c r="F360" i="14"/>
  <c r="D357" i="14"/>
  <c r="E354" i="14"/>
  <c r="B352" i="14"/>
  <c r="B350" i="14"/>
  <c r="B348" i="14"/>
  <c r="D346" i="14"/>
  <c r="D344" i="14"/>
  <c r="D342" i="14"/>
  <c r="D340" i="14"/>
  <c r="D338" i="14"/>
  <c r="D336" i="14"/>
  <c r="D334" i="14"/>
  <c r="D332" i="14"/>
  <c r="D330" i="14"/>
  <c r="D328" i="14"/>
  <c r="D326" i="14"/>
  <c r="D324" i="14"/>
  <c r="D322" i="14"/>
  <c r="D320" i="14"/>
  <c r="D318" i="14"/>
  <c r="D316" i="14"/>
  <c r="D314" i="14"/>
  <c r="D312" i="14"/>
  <c r="D310" i="14"/>
  <c r="D308" i="14"/>
  <c r="D306" i="14"/>
  <c r="D304" i="14"/>
  <c r="B302" i="14"/>
  <c r="N299" i="14"/>
  <c r="Q297" i="14"/>
  <c r="A295" i="14"/>
  <c r="C293" i="14"/>
  <c r="O290" i="14"/>
  <c r="D288" i="14"/>
  <c r="B286" i="14"/>
  <c r="N283" i="14"/>
  <c r="Q281" i="14"/>
  <c r="A279" i="14"/>
  <c r="C277" i="14"/>
  <c r="B274" i="14"/>
  <c r="C272" i="14"/>
  <c r="N269" i="14"/>
  <c r="Q267" i="14"/>
  <c r="A265" i="14"/>
  <c r="C263" i="14"/>
  <c r="O260" i="14"/>
  <c r="D258" i="14"/>
  <c r="B256" i="14"/>
  <c r="A253" i="14"/>
  <c r="C251" i="14"/>
  <c r="N248" i="14"/>
  <c r="O246" i="14"/>
  <c r="D244" i="14"/>
  <c r="B242" i="14"/>
  <c r="N239" i="14"/>
  <c r="Q237" i="14"/>
  <c r="A235" i="14"/>
  <c r="D232" i="14"/>
  <c r="B230" i="14"/>
  <c r="N227" i="14"/>
  <c r="Q225" i="14"/>
  <c r="Q223" i="14"/>
  <c r="A221" i="14"/>
  <c r="C219" i="14"/>
  <c r="O216" i="14"/>
  <c r="D214" i="14"/>
  <c r="Q211" i="14"/>
  <c r="A209" i="14"/>
  <c r="C207" i="14"/>
  <c r="O204" i="14"/>
  <c r="Q202" i="14"/>
  <c r="A200" i="14"/>
  <c r="C198" i="14"/>
  <c r="O195" i="14"/>
  <c r="N192" i="14"/>
  <c r="Q190" i="14"/>
  <c r="A188" i="14"/>
  <c r="C186" i="14"/>
  <c r="O183" i="14"/>
  <c r="O181" i="14"/>
  <c r="D179" i="14"/>
  <c r="B177" i="14"/>
  <c r="N174" i="14"/>
  <c r="Q172" i="14"/>
  <c r="A170" i="14"/>
  <c r="C168" i="14"/>
  <c r="O165" i="14"/>
  <c r="D163" i="14"/>
  <c r="B161" i="14"/>
  <c r="N158" i="14"/>
  <c r="Q156" i="14"/>
  <c r="A154" i="14"/>
  <c r="C152" i="14"/>
  <c r="B149" i="14"/>
  <c r="N146" i="14"/>
  <c r="Q144" i="14"/>
  <c r="A142" i="14"/>
  <c r="C140" i="14"/>
  <c r="O137" i="14"/>
  <c r="O135" i="14"/>
  <c r="D133" i="14"/>
  <c r="B131" i="14"/>
  <c r="B128" i="14"/>
  <c r="C126" i="14"/>
  <c r="O123" i="14"/>
  <c r="D121" i="14"/>
  <c r="B119" i="14"/>
  <c r="N116" i="14"/>
  <c r="Q114" i="14"/>
  <c r="Q112" i="14"/>
  <c r="A110" i="14"/>
  <c r="C108" i="14"/>
  <c r="O105" i="14"/>
  <c r="D103" i="14"/>
  <c r="Q100" i="14"/>
  <c r="O97" i="14"/>
  <c r="D95" i="14"/>
  <c r="B93" i="14"/>
  <c r="N90" i="14"/>
  <c r="Q88" i="14"/>
  <c r="A86" i="14"/>
  <c r="C84" i="14"/>
  <c r="N81" i="14"/>
  <c r="D79" i="14"/>
  <c r="D76" i="14"/>
  <c r="Q73" i="14"/>
  <c r="A71" i="14"/>
  <c r="C69" i="14"/>
  <c r="O66" i="14"/>
  <c r="B64" i="14"/>
  <c r="N61" i="14"/>
  <c r="Q59" i="14"/>
  <c r="A57" i="14"/>
  <c r="A55" i="14"/>
  <c r="D52" i="14"/>
  <c r="B50" i="14"/>
  <c r="N47" i="14"/>
  <c r="Q45" i="14"/>
  <c r="A43" i="14"/>
  <c r="C41" i="14"/>
  <c r="O38" i="14"/>
  <c r="D36" i="14"/>
  <c r="N33" i="14"/>
  <c r="Q31" i="14"/>
  <c r="A29" i="14"/>
  <c r="C27" i="14"/>
  <c r="N23" i="14"/>
  <c r="Q21" i="14"/>
  <c r="A19" i="14"/>
  <c r="C17" i="14"/>
  <c r="O14" i="14"/>
  <c r="D12" i="14"/>
  <c r="B10" i="14"/>
  <c r="N7" i="14"/>
  <c r="S4" i="14"/>
  <c r="S139" i="13"/>
  <c r="F138" i="13"/>
  <c r="L136" i="13"/>
  <c r="J135" i="13"/>
  <c r="B134" i="13"/>
  <c r="A133" i="13"/>
  <c r="N131" i="13"/>
  <c r="B130" i="13"/>
  <c r="A129" i="13"/>
  <c r="V127" i="13"/>
  <c r="V126" i="13"/>
  <c r="V125" i="13"/>
  <c r="V124" i="13"/>
  <c r="V123" i="13"/>
  <c r="V122" i="13"/>
  <c r="V121" i="13"/>
  <c r="T120" i="13"/>
  <c r="Q119" i="13"/>
  <c r="V118" i="13"/>
  <c r="A118" i="13"/>
  <c r="E117" i="13"/>
  <c r="L116" i="13"/>
  <c r="Q115" i="13"/>
  <c r="V114" i="13"/>
  <c r="A114" i="13"/>
  <c r="E113" i="13"/>
  <c r="L112" i="13"/>
  <c r="Q111" i="13"/>
  <c r="V110" i="13"/>
  <c r="A110" i="13"/>
  <c r="E109" i="13"/>
  <c r="L108" i="13"/>
  <c r="Q107" i="13"/>
  <c r="V106" i="13"/>
  <c r="A106" i="13"/>
  <c r="E105" i="13"/>
  <c r="L104" i="13"/>
  <c r="Q103" i="13"/>
  <c r="V102" i="13"/>
  <c r="A102" i="13"/>
  <c r="A101" i="13"/>
  <c r="N99" i="13"/>
  <c r="B98" i="13"/>
  <c r="A97" i="13"/>
  <c r="N95" i="13"/>
  <c r="B94" i="13"/>
  <c r="A93" i="13"/>
  <c r="N91" i="13"/>
  <c r="B90" i="13"/>
  <c r="N88" i="13"/>
  <c r="B87" i="13"/>
  <c r="A86" i="13"/>
  <c r="N84" i="13"/>
  <c r="B83" i="13"/>
  <c r="A82" i="13"/>
  <c r="N80" i="13"/>
  <c r="B79" i="13"/>
  <c r="A78" i="13"/>
  <c r="N76" i="13"/>
  <c r="J75" i="13"/>
  <c r="A74" i="13"/>
  <c r="N72" i="13"/>
  <c r="B71" i="13"/>
  <c r="Q69" i="13"/>
  <c r="H68" i="13"/>
  <c r="Q66" i="13"/>
  <c r="B65" i="13"/>
  <c r="A64" i="13"/>
  <c r="N62" i="13"/>
  <c r="B61" i="13"/>
  <c r="A60" i="13"/>
  <c r="N58" i="13"/>
  <c r="B57" i="13"/>
  <c r="A56" i="13"/>
  <c r="N54" i="13"/>
  <c r="J53" i="13"/>
  <c r="C52" i="13"/>
  <c r="L50" i="13"/>
  <c r="J49" i="13"/>
  <c r="C48" i="13"/>
  <c r="L46" i="13"/>
  <c r="J45" i="13"/>
  <c r="C44" i="13"/>
  <c r="L42" i="13"/>
  <c r="J41" i="13"/>
  <c r="C40" i="13"/>
  <c r="L38" i="13"/>
  <c r="J37" i="13"/>
  <c r="A36" i="13"/>
  <c r="N34" i="13"/>
  <c r="B33" i="13"/>
  <c r="A32" i="13"/>
  <c r="N30" i="13"/>
  <c r="B29" i="13"/>
  <c r="A28" i="13"/>
  <c r="N26" i="13"/>
  <c r="B25" i="13"/>
  <c r="A24" i="13"/>
  <c r="N22" i="13"/>
  <c r="B21" i="13"/>
  <c r="A20" i="13"/>
  <c r="N18" i="13"/>
  <c r="B17" i="13"/>
  <c r="A16" i="13"/>
  <c r="N14" i="13"/>
  <c r="B13" i="13"/>
  <c r="A12" i="13"/>
  <c r="N10" i="13"/>
  <c r="B9" i="13"/>
  <c r="A8" i="13"/>
  <c r="F6" i="13"/>
  <c r="N4" i="13"/>
  <c r="L124" i="12"/>
  <c r="O123" i="12"/>
  <c r="N122" i="12"/>
  <c r="F121" i="12"/>
  <c r="J120" i="12"/>
  <c r="F119" i="12"/>
  <c r="J118" i="12"/>
  <c r="F117" i="12"/>
  <c r="H116" i="12"/>
  <c r="H115" i="12"/>
  <c r="B114" i="12"/>
  <c r="T112" i="12"/>
  <c r="H111" i="12"/>
  <c r="H110" i="12"/>
  <c r="F109" i="12"/>
  <c r="B108" i="12"/>
  <c r="X106" i="12"/>
  <c r="F105" i="12"/>
  <c r="J104" i="12"/>
  <c r="J103" i="12"/>
  <c r="J102" i="12"/>
  <c r="F101" i="12"/>
  <c r="J100" i="12"/>
  <c r="J99" i="12"/>
  <c r="J98" i="12"/>
  <c r="A97" i="12"/>
  <c r="N95" i="12"/>
  <c r="B94" i="12"/>
  <c r="A93" i="12"/>
  <c r="F91" i="12"/>
  <c r="C90" i="12"/>
  <c r="L88" i="12"/>
  <c r="J87" i="12"/>
  <c r="A86" i="12"/>
  <c r="N84" i="12"/>
  <c r="L83" i="12"/>
  <c r="F82" i="12"/>
  <c r="E81" i="12"/>
  <c r="D80" i="12"/>
  <c r="F78" i="12"/>
  <c r="E77" i="12"/>
  <c r="D76" i="12"/>
  <c r="F74" i="12"/>
  <c r="E73" i="12"/>
  <c r="D72" i="12"/>
  <c r="Q70" i="12"/>
  <c r="H69" i="12"/>
  <c r="Q67" i="12"/>
  <c r="N66" i="12"/>
  <c r="J65" i="12"/>
  <c r="Q63" i="12"/>
  <c r="O62" i="12"/>
  <c r="H61" i="12"/>
  <c r="Q59" i="12"/>
  <c r="E58" i="12"/>
  <c r="D57" i="12"/>
  <c r="F55" i="12"/>
  <c r="E54" i="12"/>
  <c r="D53" i="12"/>
  <c r="F51" i="12"/>
  <c r="E50" i="12"/>
  <c r="D49" i="12"/>
  <c r="F47" i="12"/>
  <c r="D46" i="12"/>
  <c r="F44" i="12"/>
  <c r="E43" i="12"/>
  <c r="D42" i="12"/>
  <c r="Q40" i="12"/>
  <c r="H39" i="12"/>
  <c r="X37" i="12"/>
  <c r="A37" i="12"/>
  <c r="O35" i="12"/>
  <c r="B34" i="12"/>
  <c r="F32" i="12"/>
  <c r="E31" i="12"/>
  <c r="B30" i="12"/>
  <c r="N28" i="12"/>
  <c r="J27" i="12"/>
  <c r="A26" i="12"/>
  <c r="Q24" i="12"/>
  <c r="O23" i="12"/>
  <c r="E22" i="12"/>
  <c r="D21" i="12"/>
  <c r="F19" i="12"/>
  <c r="E18" i="12"/>
  <c r="D17" i="12"/>
  <c r="F15" i="12"/>
  <c r="C14" i="12"/>
  <c r="L12" i="12"/>
  <c r="F11" i="12"/>
  <c r="C10" i="12"/>
  <c r="L8" i="12"/>
  <c r="F7" i="12"/>
  <c r="C6" i="12"/>
  <c r="N4" i="12"/>
  <c r="L120" i="11"/>
  <c r="J119" i="11"/>
  <c r="H118" i="11"/>
  <c r="D117" i="11"/>
  <c r="B116" i="11"/>
  <c r="S114" i="11"/>
  <c r="X113" i="11"/>
  <c r="Q112" i="11"/>
  <c r="O111" i="11"/>
  <c r="A110" i="11"/>
  <c r="B109" i="11"/>
  <c r="V107" i="11"/>
  <c r="T106" i="11"/>
  <c r="Q105" i="11"/>
  <c r="O104" i="11"/>
  <c r="L103" i="11"/>
  <c r="N102" i="11"/>
  <c r="L101" i="11"/>
  <c r="N100" i="11"/>
  <c r="V98" i="11"/>
  <c r="A98" i="11"/>
  <c r="E97" i="11"/>
  <c r="L96" i="11"/>
  <c r="Q95" i="11"/>
  <c r="V94" i="11"/>
  <c r="A94" i="11"/>
  <c r="E93" i="11"/>
  <c r="L92" i="11"/>
  <c r="Q91" i="11"/>
  <c r="V90" i="11"/>
  <c r="A90" i="11"/>
  <c r="E89" i="11"/>
  <c r="L88" i="11"/>
  <c r="Q87" i="11"/>
  <c r="V86" i="11"/>
  <c r="A86" i="11"/>
  <c r="E85" i="11"/>
  <c r="L83" i="11"/>
  <c r="C82" i="11"/>
  <c r="F12" i="15"/>
  <c r="Q6" i="15"/>
  <c r="A387" i="14"/>
  <c r="D380" i="14"/>
  <c r="D372" i="14"/>
  <c r="D364" i="14"/>
  <c r="F361" i="14"/>
  <c r="D358" i="14"/>
  <c r="B356" i="14"/>
  <c r="J353" i="14"/>
  <c r="A352" i="14"/>
  <c r="E350" i="14"/>
  <c r="L348" i="14"/>
  <c r="C347" i="14"/>
  <c r="E345" i="14"/>
  <c r="L343" i="14"/>
  <c r="C342" i="14"/>
  <c r="H340" i="14"/>
  <c r="A339" i="14"/>
  <c r="E337" i="14"/>
  <c r="L335" i="14"/>
  <c r="C334" i="14"/>
  <c r="V332" i="14"/>
  <c r="V330" i="14"/>
  <c r="V328" i="14"/>
  <c r="V326" i="14"/>
  <c r="V324" i="14"/>
  <c r="V322" i="14"/>
  <c r="V320" i="14"/>
  <c r="V318" i="14"/>
  <c r="V316" i="14"/>
  <c r="V314" i="14"/>
  <c r="V312" i="14"/>
  <c r="V310" i="14"/>
  <c r="V308" i="14"/>
  <c r="V306" i="14"/>
  <c r="V304" i="14"/>
  <c r="A302" i="14"/>
  <c r="C300" i="14"/>
  <c r="O297" i="14"/>
  <c r="D295" i="14"/>
  <c r="B293" i="14"/>
  <c r="N290" i="14"/>
  <c r="Q288" i="14"/>
  <c r="A286" i="14"/>
  <c r="C284" i="14"/>
  <c r="O281" i="14"/>
  <c r="D279" i="14"/>
  <c r="B277" i="14"/>
  <c r="A274" i="14"/>
  <c r="B272" i="14"/>
  <c r="C270" i="14"/>
  <c r="O267" i="14"/>
  <c r="D265" i="14"/>
  <c r="B263" i="14"/>
  <c r="N260" i="14"/>
  <c r="Q258" i="14"/>
  <c r="A256" i="14"/>
  <c r="D253" i="14"/>
  <c r="B251" i="14"/>
  <c r="D248" i="14"/>
  <c r="O245" i="14"/>
  <c r="D243" i="14"/>
  <c r="B241" i="14"/>
  <c r="N238" i="14"/>
  <c r="Q236" i="14"/>
  <c r="O233" i="14"/>
  <c r="D231" i="14"/>
  <c r="B229" i="14"/>
  <c r="N226" i="14"/>
  <c r="O224" i="14"/>
  <c r="Q222" i="14"/>
  <c r="A220" i="14"/>
  <c r="C218" i="14"/>
  <c r="O215" i="14"/>
  <c r="N212" i="14"/>
  <c r="Q210" i="14"/>
  <c r="A208" i="14"/>
  <c r="C206" i="14"/>
  <c r="O203" i="14"/>
  <c r="Q201" i="14"/>
  <c r="A199" i="14"/>
  <c r="C197" i="14"/>
  <c r="C194" i="14"/>
  <c r="N191" i="14"/>
  <c r="Q189" i="14"/>
  <c r="A187" i="14"/>
  <c r="C185" i="14"/>
  <c r="D182" i="14"/>
  <c r="B180" i="14"/>
  <c r="N177" i="14"/>
  <c r="Q175" i="14"/>
  <c r="A173" i="14"/>
  <c r="C171" i="14"/>
  <c r="O168" i="14"/>
  <c r="D166" i="14"/>
  <c r="B164" i="14"/>
  <c r="N161" i="14"/>
  <c r="Q159" i="14"/>
  <c r="A157" i="14"/>
  <c r="C155" i="14"/>
  <c r="O152" i="14"/>
  <c r="N149" i="14"/>
  <c r="Q147" i="14"/>
  <c r="A145" i="14"/>
  <c r="C143" i="14"/>
  <c r="O140" i="14"/>
  <c r="D138" i="14"/>
  <c r="N135" i="14"/>
  <c r="Q133" i="14"/>
  <c r="A131" i="14"/>
  <c r="C129" i="14"/>
  <c r="B126" i="14"/>
  <c r="N123" i="14"/>
  <c r="Q121" i="14"/>
  <c r="A119" i="14"/>
  <c r="C117" i="14"/>
  <c r="O114" i="14"/>
  <c r="O112" i="14"/>
  <c r="D110" i="14"/>
  <c r="B108" i="14"/>
  <c r="N105" i="14"/>
  <c r="Q103" i="14"/>
  <c r="O100" i="14"/>
  <c r="N97" i="14"/>
  <c r="Q95" i="14"/>
  <c r="A93" i="14"/>
  <c r="C91" i="14"/>
  <c r="O88" i="14"/>
  <c r="D86" i="14"/>
  <c r="B84" i="14"/>
  <c r="C82" i="14"/>
  <c r="C79" i="14"/>
  <c r="Q76" i="14"/>
  <c r="Q74" i="14"/>
  <c r="Q72" i="14"/>
  <c r="A70" i="14"/>
  <c r="C68" i="14"/>
  <c r="N64" i="14"/>
  <c r="Q62" i="14"/>
  <c r="A60" i="14"/>
  <c r="C58" i="14"/>
  <c r="D55" i="14"/>
  <c r="B53" i="14"/>
  <c r="N50" i="14"/>
  <c r="Q48" i="14"/>
  <c r="A46" i="14"/>
  <c r="C44" i="14"/>
  <c r="O41" i="14"/>
  <c r="D39" i="14"/>
  <c r="B37" i="14"/>
  <c r="B35" i="14"/>
  <c r="N32" i="14"/>
  <c r="Q30" i="14"/>
  <c r="A28" i="14"/>
  <c r="C26" i="14"/>
  <c r="D23" i="14"/>
  <c r="B21" i="14"/>
  <c r="N18" i="14"/>
  <c r="Q16" i="14"/>
  <c r="A14" i="14"/>
  <c r="C12" i="14"/>
  <c r="O9" i="14"/>
  <c r="D7" i="14"/>
  <c r="L5" i="14"/>
  <c r="X139" i="13"/>
  <c r="L138" i="13"/>
  <c r="E137" i="13"/>
  <c r="D136" i="13"/>
  <c r="L134" i="13"/>
  <c r="J133" i="13"/>
  <c r="C132" i="13"/>
  <c r="L130" i="13"/>
  <c r="J129" i="13"/>
  <c r="J127" i="13"/>
  <c r="D126" i="13"/>
  <c r="T124" i="13"/>
  <c r="J123" i="13"/>
  <c r="D122" i="13"/>
  <c r="S120" i="13"/>
  <c r="J119" i="13"/>
  <c r="J118" i="13"/>
  <c r="J117" i="13"/>
  <c r="J116" i="13"/>
  <c r="J115" i="13"/>
  <c r="J114" i="13"/>
  <c r="J113" i="13"/>
  <c r="J112" i="13"/>
  <c r="J111" i="13"/>
  <c r="J110" i="13"/>
  <c r="J109" i="13"/>
  <c r="J108" i="13"/>
  <c r="J107" i="13"/>
  <c r="J106" i="13"/>
  <c r="J105" i="13"/>
  <c r="J104" i="13"/>
  <c r="J103" i="13"/>
  <c r="J102" i="13"/>
  <c r="H101" i="13"/>
  <c r="F99" i="13"/>
  <c r="E98" i="13"/>
  <c r="D97" i="13"/>
  <c r="F95" i="13"/>
  <c r="E94" i="13"/>
  <c r="D93" i="13"/>
  <c r="F91" i="13"/>
  <c r="E90" i="13"/>
  <c r="C89" i="13"/>
  <c r="L87" i="13"/>
  <c r="J86" i="13"/>
  <c r="C85" i="13"/>
  <c r="L83" i="13"/>
  <c r="J82" i="13"/>
  <c r="C81" i="13"/>
  <c r="L79" i="13"/>
  <c r="J78" i="13"/>
  <c r="C77" i="13"/>
  <c r="C75" i="13"/>
  <c r="C73" i="13"/>
  <c r="L71" i="13"/>
  <c r="J70" i="13"/>
  <c r="C69" i="13"/>
  <c r="L67" i="13"/>
  <c r="J66" i="13"/>
  <c r="E65" i="13"/>
  <c r="D64" i="13"/>
  <c r="F62" i="13"/>
  <c r="E61" i="13"/>
  <c r="D60" i="13"/>
  <c r="F58" i="13"/>
  <c r="E57" i="13"/>
  <c r="D56" i="13"/>
  <c r="F54" i="13"/>
  <c r="F52" i="13"/>
  <c r="E51" i="13"/>
  <c r="D50" i="13"/>
  <c r="F48" i="13"/>
  <c r="E47" i="13"/>
  <c r="D46" i="13"/>
  <c r="F44" i="13"/>
  <c r="E43" i="13"/>
  <c r="D42" i="13"/>
  <c r="F40" i="13"/>
  <c r="E39" i="13"/>
  <c r="D38" i="13"/>
  <c r="F36" i="13"/>
  <c r="F34" i="13"/>
  <c r="E33" i="13"/>
  <c r="D32" i="13"/>
  <c r="F30" i="13"/>
  <c r="E29" i="13"/>
  <c r="D28" i="13"/>
  <c r="F26" i="13"/>
  <c r="E25" i="13"/>
  <c r="D24" i="13"/>
  <c r="F22" i="13"/>
  <c r="E21" i="13"/>
  <c r="D20" i="13"/>
  <c r="F18" i="13"/>
  <c r="E17" i="13"/>
  <c r="D16" i="13"/>
  <c r="F14" i="13"/>
  <c r="E13" i="13"/>
  <c r="D12" i="13"/>
  <c r="F10" i="13"/>
  <c r="E9" i="13"/>
  <c r="D8" i="13"/>
  <c r="Q6" i="13"/>
  <c r="Q5" i="13"/>
  <c r="B3" i="13"/>
  <c r="T123" i="12"/>
  <c r="X122" i="12"/>
  <c r="L121" i="12"/>
  <c r="O120" i="12"/>
  <c r="L119" i="12"/>
  <c r="O118" i="12"/>
  <c r="L117" i="12"/>
  <c r="O116" i="12"/>
  <c r="F115" i="12"/>
  <c r="L114" i="12"/>
  <c r="H113" i="12"/>
  <c r="B112" i="12"/>
  <c r="X110" i="12"/>
  <c r="L109" i="12"/>
  <c r="Q108" i="12"/>
  <c r="V107" i="12"/>
  <c r="A107" i="12"/>
  <c r="E106" i="12"/>
  <c r="L105" i="12"/>
  <c r="O104" i="12"/>
  <c r="N103" i="12"/>
  <c r="N102" i="12"/>
  <c r="L101" i="12"/>
  <c r="O100" i="12"/>
  <c r="N99" i="12"/>
  <c r="N98" i="12"/>
  <c r="J97" i="12"/>
  <c r="C96" i="12"/>
  <c r="L94" i="12"/>
  <c r="J93" i="12"/>
  <c r="C92" i="12"/>
  <c r="A91" i="12"/>
  <c r="Q89" i="12"/>
  <c r="O88" i="12"/>
  <c r="H87" i="12"/>
  <c r="D86" i="12"/>
  <c r="F84" i="12"/>
  <c r="D83" i="12"/>
  <c r="O81" i="12"/>
  <c r="H80" i="12"/>
  <c r="Q78" i="12"/>
  <c r="O77" i="12"/>
  <c r="H76" i="12"/>
  <c r="Q74" i="12"/>
  <c r="O73" i="12"/>
  <c r="H72" i="12"/>
  <c r="O70" i="12"/>
  <c r="B69" i="12"/>
  <c r="A68" i="12"/>
  <c r="L66" i="12"/>
  <c r="H65" i="12"/>
  <c r="E64" i="12"/>
  <c r="D63" i="12"/>
  <c r="F61" i="12"/>
  <c r="E60" i="12"/>
  <c r="C59" i="12"/>
  <c r="N57" i="12"/>
  <c r="B56" i="12"/>
  <c r="A55" i="12"/>
  <c r="N53" i="12"/>
  <c r="B52" i="12"/>
  <c r="A51" i="12"/>
  <c r="N49" i="12"/>
  <c r="B48" i="12"/>
  <c r="A47" i="12"/>
  <c r="F45" i="12"/>
  <c r="E44" i="12"/>
  <c r="D43" i="12"/>
  <c r="F41" i="12"/>
  <c r="C40" i="12"/>
  <c r="L38" i="12"/>
  <c r="O37" i="12"/>
  <c r="E36" i="12"/>
  <c r="B35" i="12"/>
  <c r="A34" i="12"/>
  <c r="Q32" i="12"/>
  <c r="O31" i="12"/>
  <c r="E30" i="12"/>
  <c r="C29" i="12"/>
  <c r="O27" i="12"/>
  <c r="J26" i="12"/>
  <c r="B25" i="12"/>
  <c r="N23" i="12"/>
  <c r="J22" i="12"/>
  <c r="C21" i="12"/>
  <c r="L19" i="12"/>
  <c r="J18" i="12"/>
  <c r="C17" i="12"/>
  <c r="L15" i="12"/>
  <c r="F14" i="12"/>
  <c r="E13" i="12"/>
  <c r="J15" i="15"/>
  <c r="Q9" i="15"/>
  <c r="N4" i="15"/>
  <c r="A385" i="14"/>
  <c r="J376" i="14"/>
  <c r="J368" i="14"/>
  <c r="E362" i="14"/>
  <c r="J359" i="14"/>
  <c r="H357" i="14"/>
  <c r="F355" i="14"/>
  <c r="B353" i="14"/>
  <c r="B351" i="14"/>
  <c r="B349" i="14"/>
  <c r="F346" i="14"/>
  <c r="F344" i="14"/>
  <c r="F342" i="14"/>
  <c r="F340" i="14"/>
  <c r="F338" i="14"/>
  <c r="F336" i="14"/>
  <c r="F334" i="14"/>
  <c r="T332" i="14"/>
  <c r="T330" i="14"/>
  <c r="T328" i="14"/>
  <c r="T326" i="14"/>
  <c r="T324" i="14"/>
  <c r="T322" i="14"/>
  <c r="T320" i="14"/>
  <c r="T318" i="14"/>
  <c r="T316" i="14"/>
  <c r="T314" i="14"/>
  <c r="T312" i="14"/>
  <c r="T310" i="14"/>
  <c r="T308" i="14"/>
  <c r="T306" i="14"/>
  <c r="T304" i="14"/>
  <c r="D302" i="14"/>
  <c r="B300" i="14"/>
  <c r="N297" i="14"/>
  <c r="Q295" i="14"/>
  <c r="A293" i="14"/>
  <c r="C291" i="14"/>
  <c r="O288" i="14"/>
  <c r="D286" i="14"/>
  <c r="B284" i="14"/>
  <c r="N281" i="14"/>
  <c r="Q279" i="14"/>
  <c r="A277" i="14"/>
  <c r="D274" i="14"/>
  <c r="A272" i="14"/>
  <c r="B270" i="14"/>
  <c r="N267" i="14"/>
  <c r="Q265" i="14"/>
  <c r="A263" i="14"/>
  <c r="C261" i="14"/>
  <c r="O258" i="14"/>
  <c r="D256" i="14"/>
  <c r="Q253" i="14"/>
  <c r="A251" i="14"/>
  <c r="C249" i="14"/>
  <c r="C247" i="14"/>
  <c r="O244" i="14"/>
  <c r="D242" i="14"/>
  <c r="B240" i="14"/>
  <c r="N237" i="14"/>
  <c r="Q235" i="14"/>
  <c r="O232" i="14"/>
  <c r="D230" i="14"/>
  <c r="B228" i="14"/>
  <c r="N225" i="14"/>
  <c r="N223" i="14"/>
  <c r="Q221" i="14"/>
  <c r="A219" i="14"/>
  <c r="C217" i="14"/>
  <c r="O214" i="14"/>
  <c r="N211" i="14"/>
  <c r="Q209" i="14"/>
  <c r="A207" i="14"/>
  <c r="C205" i="14"/>
  <c r="N202" i="14"/>
  <c r="Q200" i="14"/>
  <c r="A198" i="14"/>
  <c r="C196" i="14"/>
  <c r="B193" i="14"/>
  <c r="N190" i="14"/>
  <c r="Q188" i="14"/>
  <c r="A186" i="14"/>
  <c r="C184" i="14"/>
  <c r="D181" i="14"/>
  <c r="B179" i="14"/>
  <c r="N176" i="14"/>
  <c r="Q174" i="14"/>
  <c r="A172" i="14"/>
  <c r="C170" i="14"/>
  <c r="O167" i="14"/>
  <c r="D165" i="14"/>
  <c r="B163" i="14"/>
  <c r="N160" i="14"/>
  <c r="Q158" i="14"/>
  <c r="A156" i="14"/>
  <c r="C154" i="14"/>
  <c r="O151" i="14"/>
  <c r="N148" i="14"/>
  <c r="Q146" i="14"/>
  <c r="A144" i="14"/>
  <c r="C142" i="14"/>
  <c r="O139" i="14"/>
  <c r="D137" i="14"/>
  <c r="N134" i="14"/>
  <c r="Q132" i="14"/>
  <c r="A130" i="14"/>
  <c r="D127" i="14"/>
  <c r="B125" i="14"/>
  <c r="N122" i="14"/>
  <c r="Q120" i="14"/>
  <c r="A118" i="14"/>
  <c r="C116" i="14"/>
  <c r="D113" i="14"/>
  <c r="B111" i="14"/>
  <c r="N108" i="14"/>
  <c r="Q106" i="14"/>
  <c r="A104" i="14"/>
  <c r="C102" i="14"/>
  <c r="Q98" i="14"/>
  <c r="A96" i="14"/>
  <c r="C94" i="14"/>
  <c r="O91" i="14"/>
  <c r="D89" i="14"/>
  <c r="B87" i="14"/>
  <c r="N84" i="14"/>
  <c r="O82" i="14"/>
  <c r="D80" i="14"/>
  <c r="O76" i="14"/>
  <c r="N73" i="14"/>
  <c r="Q71" i="14"/>
  <c r="A69" i="14"/>
  <c r="C67" i="14"/>
  <c r="D64" i="14"/>
  <c r="B62" i="14"/>
  <c r="N59" i="14"/>
  <c r="Q57" i="14"/>
  <c r="C55" i="14"/>
  <c r="O52" i="14"/>
  <c r="D50" i="14"/>
  <c r="B48" i="14"/>
  <c r="N45" i="14"/>
  <c r="Q43" i="14"/>
  <c r="A41" i="14"/>
  <c r="C39" i="14"/>
  <c r="O36" i="14"/>
  <c r="B34" i="14"/>
  <c r="N31" i="14"/>
  <c r="Q29" i="14"/>
  <c r="A27" i="14"/>
  <c r="O24" i="14"/>
  <c r="D22" i="14"/>
  <c r="B20" i="14"/>
  <c r="N17" i="14"/>
  <c r="Q15" i="14"/>
  <c r="A13" i="14"/>
  <c r="C11" i="14"/>
  <c r="O8" i="14"/>
  <c r="T5" i="14"/>
  <c r="E4" i="14"/>
  <c r="L139" i="13"/>
  <c r="J138" i="13"/>
  <c r="D137" i="13"/>
  <c r="F135" i="13"/>
  <c r="D134" i="13"/>
  <c r="F132" i="13"/>
  <c r="E131" i="13"/>
  <c r="D130" i="13"/>
  <c r="Q128" i="13"/>
  <c r="H127" i="13"/>
  <c r="C126" i="13"/>
  <c r="S124" i="13"/>
  <c r="H123" i="13"/>
  <c r="C122" i="13"/>
  <c r="X120" i="13"/>
  <c r="H119" i="13"/>
  <c r="H118" i="13"/>
  <c r="H117" i="13"/>
  <c r="H116" i="13"/>
  <c r="H115" i="13"/>
  <c r="H114" i="13"/>
  <c r="H113" i="13"/>
  <c r="H112" i="13"/>
  <c r="H111" i="13"/>
  <c r="H110" i="13"/>
  <c r="H109" i="13"/>
  <c r="H108" i="13"/>
  <c r="H107" i="13"/>
  <c r="H106" i="13"/>
  <c r="H105" i="13"/>
  <c r="H104" i="13"/>
  <c r="H103" i="13"/>
  <c r="H102" i="13"/>
  <c r="F100" i="13"/>
  <c r="E99" i="13"/>
  <c r="D98" i="13"/>
  <c r="F96" i="13"/>
  <c r="E95" i="13"/>
  <c r="D94" i="13"/>
  <c r="F92" i="13"/>
  <c r="E91" i="13"/>
  <c r="D90" i="13"/>
  <c r="Q88" i="13"/>
  <c r="O87" i="13"/>
  <c r="H86" i="13"/>
  <c r="Q84" i="13"/>
  <c r="O83" i="13"/>
  <c r="H82" i="13"/>
  <c r="Q80" i="13"/>
  <c r="O79" i="13"/>
  <c r="H78" i="13"/>
  <c r="Q76" i="13"/>
  <c r="B75" i="13"/>
  <c r="F73" i="13"/>
  <c r="E72" i="13"/>
  <c r="D71" i="13"/>
  <c r="F69" i="13"/>
  <c r="E68" i="13"/>
  <c r="D67" i="13"/>
  <c r="O65" i="13"/>
  <c r="H64" i="13"/>
  <c r="Q62" i="13"/>
  <c r="O61" i="13"/>
  <c r="H60" i="13"/>
  <c r="Q58" i="13"/>
  <c r="O57" i="13"/>
  <c r="H56" i="13"/>
  <c r="Q54" i="13"/>
  <c r="B53" i="13"/>
  <c r="A52" i="13"/>
  <c r="N50" i="13"/>
  <c r="B49" i="13"/>
  <c r="A48" i="13"/>
  <c r="N46" i="13"/>
  <c r="B45" i="13"/>
  <c r="A44" i="13"/>
  <c r="N42" i="13"/>
  <c r="B41" i="13"/>
  <c r="A40" i="13"/>
  <c r="N38" i="13"/>
  <c r="B37" i="13"/>
  <c r="F35" i="13"/>
  <c r="E34" i="13"/>
  <c r="D33" i="13"/>
  <c r="F31" i="13"/>
  <c r="E30" i="13"/>
  <c r="D29" i="13"/>
  <c r="F27" i="13"/>
  <c r="E26" i="13"/>
  <c r="D25" i="13"/>
  <c r="F23" i="13"/>
  <c r="E22" i="13"/>
  <c r="D21" i="13"/>
  <c r="F19" i="13"/>
  <c r="E18" i="13"/>
  <c r="D17" i="13"/>
  <c r="F15" i="13"/>
  <c r="E14" i="13"/>
  <c r="D13" i="13"/>
  <c r="F11" i="13"/>
  <c r="E10" i="13"/>
  <c r="D9" i="13"/>
  <c r="F7" i="13"/>
  <c r="A6" i="13"/>
  <c r="D5" i="13"/>
  <c r="T124" i="12"/>
  <c r="L123" i="12"/>
  <c r="Q122" i="12"/>
  <c r="V121" i="12"/>
  <c r="N120" i="12"/>
  <c r="Q119" i="12"/>
  <c r="N118" i="12"/>
  <c r="Q117" i="12"/>
  <c r="N116" i="12"/>
  <c r="Q115" i="12"/>
  <c r="V114" i="12"/>
  <c r="S113" i="12"/>
  <c r="L112" i="12"/>
  <c r="L111" i="12"/>
  <c r="Q110" i="12"/>
  <c r="V109" i="12"/>
  <c r="T108" i="12"/>
  <c r="T107" i="12"/>
  <c r="T106" i="12"/>
  <c r="T105" i="12"/>
  <c r="T104" i="12"/>
  <c r="X103" i="12"/>
  <c r="F102" i="12"/>
  <c r="J101" i="12"/>
  <c r="F100" i="12"/>
  <c r="B99" i="12"/>
  <c r="O97" i="12"/>
  <c r="B96" i="12"/>
  <c r="A95" i="12"/>
  <c r="N93" i="12"/>
  <c r="B92" i="12"/>
  <c r="L90" i="12"/>
  <c r="J89" i="12"/>
  <c r="C88" i="12"/>
  <c r="H86" i="12"/>
  <c r="Q84" i="12"/>
  <c r="N83" i="12"/>
  <c r="J82" i="12"/>
  <c r="C81" i="12"/>
  <c r="L79" i="12"/>
  <c r="J78" i="12"/>
  <c r="N3" i="22"/>
  <c r="C29" i="21"/>
  <c r="S3" i="22"/>
  <c r="N58" i="20"/>
  <c r="F259" i="19"/>
  <c r="F178" i="19"/>
  <c r="X74" i="20"/>
  <c r="F281" i="19"/>
  <c r="Q214" i="19"/>
  <c r="F135" i="19"/>
  <c r="L20" i="20"/>
  <c r="O226" i="19"/>
  <c r="E147" i="19"/>
  <c r="N51" i="20"/>
  <c r="F27" i="20"/>
  <c r="J279" i="19"/>
  <c r="C255" i="19"/>
  <c r="J231" i="19"/>
  <c r="L204" i="19"/>
  <c r="H178" i="19"/>
  <c r="L156" i="19"/>
  <c r="Q136" i="19"/>
  <c r="B117" i="19"/>
  <c r="A103" i="19"/>
  <c r="E83" i="19"/>
  <c r="F62" i="19"/>
  <c r="J42" i="19"/>
  <c r="Q21" i="19"/>
  <c r="N129" i="18"/>
  <c r="L114" i="18"/>
  <c r="F95" i="18"/>
  <c r="F79" i="18"/>
  <c r="Q63" i="18"/>
  <c r="Q43" i="18"/>
  <c r="N26" i="18"/>
  <c r="N9" i="18"/>
  <c r="B127" i="19"/>
  <c r="S94" i="19"/>
  <c r="E74" i="19"/>
  <c r="E54" i="19"/>
  <c r="J33" i="19"/>
  <c r="O13" i="19"/>
  <c r="O118" i="18"/>
  <c r="V103" i="18"/>
  <c r="B88" i="18"/>
  <c r="N72" i="18"/>
  <c r="J55" i="18"/>
  <c r="N34" i="18"/>
  <c r="V16" i="18"/>
  <c r="S99" i="19"/>
  <c r="D80" i="19"/>
  <c r="Q59" i="19"/>
  <c r="J40" i="19"/>
  <c r="F20" i="19"/>
  <c r="E129" i="18"/>
  <c r="E123" i="18"/>
  <c r="C117" i="18"/>
  <c r="S111" i="18"/>
  <c r="D106" i="18"/>
  <c r="T100" i="18"/>
  <c r="D95" i="18"/>
  <c r="F89" i="18"/>
  <c r="D84" i="18"/>
  <c r="S78" i="18"/>
  <c r="V71" i="18"/>
  <c r="V66" i="18"/>
  <c r="D61" i="18"/>
  <c r="L54" i="18"/>
  <c r="X46" i="18"/>
  <c r="T39" i="18"/>
  <c r="F33" i="18"/>
  <c r="L27" i="18"/>
  <c r="N22" i="18"/>
  <c r="O16" i="18"/>
  <c r="H11" i="18"/>
  <c r="L5" i="18"/>
  <c r="H92" i="17"/>
  <c r="B84" i="17"/>
  <c r="V78" i="17"/>
  <c r="S108" i="19"/>
  <c r="E102" i="19"/>
  <c r="C96" i="19"/>
  <c r="L90" i="19"/>
  <c r="O85" i="19"/>
  <c r="S80" i="19"/>
  <c r="A76" i="19"/>
  <c r="Q70" i="19"/>
  <c r="F65" i="19"/>
  <c r="L60" i="19"/>
  <c r="O55" i="19"/>
  <c r="Q50" i="19"/>
  <c r="A46" i="19"/>
  <c r="D41" i="19"/>
  <c r="A36" i="19"/>
  <c r="D31" i="19"/>
  <c r="H26" i="19"/>
  <c r="B21" i="19"/>
  <c r="E16" i="19"/>
  <c r="J11" i="19"/>
  <c r="N6" i="19"/>
  <c r="D128" i="18"/>
  <c r="D122" i="18"/>
  <c r="F116" i="18"/>
  <c r="B111" i="18"/>
  <c r="S106" i="18"/>
  <c r="S102" i="18"/>
  <c r="S98" i="18"/>
  <c r="V93" i="18"/>
  <c r="V89" i="18"/>
  <c r="V85" i="18"/>
  <c r="Q81" i="18"/>
  <c r="Q77" i="18"/>
  <c r="B73" i="18"/>
  <c r="H69" i="18"/>
  <c r="L65" i="18"/>
  <c r="N61" i="18"/>
  <c r="N57" i="18"/>
  <c r="E51" i="18"/>
  <c r="E46" i="18"/>
  <c r="J40" i="18"/>
  <c r="E36" i="18"/>
  <c r="E32" i="18"/>
  <c r="C28" i="18"/>
  <c r="N23" i="18"/>
  <c r="Q19" i="18"/>
  <c r="F15" i="18"/>
  <c r="F11" i="18"/>
  <c r="F7" i="18"/>
  <c r="A98" i="17"/>
  <c r="A90" i="17"/>
  <c r="L83" i="17"/>
  <c r="V12" i="18"/>
  <c r="Q85" i="17"/>
  <c r="L77" i="17"/>
  <c r="F73" i="17"/>
  <c r="F69" i="17"/>
  <c r="H65" i="17"/>
  <c r="H61" i="17"/>
  <c r="H57" i="17"/>
  <c r="A53" i="17"/>
  <c r="B48" i="17"/>
  <c r="Q42" i="17"/>
  <c r="E37" i="17"/>
  <c r="L31" i="17"/>
  <c r="F26" i="17"/>
  <c r="C21" i="17"/>
  <c r="L15" i="17"/>
  <c r="F10" i="17"/>
  <c r="J5" i="17"/>
  <c r="S76" i="16"/>
  <c r="T71" i="16"/>
  <c r="X67" i="16"/>
  <c r="L63" i="16"/>
  <c r="O59" i="16"/>
  <c r="L53" i="16"/>
  <c r="J48" i="16"/>
  <c r="F43" i="16"/>
  <c r="C38" i="16"/>
  <c r="E32" i="16"/>
  <c r="N26" i="16"/>
  <c r="J21" i="16"/>
  <c r="D16" i="16"/>
  <c r="O10" i="16"/>
  <c r="V5" i="16"/>
  <c r="J136" i="15"/>
  <c r="C132" i="15"/>
  <c r="D128" i="15"/>
  <c r="Q123" i="15"/>
  <c r="H119" i="15"/>
  <c r="V114" i="15"/>
  <c r="V110" i="15"/>
  <c r="A107" i="15"/>
  <c r="A103" i="15"/>
  <c r="D98" i="15"/>
  <c r="Q92" i="15"/>
  <c r="F87" i="15"/>
  <c r="D82" i="15"/>
  <c r="Q76" i="15"/>
  <c r="B71" i="15"/>
  <c r="Q65" i="15"/>
  <c r="F60" i="15"/>
  <c r="D55" i="15"/>
  <c r="F49" i="15"/>
  <c r="C44" i="15"/>
  <c r="L38" i="15"/>
  <c r="A33" i="15"/>
  <c r="F27" i="15"/>
  <c r="A22" i="15"/>
  <c r="N16" i="15"/>
  <c r="L11" i="15"/>
  <c r="S5" i="15"/>
  <c r="D384" i="14"/>
  <c r="L376" i="14"/>
  <c r="E370" i="14"/>
  <c r="A364" i="14"/>
  <c r="J92" i="17"/>
  <c r="L78" i="17"/>
  <c r="F74" i="17"/>
  <c r="D70" i="17"/>
  <c r="A66" i="17"/>
  <c r="A62" i="17"/>
  <c r="A58" i="17"/>
  <c r="X53" i="17"/>
  <c r="L48" i="17"/>
  <c r="F43" i="17"/>
  <c r="C38" i="17"/>
  <c r="H32" i="17"/>
  <c r="D27" i="17"/>
  <c r="N21" i="17"/>
  <c r="H16" i="17"/>
  <c r="D11" i="17"/>
  <c r="S5" i="17"/>
  <c r="X76" i="16"/>
  <c r="N71" i="16"/>
  <c r="X66" i="16"/>
  <c r="S62" i="16"/>
  <c r="V58" i="16"/>
  <c r="J53" i="16"/>
  <c r="C48" i="16"/>
  <c r="A43" i="16"/>
  <c r="N37" i="16"/>
  <c r="D32" i="16"/>
  <c r="L26" i="16"/>
  <c r="H21" i="16"/>
  <c r="C16" i="16"/>
  <c r="F10" i="16"/>
  <c r="O5" i="16"/>
  <c r="D137" i="15"/>
  <c r="C133" i="15"/>
  <c r="A129" i="15"/>
  <c r="L124" i="15"/>
  <c r="J120" i="15"/>
  <c r="X115" i="15"/>
  <c r="V111" i="15"/>
  <c r="V107" i="15"/>
  <c r="V103" i="15"/>
  <c r="A99" i="15"/>
  <c r="L93" i="15"/>
  <c r="H88" i="15"/>
  <c r="A83" i="15"/>
  <c r="L77" i="15"/>
  <c r="C72" i="15"/>
  <c r="O66" i="15"/>
  <c r="H61" i="15"/>
  <c r="A56" i="15"/>
  <c r="H50" i="15"/>
  <c r="D45" i="15"/>
  <c r="N39" i="15"/>
  <c r="F34" i="15"/>
  <c r="D29" i="15"/>
  <c r="N23" i="15"/>
  <c r="E18" i="15"/>
  <c r="C3" i="18"/>
  <c r="C80" i="17"/>
  <c r="D75" i="17"/>
  <c r="B71" i="17"/>
  <c r="X69" i="17"/>
  <c r="N68" i="17"/>
  <c r="T66" i="17"/>
  <c r="E65" i="17"/>
  <c r="B64" i="17"/>
  <c r="Q62" i="17"/>
  <c r="E61" i="17"/>
  <c r="B60" i="17"/>
  <c r="Q58" i="17"/>
  <c r="E57" i="17"/>
  <c r="B56" i="17"/>
  <c r="Q54" i="17"/>
  <c r="H53" i="17"/>
  <c r="L51" i="17"/>
  <c r="O49" i="17"/>
  <c r="D48" i="17"/>
  <c r="F46" i="17"/>
  <c r="J44" i="17"/>
  <c r="N42" i="17"/>
  <c r="C41" i="17"/>
  <c r="A39" i="17"/>
  <c r="H37" i="17"/>
  <c r="O35" i="17"/>
  <c r="L33" i="17"/>
  <c r="B32" i="17"/>
  <c r="J30" i="17"/>
  <c r="F28" i="17"/>
  <c r="Q26" i="17"/>
  <c r="A25" i="17"/>
  <c r="C23" i="17"/>
  <c r="E21" i="17"/>
  <c r="O19" i="17"/>
  <c r="L17" i="17"/>
  <c r="B16" i="17"/>
  <c r="J14" i="17"/>
  <c r="F12" i="17"/>
  <c r="Q10" i="17"/>
  <c r="A9" i="17"/>
  <c r="C7" i="17"/>
  <c r="S4" i="17"/>
  <c r="Q79" i="16"/>
  <c r="T77" i="16"/>
  <c r="Q76" i="16"/>
  <c r="B75" i="16"/>
  <c r="B73" i="16"/>
  <c r="F71" i="16"/>
  <c r="X69" i="16"/>
  <c r="N68" i="16"/>
  <c r="C67" i="16"/>
  <c r="S65" i="16"/>
  <c r="L64" i="16"/>
  <c r="O63" i="16"/>
  <c r="L62" i="16"/>
  <c r="L61" i="16"/>
  <c r="L60" i="16"/>
  <c r="L59" i="16"/>
  <c r="O58" i="16"/>
  <c r="F57" i="16"/>
  <c r="C56" i="16"/>
  <c r="Q54" i="16"/>
  <c r="H53" i="16"/>
  <c r="D52" i="16"/>
  <c r="Q50" i="16"/>
  <c r="E49" i="16"/>
  <c r="B48" i="16"/>
  <c r="Q46" i="16"/>
  <c r="N45" i="16"/>
  <c r="D44" i="16"/>
  <c r="Q42" i="16"/>
  <c r="J41" i="16"/>
  <c r="D40" i="16"/>
  <c r="L38" i="16"/>
  <c r="E37" i="16"/>
  <c r="O35" i="16"/>
  <c r="J34" i="16"/>
  <c r="D33" i="16"/>
  <c r="O31" i="16"/>
  <c r="F30" i="16"/>
  <c r="B29" i="16"/>
  <c r="O27" i="16"/>
  <c r="J26" i="16"/>
  <c r="D25" i="16"/>
  <c r="L23" i="16"/>
  <c r="E22" i="16"/>
  <c r="B21" i="16"/>
  <c r="Q19" i="16"/>
  <c r="E18" i="16"/>
  <c r="B17" i="16"/>
  <c r="Q15" i="16"/>
  <c r="F14" i="16"/>
  <c r="C13" i="16"/>
  <c r="L11" i="16"/>
  <c r="E10" i="16"/>
  <c r="A9" i="16"/>
  <c r="Q7" i="16"/>
  <c r="N6" i="16"/>
  <c r="H5" i="16"/>
  <c r="O139" i="15"/>
  <c r="J138" i="15"/>
  <c r="C137" i="15"/>
  <c r="B136" i="15"/>
  <c r="S134" i="15"/>
  <c r="T133" i="15"/>
  <c r="X132" i="15"/>
  <c r="V131" i="15"/>
  <c r="S130" i="15"/>
  <c r="V129" i="15"/>
  <c r="S128" i="15"/>
  <c r="X127" i="15"/>
  <c r="T126" i="15"/>
  <c r="L125" i="15"/>
  <c r="J124" i="15"/>
  <c r="F123" i="15"/>
  <c r="H122" i="15"/>
  <c r="E121" i="15"/>
  <c r="C120" i="15"/>
  <c r="A119" i="15"/>
  <c r="S117" i="15"/>
  <c r="L116" i="15"/>
  <c r="Q115" i="15"/>
  <c r="N114" i="15"/>
  <c r="L113" i="15"/>
  <c r="Q112" i="15"/>
  <c r="O111" i="15"/>
  <c r="N110" i="15"/>
  <c r="N109" i="15"/>
  <c r="Q108" i="15"/>
  <c r="O107" i="15"/>
  <c r="N106" i="15"/>
  <c r="L105" i="15"/>
  <c r="Q104" i="15"/>
  <c r="O103" i="15"/>
  <c r="N102" i="15"/>
  <c r="J101" i="15"/>
  <c r="B100" i="15"/>
  <c r="N98" i="15"/>
  <c r="J97" i="15"/>
  <c r="B96" i="15"/>
  <c r="N94" i="15"/>
  <c r="J93" i="15"/>
  <c r="B92" i="15"/>
  <c r="N90" i="15"/>
  <c r="J89" i="15"/>
  <c r="B88" i="15"/>
  <c r="N86" i="15"/>
  <c r="J85" i="15"/>
  <c r="B84" i="15"/>
  <c r="N82" i="15"/>
  <c r="J81" i="15"/>
  <c r="B80" i="15"/>
  <c r="N78" i="15"/>
  <c r="J77" i="15"/>
  <c r="N75" i="15"/>
  <c r="J74" i="15"/>
  <c r="D73" i="15"/>
  <c r="Q71" i="15"/>
  <c r="F70" i="15"/>
  <c r="D69" i="15"/>
  <c r="Q67" i="15"/>
  <c r="F66" i="15"/>
  <c r="Q64" i="15"/>
  <c r="F63" i="15"/>
  <c r="D62" i="15"/>
  <c r="Q60" i="15"/>
  <c r="F59" i="15"/>
  <c r="D58" i="15"/>
  <c r="Q56" i="15"/>
  <c r="F55" i="15"/>
  <c r="D54" i="15"/>
  <c r="N52" i="15"/>
  <c r="J51" i="15"/>
  <c r="B50" i="15"/>
  <c r="N48" i="15"/>
  <c r="J47" i="15"/>
  <c r="B46" i="15"/>
  <c r="L44" i="15"/>
  <c r="H43" i="15"/>
  <c r="D42" i="15"/>
  <c r="O40" i="15"/>
  <c r="E39" i="15"/>
  <c r="C38" i="15"/>
  <c r="O36" i="15"/>
  <c r="H35" i="15"/>
  <c r="A34" i="15"/>
  <c r="L32" i="15"/>
  <c r="H31" i="15"/>
  <c r="A30" i="15"/>
  <c r="L28" i="15"/>
  <c r="J27" i="15"/>
  <c r="B26" i="15"/>
  <c r="A25" i="15"/>
  <c r="L23" i="15"/>
  <c r="H22" i="15"/>
  <c r="A21" i="15"/>
  <c r="F19" i="15"/>
  <c r="D18" i="15"/>
  <c r="Q16" i="15"/>
  <c r="H15" i="15"/>
  <c r="A14" i="15"/>
  <c r="L12" i="15"/>
  <c r="H11" i="15"/>
  <c r="A10" i="15"/>
  <c r="N8" i="15"/>
  <c r="B7" i="15"/>
  <c r="V5" i="15"/>
  <c r="N3" i="15"/>
  <c r="F388" i="14"/>
  <c r="F386" i="14"/>
  <c r="F384" i="14"/>
  <c r="F382" i="14"/>
  <c r="H380" i="14"/>
  <c r="A379" i="14"/>
  <c r="E377" i="14"/>
  <c r="L375" i="14"/>
  <c r="C374" i="14"/>
  <c r="H372" i="14"/>
  <c r="A371" i="14"/>
  <c r="E369" i="14"/>
  <c r="L367" i="14"/>
  <c r="C366" i="14"/>
  <c r="H364" i="14"/>
  <c r="A363" i="14"/>
  <c r="E361" i="14"/>
  <c r="L359" i="14"/>
  <c r="C358" i="14"/>
  <c r="H356" i="14"/>
  <c r="J354" i="14"/>
  <c r="E12" i="18"/>
  <c r="A8" i="18"/>
  <c r="J99" i="17"/>
  <c r="J91" i="17"/>
  <c r="X84" i="17"/>
  <c r="A81" i="17"/>
  <c r="E79" i="17"/>
  <c r="X77" i="17"/>
  <c r="J76" i="17"/>
  <c r="H75" i="17"/>
  <c r="J74" i="17"/>
  <c r="H73" i="17"/>
  <c r="J72" i="17"/>
  <c r="E71" i="17"/>
  <c r="F70" i="17"/>
  <c r="H69" i="17"/>
  <c r="X67" i="17"/>
  <c r="S66" i="17"/>
  <c r="Q65" i="17"/>
  <c r="L64" i="17"/>
  <c r="N63" i="17"/>
  <c r="O62" i="17"/>
  <c r="Q61" i="17"/>
  <c r="L60" i="17"/>
  <c r="N59" i="17"/>
  <c r="O58" i="17"/>
  <c r="Q57" i="17"/>
  <c r="L56" i="17"/>
  <c r="N55" i="17"/>
  <c r="O54" i="17"/>
  <c r="N53" i="17"/>
  <c r="Q52" i="17"/>
  <c r="J51" i="17"/>
  <c r="A50" i="17"/>
  <c r="O48" i="17"/>
  <c r="J47" i="17"/>
  <c r="A46" i="17"/>
  <c r="O44" i="17"/>
  <c r="J43" i="17"/>
  <c r="A42" i="17"/>
  <c r="O40" i="17"/>
  <c r="J39" i="17"/>
  <c r="A38" i="17"/>
  <c r="O36" i="17"/>
  <c r="F35" i="17"/>
  <c r="C34" i="17"/>
  <c r="L32" i="17"/>
  <c r="F31" i="17"/>
  <c r="C30" i="17"/>
  <c r="L28" i="17"/>
  <c r="F27" i="17"/>
  <c r="C26" i="17"/>
  <c r="L24" i="17"/>
  <c r="F23" i="17"/>
  <c r="C22" i="17"/>
  <c r="L20" i="17"/>
  <c r="F19" i="17"/>
  <c r="C18" i="17"/>
  <c r="L16" i="17"/>
  <c r="F15" i="17"/>
  <c r="C14" i="17"/>
  <c r="L12" i="17"/>
  <c r="F11" i="17"/>
  <c r="C10" i="17"/>
  <c r="L8" i="17"/>
  <c r="F7" i="17"/>
  <c r="L6" i="17"/>
  <c r="L5" i="17"/>
  <c r="T79" i="16"/>
  <c r="V78" i="16"/>
  <c r="S77" i="16"/>
  <c r="T76" i="16"/>
  <c r="L75" i="16"/>
  <c r="F74" i="16"/>
  <c r="A73" i="16"/>
  <c r="V71" i="16"/>
  <c r="T70" i="16"/>
  <c r="V69" i="16"/>
  <c r="X68" i="16"/>
  <c r="S67" i="16"/>
  <c r="N66" i="16"/>
  <c r="J65" i="16"/>
  <c r="J64" i="16"/>
  <c r="F63" i="16"/>
  <c r="J62" i="16"/>
  <c r="J61" i="16"/>
  <c r="J60" i="16"/>
  <c r="J59" i="16"/>
  <c r="H58" i="16"/>
  <c r="N56" i="16"/>
  <c r="F55" i="16"/>
  <c r="A54" i="16"/>
  <c r="O52" i="16"/>
  <c r="H51" i="16"/>
  <c r="C50" i="16"/>
  <c r="L48" i="16"/>
  <c r="F47" i="16"/>
  <c r="C46" i="16"/>
  <c r="H44" i="16"/>
  <c r="C43" i="16"/>
  <c r="O41" i="16"/>
  <c r="H40" i="16"/>
  <c r="C39" i="16"/>
  <c r="Q37" i="16"/>
  <c r="J36" i="16"/>
  <c r="C35" i="16"/>
  <c r="O33" i="16"/>
  <c r="F32" i="16"/>
  <c r="B31" i="16"/>
  <c r="L29" i="16"/>
  <c r="E28" i="16"/>
  <c r="B27" i="16"/>
  <c r="O25" i="16"/>
  <c r="J24" i="16"/>
  <c r="D23" i="16"/>
  <c r="L21" i="16"/>
  <c r="F20" i="16"/>
  <c r="C19" i="16"/>
  <c r="L17" i="16"/>
  <c r="E16" i="16"/>
  <c r="D15" i="16"/>
  <c r="A14" i="16"/>
  <c r="O12" i="16"/>
  <c r="J11" i="16"/>
  <c r="D10" i="16"/>
  <c r="L8" i="16"/>
  <c r="H7" i="16"/>
  <c r="X5" i="16"/>
  <c r="S3" i="16"/>
  <c r="H139" i="15"/>
  <c r="S137" i="15"/>
  <c r="L136" i="15"/>
  <c r="H135" i="15"/>
  <c r="J134" i="15"/>
  <c r="E133" i="15"/>
  <c r="J132" i="15"/>
  <c r="H131" i="15"/>
  <c r="J130" i="15"/>
  <c r="H129" i="15"/>
  <c r="E128" i="15"/>
  <c r="J127" i="15"/>
  <c r="B126" i="15"/>
  <c r="T124" i="15"/>
  <c r="L123" i="15"/>
  <c r="N122" i="15"/>
  <c r="Q121" i="15"/>
  <c r="F120" i="15"/>
  <c r="D119" i="15"/>
  <c r="X117" i="15"/>
  <c r="V116" i="15"/>
  <c r="T115" i="15"/>
  <c r="X114" i="15"/>
  <c r="V113" i="15"/>
  <c r="T112" i="15"/>
  <c r="S111" i="15"/>
  <c r="X110" i="15"/>
  <c r="L109" i="15"/>
  <c r="O108" i="15"/>
  <c r="N107" i="15"/>
  <c r="L106" i="15"/>
  <c r="Q105" i="15"/>
  <c r="O104" i="15"/>
  <c r="N103" i="15"/>
  <c r="L102" i="15"/>
  <c r="H101" i="15"/>
  <c r="A100" i="15"/>
  <c r="L98" i="15"/>
  <c r="H97" i="15"/>
  <c r="A96" i="15"/>
  <c r="L94" i="15"/>
  <c r="H93" i="15"/>
  <c r="A92" i="15"/>
  <c r="L90" i="15"/>
  <c r="H89" i="15"/>
  <c r="A88" i="15"/>
  <c r="L86" i="15"/>
  <c r="H85" i="15"/>
  <c r="A84" i="15"/>
  <c r="L82" i="15"/>
  <c r="H81" i="15"/>
  <c r="A80" i="15"/>
  <c r="L78" i="15"/>
  <c r="H77" i="15"/>
  <c r="L75" i="15"/>
  <c r="H74" i="15"/>
  <c r="C73" i="15"/>
  <c r="O71" i="15"/>
  <c r="E70" i="15"/>
  <c r="C69" i="15"/>
  <c r="O67" i="15"/>
  <c r="E66" i="15"/>
  <c r="O64" i="15"/>
  <c r="E63" i="15"/>
  <c r="C62" i="15"/>
  <c r="O60" i="15"/>
  <c r="E59" i="15"/>
  <c r="C58" i="15"/>
  <c r="O56" i="15"/>
  <c r="E55" i="15"/>
  <c r="A54" i="15"/>
  <c r="L52" i="15"/>
  <c r="H51" i="15"/>
  <c r="A50" i="15"/>
  <c r="L48" i="15"/>
  <c r="H47" i="15"/>
  <c r="A46" i="15"/>
  <c r="Q44" i="15"/>
  <c r="F43" i="15"/>
  <c r="C42" i="15"/>
  <c r="N40" i="15"/>
  <c r="J39" i="15"/>
  <c r="B38" i="15"/>
  <c r="N36" i="15"/>
  <c r="B35" i="15"/>
  <c r="N33" i="15"/>
  <c r="J32" i="15"/>
  <c r="B31" i="15"/>
  <c r="N29" i="15"/>
  <c r="J28" i="15"/>
  <c r="C27" i="15"/>
  <c r="O25" i="15"/>
  <c r="F24" i="15"/>
  <c r="D23" i="15"/>
  <c r="Q21" i="15"/>
  <c r="F20" i="15"/>
  <c r="E19" i="15"/>
  <c r="C18" i="15"/>
  <c r="O16" i="15"/>
  <c r="B15" i="15"/>
  <c r="N13" i="15"/>
  <c r="J12" i="15"/>
  <c r="B11" i="15"/>
  <c r="N9" i="15"/>
  <c r="B8" i="15"/>
  <c r="A7" i="15"/>
  <c r="T5" i="15"/>
  <c r="E4" i="15"/>
  <c r="C389" i="14"/>
  <c r="H387" i="14"/>
  <c r="A386" i="14"/>
  <c r="E384" i="14"/>
  <c r="L382" i="14"/>
  <c r="F380" i="14"/>
  <c r="F378" i="14"/>
  <c r="F376" i="14"/>
  <c r="F374" i="14"/>
  <c r="F372" i="14"/>
  <c r="F370" i="14"/>
  <c r="F368" i="14"/>
  <c r="F366" i="14"/>
  <c r="F364" i="14"/>
  <c r="N12" i="15"/>
  <c r="D8" i="15"/>
  <c r="A389" i="14"/>
  <c r="H382" i="14"/>
  <c r="D374" i="14"/>
  <c r="D366" i="14"/>
  <c r="B362" i="14"/>
  <c r="A360" i="14"/>
  <c r="L356" i="14"/>
  <c r="L353" i="14"/>
  <c r="J351" i="14"/>
  <c r="J349" i="14"/>
  <c r="J347" i="14"/>
  <c r="F345" i="14"/>
  <c r="F343" i="14"/>
  <c r="F341" i="14"/>
  <c r="F339" i="14"/>
  <c r="F337" i="14"/>
  <c r="F335" i="14"/>
  <c r="F333" i="14"/>
  <c r="T331" i="14"/>
  <c r="T329" i="14"/>
  <c r="T327" i="14"/>
  <c r="T325" i="14"/>
  <c r="T323" i="14"/>
  <c r="T321" i="14"/>
  <c r="T319" i="14"/>
  <c r="T317" i="14"/>
  <c r="T315" i="14"/>
  <c r="T313" i="14"/>
  <c r="T311" i="14"/>
  <c r="T309" i="14"/>
  <c r="T307" i="14"/>
  <c r="T305" i="14"/>
  <c r="N303" i="14"/>
  <c r="Q301" i="14"/>
  <c r="A299" i="14"/>
  <c r="C297" i="14"/>
  <c r="O294" i="14"/>
  <c r="D292" i="14"/>
  <c r="B290" i="14"/>
  <c r="N287" i="14"/>
  <c r="Q285" i="14"/>
  <c r="A283" i="14"/>
  <c r="C281" i="14"/>
  <c r="O278" i="14"/>
  <c r="D276" i="14"/>
  <c r="Q273" i="14"/>
  <c r="Q271" i="14"/>
  <c r="A269" i="14"/>
  <c r="C267" i="14"/>
  <c r="O264" i="14"/>
  <c r="D262" i="14"/>
  <c r="B260" i="14"/>
  <c r="N257" i="14"/>
  <c r="D255" i="14"/>
  <c r="O252" i="14"/>
  <c r="D250" i="14"/>
  <c r="A248" i="14"/>
  <c r="B246" i="14"/>
  <c r="N243" i="14"/>
  <c r="Q241" i="14"/>
  <c r="A239" i="14"/>
  <c r="C237" i="14"/>
  <c r="C234" i="14"/>
  <c r="N231" i="14"/>
  <c r="Q229" i="14"/>
  <c r="A227" i="14"/>
  <c r="C225" i="14"/>
  <c r="C223" i="14"/>
  <c r="O220" i="14"/>
  <c r="D218" i="14"/>
  <c r="B216" i="14"/>
  <c r="B213" i="14"/>
  <c r="C211" i="14"/>
  <c r="O208" i="14"/>
  <c r="D206" i="14"/>
  <c r="B204" i="14"/>
  <c r="C202" i="14"/>
  <c r="O199" i="14"/>
  <c r="D197" i="14"/>
  <c r="B195" i="14"/>
  <c r="A192" i="14"/>
  <c r="C190" i="14"/>
  <c r="O187" i="14"/>
  <c r="D185" i="14"/>
  <c r="B183" i="14"/>
  <c r="B181" i="14"/>
  <c r="N178" i="14"/>
  <c r="Q176" i="14"/>
  <c r="A174" i="14"/>
  <c r="C172" i="14"/>
  <c r="O169" i="14"/>
  <c r="D167" i="14"/>
  <c r="B165" i="14"/>
  <c r="N162" i="14"/>
  <c r="Q160" i="14"/>
  <c r="A158" i="14"/>
  <c r="C156" i="14"/>
  <c r="O153" i="14"/>
  <c r="D151" i="14"/>
  <c r="Q148" i="14"/>
  <c r="A146" i="14"/>
  <c r="C144" i="14"/>
  <c r="O141" i="14"/>
  <c r="D139" i="14"/>
  <c r="B137" i="14"/>
  <c r="B135" i="14"/>
  <c r="N132" i="14"/>
  <c r="Q130" i="14"/>
  <c r="O127" i="14"/>
  <c r="D125" i="14"/>
  <c r="B123" i="14"/>
  <c r="N120" i="14"/>
  <c r="Q118" i="14"/>
  <c r="A116" i="14"/>
  <c r="C114" i="14"/>
  <c r="C112" i="14"/>
  <c r="O109" i="14"/>
  <c r="D107" i="14"/>
  <c r="B105" i="14"/>
  <c r="N102" i="14"/>
  <c r="C100" i="14"/>
  <c r="B97" i="14"/>
  <c r="N94" i="14"/>
  <c r="Q92" i="14"/>
  <c r="A90" i="14"/>
  <c r="C88" i="14"/>
  <c r="O85" i="14"/>
  <c r="Q83" i="14"/>
  <c r="A81" i="14"/>
  <c r="C78" i="14"/>
  <c r="Q75" i="14"/>
  <c r="C73" i="14"/>
  <c r="O70" i="14"/>
  <c r="D68" i="14"/>
  <c r="N65" i="14"/>
  <c r="Q63" i="14"/>
  <c r="A61" i="14"/>
  <c r="C59" i="14"/>
  <c r="O56" i="14"/>
  <c r="D54" i="14"/>
  <c r="N51" i="14"/>
  <c r="Q49" i="14"/>
  <c r="A47" i="14"/>
  <c r="C45" i="14"/>
  <c r="O42" i="14"/>
  <c r="D40" i="14"/>
  <c r="B38" i="14"/>
  <c r="Q35" i="14"/>
  <c r="A33" i="14"/>
  <c r="C31" i="14"/>
  <c r="O28" i="14"/>
  <c r="D26" i="14"/>
  <c r="A23" i="14"/>
  <c r="C21" i="14"/>
  <c r="O18" i="14"/>
  <c r="D16" i="14"/>
  <c r="B14" i="14"/>
  <c r="N11" i="14"/>
  <c r="Q9" i="14"/>
  <c r="A7" i="14"/>
  <c r="N4" i="14"/>
  <c r="H139" i="13"/>
  <c r="F137" i="13"/>
  <c r="E136" i="13"/>
  <c r="D135" i="13"/>
  <c r="Q133" i="13"/>
  <c r="O132" i="13"/>
  <c r="H131" i="13"/>
  <c r="Q129" i="13"/>
  <c r="N128" i="13"/>
  <c r="L127" i="13"/>
  <c r="L126" i="13"/>
  <c r="L125" i="13"/>
  <c r="L124" i="13"/>
  <c r="L123" i="13"/>
  <c r="L122" i="13"/>
  <c r="L121" i="13"/>
  <c r="J120" i="13"/>
  <c r="L119" i="13"/>
  <c r="Q118" i="13"/>
  <c r="V117" i="13"/>
  <c r="A117" i="13"/>
  <c r="E116" i="13"/>
  <c r="L115" i="13"/>
  <c r="Q114" i="13"/>
  <c r="V113" i="13"/>
  <c r="A113" i="13"/>
  <c r="E112" i="13"/>
  <c r="L111" i="13"/>
  <c r="Q110" i="13"/>
  <c r="V109" i="13"/>
  <c r="A109" i="13"/>
  <c r="E108" i="13"/>
  <c r="L107" i="13"/>
  <c r="Q106" i="13"/>
  <c r="V105" i="13"/>
  <c r="A105" i="13"/>
  <c r="E104" i="13"/>
  <c r="L103" i="13"/>
  <c r="Q102" i="13"/>
  <c r="T101" i="13"/>
  <c r="O100" i="13"/>
  <c r="H99" i="13"/>
  <c r="Q97" i="13"/>
  <c r="O96" i="13"/>
  <c r="H95" i="13"/>
  <c r="Q93" i="13"/>
  <c r="O92" i="13"/>
  <c r="H91" i="13"/>
  <c r="Q89" i="13"/>
  <c r="H88" i="13"/>
  <c r="Q86" i="13"/>
  <c r="O85" i="13"/>
  <c r="H84" i="13"/>
  <c r="Q82" i="13"/>
  <c r="O81" i="13"/>
  <c r="H80" i="13"/>
  <c r="Q78" i="13"/>
  <c r="O77" i="13"/>
  <c r="H76" i="13"/>
  <c r="D75" i="13"/>
  <c r="O73" i="13"/>
  <c r="H72" i="13"/>
  <c r="Q70" i="13"/>
  <c r="J69" i="13"/>
  <c r="C68" i="13"/>
  <c r="L66" i="13"/>
  <c r="Q64" i="13"/>
  <c r="O63" i="13"/>
  <c r="H62" i="13"/>
  <c r="Q60" i="13"/>
  <c r="O59" i="13"/>
  <c r="H58" i="13"/>
  <c r="Q56" i="13"/>
  <c r="O55" i="13"/>
  <c r="H54" i="13"/>
  <c r="D53" i="13"/>
  <c r="F51" i="13"/>
  <c r="E50" i="13"/>
  <c r="D49" i="13"/>
  <c r="F47" i="13"/>
  <c r="E46" i="13"/>
  <c r="D45" i="13"/>
  <c r="F43" i="13"/>
  <c r="E42" i="13"/>
  <c r="D41" i="13"/>
  <c r="F39" i="13"/>
  <c r="E38" i="13"/>
  <c r="D37" i="13"/>
  <c r="O35" i="13"/>
  <c r="H34" i="13"/>
  <c r="Q32" i="13"/>
  <c r="O31" i="13"/>
  <c r="H30" i="13"/>
  <c r="Q28" i="13"/>
  <c r="O27" i="13"/>
  <c r="H26" i="13"/>
  <c r="Q24" i="13"/>
  <c r="O23" i="13"/>
  <c r="H22" i="13"/>
  <c r="Q20" i="13"/>
  <c r="O19" i="13"/>
  <c r="H18" i="13"/>
  <c r="Q16" i="13"/>
  <c r="O15" i="13"/>
  <c r="H14" i="13"/>
  <c r="Q12" i="13"/>
  <c r="O11" i="13"/>
  <c r="H10" i="13"/>
  <c r="Q8" i="13"/>
  <c r="O7" i="13"/>
  <c r="X5" i="13"/>
  <c r="S3" i="13"/>
  <c r="E124" i="12"/>
  <c r="H123" i="12"/>
  <c r="H122" i="12"/>
  <c r="B121" i="12"/>
  <c r="D120" i="12"/>
  <c r="B119" i="12"/>
  <c r="D118" i="12"/>
  <c r="B117" i="12"/>
  <c r="C116" i="12"/>
  <c r="C115" i="12"/>
  <c r="V113" i="12"/>
  <c r="H112" i="12"/>
  <c r="C111" i="12"/>
  <c r="C110" i="12"/>
  <c r="B109" i="12"/>
  <c r="X107" i="12"/>
  <c r="F106" i="12"/>
  <c r="B105" i="12"/>
  <c r="D104" i="12"/>
  <c r="D103" i="12"/>
  <c r="D102" i="12"/>
  <c r="B101" i="12"/>
  <c r="D100" i="12"/>
  <c r="D99" i="12"/>
  <c r="D98" i="12"/>
  <c r="O96" i="12"/>
  <c r="H95" i="12"/>
  <c r="Q93" i="12"/>
  <c r="O92" i="12"/>
  <c r="B91" i="12"/>
  <c r="F89" i="12"/>
  <c r="E88" i="12"/>
  <c r="D87" i="12"/>
  <c r="O85" i="12"/>
  <c r="H84" i="12"/>
  <c r="E83" i="12"/>
  <c r="B82" i="12"/>
  <c r="A81" i="12"/>
  <c r="N79" i="12"/>
  <c r="B78" i="12"/>
  <c r="A77" i="12"/>
  <c r="N75" i="12"/>
  <c r="B74" i="12"/>
  <c r="A73" i="12"/>
  <c r="N71" i="12"/>
  <c r="J70" i="12"/>
  <c r="C69" i="12"/>
  <c r="L67" i="12"/>
  <c r="F66" i="12"/>
  <c r="D65" i="12"/>
  <c r="L63" i="12"/>
  <c r="J62" i="12"/>
  <c r="C61" i="12"/>
  <c r="J59" i="12"/>
  <c r="A58" i="12"/>
  <c r="N56" i="12"/>
  <c r="B55" i="12"/>
  <c r="A54" i="12"/>
  <c r="N52" i="12"/>
  <c r="B51" i="12"/>
  <c r="A50" i="12"/>
  <c r="N48" i="12"/>
  <c r="B47" i="12"/>
  <c r="N45" i="12"/>
  <c r="B44" i="12"/>
  <c r="A43" i="12"/>
  <c r="N41" i="12"/>
  <c r="J40" i="12"/>
  <c r="C39" i="12"/>
  <c r="Q37" i="12"/>
  <c r="N36" i="12"/>
  <c r="H35" i="12"/>
  <c r="O33" i="12"/>
  <c r="B32" i="12"/>
  <c r="A31" i="12"/>
  <c r="Q29" i="12"/>
  <c r="F28" i="12"/>
  <c r="D27" i="12"/>
  <c r="O25" i="12"/>
  <c r="L24" i="12"/>
  <c r="J23" i="12"/>
  <c r="A22" i="12"/>
  <c r="N20" i="12"/>
  <c r="B19" i="12"/>
  <c r="A18" i="12"/>
  <c r="N16" i="12"/>
  <c r="B15" i="12"/>
  <c r="F13" i="12"/>
  <c r="E12" i="12"/>
  <c r="B11" i="12"/>
  <c r="F9" i="12"/>
  <c r="E8" i="12"/>
  <c r="B7" i="12"/>
  <c r="X5" i="12"/>
  <c r="S3" i="12"/>
  <c r="E120" i="11"/>
  <c r="D119" i="11"/>
  <c r="B118" i="11"/>
  <c r="S116" i="11"/>
  <c r="X115" i="11"/>
  <c r="N114" i="11"/>
  <c r="F113" i="11"/>
  <c r="L112" i="11"/>
  <c r="J111" i="11"/>
  <c r="V109" i="11"/>
  <c r="X108" i="11"/>
  <c r="Q107" i="11"/>
  <c r="F106" i="11"/>
  <c r="L105" i="11"/>
  <c r="J104" i="11"/>
  <c r="E103" i="11"/>
  <c r="H102" i="11"/>
  <c r="E101" i="11"/>
  <c r="H100" i="11"/>
  <c r="Q98" i="11"/>
  <c r="V97" i="11"/>
  <c r="A97" i="11"/>
  <c r="E96" i="11"/>
  <c r="L95" i="11"/>
  <c r="Q94" i="11"/>
  <c r="V93" i="11"/>
  <c r="A93" i="11"/>
  <c r="E92" i="11"/>
  <c r="L91" i="11"/>
  <c r="Q90" i="11"/>
  <c r="V89" i="11"/>
  <c r="A89" i="11"/>
  <c r="E88" i="11"/>
  <c r="L87" i="11"/>
  <c r="Q86" i="11"/>
  <c r="V85" i="11"/>
  <c r="A85" i="11"/>
  <c r="E83" i="11"/>
  <c r="O15" i="15"/>
  <c r="D11" i="15"/>
  <c r="S4" i="15"/>
  <c r="E385" i="14"/>
  <c r="J378" i="14"/>
  <c r="J370" i="14"/>
  <c r="D363" i="14"/>
  <c r="E360" i="14"/>
  <c r="J357" i="14"/>
  <c r="H355" i="14"/>
  <c r="C353" i="14"/>
  <c r="H351" i="14"/>
  <c r="A350" i="14"/>
  <c r="E348" i="14"/>
  <c r="H346" i="14"/>
  <c r="A345" i="14"/>
  <c r="E343" i="14"/>
  <c r="L341" i="14"/>
  <c r="C340" i="14"/>
  <c r="H338" i="14"/>
  <c r="A337" i="14"/>
  <c r="E335" i="14"/>
  <c r="L333" i="14"/>
  <c r="C332" i="14"/>
  <c r="C330" i="14"/>
  <c r="C328" i="14"/>
  <c r="C326" i="14"/>
  <c r="C324" i="14"/>
  <c r="C322" i="14"/>
  <c r="C320" i="14"/>
  <c r="C318" i="14"/>
  <c r="C316" i="14"/>
  <c r="C314" i="14"/>
  <c r="C312" i="14"/>
  <c r="C310" i="14"/>
  <c r="C308" i="14"/>
  <c r="C306" i="14"/>
  <c r="C304" i="14"/>
  <c r="O301" i="14"/>
  <c r="D299" i="14"/>
  <c r="B297" i="14"/>
  <c r="N294" i="14"/>
  <c r="Q292" i="14"/>
  <c r="A290" i="14"/>
  <c r="C288" i="14"/>
  <c r="O285" i="14"/>
  <c r="D283" i="14"/>
  <c r="B281" i="14"/>
  <c r="N278" i="14"/>
  <c r="Q276" i="14"/>
  <c r="O273" i="14"/>
  <c r="O271" i="14"/>
  <c r="D269" i="14"/>
  <c r="B267" i="14"/>
  <c r="N264" i="14"/>
  <c r="Q262" i="14"/>
  <c r="A260" i="14"/>
  <c r="C258" i="14"/>
  <c r="C255" i="14"/>
  <c r="N252" i="14"/>
  <c r="Q250" i="14"/>
  <c r="D247" i="14"/>
  <c r="B245" i="14"/>
  <c r="N242" i="14"/>
  <c r="Q240" i="14"/>
  <c r="A238" i="14"/>
  <c r="C236" i="14"/>
  <c r="B233" i="14"/>
  <c r="N230" i="14"/>
  <c r="Q228" i="14"/>
  <c r="A226" i="14"/>
  <c r="B224" i="14"/>
  <c r="C222" i="14"/>
  <c r="O219" i="14"/>
  <c r="D217" i="14"/>
  <c r="B215" i="14"/>
  <c r="A212" i="14"/>
  <c r="C210" i="14"/>
  <c r="O207" i="14"/>
  <c r="D205" i="14"/>
  <c r="B203" i="14"/>
  <c r="C201" i="14"/>
  <c r="O198" i="14"/>
  <c r="D196" i="14"/>
  <c r="Q193" i="14"/>
  <c r="A191" i="14"/>
  <c r="C189" i="14"/>
  <c r="O186" i="14"/>
  <c r="D184" i="14"/>
  <c r="N181" i="14"/>
  <c r="Q179" i="14"/>
  <c r="A177" i="14"/>
  <c r="C175" i="14"/>
  <c r="O172" i="14"/>
  <c r="D170" i="14"/>
  <c r="B168" i="14"/>
  <c r="N165" i="14"/>
  <c r="Q163" i="14"/>
  <c r="A161" i="14"/>
  <c r="C159" i="14"/>
  <c r="O156" i="14"/>
  <c r="D154" i="14"/>
  <c r="B152" i="14"/>
  <c r="A149" i="14"/>
  <c r="C147" i="14"/>
  <c r="O144" i="14"/>
  <c r="D142" i="14"/>
  <c r="B140" i="14"/>
  <c r="N137" i="14"/>
  <c r="A135" i="14"/>
  <c r="C133" i="14"/>
  <c r="O130" i="14"/>
  <c r="N127" i="14"/>
  <c r="Q125" i="14"/>
  <c r="A123" i="14"/>
  <c r="C121" i="14"/>
  <c r="O118" i="14"/>
  <c r="D116" i="14"/>
  <c r="B114" i="14"/>
  <c r="B112" i="14"/>
  <c r="N109" i="14"/>
  <c r="Q107" i="14"/>
  <c r="A105" i="14"/>
  <c r="C103" i="14"/>
  <c r="B100" i="14"/>
  <c r="A97" i="14"/>
  <c r="C95" i="14"/>
  <c r="O92" i="14"/>
  <c r="D90" i="14"/>
  <c r="B88" i="14"/>
  <c r="N85" i="14"/>
  <c r="O83" i="14"/>
  <c r="D81" i="14"/>
  <c r="A78" i="14"/>
  <c r="A76" i="14"/>
  <c r="A74" i="14"/>
  <c r="C72" i="14"/>
  <c r="O69" i="14"/>
  <c r="D67" i="14"/>
  <c r="A64" i="14"/>
  <c r="C62" i="14"/>
  <c r="O59" i="14"/>
  <c r="D57" i="14"/>
  <c r="Q54" i="14"/>
  <c r="Q52" i="14"/>
  <c r="A50" i="14"/>
  <c r="C48" i="14"/>
  <c r="O45" i="14"/>
  <c r="D43" i="14"/>
  <c r="B41" i="14"/>
  <c r="N38" i="14"/>
  <c r="Q36" i="14"/>
  <c r="Q34" i="14"/>
  <c r="A32" i="14"/>
  <c r="C30" i="14"/>
  <c r="O27" i="14"/>
  <c r="C25" i="14"/>
  <c r="N22" i="14"/>
  <c r="Q20" i="14"/>
  <c r="A18" i="14"/>
  <c r="C16" i="14"/>
  <c r="O13" i="14"/>
  <c r="D11" i="14"/>
  <c r="B9" i="14"/>
  <c r="A6" i="14"/>
  <c r="E5" i="14"/>
  <c r="F139" i="13"/>
  <c r="E138" i="13"/>
  <c r="A137" i="13"/>
  <c r="N135" i="13"/>
  <c r="E134" i="13"/>
  <c r="D133" i="13"/>
  <c r="F131" i="13"/>
  <c r="E130" i="13"/>
  <c r="D129" i="13"/>
  <c r="D127" i="13"/>
  <c r="T125" i="13"/>
  <c r="J124" i="13"/>
  <c r="D123" i="13"/>
  <c r="T121" i="13"/>
  <c r="H120" i="13"/>
  <c r="D119" i="13"/>
  <c r="D118" i="13"/>
  <c r="D117" i="13"/>
  <c r="D116" i="13"/>
  <c r="D115" i="13"/>
  <c r="D114" i="13"/>
  <c r="D113" i="13"/>
  <c r="D112" i="13"/>
  <c r="D111" i="13"/>
  <c r="D110" i="13"/>
  <c r="D109" i="13"/>
  <c r="D108" i="13"/>
  <c r="D107" i="13"/>
  <c r="D106" i="13"/>
  <c r="D105" i="13"/>
  <c r="D104" i="13"/>
  <c r="D103" i="13"/>
  <c r="D102" i="13"/>
  <c r="N100" i="13"/>
  <c r="B99" i="13"/>
  <c r="A98" i="13"/>
  <c r="N96" i="13"/>
  <c r="B95" i="13"/>
  <c r="A94" i="13"/>
  <c r="N92" i="13"/>
  <c r="B91" i="13"/>
  <c r="A90" i="13"/>
  <c r="F88" i="13"/>
  <c r="E87" i="13"/>
  <c r="D86" i="13"/>
  <c r="F84" i="13"/>
  <c r="E83" i="13"/>
  <c r="D82" i="13"/>
  <c r="F80" i="13"/>
  <c r="E79" i="13"/>
  <c r="D78" i="13"/>
  <c r="F76" i="13"/>
  <c r="F74" i="13"/>
  <c r="F72" i="13"/>
  <c r="E71" i="13"/>
  <c r="A70" i="13"/>
  <c r="F68" i="13"/>
  <c r="E67" i="13"/>
  <c r="D66" i="13"/>
  <c r="A65" i="13"/>
  <c r="N63" i="13"/>
  <c r="B62" i="13"/>
  <c r="A61" i="13"/>
  <c r="N59" i="13"/>
  <c r="B58" i="13"/>
  <c r="A57" i="13"/>
  <c r="N55" i="13"/>
  <c r="N53" i="13"/>
  <c r="B52" i="13"/>
  <c r="A51" i="13"/>
  <c r="N49" i="13"/>
  <c r="B48" i="13"/>
  <c r="A47" i="13"/>
  <c r="N45" i="13"/>
  <c r="B44" i="13"/>
  <c r="A43" i="13"/>
  <c r="N41" i="13"/>
  <c r="B40" i="13"/>
  <c r="A39" i="13"/>
  <c r="N37" i="13"/>
  <c r="N35" i="13"/>
  <c r="B34" i="13"/>
  <c r="A33" i="13"/>
  <c r="N31" i="13"/>
  <c r="B30" i="13"/>
  <c r="A29" i="13"/>
  <c r="N27" i="13"/>
  <c r="B26" i="13"/>
  <c r="A25" i="13"/>
  <c r="N23" i="13"/>
  <c r="B22" i="13"/>
  <c r="A21" i="13"/>
  <c r="N19" i="13"/>
  <c r="B18" i="13"/>
  <c r="A17" i="13"/>
  <c r="N15" i="13"/>
  <c r="B14" i="13"/>
  <c r="A13" i="13"/>
  <c r="N11" i="13"/>
  <c r="B10" i="13"/>
  <c r="A9" i="13"/>
  <c r="N7" i="13"/>
  <c r="L6" i="13"/>
  <c r="L5" i="13"/>
  <c r="V124" i="12"/>
  <c r="N123" i="12"/>
  <c r="F122" i="12"/>
  <c r="E121" i="12"/>
  <c r="H120" i="12"/>
  <c r="E119" i="12"/>
  <c r="H118" i="12"/>
  <c r="E117" i="12"/>
  <c r="F116" i="12"/>
  <c r="B115" i="12"/>
  <c r="E114" i="12"/>
  <c r="C113" i="12"/>
  <c r="X111" i="12"/>
  <c r="F110" i="12"/>
  <c r="E109" i="12"/>
  <c r="L108" i="12"/>
  <c r="Q107" i="12"/>
  <c r="V106" i="12"/>
  <c r="A106" i="12"/>
  <c r="E105" i="12"/>
  <c r="H104" i="12"/>
  <c r="H103" i="12"/>
  <c r="H102" i="12"/>
  <c r="E101" i="12"/>
  <c r="H100" i="12"/>
  <c r="H99" i="12"/>
  <c r="H98" i="12"/>
  <c r="D97" i="12"/>
  <c r="F95" i="12"/>
  <c r="E94" i="12"/>
  <c r="D93" i="12"/>
  <c r="Q91" i="12"/>
  <c r="N90" i="12"/>
  <c r="L89" i="12"/>
  <c r="J88" i="12"/>
  <c r="C87" i="12"/>
  <c r="N85" i="12"/>
  <c r="B84" i="12"/>
  <c r="L82" i="12"/>
  <c r="J81" i="12"/>
  <c r="C80" i="12"/>
  <c r="L78" i="12"/>
  <c r="J77" i="12"/>
  <c r="C76" i="12"/>
  <c r="L74" i="12"/>
  <c r="J73" i="12"/>
  <c r="C72" i="12"/>
  <c r="H70" i="12"/>
  <c r="Q68" i="12"/>
  <c r="O67" i="12"/>
  <c r="E66" i="12"/>
  <c r="C65" i="12"/>
  <c r="A64" i="12"/>
  <c r="N62" i="12"/>
  <c r="B61" i="12"/>
  <c r="A60" i="12"/>
  <c r="Q58" i="12"/>
  <c r="H57" i="12"/>
  <c r="Q55" i="12"/>
  <c r="O54" i="12"/>
  <c r="H53" i="12"/>
  <c r="Q51" i="12"/>
  <c r="O50" i="12"/>
  <c r="H49" i="12"/>
  <c r="Q47" i="12"/>
  <c r="O46" i="12"/>
  <c r="B45" i="12"/>
  <c r="A44" i="12"/>
  <c r="N42" i="12"/>
  <c r="B41" i="12"/>
  <c r="F39" i="12"/>
  <c r="E38" i="12"/>
  <c r="J37" i="12"/>
  <c r="A36" i="12"/>
  <c r="Q34" i="12"/>
  <c r="N33" i="12"/>
  <c r="L32" i="12"/>
  <c r="J31" i="12"/>
  <c r="A30" i="12"/>
  <c r="L28" i="12"/>
  <c r="H27" i="12"/>
  <c r="D26" i="12"/>
  <c r="O24" i="12"/>
  <c r="H23" i="12"/>
  <c r="D22" i="12"/>
  <c r="F20" i="12"/>
  <c r="E19" i="12"/>
  <c r="D18" i="12"/>
  <c r="F16" i="12"/>
  <c r="E15" i="12"/>
  <c r="B14" i="12"/>
  <c r="A13" i="12"/>
  <c r="F14" i="15"/>
  <c r="O8" i="15"/>
  <c r="L389" i="14"/>
  <c r="E383" i="14"/>
  <c r="B375" i="14"/>
  <c r="B367" i="14"/>
  <c r="D361" i="14"/>
  <c r="C359" i="14"/>
  <c r="B357" i="14"/>
  <c r="H354" i="14"/>
  <c r="J352" i="14"/>
  <c r="J350" i="14"/>
  <c r="J348" i="14"/>
  <c r="B346" i="14"/>
  <c r="B344" i="14"/>
  <c r="B342" i="14"/>
  <c r="B340" i="14"/>
  <c r="B338" i="14"/>
  <c r="B336" i="14"/>
  <c r="B334" i="14"/>
  <c r="B332" i="14"/>
  <c r="B330" i="14"/>
  <c r="B328" i="14"/>
  <c r="B326" i="14"/>
  <c r="B324" i="14"/>
  <c r="B322" i="14"/>
  <c r="B320" i="14"/>
  <c r="B318" i="14"/>
  <c r="B316" i="14"/>
  <c r="B314" i="14"/>
  <c r="B312" i="14"/>
  <c r="B310" i="14"/>
  <c r="B308" i="14"/>
  <c r="B306" i="14"/>
  <c r="B304" i="14"/>
  <c r="N301" i="14"/>
  <c r="Q299" i="14"/>
  <c r="A297" i="14"/>
  <c r="C295" i="14"/>
  <c r="O292" i="14"/>
  <c r="D290" i="14"/>
  <c r="B288" i="14"/>
  <c r="N285" i="14"/>
  <c r="Q283" i="14"/>
  <c r="A281" i="14"/>
  <c r="C279" i="14"/>
  <c r="O276" i="14"/>
  <c r="N273" i="14"/>
  <c r="N271" i="14"/>
  <c r="Q269" i="14"/>
  <c r="A267" i="14"/>
  <c r="C265" i="14"/>
  <c r="O262" i="14"/>
  <c r="D260" i="14"/>
  <c r="B258" i="14"/>
  <c r="B255" i="14"/>
  <c r="C253" i="14"/>
  <c r="O250" i="14"/>
  <c r="Q248" i="14"/>
  <c r="D246" i="14"/>
  <c r="B244" i="14"/>
  <c r="N241" i="14"/>
  <c r="Q239" i="14"/>
  <c r="A237" i="14"/>
  <c r="C235" i="14"/>
  <c r="B232" i="14"/>
  <c r="N229" i="14"/>
  <c r="Q227" i="14"/>
  <c r="A225" i="14"/>
  <c r="A223" i="14"/>
  <c r="C221" i="14"/>
  <c r="O218" i="14"/>
  <c r="D216" i="14"/>
  <c r="B214" i="14"/>
  <c r="A211" i="14"/>
  <c r="C209" i="14"/>
  <c r="O206" i="14"/>
  <c r="D204" i="14"/>
  <c r="A202" i="14"/>
  <c r="C200" i="14"/>
  <c r="O197" i="14"/>
  <c r="D195" i="14"/>
  <c r="Q192" i="14"/>
  <c r="A190" i="14"/>
  <c r="C188" i="14"/>
  <c r="O185" i="14"/>
  <c r="D183" i="14"/>
  <c r="N180" i="14"/>
  <c r="Q178" i="14"/>
  <c r="A176" i="14"/>
  <c r="C174" i="14"/>
  <c r="O171" i="14"/>
  <c r="D169" i="14"/>
  <c r="B167" i="14"/>
  <c r="N164" i="14"/>
  <c r="Q162" i="14"/>
  <c r="A160" i="14"/>
  <c r="C158" i="14"/>
  <c r="O155" i="14"/>
  <c r="D153" i="14"/>
  <c r="B151" i="14"/>
  <c r="A148" i="14"/>
  <c r="C146" i="14"/>
  <c r="O143" i="14"/>
  <c r="D141" i="14"/>
  <c r="B139" i="14"/>
  <c r="Q136" i="14"/>
  <c r="A134" i="14"/>
  <c r="C132" i="14"/>
  <c r="O129" i="14"/>
  <c r="N126" i="14"/>
  <c r="Q124" i="14"/>
  <c r="A122" i="14"/>
  <c r="C120" i="14"/>
  <c r="O117" i="14"/>
  <c r="D115" i="14"/>
  <c r="N112" i="14"/>
  <c r="Q110" i="14"/>
  <c r="A108" i="14"/>
  <c r="C106" i="14"/>
  <c r="O103" i="14"/>
  <c r="N100" i="14"/>
  <c r="C98" i="14"/>
  <c r="O95" i="14"/>
  <c r="D93" i="14"/>
  <c r="B91" i="14"/>
  <c r="N88" i="14"/>
  <c r="Q86" i="14"/>
  <c r="A84" i="14"/>
  <c r="B82" i="14"/>
  <c r="B79" i="14"/>
  <c r="N75" i="14"/>
  <c r="A73" i="14"/>
  <c r="C71" i="14"/>
  <c r="O68" i="14"/>
  <c r="D66" i="14"/>
  <c r="N63" i="14"/>
  <c r="Q61" i="14"/>
  <c r="A59" i="14"/>
  <c r="C57" i="14"/>
  <c r="O54" i="14"/>
  <c r="B52" i="14"/>
  <c r="N49" i="14"/>
  <c r="Q47" i="14"/>
  <c r="A45" i="14"/>
  <c r="C43" i="14"/>
  <c r="O40" i="14"/>
  <c r="D38" i="14"/>
  <c r="N35" i="14"/>
  <c r="Q33" i="14"/>
  <c r="A31" i="14"/>
  <c r="C29" i="14"/>
  <c r="O26" i="14"/>
  <c r="B24" i="14"/>
  <c r="N21" i="14"/>
  <c r="Q19" i="14"/>
  <c r="A17" i="14"/>
  <c r="C15" i="14"/>
  <c r="O12" i="14"/>
  <c r="D10" i="14"/>
  <c r="B8" i="14"/>
  <c r="O5" i="14"/>
  <c r="E3" i="14"/>
  <c r="E139" i="13"/>
  <c r="A138" i="13"/>
  <c r="N136" i="13"/>
  <c r="B135" i="13"/>
  <c r="N133" i="13"/>
  <c r="B132" i="13"/>
  <c r="A131" i="13"/>
  <c r="N129" i="13"/>
  <c r="L128" i="13"/>
  <c r="C127" i="13"/>
  <c r="S125" i="13"/>
  <c r="H124" i="13"/>
  <c r="C123" i="13"/>
  <c r="S121" i="13"/>
  <c r="F120" i="13"/>
  <c r="C119" i="13"/>
  <c r="C118" i="13"/>
  <c r="C117" i="13"/>
  <c r="C116" i="13"/>
  <c r="C115" i="13"/>
  <c r="C114" i="13"/>
  <c r="C113" i="13"/>
  <c r="C112" i="13"/>
  <c r="C111" i="13"/>
  <c r="C110" i="13"/>
  <c r="C109" i="13"/>
  <c r="C108" i="13"/>
  <c r="C107" i="13"/>
  <c r="C106" i="13"/>
  <c r="C105" i="13"/>
  <c r="C104" i="13"/>
  <c r="C103" i="13"/>
  <c r="C102" i="13"/>
  <c r="B100" i="13"/>
  <c r="A99" i="13"/>
  <c r="N97" i="13"/>
  <c r="B96" i="13"/>
  <c r="A95" i="13"/>
  <c r="N93" i="13"/>
  <c r="B92" i="13"/>
  <c r="A91" i="13"/>
  <c r="N89" i="13"/>
  <c r="L88" i="13"/>
  <c r="J87" i="13"/>
  <c r="C86" i="13"/>
  <c r="L84" i="13"/>
  <c r="J83" i="13"/>
  <c r="C82" i="13"/>
  <c r="L80" i="13"/>
  <c r="J79" i="13"/>
  <c r="C78" i="13"/>
  <c r="L76" i="13"/>
  <c r="Q74" i="13"/>
  <c r="B73" i="13"/>
  <c r="A72" i="13"/>
  <c r="N70" i="13"/>
  <c r="B69" i="13"/>
  <c r="A68" i="13"/>
  <c r="N66" i="13"/>
  <c r="J65" i="13"/>
  <c r="C64" i="13"/>
  <c r="L62" i="13"/>
  <c r="J61" i="13"/>
  <c r="C60" i="13"/>
  <c r="L58" i="13"/>
  <c r="J57" i="13"/>
  <c r="C56" i="13"/>
  <c r="L54" i="13"/>
  <c r="Q52" i="13"/>
  <c r="O51" i="13"/>
  <c r="H50" i="13"/>
  <c r="Q48" i="13"/>
  <c r="O47" i="13"/>
  <c r="H46" i="13"/>
  <c r="Q44" i="13"/>
  <c r="O43" i="13"/>
  <c r="H42" i="13"/>
  <c r="Q40" i="13"/>
  <c r="O39" i="13"/>
  <c r="H38" i="13"/>
  <c r="Q36" i="13"/>
  <c r="B35" i="13"/>
  <c r="A34" i="13"/>
  <c r="N32" i="13"/>
  <c r="B31" i="13"/>
  <c r="A30" i="13"/>
  <c r="N28" i="13"/>
  <c r="B27" i="13"/>
  <c r="A26" i="13"/>
  <c r="N24" i="13"/>
  <c r="B23" i="13"/>
  <c r="A22" i="13"/>
  <c r="N20" i="13"/>
  <c r="B19" i="13"/>
  <c r="A18" i="13"/>
  <c r="N16" i="13"/>
  <c r="B15" i="13"/>
  <c r="A14" i="13"/>
  <c r="N12" i="13"/>
  <c r="B11" i="13"/>
  <c r="A10" i="13"/>
  <c r="N8" i="13"/>
  <c r="B7" i="13"/>
  <c r="T5" i="13"/>
  <c r="E4" i="13"/>
  <c r="H124" i="12"/>
  <c r="E123" i="12"/>
  <c r="L122" i="12"/>
  <c r="J121" i="12"/>
  <c r="F120" i="12"/>
  <c r="J119" i="12"/>
  <c r="F118" i="12"/>
  <c r="J117" i="12"/>
  <c r="E116" i="12"/>
  <c r="L115" i="12"/>
  <c r="O114" i="12"/>
  <c r="F113" i="12"/>
  <c r="E112" i="12"/>
  <c r="E111" i="12"/>
  <c r="L110" i="12"/>
  <c r="Q109" i="12"/>
  <c r="O108" i="12"/>
  <c r="O107" i="12"/>
  <c r="O106" i="12"/>
  <c r="O105" i="12"/>
  <c r="N104" i="12"/>
  <c r="F103" i="12"/>
  <c r="B102" i="12"/>
  <c r="D101" i="12"/>
  <c r="B100" i="12"/>
  <c r="X98" i="12"/>
  <c r="H97" i="12"/>
  <c r="Q95" i="12"/>
  <c r="O94" i="12"/>
  <c r="H93" i="12"/>
  <c r="O91" i="12"/>
  <c r="E90" i="12"/>
  <c r="D89" i="12"/>
  <c r="F87" i="12"/>
  <c r="C86" i="12"/>
  <c r="L84" i="12"/>
  <c r="H83" i="12"/>
  <c r="D82" i="12"/>
  <c r="F80" i="12"/>
  <c r="Q236" i="22"/>
  <c r="O38" i="22"/>
  <c r="B83" i="20"/>
  <c r="F29" i="21"/>
  <c r="O42" i="20"/>
  <c r="B238" i="19"/>
  <c r="C159" i="19"/>
  <c r="F58" i="20"/>
  <c r="L263" i="19"/>
  <c r="L194" i="19"/>
  <c r="C73" i="20"/>
  <c r="L279" i="19"/>
  <c r="A207" i="19"/>
  <c r="L127" i="19"/>
  <c r="B45" i="20"/>
  <c r="J20" i="20"/>
  <c r="T273" i="19"/>
  <c r="S249" i="19"/>
  <c r="L224" i="19"/>
  <c r="C198" i="19"/>
  <c r="O171" i="19"/>
  <c r="O151" i="19"/>
  <c r="A132" i="19"/>
  <c r="E112" i="19"/>
  <c r="D98" i="19"/>
  <c r="J78" i="19"/>
  <c r="L57" i="19"/>
  <c r="N37" i="19"/>
  <c r="A17" i="19"/>
  <c r="N125" i="18"/>
  <c r="E111" i="18"/>
  <c r="F91" i="18"/>
  <c r="L75" i="18"/>
  <c r="T59" i="18"/>
  <c r="B39" i="18"/>
  <c r="A22" i="18"/>
  <c r="F101" i="17"/>
  <c r="J109" i="19"/>
  <c r="C90" i="19"/>
  <c r="Q68" i="19"/>
  <c r="Q48" i="19"/>
  <c r="N28" i="19"/>
  <c r="S8" i="19"/>
  <c r="O114" i="18"/>
  <c r="Q100" i="18"/>
  <c r="L84" i="18"/>
  <c r="J68" i="18"/>
  <c r="C49" i="18"/>
  <c r="X29" i="18"/>
  <c r="Q126" i="19"/>
  <c r="C95" i="19"/>
  <c r="A75" i="19"/>
  <c r="A55" i="19"/>
  <c r="E35" i="19"/>
  <c r="L15" i="19"/>
  <c r="E127" i="18"/>
  <c r="C121" i="18"/>
  <c r="S115" i="18"/>
  <c r="H110" i="18"/>
  <c r="T104" i="18"/>
  <c r="O99" i="18"/>
  <c r="F93" i="18"/>
  <c r="E88" i="18"/>
  <c r="S82" i="18"/>
  <c r="B77" i="18"/>
  <c r="V70" i="18"/>
  <c r="F65" i="18"/>
  <c r="F59" i="18"/>
  <c r="J52" i="18"/>
  <c r="A45" i="18"/>
  <c r="J38" i="18"/>
  <c r="X31" i="18"/>
  <c r="L26" i="18"/>
  <c r="X20" i="18"/>
  <c r="H15" i="18"/>
  <c r="V9" i="18"/>
  <c r="H100" i="17"/>
  <c r="B90" i="17"/>
  <c r="V82" i="17"/>
  <c r="H124" i="19"/>
  <c r="B107" i="19"/>
  <c r="S100" i="19"/>
  <c r="E94" i="19"/>
  <c r="J89" i="19"/>
  <c r="N84" i="19"/>
  <c r="F79" i="19"/>
  <c r="N74" i="19"/>
  <c r="O69" i="19"/>
  <c r="E64" i="19"/>
  <c r="J59" i="19"/>
  <c r="N54" i="19"/>
  <c r="O49" i="19"/>
  <c r="S44" i="19"/>
  <c r="C40" i="19"/>
  <c r="S34" i="19"/>
  <c r="C30" i="19"/>
  <c r="Q24" i="19"/>
  <c r="A20" i="19"/>
  <c r="D15" i="19"/>
  <c r="H10" i="19"/>
  <c r="H5" i="19"/>
  <c r="O126" i="18"/>
  <c r="F120" i="18"/>
  <c r="B115" i="18"/>
  <c r="X109" i="18"/>
  <c r="S105" i="18"/>
  <c r="S101" i="18"/>
  <c r="A97" i="18"/>
  <c r="A93" i="18"/>
  <c r="A89" i="18"/>
  <c r="A85" i="18"/>
  <c r="T80" i="18"/>
  <c r="T76" i="18"/>
  <c r="E72" i="18"/>
  <c r="B68" i="18"/>
  <c r="N64" i="18"/>
  <c r="F60" i="18"/>
  <c r="T55" i="18"/>
  <c r="S49" i="18"/>
  <c r="F44" i="18"/>
  <c r="H39" i="18"/>
  <c r="V34" i="18"/>
  <c r="L31" i="18"/>
  <c r="T26" i="18"/>
  <c r="F22" i="18"/>
  <c r="T18" i="18"/>
  <c r="L14" i="18"/>
  <c r="L10" i="18"/>
  <c r="J5" i="18"/>
  <c r="A96" i="17"/>
  <c r="A88" i="17"/>
  <c r="N82" i="17"/>
  <c r="Q8" i="18"/>
  <c r="F81" i="17"/>
  <c r="H76" i="17"/>
  <c r="H72" i="17"/>
  <c r="L68" i="17"/>
  <c r="J64" i="17"/>
  <c r="J60" i="17"/>
  <c r="J56" i="17"/>
  <c r="B52" i="17"/>
  <c r="Q46" i="17"/>
  <c r="E41" i="17"/>
  <c r="L35" i="17"/>
  <c r="F30" i="17"/>
  <c r="C25" i="17"/>
  <c r="L19" i="17"/>
  <c r="F14" i="17"/>
  <c r="C9" i="17"/>
  <c r="A3" i="17"/>
  <c r="J75" i="16"/>
  <c r="S70" i="16"/>
  <c r="S66" i="16"/>
  <c r="O62" i="16"/>
  <c r="F58" i="16"/>
  <c r="F52" i="16"/>
  <c r="A47" i="16"/>
  <c r="B42" i="16"/>
  <c r="O36" i="16"/>
  <c r="A31" i="16"/>
  <c r="F25" i="16"/>
  <c r="A20" i="16"/>
  <c r="O14" i="16"/>
  <c r="H9" i="16"/>
  <c r="N3" i="16"/>
  <c r="B135" i="15"/>
  <c r="B131" i="15"/>
  <c r="C127" i="15"/>
  <c r="L122" i="15"/>
  <c r="B118" i="15"/>
  <c r="T113" i="15"/>
  <c r="A110" i="15"/>
  <c r="D106" i="15"/>
  <c r="D102" i="15"/>
  <c r="Q96" i="15"/>
  <c r="F91" i="15"/>
  <c r="D86" i="15"/>
  <c r="Q80" i="15"/>
  <c r="J75" i="15"/>
  <c r="N69" i="15"/>
  <c r="F64" i="15"/>
  <c r="D59" i="15"/>
  <c r="F53" i="15"/>
  <c r="D48" i="15"/>
  <c r="N42" i="15"/>
  <c r="H37" i="15"/>
  <c r="L31" i="15"/>
  <c r="D26" i="15"/>
  <c r="L20" i="15"/>
  <c r="L15" i="15"/>
  <c r="H10" i="15"/>
  <c r="D3" i="15"/>
  <c r="D382" i="14"/>
  <c r="C375" i="14"/>
  <c r="L368" i="14"/>
  <c r="Q12" i="18"/>
  <c r="J85" i="17"/>
  <c r="O77" i="17"/>
  <c r="A73" i="17"/>
  <c r="A69" i="17"/>
  <c r="B65" i="17"/>
  <c r="B61" i="17"/>
  <c r="B57" i="17"/>
  <c r="S52" i="17"/>
  <c r="F47" i="17"/>
  <c r="C42" i="17"/>
  <c r="L36" i="17"/>
  <c r="D31" i="17"/>
  <c r="N25" i="17"/>
  <c r="H20" i="17"/>
  <c r="D15" i="17"/>
  <c r="N9" i="17"/>
  <c r="D3" i="17"/>
  <c r="H75" i="16"/>
  <c r="J70" i="16"/>
  <c r="T65" i="16"/>
  <c r="T61" i="16"/>
  <c r="O57" i="16"/>
  <c r="A52" i="16"/>
  <c r="L46" i="16"/>
  <c r="L41" i="16"/>
  <c r="F36" i="16"/>
  <c r="O30" i="16"/>
  <c r="E25" i="16"/>
  <c r="D20" i="16"/>
  <c r="H14" i="16"/>
  <c r="B9" i="16"/>
  <c r="E3" i="16"/>
  <c r="C136" i="15"/>
  <c r="B132" i="15"/>
  <c r="C128" i="15"/>
  <c r="O123" i="15"/>
  <c r="B119" i="15"/>
  <c r="T114" i="15"/>
  <c r="T110" i="15"/>
  <c r="T106" i="15"/>
  <c r="T102" i="15"/>
  <c r="L97" i="15"/>
  <c r="H92" i="15"/>
  <c r="A87" i="15"/>
  <c r="L81" i="15"/>
  <c r="H76" i="15"/>
  <c r="O70" i="15"/>
  <c r="H65" i="15"/>
  <c r="A60" i="15"/>
  <c r="L54" i="15"/>
  <c r="A49" i="15"/>
  <c r="Q43" i="15"/>
  <c r="J38" i="15"/>
  <c r="D33" i="15"/>
  <c r="Q27" i="15"/>
  <c r="J22" i="15"/>
  <c r="C17" i="15"/>
  <c r="D94" i="17"/>
  <c r="S78" i="17"/>
  <c r="X73" i="17"/>
  <c r="V70" i="17"/>
  <c r="Q69" i="17"/>
  <c r="S67" i="17"/>
  <c r="N66" i="17"/>
  <c r="A65" i="17"/>
  <c r="O63" i="17"/>
  <c r="J62" i="17"/>
  <c r="A61" i="17"/>
  <c r="O59" i="17"/>
  <c r="J58" i="17"/>
  <c r="A57" i="17"/>
  <c r="O55" i="17"/>
  <c r="J54" i="17"/>
  <c r="C53" i="17"/>
  <c r="A51" i="17"/>
  <c r="H49" i="17"/>
  <c r="L47" i="17"/>
  <c r="O45" i="17"/>
  <c r="D44" i="17"/>
  <c r="F42" i="17"/>
  <c r="J40" i="17"/>
  <c r="N38" i="17"/>
  <c r="C37" i="17"/>
  <c r="C35" i="17"/>
  <c r="E33" i="17"/>
  <c r="O31" i="17"/>
  <c r="L29" i="17"/>
  <c r="B28" i="17"/>
  <c r="J26" i="17"/>
  <c r="F24" i="17"/>
  <c r="Q22" i="17"/>
  <c r="A21" i="17"/>
  <c r="C19" i="17"/>
  <c r="E17" i="17"/>
  <c r="O15" i="17"/>
  <c r="L13" i="17"/>
  <c r="B12" i="17"/>
  <c r="J10" i="17"/>
  <c r="F8" i="17"/>
  <c r="X6" i="17"/>
  <c r="N4" i="17"/>
  <c r="D79" i="16"/>
  <c r="N77" i="16"/>
  <c r="J76" i="16"/>
  <c r="H74" i="16"/>
  <c r="T72" i="16"/>
  <c r="V70" i="16"/>
  <c r="L69" i="16"/>
  <c r="F68" i="16"/>
  <c r="V66" i="16"/>
  <c r="E65" i="16"/>
  <c r="E64" i="16"/>
  <c r="H63" i="16"/>
  <c r="E62" i="16"/>
  <c r="E61" i="16"/>
  <c r="E60" i="16"/>
  <c r="E59" i="16"/>
  <c r="J58" i="16"/>
  <c r="B57" i="16"/>
  <c r="O55" i="16"/>
  <c r="J54" i="16"/>
  <c r="C53" i="16"/>
  <c r="Q51" i="16"/>
  <c r="J50" i="16"/>
  <c r="A49" i="16"/>
  <c r="O47" i="16"/>
  <c r="J46" i="16"/>
  <c r="H45" i="16"/>
  <c r="Q43" i="16"/>
  <c r="J42" i="16"/>
  <c r="D41" i="16"/>
  <c r="Q39" i="16"/>
  <c r="E38" i="16"/>
  <c r="A37" i="16"/>
  <c r="J35" i="16"/>
  <c r="D34" i="16"/>
  <c r="Q32" i="16"/>
  <c r="H31" i="16"/>
  <c r="B30" i="16"/>
  <c r="N28" i="16"/>
  <c r="H27" i="16"/>
  <c r="D26" i="16"/>
  <c r="L24" i="16"/>
  <c r="E23" i="16"/>
  <c r="A22" i="16"/>
  <c r="O20" i="16"/>
  <c r="J19" i="16"/>
  <c r="A18" i="16"/>
  <c r="N16" i="16"/>
  <c r="L15" i="16"/>
  <c r="B14" i="16"/>
  <c r="Q12" i="16"/>
  <c r="E11" i="16"/>
  <c r="A10" i="16"/>
  <c r="N8" i="16"/>
  <c r="J7" i="16"/>
  <c r="H6" i="16"/>
  <c r="A5" i="16"/>
  <c r="J139" i="15"/>
  <c r="C138" i="15"/>
  <c r="S136" i="15"/>
  <c r="V135" i="15"/>
  <c r="L134" i="15"/>
  <c r="N133" i="15"/>
  <c r="L132" i="15"/>
  <c r="Q131" i="15"/>
  <c r="L130" i="15"/>
  <c r="Q129" i="15"/>
  <c r="N128" i="15"/>
  <c r="L127" i="15"/>
  <c r="H126" i="15"/>
  <c r="E125" i="15"/>
  <c r="D124" i="15"/>
  <c r="B123" i="15"/>
  <c r="C122" i="15"/>
  <c r="A121" i="15"/>
  <c r="X119" i="15"/>
  <c r="V118" i="15"/>
  <c r="F117" i="15"/>
  <c r="E116" i="15"/>
  <c r="J115" i="15"/>
  <c r="F114" i="15"/>
  <c r="E113" i="15"/>
  <c r="J112" i="15"/>
  <c r="H111" i="15"/>
  <c r="H110" i="15"/>
  <c r="F109" i="15"/>
  <c r="J108" i="15"/>
  <c r="H107" i="15"/>
  <c r="F106" i="15"/>
  <c r="E105" i="15"/>
  <c r="J104" i="15"/>
  <c r="H103" i="15"/>
  <c r="F102" i="15"/>
  <c r="D101" i="15"/>
  <c r="Q99" i="15"/>
  <c r="F98" i="15"/>
  <c r="D97" i="15"/>
  <c r="Q95" i="15"/>
  <c r="F94" i="15"/>
  <c r="D93" i="15"/>
  <c r="Q91" i="15"/>
  <c r="F90" i="15"/>
  <c r="D89" i="15"/>
  <c r="Q87" i="15"/>
  <c r="F86" i="15"/>
  <c r="D85" i="15"/>
  <c r="Q83" i="15"/>
  <c r="F82" i="15"/>
  <c r="D81" i="15"/>
  <c r="Q79" i="15"/>
  <c r="F78" i="15"/>
  <c r="D77" i="15"/>
  <c r="F75" i="15"/>
  <c r="D74" i="15"/>
  <c r="N72" i="15"/>
  <c r="J71" i="15"/>
  <c r="B70" i="15"/>
  <c r="N68" i="15"/>
  <c r="J67" i="15"/>
  <c r="N65" i="15"/>
  <c r="J64" i="15"/>
  <c r="B63" i="15"/>
  <c r="N61" i="15"/>
  <c r="J60" i="15"/>
  <c r="B59" i="15"/>
  <c r="N57" i="15"/>
  <c r="J56" i="15"/>
  <c r="B55" i="15"/>
  <c r="Q53" i="15"/>
  <c r="F52" i="15"/>
  <c r="D51" i="15"/>
  <c r="Q49" i="15"/>
  <c r="F48" i="15"/>
  <c r="D47" i="15"/>
  <c r="O45" i="15"/>
  <c r="E44" i="15"/>
  <c r="C43" i="15"/>
  <c r="L41" i="15"/>
  <c r="H40" i="15"/>
  <c r="A39" i="15"/>
  <c r="L37" i="15"/>
  <c r="H36" i="15"/>
  <c r="C35" i="15"/>
  <c r="O33" i="15"/>
  <c r="E32" i="15"/>
  <c r="C31" i="15"/>
  <c r="O29" i="15"/>
  <c r="E28" i="15"/>
  <c r="D27" i="15"/>
  <c r="Q25" i="15"/>
  <c r="O24" i="15"/>
  <c r="E23" i="15"/>
  <c r="C22" i="15"/>
  <c r="O20" i="15"/>
  <c r="B19" i="15"/>
  <c r="N17" i="15"/>
  <c r="J16" i="15"/>
  <c r="C15" i="15"/>
  <c r="O13" i="15"/>
  <c r="E12" i="15"/>
  <c r="C11" i="15"/>
  <c r="O9" i="15"/>
  <c r="H8" i="15"/>
  <c r="O6" i="15"/>
  <c r="Q5" i="15"/>
  <c r="B3" i="15"/>
  <c r="B388" i="14"/>
  <c r="B386" i="14"/>
  <c r="B384" i="14"/>
  <c r="B382" i="14"/>
  <c r="C380" i="14"/>
  <c r="H378" i="14"/>
  <c r="A377" i="14"/>
  <c r="E375" i="14"/>
  <c r="L373" i="14"/>
  <c r="C372" i="14"/>
  <c r="H370" i="14"/>
  <c r="A369" i="14"/>
  <c r="E367" i="14"/>
  <c r="L365" i="14"/>
  <c r="C364" i="14"/>
  <c r="H362" i="14"/>
  <c r="A361" i="14"/>
  <c r="E359" i="14"/>
  <c r="L357" i="14"/>
  <c r="C356" i="14"/>
  <c r="D354" i="14"/>
  <c r="J11" i="18"/>
  <c r="D7" i="18"/>
  <c r="J97" i="17"/>
  <c r="J89" i="17"/>
  <c r="V83" i="17"/>
  <c r="N80" i="17"/>
  <c r="Q78" i="17"/>
  <c r="F77" i="17"/>
  <c r="D76" i="17"/>
  <c r="C75" i="17"/>
  <c r="D74" i="17"/>
  <c r="C73" i="17"/>
  <c r="D72" i="17"/>
  <c r="A71" i="17"/>
  <c r="B70" i="17"/>
  <c r="C69" i="17"/>
  <c r="Q67" i="17"/>
  <c r="L66" i="17"/>
  <c r="J65" i="17"/>
  <c r="E64" i="17"/>
  <c r="F63" i="17"/>
  <c r="H62" i="17"/>
  <c r="J61" i="17"/>
  <c r="E60" i="17"/>
  <c r="F59" i="17"/>
  <c r="H58" i="17"/>
  <c r="J57" i="17"/>
  <c r="E56" i="17"/>
  <c r="F55" i="17"/>
  <c r="H54" i="17"/>
  <c r="F53" i="17"/>
  <c r="L52" i="17"/>
  <c r="D51" i="17"/>
  <c r="N49" i="17"/>
  <c r="H48" i="17"/>
  <c r="D47" i="17"/>
  <c r="N45" i="17"/>
  <c r="H44" i="17"/>
  <c r="D43" i="17"/>
  <c r="N41" i="17"/>
  <c r="H40" i="17"/>
  <c r="D39" i="17"/>
  <c r="N37" i="17"/>
  <c r="H36" i="17"/>
  <c r="B35" i="17"/>
  <c r="Q33" i="17"/>
  <c r="E32" i="17"/>
  <c r="B31" i="17"/>
  <c r="Q29" i="17"/>
  <c r="E28" i="17"/>
  <c r="B27" i="17"/>
  <c r="Q25" i="17"/>
  <c r="E24" i="17"/>
  <c r="B23" i="17"/>
  <c r="Q21" i="17"/>
  <c r="E20" i="17"/>
  <c r="B19" i="17"/>
  <c r="Q17" i="17"/>
  <c r="E16" i="17"/>
  <c r="B15" i="17"/>
  <c r="Q13" i="17"/>
  <c r="E12" i="17"/>
  <c r="B11" i="17"/>
  <c r="Q9" i="17"/>
  <c r="E8" i="17"/>
  <c r="B7" i="17"/>
  <c r="E6" i="17"/>
  <c r="E5" i="17"/>
  <c r="O79" i="16"/>
  <c r="Q78" i="16"/>
  <c r="L77" i="16"/>
  <c r="O76" i="16"/>
  <c r="E75" i="16"/>
  <c r="X73" i="16"/>
  <c r="S72" i="16"/>
  <c r="Q71" i="16"/>
  <c r="N70" i="16"/>
  <c r="O69" i="16"/>
  <c r="L68" i="16"/>
  <c r="F67" i="16"/>
  <c r="F66" i="16"/>
  <c r="D65" i="16"/>
  <c r="D64" i="16"/>
  <c r="B63" i="16"/>
  <c r="D62" i="16"/>
  <c r="D61" i="16"/>
  <c r="D60" i="16"/>
  <c r="D59" i="16"/>
  <c r="L57" i="16"/>
  <c r="F56" i="16"/>
  <c r="B55" i="16"/>
  <c r="N53" i="16"/>
  <c r="H52" i="16"/>
  <c r="C51" i="16"/>
  <c r="Q49" i="16"/>
  <c r="E48" i="16"/>
  <c r="B47" i="16"/>
  <c r="X45" i="16"/>
  <c r="C44" i="16"/>
  <c r="O42" i="16"/>
  <c r="H41" i="16"/>
  <c r="C40" i="16"/>
  <c r="Q38" i="16"/>
  <c r="J37" i="16"/>
  <c r="D36" i="16"/>
  <c r="O34" i="16"/>
  <c r="H33" i="16"/>
  <c r="B32" i="16"/>
  <c r="L30" i="16"/>
  <c r="E29" i="16"/>
  <c r="A28" i="16"/>
  <c r="O26" i="16"/>
  <c r="H25" i="16"/>
  <c r="D24" i="16"/>
  <c r="Q22" i="16"/>
  <c r="E21" i="16"/>
  <c r="B20" i="16"/>
  <c r="Q18" i="16"/>
  <c r="E17" i="16"/>
  <c r="A16" i="16"/>
  <c r="Q14" i="16"/>
  <c r="N13" i="16"/>
  <c r="H12" i="16"/>
  <c r="D11" i="16"/>
  <c r="Q9" i="16"/>
  <c r="E8" i="16"/>
  <c r="C7" i="16"/>
  <c r="F5" i="16"/>
  <c r="C3" i="16"/>
  <c r="S138" i="15"/>
  <c r="F137" i="15"/>
  <c r="E136" i="15"/>
  <c r="C135" i="15"/>
  <c r="D134" i="15"/>
  <c r="A133" i="15"/>
  <c r="D132" i="15"/>
  <c r="C131" i="15"/>
  <c r="D130" i="15"/>
  <c r="C129" i="15"/>
  <c r="A128" i="15"/>
  <c r="D127" i="15"/>
  <c r="V125" i="15"/>
  <c r="H124" i="15"/>
  <c r="E123" i="15"/>
  <c r="F122" i="15"/>
  <c r="J121" i="15"/>
  <c r="B120" i="15"/>
  <c r="T118" i="15"/>
  <c r="L117" i="15"/>
  <c r="Q116" i="15"/>
  <c r="O115" i="15"/>
  <c r="L114" i="15"/>
  <c r="Q113" i="15"/>
  <c r="O112" i="15"/>
  <c r="N111" i="15"/>
  <c r="F110" i="15"/>
  <c r="E109" i="15"/>
  <c r="H108" i="15"/>
  <c r="F107" i="15"/>
  <c r="E106" i="15"/>
  <c r="J105" i="15"/>
  <c r="H104" i="15"/>
  <c r="F103" i="15"/>
  <c r="E102" i="15"/>
  <c r="C101" i="15"/>
  <c r="O99" i="15"/>
  <c r="E98" i="15"/>
  <c r="C97" i="15"/>
  <c r="O95" i="15"/>
  <c r="E94" i="15"/>
  <c r="C93" i="15"/>
  <c r="O91" i="15"/>
  <c r="E90" i="15"/>
  <c r="C89" i="15"/>
  <c r="O87" i="15"/>
  <c r="E86" i="15"/>
  <c r="C85" i="15"/>
  <c r="O83" i="15"/>
  <c r="E82" i="15"/>
  <c r="C81" i="15"/>
  <c r="O79" i="15"/>
  <c r="E78" i="15"/>
  <c r="C77" i="15"/>
  <c r="E75" i="15"/>
  <c r="A74" i="15"/>
  <c r="L72" i="15"/>
  <c r="H71" i="15"/>
  <c r="A70" i="15"/>
  <c r="L68" i="15"/>
  <c r="H67" i="15"/>
  <c r="L65" i="15"/>
  <c r="H64" i="15"/>
  <c r="A63" i="15"/>
  <c r="L61" i="15"/>
  <c r="H60" i="15"/>
  <c r="A59" i="15"/>
  <c r="L57" i="15"/>
  <c r="H56" i="15"/>
  <c r="A55" i="15"/>
  <c r="O53" i="15"/>
  <c r="E52" i="15"/>
  <c r="C51" i="15"/>
  <c r="O49" i="15"/>
  <c r="E48" i="15"/>
  <c r="C47" i="15"/>
  <c r="N45" i="15"/>
  <c r="J44" i="15"/>
  <c r="B43" i="15"/>
  <c r="Q41" i="15"/>
  <c r="F40" i="15"/>
  <c r="D39" i="15"/>
  <c r="Q37" i="15"/>
  <c r="F36" i="15"/>
  <c r="Q34" i="15"/>
  <c r="F33" i="15"/>
  <c r="D32" i="15"/>
  <c r="Q30" i="15"/>
  <c r="F29" i="15"/>
  <c r="D28" i="15"/>
  <c r="L26" i="15"/>
  <c r="J25" i="15"/>
  <c r="B24" i="15"/>
  <c r="N22" i="15"/>
  <c r="J21" i="15"/>
  <c r="B20" i="15"/>
  <c r="A19" i="15"/>
  <c r="L17" i="15"/>
  <c r="H16" i="15"/>
  <c r="Q14" i="15"/>
  <c r="F13" i="15"/>
  <c r="D12" i="15"/>
  <c r="Q10" i="15"/>
  <c r="H9" i="15"/>
  <c r="Q7" i="15"/>
  <c r="N6" i="15"/>
  <c r="O5" i="15"/>
  <c r="E3" i="15"/>
  <c r="L388" i="14"/>
  <c r="C387" i="14"/>
  <c r="H385" i="14"/>
  <c r="A384" i="14"/>
  <c r="E382" i="14"/>
  <c r="B380" i="14"/>
  <c r="B378" i="14"/>
  <c r="B376" i="14"/>
  <c r="B374" i="14"/>
  <c r="B372" i="14"/>
  <c r="B370" i="14"/>
  <c r="B368" i="14"/>
  <c r="B366" i="14"/>
  <c r="B364" i="14"/>
  <c r="J11" i="15"/>
  <c r="C7" i="15"/>
  <c r="E387" i="14"/>
  <c r="J380" i="14"/>
  <c r="J372" i="14"/>
  <c r="J364" i="14"/>
  <c r="H361" i="14"/>
  <c r="F359" i="14"/>
  <c r="D356" i="14"/>
  <c r="D353" i="14"/>
  <c r="D351" i="14"/>
  <c r="D349" i="14"/>
  <c r="D347" i="14"/>
  <c r="B345" i="14"/>
  <c r="B343" i="14"/>
  <c r="B341" i="14"/>
  <c r="B339" i="14"/>
  <c r="B337" i="14"/>
  <c r="B335" i="14"/>
  <c r="B333" i="14"/>
  <c r="B331" i="14"/>
  <c r="B329" i="14"/>
  <c r="B327" i="14"/>
  <c r="B325" i="14"/>
  <c r="B323" i="14"/>
  <c r="B321" i="14"/>
  <c r="B319" i="14"/>
  <c r="B317" i="14"/>
  <c r="B315" i="14"/>
  <c r="B313" i="14"/>
  <c r="B311" i="14"/>
  <c r="B309" i="14"/>
  <c r="B307" i="14"/>
  <c r="B305" i="14"/>
  <c r="A303" i="14"/>
  <c r="C301" i="14"/>
  <c r="O298" i="14"/>
  <c r="D296" i="14"/>
  <c r="B294" i="14"/>
  <c r="N291" i="14"/>
  <c r="Q289" i="14"/>
  <c r="A287" i="14"/>
  <c r="C285" i="14"/>
  <c r="O282" i="14"/>
  <c r="D280" i="14"/>
  <c r="B278" i="14"/>
  <c r="B275" i="14"/>
  <c r="C273" i="14"/>
  <c r="C271" i="14"/>
  <c r="O268" i="14"/>
  <c r="D266" i="14"/>
  <c r="B264" i="14"/>
  <c r="N261" i="14"/>
  <c r="Q259" i="14"/>
  <c r="A257" i="14"/>
  <c r="D254" i="14"/>
  <c r="B252" i="14"/>
  <c r="N249" i="14"/>
  <c r="N247" i="14"/>
  <c r="Q245" i="14"/>
  <c r="A243" i="14"/>
  <c r="C241" i="14"/>
  <c r="O238" i="14"/>
  <c r="D236" i="14"/>
  <c r="Q233" i="14"/>
  <c r="A231" i="14"/>
  <c r="C229" i="14"/>
  <c r="O226" i="14"/>
  <c r="Q224" i="14"/>
  <c r="D222" i="14"/>
  <c r="B220" i="14"/>
  <c r="N217" i="14"/>
  <c r="Q215" i="14"/>
  <c r="O212" i="14"/>
  <c r="D210" i="14"/>
  <c r="B208" i="14"/>
  <c r="N205" i="14"/>
  <c r="Q203" i="14"/>
  <c r="D201" i="14"/>
  <c r="B199" i="14"/>
  <c r="N196" i="14"/>
  <c r="D194" i="14"/>
  <c r="O191" i="14"/>
  <c r="D189" i="14"/>
  <c r="B187" i="14"/>
  <c r="N184" i="14"/>
  <c r="N182" i="14"/>
  <c r="Q180" i="14"/>
  <c r="A178" i="14"/>
  <c r="C176" i="14"/>
  <c r="O173" i="14"/>
  <c r="D171" i="14"/>
  <c r="B169" i="14"/>
  <c r="N166" i="14"/>
  <c r="Q164" i="14"/>
  <c r="A162" i="14"/>
  <c r="C160" i="14"/>
  <c r="O157" i="14"/>
  <c r="D155" i="14"/>
  <c r="B153" i="14"/>
  <c r="B150" i="14"/>
  <c r="C148" i="14"/>
  <c r="O145" i="14"/>
  <c r="D143" i="14"/>
  <c r="B141" i="14"/>
  <c r="N138" i="14"/>
  <c r="N136" i="14"/>
  <c r="Q134" i="14"/>
  <c r="A132" i="14"/>
  <c r="C130" i="14"/>
  <c r="B127" i="14"/>
  <c r="N124" i="14"/>
  <c r="Q122" i="14"/>
  <c r="A120" i="14"/>
  <c r="C118" i="14"/>
  <c r="O115" i="14"/>
  <c r="O113" i="14"/>
  <c r="D111" i="14"/>
  <c r="B109" i="14"/>
  <c r="N106" i="14"/>
  <c r="Q104" i="14"/>
  <c r="A102" i="14"/>
  <c r="N98" i="14"/>
  <c r="Q96" i="14"/>
  <c r="A94" i="14"/>
  <c r="C92" i="14"/>
  <c r="O89" i="14"/>
  <c r="D87" i="14"/>
  <c r="B85" i="14"/>
  <c r="C83" i="14"/>
  <c r="O80" i="14"/>
  <c r="Q77" i="14"/>
  <c r="C75" i="14"/>
  <c r="D72" i="14"/>
  <c r="B70" i="14"/>
  <c r="N67" i="14"/>
  <c r="A65" i="14"/>
  <c r="C63" i="14"/>
  <c r="O60" i="14"/>
  <c r="D58" i="14"/>
  <c r="B56" i="14"/>
  <c r="Q53" i="14"/>
  <c r="A51" i="14"/>
  <c r="C49" i="14"/>
  <c r="O46" i="14"/>
  <c r="D44" i="14"/>
  <c r="B42" i="14"/>
  <c r="N39" i="14"/>
  <c r="Q37" i="14"/>
  <c r="C35" i="14"/>
  <c r="O32" i="14"/>
  <c r="D30" i="14"/>
  <c r="B28" i="14"/>
  <c r="D25" i="14"/>
  <c r="O22" i="14"/>
  <c r="D20" i="14"/>
  <c r="B18" i="14"/>
  <c r="N15" i="14"/>
  <c r="Q13" i="14"/>
  <c r="A11" i="14"/>
  <c r="C9" i="14"/>
  <c r="X5" i="14"/>
  <c r="S3" i="14"/>
  <c r="C139" i="13"/>
  <c r="B137" i="13"/>
  <c r="A136" i="13"/>
  <c r="N134" i="13"/>
  <c r="L133" i="13"/>
  <c r="J132" i="13"/>
  <c r="C131" i="13"/>
  <c r="L129" i="13"/>
  <c r="H128" i="13"/>
  <c r="E127" i="13"/>
  <c r="E126" i="13"/>
  <c r="E125" i="13"/>
  <c r="E124" i="13"/>
  <c r="E123" i="13"/>
  <c r="E122" i="13"/>
  <c r="E121" i="13"/>
  <c r="A120" i="13"/>
  <c r="E119" i="13"/>
  <c r="L118" i="13"/>
  <c r="Q117" i="13"/>
  <c r="V116" i="13"/>
  <c r="A116" i="13"/>
  <c r="E115" i="13"/>
  <c r="L114" i="13"/>
  <c r="Q113" i="13"/>
  <c r="V112" i="13"/>
  <c r="A112" i="13"/>
  <c r="E111" i="13"/>
  <c r="L110" i="13"/>
  <c r="Q109" i="13"/>
  <c r="V108" i="13"/>
  <c r="A108" i="13"/>
  <c r="E107" i="13"/>
  <c r="L106" i="13"/>
  <c r="Q105" i="13"/>
  <c r="V104" i="13"/>
  <c r="A104" i="13"/>
  <c r="E103" i="13"/>
  <c r="L102" i="13"/>
  <c r="O101" i="13"/>
  <c r="J100" i="13"/>
  <c r="C99" i="13"/>
  <c r="L97" i="13"/>
  <c r="J96" i="13"/>
  <c r="C95" i="13"/>
  <c r="L93" i="13"/>
  <c r="J92" i="13"/>
  <c r="C91" i="13"/>
  <c r="J89" i="13"/>
  <c r="C88" i="13"/>
  <c r="L86" i="13"/>
  <c r="J85" i="13"/>
  <c r="C84" i="13"/>
  <c r="L82" i="13"/>
  <c r="J81" i="13"/>
  <c r="C80" i="13"/>
  <c r="L78" i="13"/>
  <c r="J77" i="13"/>
  <c r="A76" i="13"/>
  <c r="N74" i="13"/>
  <c r="J73" i="13"/>
  <c r="C72" i="13"/>
  <c r="L70" i="13"/>
  <c r="D69" i="13"/>
  <c r="F67" i="13"/>
  <c r="E66" i="13"/>
  <c r="L64" i="13"/>
  <c r="J63" i="13"/>
  <c r="C62" i="13"/>
  <c r="L60" i="13"/>
  <c r="J59" i="13"/>
  <c r="C58" i="13"/>
  <c r="L56" i="13"/>
  <c r="J55" i="13"/>
  <c r="A54" i="13"/>
  <c r="N52" i="13"/>
  <c r="B51" i="13"/>
  <c r="A50" i="13"/>
  <c r="N48" i="13"/>
  <c r="B47" i="13"/>
  <c r="A46" i="13"/>
  <c r="N44" i="13"/>
  <c r="B43" i="13"/>
  <c r="A42" i="13"/>
  <c r="N40" i="13"/>
  <c r="B39" i="13"/>
  <c r="A38" i="13"/>
  <c r="N36" i="13"/>
  <c r="J35" i="13"/>
  <c r="C34" i="13"/>
  <c r="L32" i="13"/>
  <c r="J31" i="13"/>
  <c r="C30" i="13"/>
  <c r="L28" i="13"/>
  <c r="J27" i="13"/>
  <c r="C26" i="13"/>
  <c r="L24" i="13"/>
  <c r="J23" i="13"/>
  <c r="C22" i="13"/>
  <c r="L20" i="13"/>
  <c r="J19" i="13"/>
  <c r="C18" i="13"/>
  <c r="L16" i="13"/>
  <c r="J15" i="13"/>
  <c r="C14" i="13"/>
  <c r="L12" i="13"/>
  <c r="J11" i="13"/>
  <c r="C10" i="13"/>
  <c r="L8" i="13"/>
  <c r="J7" i="13"/>
  <c r="F5" i="13"/>
  <c r="C3" i="13"/>
  <c r="A124" i="12"/>
  <c r="C123" i="12"/>
  <c r="C122" i="12"/>
  <c r="X120" i="12"/>
  <c r="T119" i="12"/>
  <c r="X118" i="12"/>
  <c r="T117" i="12"/>
  <c r="X116" i="12"/>
  <c r="S115" i="12"/>
  <c r="S114" i="12"/>
  <c r="J113" i="12"/>
  <c r="C112" i="12"/>
  <c r="S110" i="12"/>
  <c r="S109" i="12"/>
  <c r="X108" i="12"/>
  <c r="F107" i="12"/>
  <c r="B106" i="12"/>
  <c r="X104" i="12"/>
  <c r="T103" i="12"/>
  <c r="T102" i="12"/>
  <c r="T101" i="12"/>
  <c r="X100" i="12"/>
  <c r="T99" i="12"/>
  <c r="T98" i="12"/>
  <c r="L97" i="12"/>
  <c r="J96" i="12"/>
  <c r="C95" i="12"/>
  <c r="L93" i="12"/>
  <c r="J92" i="12"/>
  <c r="O90" i="12"/>
  <c r="B89" i="12"/>
  <c r="A88" i="12"/>
  <c r="L86" i="12"/>
  <c r="J85" i="12"/>
  <c r="C84" i="12"/>
  <c r="A83" i="12"/>
  <c r="Q81" i="12"/>
  <c r="O80" i="12"/>
  <c r="H79" i="12"/>
  <c r="Q77" i="12"/>
  <c r="O76" i="12"/>
  <c r="H75" i="12"/>
  <c r="Q73" i="12"/>
  <c r="O72" i="12"/>
  <c r="H71" i="12"/>
  <c r="D70" i="12"/>
  <c r="F68" i="12"/>
  <c r="E67" i="12"/>
  <c r="B66" i="12"/>
  <c r="F64" i="12"/>
  <c r="E63" i="12"/>
  <c r="D62" i="12"/>
  <c r="F60" i="12"/>
  <c r="D59" i="12"/>
  <c r="O57" i="12"/>
  <c r="H56" i="12"/>
  <c r="Q54" i="12"/>
  <c r="O53" i="12"/>
  <c r="H52" i="12"/>
  <c r="Q50" i="12"/>
  <c r="O49" i="12"/>
  <c r="H48" i="12"/>
  <c r="Q46" i="12"/>
  <c r="H45" i="12"/>
  <c r="Q43" i="12"/>
  <c r="O42" i="12"/>
  <c r="H41" i="12"/>
  <c r="D40" i="12"/>
  <c r="F38" i="12"/>
  <c r="L37" i="12"/>
  <c r="F36" i="12"/>
  <c r="C35" i="12"/>
  <c r="H33" i="12"/>
  <c r="Q31" i="12"/>
  <c r="N30" i="12"/>
  <c r="J29" i="12"/>
  <c r="B28" i="12"/>
  <c r="L26" i="12"/>
  <c r="H25" i="12"/>
  <c r="E24" i="12"/>
  <c r="D23" i="12"/>
  <c r="O21" i="12"/>
  <c r="H20" i="12"/>
  <c r="Q18" i="12"/>
  <c r="O17" i="12"/>
  <c r="H16" i="12"/>
  <c r="O14" i="12"/>
  <c r="B13" i="12"/>
  <c r="A12" i="12"/>
  <c r="O10" i="12"/>
  <c r="B9" i="12"/>
  <c r="A8" i="12"/>
  <c r="O6" i="12"/>
  <c r="F5" i="12"/>
  <c r="C3" i="12"/>
  <c r="T119" i="11"/>
  <c r="S118" i="11"/>
  <c r="X117" i="11"/>
  <c r="N116" i="11"/>
  <c r="J115" i="11"/>
  <c r="H114" i="11"/>
  <c r="A113" i="11"/>
  <c r="E112" i="11"/>
  <c r="D111" i="11"/>
  <c r="N109" i="11"/>
  <c r="F108" i="11"/>
  <c r="L107" i="11"/>
  <c r="A106" i="11"/>
  <c r="E105" i="11"/>
  <c r="D104" i="11"/>
  <c r="A103" i="11"/>
  <c r="C102" i="11"/>
  <c r="A101" i="11"/>
  <c r="C100" i="11"/>
  <c r="L98" i="11"/>
  <c r="Q97" i="11"/>
  <c r="V96" i="11"/>
  <c r="A96" i="11"/>
  <c r="E95" i="11"/>
  <c r="L94" i="11"/>
  <c r="Q93" i="11"/>
  <c r="V92" i="11"/>
  <c r="A92" i="11"/>
  <c r="E91" i="11"/>
  <c r="L90" i="11"/>
  <c r="Q89" i="11"/>
  <c r="V88" i="11"/>
  <c r="A88" i="11"/>
  <c r="E87" i="11"/>
  <c r="L86" i="11"/>
  <c r="Q85" i="11"/>
  <c r="V83" i="11"/>
  <c r="N82" i="11"/>
  <c r="N14" i="15"/>
  <c r="B10" i="15"/>
  <c r="C3" i="15"/>
  <c r="L383" i="14"/>
  <c r="B377" i="14"/>
  <c r="B369" i="14"/>
  <c r="F362" i="14"/>
  <c r="D359" i="14"/>
  <c r="C357" i="14"/>
  <c r="L354" i="14"/>
  <c r="L352" i="14"/>
  <c r="C351" i="14"/>
  <c r="H349" i="14"/>
  <c r="A348" i="14"/>
  <c r="C346" i="14"/>
  <c r="H344" i="14"/>
  <c r="A343" i="14"/>
  <c r="E341" i="14"/>
  <c r="L339" i="14"/>
  <c r="C338" i="14"/>
  <c r="H336" i="14"/>
  <c r="A335" i="14"/>
  <c r="E333" i="14"/>
  <c r="S331" i="14"/>
  <c r="S329" i="14"/>
  <c r="S327" i="14"/>
  <c r="S325" i="14"/>
  <c r="S323" i="14"/>
  <c r="S321" i="14"/>
  <c r="S319" i="14"/>
  <c r="S317" i="14"/>
  <c r="S315" i="14"/>
  <c r="S313" i="14"/>
  <c r="S311" i="14"/>
  <c r="S309" i="14"/>
  <c r="S307" i="14"/>
  <c r="S305" i="14"/>
  <c r="D303" i="14"/>
  <c r="B301" i="14"/>
  <c r="N298" i="14"/>
  <c r="Q296" i="14"/>
  <c r="A294" i="14"/>
  <c r="C292" i="14"/>
  <c r="O289" i="14"/>
  <c r="D287" i="14"/>
  <c r="B285" i="14"/>
  <c r="N282" i="14"/>
  <c r="Q280" i="14"/>
  <c r="A278" i="14"/>
  <c r="C276" i="14"/>
  <c r="B273" i="14"/>
  <c r="B271" i="14"/>
  <c r="N268" i="14"/>
  <c r="Q266" i="14"/>
  <c r="A264" i="14"/>
  <c r="C262" i="14"/>
  <c r="O259" i="14"/>
  <c r="D257" i="14"/>
  <c r="Q254" i="14"/>
  <c r="A252" i="14"/>
  <c r="C250" i="14"/>
  <c r="N246" i="14"/>
  <c r="Q244" i="14"/>
  <c r="A242" i="14"/>
  <c r="C240" i="14"/>
  <c r="O237" i="14"/>
  <c r="D235" i="14"/>
  <c r="Q232" i="14"/>
  <c r="A230" i="14"/>
  <c r="C228" i="14"/>
  <c r="O225" i="14"/>
  <c r="O223" i="14"/>
  <c r="D221" i="14"/>
  <c r="B219" i="14"/>
  <c r="N216" i="14"/>
  <c r="Q214" i="14"/>
  <c r="O211" i="14"/>
  <c r="D209" i="14"/>
  <c r="B207" i="14"/>
  <c r="N204" i="14"/>
  <c r="O202" i="14"/>
  <c r="D200" i="14"/>
  <c r="B198" i="14"/>
  <c r="N195" i="14"/>
  <c r="C193" i="14"/>
  <c r="O190" i="14"/>
  <c r="D188" i="14"/>
  <c r="B186" i="14"/>
  <c r="N183" i="14"/>
  <c r="A181" i="14"/>
  <c r="C179" i="14"/>
  <c r="O176" i="14"/>
  <c r="D174" i="14"/>
  <c r="B172" i="14"/>
  <c r="N169" i="14"/>
  <c r="Q167" i="14"/>
  <c r="A165" i="14"/>
  <c r="C163" i="14"/>
  <c r="O160" i="14"/>
  <c r="D158" i="14"/>
  <c r="B156" i="14"/>
  <c r="N153" i="14"/>
  <c r="Q151" i="14"/>
  <c r="O148" i="14"/>
  <c r="D146" i="14"/>
  <c r="B144" i="14"/>
  <c r="N141" i="14"/>
  <c r="Q139" i="14"/>
  <c r="A137" i="14"/>
  <c r="O134" i="14"/>
  <c r="D132" i="14"/>
  <c r="B130" i="14"/>
  <c r="A127" i="14"/>
  <c r="C125" i="14"/>
  <c r="O122" i="14"/>
  <c r="D120" i="14"/>
  <c r="B118" i="14"/>
  <c r="N115" i="14"/>
  <c r="N113" i="14"/>
  <c r="Q111" i="14"/>
  <c r="A109" i="14"/>
  <c r="C107" i="14"/>
  <c r="O104" i="14"/>
  <c r="D102" i="14"/>
  <c r="D99" i="14"/>
  <c r="O96" i="14"/>
  <c r="D94" i="14"/>
  <c r="B92" i="14"/>
  <c r="N89" i="14"/>
  <c r="Q87" i="14"/>
  <c r="A85" i="14"/>
  <c r="B83" i="14"/>
  <c r="N80" i="14"/>
  <c r="O77" i="14"/>
  <c r="O75" i="14"/>
  <c r="O73" i="14"/>
  <c r="D71" i="14"/>
  <c r="B69" i="14"/>
  <c r="N66" i="14"/>
  <c r="O63" i="14"/>
  <c r="D61" i="14"/>
  <c r="B59" i="14"/>
  <c r="N56" i="14"/>
  <c r="A54" i="14"/>
  <c r="C52" i="14"/>
  <c r="O49" i="14"/>
  <c r="D47" i="14"/>
  <c r="B45" i="14"/>
  <c r="N42" i="14"/>
  <c r="Q40" i="14"/>
  <c r="A38" i="14"/>
  <c r="A36" i="14"/>
  <c r="C34" i="14"/>
  <c r="O31" i="14"/>
  <c r="D29" i="14"/>
  <c r="B27" i="14"/>
  <c r="Q24" i="14"/>
  <c r="A22" i="14"/>
  <c r="C20" i="14"/>
  <c r="O17" i="14"/>
  <c r="D15" i="14"/>
  <c r="B13" i="14"/>
  <c r="N10" i="14"/>
  <c r="Q8" i="14"/>
  <c r="V5" i="14"/>
  <c r="N3" i="14"/>
  <c r="B139" i="13"/>
  <c r="Q137" i="13"/>
  <c r="O136" i="13"/>
  <c r="H135" i="13"/>
  <c r="A134" i="13"/>
  <c r="N132" i="13"/>
  <c r="B131" i="13"/>
  <c r="A130" i="13"/>
  <c r="F128" i="13"/>
  <c r="T126" i="13"/>
  <c r="J125" i="13"/>
  <c r="D124" i="13"/>
  <c r="T122" i="13"/>
  <c r="J121" i="13"/>
  <c r="T119" i="13"/>
  <c r="T118" i="13"/>
  <c r="T117" i="13"/>
  <c r="T116" i="13"/>
  <c r="T115" i="13"/>
  <c r="T114" i="13"/>
  <c r="T113" i="13"/>
  <c r="T112" i="13"/>
  <c r="T111" i="13"/>
  <c r="T110" i="13"/>
  <c r="T109" i="13"/>
  <c r="T108" i="13"/>
  <c r="T107" i="13"/>
  <c r="T106" i="13"/>
  <c r="T105" i="13"/>
  <c r="T104" i="13"/>
  <c r="T103" i="13"/>
  <c r="T102" i="13"/>
  <c r="S101" i="13"/>
  <c r="H100" i="13"/>
  <c r="Q98" i="13"/>
  <c r="O97" i="13"/>
  <c r="H96" i="13"/>
  <c r="Q94" i="13"/>
  <c r="O93" i="13"/>
  <c r="H92" i="13"/>
  <c r="Q90" i="13"/>
  <c r="O89" i="13"/>
  <c r="B88" i="13"/>
  <c r="A87" i="13"/>
  <c r="N85" i="13"/>
  <c r="B84" i="13"/>
  <c r="A83" i="13"/>
  <c r="N81" i="13"/>
  <c r="B80" i="13"/>
  <c r="A79" i="13"/>
  <c r="N77" i="13"/>
  <c r="N75" i="13"/>
  <c r="N73" i="13"/>
  <c r="B72" i="13"/>
  <c r="A71" i="13"/>
  <c r="O69" i="13"/>
  <c r="B68" i="13"/>
  <c r="A67" i="13"/>
  <c r="Q65" i="13"/>
  <c r="O64" i="13"/>
  <c r="H63" i="13"/>
  <c r="Q61" i="13"/>
  <c r="O60" i="13"/>
  <c r="H59" i="13"/>
  <c r="Q57" i="13"/>
  <c r="O56" i="13"/>
  <c r="H55" i="13"/>
  <c r="H53" i="13"/>
  <c r="Q51" i="13"/>
  <c r="O50" i="13"/>
  <c r="H49" i="13"/>
  <c r="Q47" i="13"/>
  <c r="O46" i="13"/>
  <c r="H45" i="13"/>
  <c r="Q43" i="13"/>
  <c r="O42" i="13"/>
  <c r="H41" i="13"/>
  <c r="Q39" i="13"/>
  <c r="O38" i="13"/>
  <c r="H37" i="13"/>
  <c r="H35" i="13"/>
  <c r="Q33" i="13"/>
  <c r="O32" i="13"/>
  <c r="H31" i="13"/>
  <c r="Q29" i="13"/>
  <c r="O28" i="13"/>
  <c r="H27" i="13"/>
  <c r="Q25" i="13"/>
  <c r="O24" i="13"/>
  <c r="H23" i="13"/>
  <c r="Q21" i="13"/>
  <c r="O20" i="13"/>
  <c r="H19" i="13"/>
  <c r="Q17" i="13"/>
  <c r="O16" i="13"/>
  <c r="H15" i="13"/>
  <c r="Q13" i="13"/>
  <c r="O12" i="13"/>
  <c r="H11" i="13"/>
  <c r="Q9" i="13"/>
  <c r="O8" i="13"/>
  <c r="H7" i="13"/>
  <c r="E6" i="13"/>
  <c r="E5" i="13"/>
  <c r="J124" i="12"/>
  <c r="F123" i="12"/>
  <c r="B122" i="12"/>
  <c r="A121" i="12"/>
  <c r="C120" i="12"/>
  <c r="A119" i="12"/>
  <c r="C118" i="12"/>
  <c r="A117" i="12"/>
  <c r="B116" i="12"/>
  <c r="X114" i="12"/>
  <c r="A114" i="12"/>
  <c r="S112" i="12"/>
  <c r="F111" i="12"/>
  <c r="B110" i="12"/>
  <c r="A109" i="12"/>
  <c r="E108" i="12"/>
  <c r="L107" i="12"/>
  <c r="Q106" i="12"/>
  <c r="V105" i="12"/>
  <c r="A105" i="12"/>
  <c r="C104" i="12"/>
  <c r="C103" i="12"/>
  <c r="C102" i="12"/>
  <c r="A101" i="12"/>
  <c r="C100" i="12"/>
  <c r="C99" i="12"/>
  <c r="C98" i="12"/>
  <c r="N96" i="12"/>
  <c r="B95" i="12"/>
  <c r="A94" i="12"/>
  <c r="N92" i="12"/>
  <c r="L91" i="12"/>
  <c r="F90" i="12"/>
  <c r="E89" i="12"/>
  <c r="D88" i="12"/>
  <c r="Q86" i="12"/>
  <c r="H85" i="12"/>
  <c r="O83" i="12"/>
  <c r="E82" i="12"/>
  <c r="D81" i="12"/>
  <c r="F79" i="12"/>
  <c r="E78" i="12"/>
  <c r="D77" i="12"/>
  <c r="F75" i="12"/>
  <c r="E74" i="12"/>
  <c r="D73" i="12"/>
  <c r="F71" i="12"/>
  <c r="C70" i="12"/>
  <c r="L68" i="12"/>
  <c r="J67" i="12"/>
  <c r="A66" i="12"/>
  <c r="Q64" i="12"/>
  <c r="O63" i="12"/>
  <c r="H62" i="12"/>
  <c r="Q60" i="12"/>
  <c r="O59" i="12"/>
  <c r="J58" i="12"/>
  <c r="C57" i="12"/>
  <c r="L55" i="12"/>
  <c r="J54" i="12"/>
  <c r="C53" i="12"/>
  <c r="L51" i="12"/>
  <c r="J50" i="12"/>
  <c r="C49" i="12"/>
  <c r="L47" i="12"/>
  <c r="H46" i="12"/>
  <c r="Q44" i="12"/>
  <c r="O43" i="12"/>
  <c r="H42" i="12"/>
  <c r="O40" i="12"/>
  <c r="B39" i="12"/>
  <c r="A38" i="12"/>
  <c r="D37" i="12"/>
  <c r="N35" i="12"/>
  <c r="L34" i="12"/>
  <c r="F33" i="12"/>
  <c r="E32" i="12"/>
  <c r="D31" i="12"/>
  <c r="O29" i="12"/>
  <c r="E28" i="12"/>
  <c r="C27" i="12"/>
  <c r="N25" i="12"/>
  <c r="J24" i="12"/>
  <c r="C23" i="12"/>
  <c r="N21" i="12"/>
  <c r="B20" i="12"/>
  <c r="A19" i="12"/>
  <c r="N17" i="12"/>
  <c r="B16" i="12"/>
  <c r="A15" i="12"/>
  <c r="Q13" i="12"/>
  <c r="O12" i="12"/>
  <c r="D13" i="15"/>
  <c r="N7" i="15"/>
  <c r="C388" i="14"/>
  <c r="L381" i="14"/>
  <c r="F373" i="14"/>
  <c r="F365" i="14"/>
  <c r="L360" i="14"/>
  <c r="J358" i="14"/>
  <c r="F356" i="14"/>
  <c r="B354" i="14"/>
  <c r="D352" i="14"/>
  <c r="D350" i="14"/>
  <c r="D348" i="14"/>
  <c r="J345" i="14"/>
  <c r="J343" i="14"/>
  <c r="J341" i="14"/>
  <c r="J339" i="14"/>
  <c r="J337" i="14"/>
  <c r="J335" i="14"/>
  <c r="J333" i="14"/>
  <c r="X331" i="14"/>
  <c r="X329" i="14"/>
  <c r="X327" i="14"/>
  <c r="X325" i="14"/>
  <c r="X323" i="14"/>
  <c r="X321" i="14"/>
  <c r="X319" i="14"/>
  <c r="X317" i="14"/>
  <c r="X315" i="14"/>
  <c r="X313" i="14"/>
  <c r="X311" i="14"/>
  <c r="X309" i="14"/>
  <c r="X307" i="14"/>
  <c r="X305" i="14"/>
  <c r="Q303" i="14"/>
  <c r="A301" i="14"/>
  <c r="C299" i="14"/>
  <c r="O296" i="14"/>
  <c r="D294" i="14"/>
  <c r="B292" i="14"/>
  <c r="N289" i="14"/>
  <c r="Q287" i="14"/>
  <c r="A285" i="14"/>
  <c r="C283" i="14"/>
  <c r="O280" i="14"/>
  <c r="D278" i="14"/>
  <c r="B276" i="14"/>
  <c r="A273" i="14"/>
  <c r="A271" i="14"/>
  <c r="C269" i="14"/>
  <c r="O266" i="14"/>
  <c r="D264" i="14"/>
  <c r="B262" i="14"/>
  <c r="N259" i="14"/>
  <c r="Q257" i="14"/>
  <c r="O254" i="14"/>
  <c r="D252" i="14"/>
  <c r="B250" i="14"/>
  <c r="C248" i="14"/>
  <c r="N245" i="14"/>
  <c r="Q243" i="14"/>
  <c r="A241" i="14"/>
  <c r="C239" i="14"/>
  <c r="O236" i="14"/>
  <c r="N233" i="14"/>
  <c r="Q231" i="14"/>
  <c r="A229" i="14"/>
  <c r="C227" i="14"/>
  <c r="N224" i="14"/>
  <c r="O222" i="14"/>
  <c r="D220" i="14"/>
  <c r="B218" i="14"/>
  <c r="N215" i="14"/>
  <c r="D213" i="14"/>
  <c r="O210" i="14"/>
  <c r="D208" i="14"/>
  <c r="B206" i="14"/>
  <c r="N203" i="14"/>
  <c r="O201" i="14"/>
  <c r="D199" i="14"/>
  <c r="B197" i="14"/>
  <c r="B194" i="14"/>
  <c r="C192" i="14"/>
  <c r="O189" i="14"/>
  <c r="D187" i="14"/>
  <c r="B185" i="14"/>
  <c r="Q182" i="14"/>
  <c r="A180" i="14"/>
  <c r="C178" i="14"/>
  <c r="O175" i="14"/>
  <c r="D173" i="14"/>
  <c r="B171" i="14"/>
  <c r="N168" i="14"/>
  <c r="Q166" i="14"/>
  <c r="A164" i="14"/>
  <c r="C162" i="14"/>
  <c r="O159" i="14"/>
  <c r="D157" i="14"/>
  <c r="B155" i="14"/>
  <c r="N152" i="14"/>
  <c r="D150" i="14"/>
  <c r="O147" i="14"/>
  <c r="D145" i="14"/>
  <c r="B143" i="14"/>
  <c r="N140" i="14"/>
  <c r="Q138" i="14"/>
  <c r="C136" i="14"/>
  <c r="O133" i="14"/>
  <c r="D131" i="14"/>
  <c r="B129" i="14"/>
  <c r="A126" i="14"/>
  <c r="C124" i="14"/>
  <c r="O121" i="14"/>
  <c r="D119" i="14"/>
  <c r="B117" i="14"/>
  <c r="N114" i="14"/>
  <c r="A112" i="14"/>
  <c r="C110" i="14"/>
  <c r="O107" i="14"/>
  <c r="D105" i="14"/>
  <c r="B103" i="14"/>
  <c r="A100" i="14"/>
  <c r="D97" i="14"/>
  <c r="B95" i="14"/>
  <c r="N92" i="14"/>
  <c r="Q90" i="14"/>
  <c r="A88" i="14"/>
  <c r="C86" i="14"/>
  <c r="N83" i="14"/>
  <c r="Q81" i="14"/>
  <c r="N77" i="14"/>
  <c r="A75" i="14"/>
  <c r="O72" i="14"/>
  <c r="D70" i="14"/>
  <c r="B68" i="14"/>
  <c r="Q65" i="14"/>
  <c r="A63" i="14"/>
  <c r="C61" i="14"/>
  <c r="O58" i="14"/>
  <c r="D56" i="14"/>
  <c r="N53" i="14"/>
  <c r="Q51" i="14"/>
  <c r="A49" i="14"/>
  <c r="C47" i="14"/>
  <c r="O44" i="14"/>
  <c r="D42" i="14"/>
  <c r="B40" i="14"/>
  <c r="N37" i="14"/>
  <c r="A35" i="14"/>
  <c r="C33" i="14"/>
  <c r="O30" i="14"/>
  <c r="D28" i="14"/>
  <c r="B26" i="14"/>
  <c r="Q23" i="14"/>
  <c r="A21" i="14"/>
  <c r="C19" i="14"/>
  <c r="O16" i="14"/>
  <c r="D14" i="14"/>
  <c r="B12" i="14"/>
  <c r="N9" i="14"/>
  <c r="Q7" i="14"/>
  <c r="J5" i="14"/>
  <c r="A3" i="14"/>
  <c r="A139" i="13"/>
  <c r="O137" i="13"/>
  <c r="H136" i="13"/>
  <c r="Q134" i="13"/>
  <c r="H133" i="13"/>
  <c r="Q131" i="13"/>
  <c r="O130" i="13"/>
  <c r="H129" i="13"/>
  <c r="E128" i="13"/>
  <c r="S126" i="13"/>
  <c r="H125" i="13"/>
  <c r="C124" i="13"/>
  <c r="S122" i="13"/>
  <c r="H121" i="13"/>
  <c r="S119" i="13"/>
  <c r="S118" i="13"/>
  <c r="S117" i="13"/>
  <c r="S116" i="13"/>
  <c r="S115" i="13"/>
  <c r="S114" i="13"/>
  <c r="S113" i="13"/>
  <c r="S112" i="13"/>
  <c r="S111" i="13"/>
  <c r="S110" i="13"/>
  <c r="S109" i="13"/>
  <c r="S108" i="13"/>
  <c r="S107" i="13"/>
  <c r="S106" i="13"/>
  <c r="S105" i="13"/>
  <c r="S104" i="13"/>
  <c r="S103" i="13"/>
  <c r="S102" i="13"/>
  <c r="X101" i="13"/>
  <c r="Q99" i="13"/>
  <c r="O98" i="13"/>
  <c r="H97" i="13"/>
  <c r="Q95" i="13"/>
  <c r="O94" i="13"/>
  <c r="H93" i="13"/>
  <c r="Q91" i="13"/>
  <c r="O90" i="13"/>
  <c r="F89" i="13"/>
  <c r="E88" i="13"/>
  <c r="D87" i="13"/>
  <c r="F85" i="13"/>
  <c r="E84" i="13"/>
  <c r="D83" i="13"/>
  <c r="F81" i="13"/>
  <c r="E80" i="13"/>
  <c r="D79" i="13"/>
  <c r="F77" i="13"/>
  <c r="E76" i="13"/>
  <c r="L74" i="13"/>
  <c r="Q72" i="13"/>
  <c r="O71" i="13"/>
  <c r="H70" i="13"/>
  <c r="Q68" i="13"/>
  <c r="O67" i="13"/>
  <c r="H66" i="13"/>
  <c r="D65" i="13"/>
  <c r="F63" i="13"/>
  <c r="E62" i="13"/>
  <c r="D61" i="13"/>
  <c r="F59" i="13"/>
  <c r="E58" i="13"/>
  <c r="D57" i="13"/>
  <c r="F55" i="13"/>
  <c r="E54" i="13"/>
  <c r="L52" i="13"/>
  <c r="J51" i="13"/>
  <c r="C50" i="13"/>
  <c r="L48" i="13"/>
  <c r="J47" i="13"/>
  <c r="C46" i="13"/>
  <c r="L44" i="13"/>
  <c r="J43" i="13"/>
  <c r="C42" i="13"/>
  <c r="L40" i="13"/>
  <c r="J39" i="13"/>
  <c r="C38" i="13"/>
  <c r="L36" i="13"/>
  <c r="Q34" i="13"/>
  <c r="O33" i="13"/>
  <c r="H32" i="13"/>
  <c r="Q30" i="13"/>
  <c r="O29" i="13"/>
  <c r="H28" i="13"/>
  <c r="Q26" i="13"/>
  <c r="O25" i="13"/>
  <c r="H24" i="13"/>
  <c r="Q22" i="13"/>
  <c r="O21" i="13"/>
  <c r="H20" i="13"/>
  <c r="Q18" i="13"/>
  <c r="O17" i="13"/>
  <c r="H16" i="13"/>
  <c r="Q14" i="13"/>
  <c r="O13" i="13"/>
  <c r="H12" i="13"/>
  <c r="Q10" i="13"/>
  <c r="O9" i="13"/>
  <c r="H8" i="13"/>
  <c r="O6" i="13"/>
  <c r="O5" i="13"/>
  <c r="E3" i="13"/>
  <c r="C124" i="12"/>
  <c r="A123" i="12"/>
  <c r="E122" i="12"/>
  <c r="D121" i="12"/>
  <c r="B120" i="12"/>
  <c r="D119" i="12"/>
  <c r="B118" i="12"/>
  <c r="D117" i="12"/>
  <c r="A116" i="12"/>
  <c r="E115" i="12"/>
  <c r="J114" i="12"/>
  <c r="B113" i="12"/>
  <c r="A112" i="12"/>
  <c r="A111" i="12"/>
  <c r="E110" i="12"/>
  <c r="J109" i="12"/>
  <c r="J108" i="12"/>
  <c r="J107" i="12"/>
  <c r="J106" i="12"/>
  <c r="J105" i="12"/>
  <c r="F104" i="12"/>
  <c r="B103" i="12"/>
  <c r="X101" i="12"/>
  <c r="T100" i="12"/>
  <c r="X99" i="12"/>
  <c r="F98" i="12"/>
  <c r="C97" i="12"/>
  <c r="L95" i="12"/>
  <c r="J94" i="12"/>
  <c r="C93" i="12"/>
  <c r="J91" i="12"/>
  <c r="A90" i="12"/>
  <c r="N88" i="12"/>
  <c r="B87" i="12"/>
  <c r="F85" i="12"/>
  <c r="E84" i="12"/>
  <c r="C83" i="12"/>
  <c r="N81" i="12"/>
  <c r="B80" i="12"/>
  <c r="A79" i="12"/>
  <c r="N77" i="12"/>
  <c r="B76" i="12"/>
  <c r="A75" i="12"/>
  <c r="N73" i="12"/>
  <c r="B72" i="12"/>
  <c r="A71" i="12"/>
  <c r="Q69" i="12"/>
  <c r="O68" i="12"/>
  <c r="H67" i="12"/>
  <c r="D66" i="12"/>
  <c r="O64" i="12"/>
  <c r="H63" i="12"/>
  <c r="Q61" i="12"/>
  <c r="O60" i="12"/>
  <c r="F59" i="12"/>
  <c r="C58" i="12"/>
  <c r="L56" i="12"/>
  <c r="J55" i="12"/>
  <c r="C54" i="12"/>
  <c r="L52" i="12"/>
  <c r="J51" i="12"/>
  <c r="C50" i="12"/>
  <c r="L48" i="12"/>
  <c r="J47" i="12"/>
  <c r="B46" i="12"/>
  <c r="A45" i="12"/>
  <c r="N43" i="12"/>
  <c r="B42" i="12"/>
  <c r="A41" i="12"/>
  <c r="Q39" i="12"/>
  <c r="O38" i="12"/>
  <c r="N37" i="12"/>
  <c r="J36" i="12"/>
  <c r="A35" i="12"/>
  <c r="L33" i="12"/>
  <c r="J32" i="12"/>
  <c r="C31" i="12"/>
  <c r="N29" i="12"/>
  <c r="J28" i="12"/>
  <c r="B27" i="12"/>
  <c r="L25" i="12"/>
  <c r="H24" i="12"/>
  <c r="O22" i="12"/>
  <c r="B21" i="12"/>
  <c r="A20" i="12"/>
  <c r="N18" i="12"/>
  <c r="B17" i="12"/>
  <c r="A16" i="12"/>
  <c r="L14" i="12"/>
  <c r="J13" i="12"/>
  <c r="C12" i="12"/>
  <c r="L10" i="12"/>
  <c r="J9" i="12"/>
  <c r="C8" i="12"/>
  <c r="L6" i="12"/>
  <c r="O5" i="12"/>
  <c r="E3" i="12"/>
  <c r="H120" i="11"/>
  <c r="A119" i="11"/>
  <c r="E118" i="11"/>
  <c r="V116" i="11"/>
  <c r="T115" i="11"/>
  <c r="Q114" i="11"/>
  <c r="O113" i="11"/>
  <c r="N112" i="11"/>
  <c r="F111" i="11"/>
  <c r="J110" i="11"/>
  <c r="E109" i="11"/>
  <c r="D108" i="11"/>
  <c r="B107" i="11"/>
  <c r="S105" i="11"/>
  <c r="X104" i="11"/>
  <c r="N103" i="11"/>
  <c r="L102" i="11"/>
  <c r="N101" i="11"/>
  <c r="L100" i="11"/>
  <c r="N98" i="11"/>
  <c r="N97" i="11"/>
  <c r="N96" i="11"/>
  <c r="N95" i="11"/>
  <c r="N94" i="11"/>
  <c r="N93" i="11"/>
  <c r="N92" i="11"/>
  <c r="N91" i="11"/>
  <c r="N90" i="11"/>
  <c r="N89" i="11"/>
  <c r="N88" i="11"/>
  <c r="N87" i="11"/>
  <c r="N86" i="11"/>
  <c r="N85" i="11"/>
  <c r="N83" i="11"/>
  <c r="L82" i="11"/>
  <c r="J81" i="11"/>
  <c r="C80" i="11"/>
  <c r="L78" i="11"/>
  <c r="J77" i="11"/>
  <c r="A76" i="11"/>
  <c r="N74" i="11"/>
  <c r="J73" i="11"/>
  <c r="C72" i="11"/>
  <c r="L70" i="11"/>
  <c r="J69" i="11"/>
  <c r="Q11" i="15"/>
  <c r="H7" i="15"/>
  <c r="L387" i="14"/>
  <c r="E381" i="14"/>
  <c r="B373" i="14"/>
  <c r="B365" i="14"/>
  <c r="C361" i="14"/>
  <c r="B359" i="14"/>
  <c r="E356" i="14"/>
  <c r="E353" i="14"/>
  <c r="L351" i="14"/>
  <c r="C350" i="14"/>
  <c r="H348" i="14"/>
  <c r="L346" i="14"/>
  <c r="C345" i="14"/>
  <c r="H343" i="14"/>
  <c r="A342" i="14"/>
  <c r="E340" i="14"/>
  <c r="L338" i="14"/>
  <c r="C337" i="14"/>
  <c r="H335" i="14"/>
  <c r="A334" i="14"/>
  <c r="A332" i="14"/>
  <c r="A330" i="14"/>
  <c r="A328" i="14"/>
  <c r="A326" i="14"/>
  <c r="A324" i="14"/>
  <c r="A322" i="14"/>
  <c r="A320" i="14"/>
  <c r="A318" i="14"/>
  <c r="A316" i="14"/>
  <c r="A314" i="14"/>
  <c r="A312" i="14"/>
  <c r="A310" i="14"/>
  <c r="A308" i="14"/>
  <c r="A306" i="14"/>
  <c r="A304" i="14"/>
  <c r="C302" i="14"/>
  <c r="O299" i="14"/>
  <c r="D297" i="14"/>
  <c r="B295" i="14"/>
  <c r="N292" i="14"/>
  <c r="Q290" i="14"/>
  <c r="A288" i="14"/>
  <c r="C286" i="14"/>
  <c r="O283" i="14"/>
  <c r="D281" i="14"/>
  <c r="B279" i="14"/>
  <c r="N276" i="14"/>
  <c r="C274" i="14"/>
  <c r="N270" i="14"/>
  <c r="Q268" i="14"/>
  <c r="A266" i="14"/>
  <c r="C264" i="14"/>
  <c r="O261" i="14"/>
  <c r="D259" i="14"/>
  <c r="B257" i="14"/>
  <c r="A254" i="14"/>
  <c r="C252" i="14"/>
  <c r="O249" i="14"/>
  <c r="O247" i="14"/>
  <c r="D245" i="14"/>
  <c r="B243" i="14"/>
  <c r="N240" i="14"/>
  <c r="Q238" i="14"/>
  <c r="A236" i="14"/>
  <c r="D233" i="14"/>
  <c r="B231" i="14"/>
  <c r="N228" i="14"/>
  <c r="Q226" i="14"/>
  <c r="D223" i="14"/>
  <c r="B221" i="14"/>
  <c r="N218" i="14"/>
  <c r="Q216" i="14"/>
  <c r="A214" i="14"/>
  <c r="D211" i="14"/>
  <c r="B209" i="14"/>
  <c r="N206" i="14"/>
  <c r="Q204" i="14"/>
  <c r="N201" i="14"/>
  <c r="Q199" i="14"/>
  <c r="A197" i="14"/>
  <c r="C195" i="14"/>
  <c r="B192" i="14"/>
  <c r="N189" i="14"/>
  <c r="Q187" i="14"/>
  <c r="A185" i="14"/>
  <c r="C183" i="14"/>
  <c r="C181" i="14"/>
  <c r="O178" i="14"/>
  <c r="D176" i="14"/>
  <c r="B174" i="14"/>
  <c r="N171" i="14"/>
  <c r="Q169" i="14"/>
  <c r="A167" i="14"/>
  <c r="C165" i="14"/>
  <c r="O162" i="14"/>
  <c r="D160" i="14"/>
  <c r="B158" i="14"/>
  <c r="N155" i="14"/>
  <c r="Q153" i="14"/>
  <c r="A151" i="14"/>
  <c r="D148" i="14"/>
  <c r="B146" i="14"/>
  <c r="N143" i="14"/>
  <c r="Q141" i="14"/>
  <c r="A139" i="14"/>
  <c r="C137" i="14"/>
  <c r="C135" i="14"/>
  <c r="O132" i="14"/>
  <c r="D130" i="14"/>
  <c r="Q127" i="14"/>
  <c r="A125" i="14"/>
  <c r="C123" i="14"/>
  <c r="O120" i="14"/>
  <c r="D118" i="14"/>
  <c r="B116" i="14"/>
  <c r="Q113" i="14"/>
  <c r="A111" i="14"/>
  <c r="C109" i="14"/>
  <c r="O106" i="14"/>
  <c r="D104" i="14"/>
  <c r="B102" i="14"/>
  <c r="O98" i="14"/>
  <c r="D96" i="14"/>
  <c r="B94" i="14"/>
  <c r="N91" i="14"/>
  <c r="Q89" i="14"/>
  <c r="A87" i="14"/>
  <c r="C85" i="14"/>
  <c r="A82" i="14"/>
  <c r="C80" i="14"/>
  <c r="D76" i="22"/>
  <c r="F218" i="19"/>
  <c r="Q174" i="19"/>
  <c r="S4" i="21"/>
  <c r="H244" i="19"/>
  <c r="S146" i="19"/>
  <c r="B72" i="19"/>
  <c r="V120" i="18"/>
  <c r="A54" i="18"/>
  <c r="L104" i="19"/>
  <c r="F23" i="19"/>
  <c r="F80" i="18"/>
  <c r="Q109" i="19"/>
  <c r="J30" i="19"/>
  <c r="H114" i="18"/>
  <c r="E92" i="18"/>
  <c r="T69" i="18"/>
  <c r="C43" i="18"/>
  <c r="B19" i="18"/>
  <c r="H87" i="17"/>
  <c r="Q98" i="19"/>
  <c r="E78" i="19"/>
  <c r="H58" i="19"/>
  <c r="L38" i="19"/>
  <c r="S18" i="19"/>
  <c r="J125" i="18"/>
  <c r="S104" i="18"/>
  <c r="D88" i="18"/>
  <c r="J71" i="18"/>
  <c r="D54" i="18"/>
  <c r="A34" i="18"/>
  <c r="O17" i="18"/>
  <c r="A94" i="17"/>
  <c r="L79" i="17"/>
  <c r="E63" i="17"/>
  <c r="E45" i="17"/>
  <c r="L23" i="17"/>
  <c r="B79" i="16"/>
  <c r="O61" i="16"/>
  <c r="N40" i="16"/>
  <c r="O18" i="16"/>
  <c r="C134" i="15"/>
  <c r="T116" i="15"/>
  <c r="Q100" i="15"/>
  <c r="F79" i="15"/>
  <c r="Q57" i="15"/>
  <c r="L35" i="15"/>
  <c r="H14" i="15"/>
  <c r="H373" i="14"/>
  <c r="N76" i="17"/>
  <c r="C60" i="17"/>
  <c r="L40" i="17"/>
  <c r="D19" i="17"/>
  <c r="D74" i="16"/>
  <c r="J56" i="16"/>
  <c r="A35" i="16"/>
  <c r="D13" i="16"/>
  <c r="A131" i="15"/>
  <c r="S113" i="15"/>
  <c r="H96" i="15"/>
  <c r="C75" i="15"/>
  <c r="A53" i="15"/>
  <c r="Q31" i="15"/>
  <c r="E86" i="17"/>
  <c r="D69" i="17"/>
  <c r="H63" i="17"/>
  <c r="D58" i="17"/>
  <c r="F52" i="17"/>
  <c r="H45" i="17"/>
  <c r="F38" i="17"/>
  <c r="C31" i="17"/>
  <c r="B24" i="17"/>
  <c r="A17" i="17"/>
  <c r="L9" i="17"/>
  <c r="X78" i="16"/>
  <c r="H72" i="16"/>
  <c r="H66" i="16"/>
  <c r="A62" i="16"/>
  <c r="A58" i="16"/>
  <c r="Q52" i="16"/>
  <c r="H47" i="16"/>
  <c r="D42" i="16"/>
  <c r="L36" i="16"/>
  <c r="C31" i="16"/>
  <c r="Q25" i="16"/>
  <c r="H20" i="16"/>
  <c r="E15" i="16"/>
  <c r="L9" i="16"/>
  <c r="D3" i="16"/>
  <c r="J135" i="15"/>
  <c r="J131" i="15"/>
  <c r="E127" i="15"/>
  <c r="V122" i="15"/>
  <c r="J118" i="15"/>
  <c r="B114" i="15"/>
  <c r="C110" i="15"/>
  <c r="B106" i="15"/>
  <c r="B102" i="15"/>
  <c r="N96" i="15"/>
  <c r="J91" i="15"/>
  <c r="B86" i="15"/>
  <c r="N80" i="15"/>
  <c r="B75" i="15"/>
  <c r="Q69" i="15"/>
  <c r="D64" i="15"/>
  <c r="Q58" i="15"/>
  <c r="J53" i="15"/>
  <c r="B48" i="15"/>
  <c r="Q42" i="15"/>
  <c r="E37" i="15"/>
  <c r="A32" i="15"/>
  <c r="N26" i="15"/>
  <c r="L21" i="15"/>
  <c r="D16" i="15"/>
  <c r="L10" i="15"/>
  <c r="L5" i="15"/>
  <c r="J383" i="14"/>
  <c r="H376" i="14"/>
  <c r="C370" i="14"/>
  <c r="L363" i="14"/>
  <c r="E357" i="14"/>
  <c r="N4" i="18"/>
  <c r="B80" i="17"/>
  <c r="X74" i="17"/>
  <c r="T70" i="17"/>
  <c r="E66" i="17"/>
  <c r="C62" i="17"/>
  <c r="C58" i="17"/>
  <c r="A54" i="17"/>
  <c r="F49" i="17"/>
  <c r="C44" i="17"/>
  <c r="L38" i="17"/>
  <c r="J33" i="17"/>
  <c r="A28" i="17"/>
  <c r="O22" i="17"/>
  <c r="J17" i="17"/>
  <c r="A12" i="17"/>
  <c r="V6" i="17"/>
  <c r="J78" i="16"/>
  <c r="L73" i="16"/>
  <c r="J69" i="16"/>
  <c r="X64" i="16"/>
  <c r="X60" i="16"/>
  <c r="B56" i="16"/>
  <c r="O50" i="16"/>
  <c r="F45" i="16"/>
  <c r="O39" i="16"/>
  <c r="H34" i="16"/>
  <c r="A29" i="16"/>
  <c r="Q23" i="16"/>
  <c r="J18" i="16"/>
  <c r="F13" i="16"/>
  <c r="A8" i="16"/>
  <c r="N138" i="15"/>
  <c r="S133" i="15"/>
  <c r="T129" i="15"/>
  <c r="J125" i="15"/>
  <c r="D121" i="15"/>
  <c r="J116" i="15"/>
  <c r="H112" i="15"/>
  <c r="C108" i="15"/>
  <c r="C104" i="15"/>
  <c r="H99" i="15"/>
  <c r="A94" i="15"/>
  <c r="L88" i="15"/>
  <c r="H83" i="15"/>
  <c r="A78" i="15"/>
  <c r="E72" i="15"/>
  <c r="C67" i="15"/>
  <c r="E61" i="15"/>
  <c r="C56" i="15"/>
  <c r="L50" i="15"/>
  <c r="F45" i="15"/>
  <c r="B40" i="15"/>
  <c r="J34" i="15"/>
  <c r="B29" i="15"/>
  <c r="Q23" i="15"/>
  <c r="O18" i="15"/>
  <c r="B13" i="15"/>
  <c r="L7" i="15"/>
  <c r="E388" i="14"/>
  <c r="A382" i="14"/>
  <c r="J373" i="14"/>
  <c r="J365" i="14"/>
  <c r="L385" i="14"/>
  <c r="B361" i="14"/>
  <c r="F350" i="14"/>
  <c r="J342" i="14"/>
  <c r="J334" i="14"/>
  <c r="X326" i="14"/>
  <c r="X318" i="14"/>
  <c r="X310" i="14"/>
  <c r="O302" i="14"/>
  <c r="Q293" i="14"/>
  <c r="D284" i="14"/>
  <c r="O274" i="14"/>
  <c r="N265" i="14"/>
  <c r="O256" i="14"/>
  <c r="A247" i="14"/>
  <c r="B238" i="14"/>
  <c r="D228" i="14"/>
  <c r="Q219" i="14"/>
  <c r="N209" i="14"/>
  <c r="N200" i="14"/>
  <c r="B191" i="14"/>
  <c r="A182" i="14"/>
  <c r="B173" i="14"/>
  <c r="C164" i="14"/>
  <c r="N154" i="14"/>
  <c r="B145" i="14"/>
  <c r="A136" i="14"/>
  <c r="Q126" i="14"/>
  <c r="D117" i="14"/>
  <c r="Q108" i="14"/>
  <c r="A98" i="14"/>
  <c r="B89" i="14"/>
  <c r="B80" i="14"/>
  <c r="Q69" i="14"/>
  <c r="B60" i="14"/>
  <c r="O50" i="14"/>
  <c r="Q41" i="14"/>
  <c r="B32" i="14"/>
  <c r="B22" i="14"/>
  <c r="C13" i="14"/>
  <c r="C3" i="14"/>
  <c r="F134" i="13"/>
  <c r="E129" i="13"/>
  <c r="A125" i="13"/>
  <c r="A121" i="13"/>
  <c r="L117" i="13"/>
  <c r="E114" i="13"/>
  <c r="A111" i="13"/>
  <c r="V107" i="13"/>
  <c r="Q104" i="13"/>
  <c r="J101" i="13"/>
  <c r="D96" i="13"/>
  <c r="F90" i="13"/>
  <c r="D85" i="13"/>
  <c r="F79" i="13"/>
  <c r="H74" i="13"/>
  <c r="N68" i="13"/>
  <c r="D63" i="13"/>
  <c r="F57" i="13"/>
  <c r="H52" i="13"/>
  <c r="Q46" i="13"/>
  <c r="O41" i="13"/>
  <c r="H36" i="13"/>
  <c r="D31" i="13"/>
  <c r="F25" i="13"/>
  <c r="E20" i="13"/>
  <c r="D15" i="13"/>
  <c r="F9" i="13"/>
  <c r="X124" i="12"/>
  <c r="Q120" i="12"/>
  <c r="Q116" i="12"/>
  <c r="S111" i="12"/>
  <c r="B107" i="12"/>
  <c r="O102" i="12"/>
  <c r="O98" i="12"/>
  <c r="E93" i="12"/>
  <c r="O87" i="12"/>
  <c r="N82" i="12"/>
  <c r="L77" i="12"/>
  <c r="J72" i="12"/>
  <c r="A67" i="12"/>
  <c r="N61" i="12"/>
  <c r="C56" i="12"/>
  <c r="L50" i="12"/>
  <c r="C45" i="12"/>
  <c r="N39" i="12"/>
  <c r="F34" i="12"/>
  <c r="D29" i="12"/>
  <c r="A24" i="12"/>
  <c r="L18" i="12"/>
  <c r="Q12" i="12"/>
  <c r="N7" i="12"/>
  <c r="O119" i="11"/>
  <c r="D115" i="11"/>
  <c r="F110" i="11"/>
  <c r="V105" i="11"/>
  <c r="S101" i="11"/>
  <c r="L97" i="11"/>
  <c r="E94" i="11"/>
  <c r="A91" i="11"/>
  <c r="V87" i="11"/>
  <c r="Q83" i="11"/>
  <c r="H388" i="14"/>
  <c r="A362" i="14"/>
  <c r="E352" i="14"/>
  <c r="L345" i="14"/>
  <c r="E339" i="14"/>
  <c r="A333" i="14"/>
  <c r="A325" i="14"/>
  <c r="A317" i="14"/>
  <c r="A309" i="14"/>
  <c r="Q300" i="14"/>
  <c r="D291" i="14"/>
  <c r="A282" i="14"/>
  <c r="O272" i="14"/>
  <c r="O263" i="14"/>
  <c r="C254" i="14"/>
  <c r="C244" i="14"/>
  <c r="B234" i="14"/>
  <c r="B225" i="14"/>
  <c r="A216" i="14"/>
  <c r="Q206" i="14"/>
  <c r="Q197" i="14"/>
  <c r="N187" i="14"/>
  <c r="D178" i="14"/>
  <c r="A169" i="14"/>
  <c r="B160" i="14"/>
  <c r="C151" i="14"/>
  <c r="A141" i="14"/>
  <c r="N131" i="14"/>
  <c r="B122" i="14"/>
  <c r="A113" i="14"/>
  <c r="B104" i="14"/>
  <c r="N93" i="14"/>
  <c r="O84" i="14"/>
  <c r="B75" i="14"/>
  <c r="D65" i="14"/>
  <c r="A56" i="14"/>
  <c r="N46" i="14"/>
  <c r="O37" i="14"/>
  <c r="N28" i="14"/>
  <c r="D19" i="14"/>
  <c r="A10" i="14"/>
  <c r="V138" i="13"/>
  <c r="O133" i="13"/>
  <c r="T127" i="13"/>
  <c r="J122" i="13"/>
  <c r="O117" i="13"/>
  <c r="O113" i="13"/>
  <c r="O109" i="13"/>
  <c r="O105" i="13"/>
  <c r="N101" i="13"/>
  <c r="C96" i="13"/>
  <c r="L90" i="13"/>
  <c r="H85" i="13"/>
  <c r="Q79" i="13"/>
  <c r="H73" i="13"/>
  <c r="Q67" i="13"/>
  <c r="C63" i="13"/>
  <c r="L57" i="13"/>
  <c r="L51" i="13"/>
  <c r="J46" i="13"/>
  <c r="C41" i="13"/>
  <c r="C35" i="13"/>
  <c r="L29" i="13"/>
  <c r="J24" i="13"/>
  <c r="C19" i="13"/>
  <c r="L13" i="13"/>
  <c r="J8" i="13"/>
  <c r="D124" i="12"/>
  <c r="S119" i="12"/>
  <c r="X115" i="12"/>
  <c r="B111" i="12"/>
  <c r="E107" i="12"/>
  <c r="S103" i="12"/>
  <c r="S99" i="12"/>
  <c r="Q94" i="12"/>
  <c r="B90" i="12"/>
  <c r="C85" i="12"/>
  <c r="B79" i="12"/>
  <c r="A74" i="12"/>
  <c r="E68" i="12"/>
  <c r="J63" i="12"/>
  <c r="D58" i="12"/>
  <c r="F52" i="12"/>
  <c r="E47" i="12"/>
  <c r="C42" i="12"/>
  <c r="L36" i="12"/>
  <c r="A32" i="12"/>
  <c r="Q26" i="12"/>
  <c r="H21" i="12"/>
  <c r="Q15" i="12"/>
  <c r="B12" i="15"/>
  <c r="D370" i="14"/>
  <c r="A356" i="14"/>
  <c r="F347" i="14"/>
  <c r="D339" i="14"/>
  <c r="D331" i="14"/>
  <c r="D323" i="14"/>
  <c r="D315" i="14"/>
  <c r="D307" i="14"/>
  <c r="D298" i="14"/>
  <c r="A289" i="14"/>
  <c r="B280" i="14"/>
  <c r="O270" i="14"/>
  <c r="Q261" i="14"/>
  <c r="N251" i="14"/>
  <c r="C243" i="14"/>
  <c r="A233" i="14"/>
  <c r="A224" i="14"/>
  <c r="A215" i="14"/>
  <c r="Q205" i="14"/>
  <c r="Q196" i="14"/>
  <c r="N186" i="14"/>
  <c r="D177" i="14"/>
  <c r="A168" i="14"/>
  <c r="B159" i="14"/>
  <c r="D149" i="14"/>
  <c r="A140" i="14"/>
  <c r="N130" i="14"/>
  <c r="B121" i="14"/>
  <c r="O111" i="14"/>
  <c r="Q102" i="14"/>
  <c r="A92" i="14"/>
  <c r="A83" i="14"/>
  <c r="B72" i="14"/>
  <c r="O62" i="14"/>
  <c r="A53" i="14"/>
  <c r="B44" i="14"/>
  <c r="O34" i="14"/>
  <c r="A25" i="14"/>
  <c r="B16" i="14"/>
  <c r="C7" i="14"/>
  <c r="J137" i="13"/>
  <c r="L131" i="13"/>
  <c r="H126" i="13"/>
  <c r="C121" i="13"/>
  <c r="N116" i="13"/>
  <c r="N112" i="13"/>
  <c r="N108" i="13"/>
  <c r="N104" i="13"/>
  <c r="L99" i="13"/>
  <c r="J94" i="13"/>
  <c r="B89" i="13"/>
  <c r="A84" i="13"/>
  <c r="N78" i="13"/>
  <c r="L72" i="13"/>
  <c r="J67" i="13"/>
  <c r="A62" i="13"/>
  <c r="N56" i="13"/>
  <c r="D51" i="13"/>
  <c r="F45" i="13"/>
  <c r="E40" i="13"/>
  <c r="L34" i="13"/>
  <c r="J29" i="13"/>
  <c r="C24" i="13"/>
  <c r="L18" i="13"/>
  <c r="J13" i="13"/>
  <c r="C8" i="13"/>
  <c r="S123" i="12"/>
  <c r="X119" i="12"/>
  <c r="V115" i="12"/>
  <c r="V111" i="12"/>
  <c r="D108" i="12"/>
  <c r="B104" i="12"/>
  <c r="F99" i="12"/>
  <c r="D94" i="12"/>
  <c r="H88" i="12"/>
  <c r="Q82" i="12"/>
  <c r="O78" i="12"/>
  <c r="F76" i="12"/>
  <c r="O74" i="12"/>
  <c r="C73" i="12"/>
  <c r="E71" i="12"/>
  <c r="L69" i="12"/>
  <c r="D68" i="12"/>
  <c r="J66" i="12"/>
  <c r="J64" i="12"/>
  <c r="F62" i="12"/>
  <c r="A61" i="12"/>
  <c r="B59" i="12"/>
  <c r="B57" i="12"/>
  <c r="O55" i="12"/>
  <c r="F53" i="12"/>
  <c r="A52" i="12"/>
  <c r="H50" i="12"/>
  <c r="E48" i="12"/>
  <c r="N46" i="12"/>
  <c r="E45" i="12"/>
  <c r="H43" i="12"/>
  <c r="L41" i="12"/>
  <c r="B40" i="12"/>
  <c r="J38" i="12"/>
  <c r="C37" i="12"/>
  <c r="E35" i="12"/>
  <c r="E33" i="12"/>
  <c r="N31" i="12"/>
  <c r="D30" i="12"/>
  <c r="D28" i="12"/>
  <c r="H26" i="12"/>
  <c r="N24" i="12"/>
  <c r="H22" i="12"/>
  <c r="L20" i="12"/>
  <c r="D19" i="12"/>
  <c r="Q16" i="12"/>
  <c r="J15" i="12"/>
  <c r="O13" i="12"/>
  <c r="Q11" i="12"/>
  <c r="A10" i="12"/>
  <c r="H8" i="12"/>
  <c r="E6" i="12"/>
  <c r="D5" i="12"/>
  <c r="N120" i="11"/>
  <c r="V118" i="11"/>
  <c r="F117" i="11"/>
  <c r="E116" i="11"/>
  <c r="L114" i="11"/>
  <c r="D113" i="11"/>
  <c r="X111" i="11"/>
  <c r="D110" i="11"/>
  <c r="O108" i="11"/>
  <c r="H107" i="11"/>
  <c r="N105" i="11"/>
  <c r="A104" i="11"/>
  <c r="S102" i="11"/>
  <c r="H101" i="11"/>
  <c r="A100" i="11"/>
  <c r="S97" i="11"/>
  <c r="H96" i="11"/>
  <c r="C95" i="11"/>
  <c r="S93" i="11"/>
  <c r="H92" i="11"/>
  <c r="C91" i="11"/>
  <c r="S89" i="11"/>
  <c r="H88" i="11"/>
  <c r="C87" i="11"/>
  <c r="S85" i="11"/>
  <c r="H83" i="11"/>
  <c r="A82" i="11"/>
  <c r="H80" i="11"/>
  <c r="E78" i="11"/>
  <c r="N76" i="11"/>
  <c r="D75" i="11"/>
  <c r="D73" i="11"/>
  <c r="B71" i="11"/>
  <c r="O69" i="11"/>
  <c r="N10" i="15"/>
  <c r="F5" i="15"/>
  <c r="A383" i="14"/>
  <c r="F371" i="14"/>
  <c r="D362" i="14"/>
  <c r="H359" i="14"/>
  <c r="D355" i="14"/>
  <c r="H352" i="14"/>
  <c r="H350" i="14"/>
  <c r="C348" i="14"/>
  <c r="A346" i="14"/>
  <c r="A344" i="14"/>
  <c r="H341" i="14"/>
  <c r="H339" i="14"/>
  <c r="H337" i="14"/>
  <c r="C335" i="14"/>
  <c r="C333" i="14"/>
  <c r="S330" i="14"/>
  <c r="V327" i="14"/>
  <c r="C325" i="14"/>
  <c r="S322" i="14"/>
  <c r="V319" i="14"/>
  <c r="C317" i="14"/>
  <c r="S314" i="14"/>
  <c r="V311" i="14"/>
  <c r="C309" i="14"/>
  <c r="S306" i="14"/>
  <c r="O303" i="14"/>
  <c r="N300" i="14"/>
  <c r="C298" i="14"/>
  <c r="Q294" i="14"/>
  <c r="O291" i="14"/>
  <c r="N288" i="14"/>
  <c r="D285" i="14"/>
  <c r="Q282" i="14"/>
  <c r="O279" i="14"/>
  <c r="A276" i="14"/>
  <c r="D272" i="14"/>
  <c r="B269" i="14"/>
  <c r="O265" i="14"/>
  <c r="N262" i="14"/>
  <c r="C260" i="14"/>
  <c r="Q256" i="14"/>
  <c r="B253" i="14"/>
  <c r="A250" i="14"/>
  <c r="B247" i="14"/>
  <c r="A244" i="14"/>
  <c r="D241" i="14"/>
  <c r="C238" i="14"/>
  <c r="B235" i="14"/>
  <c r="O231" i="14"/>
  <c r="A228" i="14"/>
  <c r="D225" i="14"/>
  <c r="O221" i="14"/>
  <c r="A218" i="14"/>
  <c r="D215" i="14"/>
  <c r="C212" i="14"/>
  <c r="Q208" i="14"/>
  <c r="O205" i="14"/>
  <c r="D202" i="14"/>
  <c r="C199" i="14"/>
  <c r="B196" i="14"/>
  <c r="O192" i="14"/>
  <c r="A189" i="14"/>
  <c r="D186" i="14"/>
  <c r="Q183" i="14"/>
  <c r="D180" i="14"/>
  <c r="Q177" i="14"/>
  <c r="O174" i="14"/>
  <c r="A171" i="14"/>
  <c r="D168" i="14"/>
  <c r="Q165" i="14"/>
  <c r="B162" i="14"/>
  <c r="A159" i="14"/>
  <c r="D156" i="14"/>
  <c r="C153" i="14"/>
  <c r="Q149" i="14"/>
  <c r="O146" i="14"/>
  <c r="A143" i="14"/>
  <c r="D140" i="14"/>
  <c r="Q137" i="14"/>
  <c r="D134" i="14"/>
  <c r="Q131" i="14"/>
  <c r="C128" i="14"/>
  <c r="O124" i="14"/>
  <c r="N121" i="14"/>
  <c r="C119" i="14"/>
  <c r="Q115" i="14"/>
  <c r="D112" i="14"/>
  <c r="Q109" i="14"/>
  <c r="B106" i="14"/>
  <c r="A103" i="14"/>
  <c r="A99" i="14"/>
  <c r="N95" i="14"/>
  <c r="C93" i="14"/>
  <c r="B90" i="14"/>
  <c r="O86" i="14"/>
  <c r="D83" i="14"/>
  <c r="Q80" i="14"/>
  <c r="D75" i="14"/>
  <c r="A72" i="14"/>
  <c r="C70" i="14"/>
  <c r="O67" i="14"/>
  <c r="O65" i="14"/>
  <c r="D63" i="14"/>
  <c r="B61" i="14"/>
  <c r="N58" i="14"/>
  <c r="Q56" i="14"/>
  <c r="N54" i="14"/>
  <c r="O51" i="14"/>
  <c r="D49" i="14"/>
  <c r="B47" i="14"/>
  <c r="N44" i="14"/>
  <c r="Q42" i="14"/>
  <c r="A40" i="14"/>
  <c r="C38" i="14"/>
  <c r="N34" i="14"/>
  <c r="Q32" i="14"/>
  <c r="A30" i="14"/>
  <c r="C28" i="14"/>
  <c r="N24" i="14"/>
  <c r="Q22" i="14"/>
  <c r="A20" i="14"/>
  <c r="C18" i="14"/>
  <c r="O15" i="14"/>
  <c r="D13" i="14"/>
  <c r="B11" i="14"/>
  <c r="N8" i="14"/>
  <c r="S5" i="14"/>
  <c r="D3" i="14"/>
  <c r="S138" i="13"/>
  <c r="C137" i="13"/>
  <c r="L135" i="13"/>
  <c r="H134" i="13"/>
  <c r="Q132" i="13"/>
  <c r="O131" i="13"/>
  <c r="H130" i="13"/>
  <c r="O128" i="13"/>
  <c r="F127" i="13"/>
  <c r="B126" i="13"/>
  <c r="X124" i="13"/>
  <c r="F123" i="13"/>
  <c r="B122" i="13"/>
  <c r="V120" i="13"/>
  <c r="F119" i="13"/>
  <c r="B118" i="13"/>
  <c r="X116" i="13"/>
  <c r="F115" i="13"/>
  <c r="B114" i="13"/>
  <c r="X112" i="13"/>
  <c r="F111" i="13"/>
  <c r="B110" i="13"/>
  <c r="X108" i="13"/>
  <c r="F107" i="13"/>
  <c r="B106" i="13"/>
  <c r="X104" i="13"/>
  <c r="F103" i="13"/>
  <c r="B102" i="13"/>
  <c r="E101" i="13"/>
  <c r="A100" i="13"/>
  <c r="N98" i="13"/>
  <c r="B97" i="13"/>
  <c r="A96" i="13"/>
  <c r="N94" i="13"/>
  <c r="B93" i="13"/>
  <c r="A92" i="13"/>
  <c r="N90" i="13"/>
  <c r="E89" i="13"/>
  <c r="D88" i="13"/>
  <c r="F86" i="13"/>
  <c r="E85" i="13"/>
  <c r="D84" i="13"/>
  <c r="F82" i="13"/>
  <c r="E81" i="13"/>
  <c r="D80" i="13"/>
  <c r="F78" i="13"/>
  <c r="E77" i="13"/>
  <c r="D76" i="13"/>
  <c r="A75" i="13"/>
  <c r="Q73" i="13"/>
  <c r="O72" i="13"/>
  <c r="H71" i="13"/>
  <c r="E69" i="13"/>
  <c r="D68" i="13"/>
  <c r="F66" i="13"/>
  <c r="F64" i="13"/>
  <c r="E63" i="13"/>
  <c r="D62" i="13"/>
  <c r="F60" i="13"/>
  <c r="E59" i="13"/>
  <c r="D58" i="13"/>
  <c r="F56" i="13"/>
  <c r="E55" i="13"/>
  <c r="D54" i="13"/>
  <c r="A53" i="13"/>
  <c r="N51" i="13"/>
  <c r="B50" i="13"/>
  <c r="A49" i="13"/>
  <c r="N47" i="13"/>
  <c r="B46" i="13"/>
  <c r="A45" i="13"/>
  <c r="N43" i="13"/>
  <c r="B42" i="13"/>
  <c r="A41" i="13"/>
  <c r="N39" i="13"/>
  <c r="B38" i="13"/>
  <c r="A37" i="13"/>
  <c r="Q35" i="13"/>
  <c r="O34" i="13"/>
  <c r="H33" i="13"/>
  <c r="Q31" i="13"/>
  <c r="O30" i="13"/>
  <c r="H29" i="13"/>
  <c r="Q27" i="13"/>
  <c r="O26" i="13"/>
  <c r="H25" i="13"/>
  <c r="Q23" i="13"/>
  <c r="O22" i="13"/>
  <c r="H21" i="13"/>
  <c r="Q19" i="13"/>
  <c r="O18" i="13"/>
  <c r="H17" i="13"/>
  <c r="Q15" i="13"/>
  <c r="O14" i="13"/>
  <c r="H13" i="13"/>
  <c r="Q11" i="13"/>
  <c r="O10" i="13"/>
  <c r="H9" i="13"/>
  <c r="Q7" i="13"/>
  <c r="N6" i="13"/>
  <c r="H5" i="13"/>
  <c r="F124" i="12"/>
  <c r="J123" i="12"/>
  <c r="J122" i="12"/>
  <c r="C121" i="12"/>
  <c r="A120" i="12"/>
  <c r="C119" i="12"/>
  <c r="A118" i="12"/>
  <c r="C117" i="12"/>
  <c r="T115" i="12"/>
  <c r="T114" i="12"/>
  <c r="X113" i="12"/>
  <c r="V112" i="12"/>
  <c r="J111" i="12"/>
  <c r="J110" i="12"/>
  <c r="H109" i="12"/>
  <c r="H108" i="12"/>
  <c r="H107" i="12"/>
  <c r="H106" i="12"/>
  <c r="H105" i="12"/>
  <c r="E104" i="12"/>
  <c r="L103" i="12"/>
  <c r="Q102" i="12"/>
  <c r="V101" i="12"/>
  <c r="S100" i="12"/>
  <c r="V99" i="12"/>
  <c r="A99" i="12"/>
  <c r="E98" i="12"/>
  <c r="B97" i="12"/>
  <c r="A96" i="12"/>
  <c r="N94" i="12"/>
  <c r="B93" i="12"/>
  <c r="A92" i="12"/>
  <c r="Q90" i="12"/>
  <c r="H89" i="12"/>
  <c r="Q87" i="12"/>
  <c r="N86" i="12"/>
  <c r="L85" i="12"/>
  <c r="J84" i="12"/>
  <c r="O82" i="12"/>
  <c r="B81" i="12"/>
  <c r="A80" i="12"/>
  <c r="N78" i="12"/>
  <c r="B77" i="12"/>
  <c r="A76" i="12"/>
  <c r="N74" i="12"/>
  <c r="B73" i="12"/>
  <c r="A72" i="12"/>
  <c r="L70" i="12"/>
  <c r="J69" i="12"/>
  <c r="C68" i="12"/>
  <c r="H66" i="12"/>
  <c r="A65" i="12"/>
  <c r="F63" i="12"/>
  <c r="E62" i="12"/>
  <c r="D61" i="12"/>
  <c r="L59" i="12"/>
  <c r="F58" i="12"/>
  <c r="E57" i="12"/>
  <c r="D56" i="12"/>
  <c r="F54" i="12"/>
  <c r="E53" i="12"/>
  <c r="D52" i="12"/>
  <c r="F50" i="12"/>
  <c r="E49" i="12"/>
  <c r="D48" i="12"/>
  <c r="L46" i="12"/>
  <c r="J45" i="12"/>
  <c r="C44" i="12"/>
  <c r="L42" i="12"/>
  <c r="J41" i="12"/>
  <c r="A40" i="12"/>
  <c r="N38" i="12"/>
  <c r="B37" i="12"/>
  <c r="Q35" i="12"/>
  <c r="H34" i="12"/>
  <c r="D33" i="12"/>
  <c r="F31" i="12"/>
  <c r="C30" i="12"/>
  <c r="O28" i="12"/>
  <c r="E27" i="12"/>
  <c r="B26" i="12"/>
  <c r="F24" i="12"/>
  <c r="E23" i="12"/>
  <c r="B22" i="12"/>
  <c r="A21" i="12"/>
  <c r="N19" i="12"/>
  <c r="B18" i="12"/>
  <c r="A17" i="12"/>
  <c r="N15" i="12"/>
  <c r="J14" i="12"/>
  <c r="C13" i="12"/>
  <c r="H11" i="12"/>
  <c r="D10" i="12"/>
  <c r="F8" i="12"/>
  <c r="C7" i="12"/>
  <c r="S5" i="12"/>
  <c r="D3" i="12"/>
  <c r="V119" i="11"/>
  <c r="T118" i="11"/>
  <c r="S117" i="11"/>
  <c r="O116" i="11"/>
  <c r="L115" i="11"/>
  <c r="J114" i="11"/>
  <c r="H113" i="11"/>
  <c r="A112" i="11"/>
  <c r="E111" i="11"/>
  <c r="B110" i="11"/>
  <c r="S108" i="11"/>
  <c r="X107" i="11"/>
  <c r="N106" i="11"/>
  <c r="F105" i="11"/>
  <c r="L104" i="11"/>
  <c r="B103" i="11"/>
  <c r="T101" i="11"/>
  <c r="J100" i="11"/>
  <c r="F98" i="11"/>
  <c r="B97" i="11"/>
  <c r="X95" i="11"/>
  <c r="F94" i="11"/>
  <c r="B93" i="11"/>
  <c r="X91" i="11"/>
  <c r="F90" i="11"/>
  <c r="B89" i="11"/>
  <c r="X87" i="11"/>
  <c r="F86" i="11"/>
  <c r="B85" i="11"/>
  <c r="O82" i="11"/>
  <c r="O8" i="12"/>
  <c r="X120" i="11"/>
  <c r="N115" i="11"/>
  <c r="L110" i="11"/>
  <c r="H104" i="11"/>
  <c r="J97" i="11"/>
  <c r="J93" i="11"/>
  <c r="J89" i="11"/>
  <c r="J85" i="11"/>
  <c r="L80" i="11"/>
  <c r="C79" i="11"/>
  <c r="N77" i="11"/>
  <c r="Q75" i="11"/>
  <c r="F74" i="11"/>
  <c r="J72" i="11"/>
  <c r="A71" i="11"/>
  <c r="N68" i="11"/>
  <c r="B67" i="11"/>
  <c r="N64" i="11"/>
  <c r="B63" i="11"/>
  <c r="A62" i="11"/>
  <c r="N60" i="11"/>
  <c r="B59" i="11"/>
  <c r="A58" i="11"/>
  <c r="N56" i="11"/>
  <c r="B55" i="11"/>
  <c r="F53" i="11"/>
  <c r="E52" i="11"/>
  <c r="D51" i="11"/>
  <c r="F49" i="11"/>
  <c r="E48" i="11"/>
  <c r="D47" i="11"/>
  <c r="F45" i="11"/>
  <c r="E44" i="11"/>
  <c r="D43" i="11"/>
  <c r="F41" i="11"/>
  <c r="E40" i="11"/>
  <c r="D39" i="11"/>
  <c r="F37" i="11"/>
  <c r="E36" i="11"/>
  <c r="L34" i="11"/>
  <c r="J33" i="11"/>
  <c r="C32" i="11"/>
  <c r="L30" i="11"/>
  <c r="J29" i="11"/>
  <c r="C28" i="11"/>
  <c r="L26" i="11"/>
  <c r="J25" i="11"/>
  <c r="C24" i="11"/>
  <c r="L22" i="11"/>
  <c r="J21" i="11"/>
  <c r="C20" i="11"/>
  <c r="L18" i="11"/>
  <c r="J17" i="11"/>
  <c r="C16" i="11"/>
  <c r="L14" i="11"/>
  <c r="J13" i="11"/>
  <c r="C12" i="11"/>
  <c r="L10" i="11"/>
  <c r="J9" i="11"/>
  <c r="C8" i="11"/>
  <c r="F5" i="11"/>
  <c r="C3" i="11"/>
  <c r="S144" i="10"/>
  <c r="J143" i="10"/>
  <c r="D142" i="10"/>
  <c r="L140" i="10"/>
  <c r="B138" i="10"/>
  <c r="X136" i="10"/>
  <c r="F135" i="10"/>
  <c r="C134" i="10"/>
  <c r="C133" i="10"/>
  <c r="T131" i="10"/>
  <c r="T130" i="10"/>
  <c r="V129" i="10"/>
  <c r="A129" i="10"/>
  <c r="E128" i="10"/>
  <c r="B127" i="10"/>
  <c r="S125" i="10"/>
  <c r="L124" i="10"/>
  <c r="F123" i="10"/>
  <c r="J121" i="10"/>
  <c r="J120" i="10"/>
  <c r="J119" i="10"/>
  <c r="J118" i="10"/>
  <c r="J117" i="10"/>
  <c r="J116" i="10"/>
  <c r="J115" i="10"/>
  <c r="J114" i="10"/>
  <c r="J113" i="10"/>
  <c r="J112" i="10"/>
  <c r="J111" i="10"/>
  <c r="H110" i="10"/>
  <c r="H109" i="10"/>
  <c r="H108" i="10"/>
  <c r="H107" i="10"/>
  <c r="J105" i="10"/>
  <c r="C104" i="10"/>
  <c r="L102" i="10"/>
  <c r="J101" i="10"/>
  <c r="C100" i="10"/>
  <c r="L98" i="10"/>
  <c r="J97" i="10"/>
  <c r="C96" i="10"/>
  <c r="L94" i="10"/>
  <c r="J93" i="10"/>
  <c r="C92" i="10"/>
  <c r="L90" i="10"/>
  <c r="J89" i="10"/>
  <c r="C88" i="10"/>
  <c r="L86" i="10"/>
  <c r="J85" i="10"/>
  <c r="C84" i="10"/>
  <c r="L82" i="10"/>
  <c r="J81" i="10"/>
  <c r="C80" i="10"/>
  <c r="L78" i="10"/>
  <c r="N75" i="10"/>
  <c r="H73" i="10"/>
  <c r="Q71" i="10"/>
  <c r="O70" i="10"/>
  <c r="H69" i="10"/>
  <c r="A68" i="10"/>
  <c r="A66" i="10"/>
  <c r="N64" i="10"/>
  <c r="B63" i="10"/>
  <c r="A62" i="10"/>
  <c r="N60" i="10"/>
  <c r="B59" i="10"/>
  <c r="A58" i="10"/>
  <c r="N56" i="10"/>
  <c r="B55" i="10"/>
  <c r="F53" i="10"/>
  <c r="E52" i="10"/>
  <c r="D51" i="10"/>
  <c r="F49" i="10"/>
  <c r="E48" i="10"/>
  <c r="D47" i="10"/>
  <c r="F45" i="10"/>
  <c r="E44" i="10"/>
  <c r="D43" i="10"/>
  <c r="F41" i="10"/>
  <c r="J39" i="10"/>
  <c r="C38" i="10"/>
  <c r="L36" i="10"/>
  <c r="Q34" i="10"/>
  <c r="O33" i="10"/>
  <c r="H32" i="10"/>
  <c r="Q30" i="10"/>
  <c r="O29" i="10"/>
  <c r="H28" i="10"/>
  <c r="Q26" i="10"/>
  <c r="O25" i="10"/>
  <c r="H24" i="10"/>
  <c r="Q22" i="10"/>
  <c r="O21" i="10"/>
  <c r="H20" i="10"/>
  <c r="Q18" i="10"/>
  <c r="O17" i="10"/>
  <c r="H16" i="10"/>
  <c r="Q14" i="10"/>
  <c r="O13" i="10"/>
  <c r="H12" i="10"/>
  <c r="Q10" i="10"/>
  <c r="O9" i="10"/>
  <c r="H8" i="10"/>
  <c r="X5" i="10"/>
  <c r="S3" i="10"/>
  <c r="X100" i="9"/>
  <c r="A99" i="9"/>
  <c r="A98" i="9"/>
  <c r="E97" i="9"/>
  <c r="J96" i="9"/>
  <c r="E95" i="9"/>
  <c r="L94" i="9"/>
  <c r="Q93" i="9"/>
  <c r="V92" i="9"/>
  <c r="V91" i="9"/>
  <c r="V90" i="9"/>
  <c r="A90" i="9"/>
  <c r="A89" i="9"/>
  <c r="B88" i="9"/>
  <c r="E87" i="9"/>
  <c r="L86" i="9"/>
  <c r="Q85" i="9"/>
  <c r="V84" i="9"/>
  <c r="A84" i="9"/>
  <c r="E83" i="9"/>
  <c r="L82" i="9"/>
  <c r="Q81" i="9"/>
  <c r="V80" i="9"/>
  <c r="A80" i="9"/>
  <c r="E79" i="9"/>
  <c r="L78" i="9"/>
  <c r="H77" i="9"/>
  <c r="F75" i="9"/>
  <c r="E74" i="9"/>
  <c r="D73" i="9"/>
  <c r="F71" i="9"/>
  <c r="E70" i="9"/>
  <c r="D69" i="9"/>
  <c r="F67" i="9"/>
  <c r="E66" i="9"/>
  <c r="D65" i="9"/>
  <c r="F63" i="9"/>
  <c r="E62" i="9"/>
  <c r="D61" i="9"/>
  <c r="F59" i="9"/>
  <c r="E58" i="9"/>
  <c r="D57" i="9"/>
  <c r="F55" i="9"/>
  <c r="B54" i="9"/>
  <c r="C52" i="9"/>
  <c r="C50" i="9"/>
  <c r="E48" i="9"/>
  <c r="H46" i="9"/>
  <c r="L44" i="9"/>
  <c r="J43" i="9"/>
  <c r="F41" i="9"/>
  <c r="E40" i="9"/>
  <c r="D39" i="9"/>
  <c r="F37" i="9"/>
  <c r="E36" i="9"/>
  <c r="D35" i="9"/>
  <c r="F33" i="9"/>
  <c r="E32" i="9"/>
  <c r="D31" i="9"/>
  <c r="F29" i="9"/>
  <c r="E28" i="9"/>
  <c r="D27" i="9"/>
  <c r="F25" i="9"/>
  <c r="E24" i="9"/>
  <c r="D23" i="9"/>
  <c r="F21" i="9"/>
  <c r="E20" i="9"/>
  <c r="D19" i="9"/>
  <c r="F17" i="9"/>
  <c r="E16" i="9"/>
  <c r="D15" i="9"/>
  <c r="F13" i="9"/>
  <c r="E12" i="9"/>
  <c r="D11" i="9"/>
  <c r="F9" i="9"/>
  <c r="E8" i="9"/>
  <c r="D7" i="9"/>
  <c r="X5" i="9"/>
  <c r="S3" i="9"/>
  <c r="L101" i="8"/>
  <c r="Q100" i="8"/>
  <c r="F99" i="8"/>
  <c r="L98" i="8"/>
  <c r="N97" i="8"/>
  <c r="N96" i="8"/>
  <c r="O95" i="8"/>
  <c r="N94" i="8"/>
  <c r="N93" i="8"/>
  <c r="N92" i="8"/>
  <c r="N91" i="8"/>
  <c r="N90" i="8"/>
  <c r="N89" i="8"/>
  <c r="S87" i="8"/>
  <c r="F86" i="8"/>
  <c r="X84" i="8"/>
  <c r="Q83" i="8"/>
  <c r="V82" i="8"/>
  <c r="A82" i="8"/>
  <c r="D81" i="8"/>
  <c r="D80" i="8"/>
  <c r="X78" i="8"/>
  <c r="Q77" i="8"/>
  <c r="V76" i="8"/>
  <c r="S75" i="8"/>
  <c r="S74" i="8"/>
  <c r="V73" i="8"/>
  <c r="A73" i="8"/>
  <c r="A72" i="8"/>
  <c r="N70" i="8"/>
  <c r="B69" i="8"/>
  <c r="A68" i="8"/>
  <c r="N66" i="8"/>
  <c r="H65" i="8"/>
  <c r="E64" i="8"/>
  <c r="C63" i="8"/>
  <c r="F61" i="8"/>
  <c r="E60" i="8"/>
  <c r="C59" i="8"/>
  <c r="C58" i="8"/>
  <c r="C57" i="8"/>
  <c r="D56" i="8"/>
  <c r="S54" i="8"/>
  <c r="O53" i="8"/>
  <c r="Q52" i="8"/>
  <c r="L51" i="8"/>
  <c r="Q50" i="8"/>
  <c r="N49" i="8"/>
  <c r="F48" i="8"/>
  <c r="E47" i="8"/>
  <c r="D46" i="8"/>
  <c r="L44" i="8"/>
  <c r="J43" i="8"/>
  <c r="A42" i="8"/>
  <c r="N40" i="8"/>
  <c r="B39" i="8"/>
  <c r="A38" i="8"/>
  <c r="F36" i="8"/>
  <c r="F34" i="8"/>
  <c r="E33" i="8"/>
  <c r="C32" i="8"/>
  <c r="F30" i="8"/>
  <c r="E29" i="8"/>
  <c r="D28" i="8"/>
  <c r="F26" i="8"/>
  <c r="E25" i="8"/>
  <c r="D24" i="8"/>
  <c r="Q22" i="8"/>
  <c r="O21" i="8"/>
  <c r="B20" i="8"/>
  <c r="N18" i="8"/>
  <c r="B17" i="8"/>
  <c r="F15" i="8"/>
  <c r="E14" i="8"/>
  <c r="D13" i="8"/>
  <c r="F11" i="8"/>
  <c r="E10" i="8"/>
  <c r="D9" i="8"/>
  <c r="F7" i="8"/>
  <c r="L6" i="8"/>
  <c r="F5" i="8"/>
  <c r="C3" i="8"/>
  <c r="E108" i="7"/>
  <c r="A107" i="7"/>
  <c r="A106" i="7"/>
  <c r="C105" i="7"/>
  <c r="S103" i="7"/>
  <c r="S102" i="7"/>
  <c r="V101" i="7"/>
  <c r="A101" i="7"/>
  <c r="C100" i="7"/>
  <c r="C99" i="7"/>
  <c r="A98" i="7"/>
  <c r="X96" i="7"/>
  <c r="T95" i="7"/>
  <c r="X94" i="7"/>
  <c r="T93" i="7"/>
  <c r="T92" i="7"/>
  <c r="T91" i="7"/>
  <c r="T90" i="7"/>
  <c r="F89" i="7"/>
  <c r="L88" i="7"/>
  <c r="Q87" i="7"/>
  <c r="V86" i="7"/>
  <c r="A86" i="7"/>
  <c r="E85" i="7"/>
  <c r="L84" i="7"/>
  <c r="Q83" i="7"/>
  <c r="V82" i="7"/>
  <c r="V81" i="7"/>
  <c r="A81" i="7"/>
  <c r="C80" i="7"/>
  <c r="D79" i="7"/>
  <c r="O77" i="7"/>
  <c r="F75" i="7"/>
  <c r="J74" i="7"/>
  <c r="H73" i="7"/>
  <c r="L72" i="7"/>
  <c r="N71" i="7"/>
  <c r="F70" i="7"/>
  <c r="B69" i="7"/>
  <c r="N67" i="7"/>
  <c r="N66" i="7"/>
  <c r="J65" i="7"/>
  <c r="C64" i="7"/>
  <c r="L62" i="7"/>
  <c r="J61" i="7"/>
  <c r="C60" i="7"/>
  <c r="F58" i="7"/>
  <c r="F56" i="7"/>
  <c r="J55" i="7"/>
  <c r="J53" i="7"/>
  <c r="T51" i="7"/>
  <c r="F50" i="7"/>
  <c r="F49" i="7"/>
  <c r="F48" i="7"/>
  <c r="H47" i="7"/>
  <c r="H46" i="7"/>
  <c r="H45" i="7"/>
  <c r="H44" i="7"/>
  <c r="J43" i="7"/>
  <c r="T41" i="7"/>
  <c r="T40" i="7"/>
  <c r="T39" i="7"/>
  <c r="V38" i="7"/>
  <c r="Q37" i="7"/>
  <c r="S36" i="7"/>
  <c r="T34" i="7"/>
  <c r="V33" i="7"/>
  <c r="A33" i="7"/>
  <c r="T31" i="7"/>
  <c r="T30" i="7"/>
  <c r="T29" i="7"/>
  <c r="V28" i="7"/>
  <c r="Q27" i="7"/>
  <c r="S26" i="7"/>
  <c r="S25" i="7"/>
  <c r="T24" i="7"/>
  <c r="F23" i="7"/>
  <c r="J22" i="7"/>
  <c r="T20" i="7"/>
  <c r="V19" i="7"/>
  <c r="A19" i="7"/>
  <c r="T17" i="7"/>
  <c r="Q16" i="7"/>
  <c r="L9" i="12"/>
  <c r="E5" i="12"/>
  <c r="B117" i="11"/>
  <c r="T112" i="11"/>
  <c r="L108" i="11"/>
  <c r="B104" i="11"/>
  <c r="T98" i="11"/>
  <c r="T94" i="11"/>
  <c r="T90" i="11"/>
  <c r="T86" i="11"/>
  <c r="L81" i="11"/>
  <c r="B80" i="11"/>
  <c r="N78" i="11"/>
  <c r="D76" i="11"/>
  <c r="E74" i="11"/>
  <c r="O72" i="11"/>
  <c r="E71" i="11"/>
  <c r="F68" i="11"/>
  <c r="E67" i="11"/>
  <c r="D66" i="11"/>
  <c r="L63" i="11"/>
  <c r="J62" i="11"/>
  <c r="C61" i="11"/>
  <c r="L59" i="11"/>
  <c r="J58" i="11"/>
  <c r="C57" i="11"/>
  <c r="L55" i="11"/>
  <c r="J54" i="11"/>
  <c r="E53" i="11"/>
  <c r="D52" i="11"/>
  <c r="F50" i="11"/>
  <c r="E49" i="11"/>
  <c r="D48" i="11"/>
  <c r="F46" i="11"/>
  <c r="E45" i="11"/>
  <c r="D44" i="11"/>
  <c r="F42" i="11"/>
  <c r="E41" i="11"/>
  <c r="D40" i="11"/>
  <c r="F38" i="11"/>
  <c r="E37" i="11"/>
  <c r="D36" i="11"/>
  <c r="A35" i="11"/>
  <c r="N33" i="11"/>
  <c r="B32" i="11"/>
  <c r="A31" i="11"/>
  <c r="N29" i="11"/>
  <c r="B28" i="11"/>
  <c r="A27" i="11"/>
  <c r="N25" i="11"/>
  <c r="B24" i="11"/>
  <c r="A23" i="11"/>
  <c r="N21" i="11"/>
  <c r="B20" i="11"/>
  <c r="A19" i="11"/>
  <c r="N17" i="11"/>
  <c r="B16" i="11"/>
  <c r="A15" i="11"/>
  <c r="N13" i="11"/>
  <c r="B12" i="11"/>
  <c r="A11" i="11"/>
  <c r="N9" i="11"/>
  <c r="B8" i="11"/>
  <c r="A7" i="11"/>
  <c r="E5" i="11"/>
  <c r="H145" i="10"/>
  <c r="B144" i="10"/>
  <c r="X142" i="10"/>
  <c r="O140" i="10"/>
  <c r="V138" i="10"/>
  <c r="A138" i="10"/>
  <c r="E137" i="10"/>
  <c r="L136" i="10"/>
  <c r="Q135" i="10"/>
  <c r="V134" i="10"/>
  <c r="F133" i="10"/>
  <c r="C132" i="10"/>
  <c r="C131" i="10"/>
  <c r="T129" i="10"/>
  <c r="T128" i="10"/>
  <c r="T127" i="10"/>
  <c r="V126" i="10"/>
  <c r="H125" i="10"/>
  <c r="D124" i="10"/>
  <c r="A123" i="10"/>
  <c r="C121" i="10"/>
  <c r="C120" i="10"/>
  <c r="C119" i="10"/>
  <c r="C118" i="10"/>
  <c r="C117" i="10"/>
  <c r="C116" i="10"/>
  <c r="C115" i="10"/>
  <c r="C114" i="10"/>
  <c r="C113" i="10"/>
  <c r="C112" i="10"/>
  <c r="C111" i="10"/>
  <c r="B110" i="10"/>
  <c r="X108" i="10"/>
  <c r="F107" i="10"/>
  <c r="C105" i="10"/>
  <c r="L103" i="10"/>
  <c r="J102" i="10"/>
  <c r="C101" i="10"/>
  <c r="L99" i="10"/>
  <c r="J98" i="10"/>
  <c r="C97" i="10"/>
  <c r="L95" i="10"/>
  <c r="J94" i="10"/>
  <c r="C93" i="10"/>
  <c r="L91" i="10"/>
  <c r="J90" i="10"/>
  <c r="C89" i="10"/>
  <c r="L87" i="10"/>
  <c r="J86" i="10"/>
  <c r="C85" i="10"/>
  <c r="L83" i="10"/>
  <c r="J82" i="10"/>
  <c r="C81" i="10"/>
  <c r="L79" i="10"/>
  <c r="J78" i="10"/>
  <c r="E76" i="10"/>
  <c r="B73" i="10"/>
  <c r="A72" i="10"/>
  <c r="N70" i="10"/>
  <c r="B69" i="10"/>
  <c r="N67" i="10"/>
  <c r="H65" i="10"/>
  <c r="Q63" i="10"/>
  <c r="O62" i="10"/>
  <c r="H61" i="10"/>
  <c r="Q59" i="10"/>
  <c r="O58" i="10"/>
  <c r="H57" i="10"/>
  <c r="Q55" i="10"/>
  <c r="O54" i="10"/>
  <c r="L53" i="10"/>
  <c r="J52" i="10"/>
  <c r="C51" i="10"/>
  <c r="L49" i="10"/>
  <c r="J48" i="10"/>
  <c r="C47" i="10"/>
  <c r="L45" i="10"/>
  <c r="J44" i="10"/>
  <c r="C43" i="10"/>
  <c r="L41" i="10"/>
  <c r="N39" i="10"/>
  <c r="B38" i="10"/>
  <c r="A37" i="10"/>
  <c r="Q35" i="10"/>
  <c r="O34" i="10"/>
  <c r="H33" i="10"/>
  <c r="Q31" i="10"/>
  <c r="O30" i="10"/>
  <c r="H29" i="10"/>
  <c r="Q27" i="10"/>
  <c r="O26" i="10"/>
  <c r="H25" i="10"/>
  <c r="Q23" i="10"/>
  <c r="O22" i="10"/>
  <c r="H21" i="10"/>
  <c r="Q19" i="10"/>
  <c r="O18" i="10"/>
  <c r="H17" i="10"/>
  <c r="Q15" i="10"/>
  <c r="O14" i="10"/>
  <c r="H13" i="10"/>
  <c r="Q11" i="10"/>
  <c r="O10" i="10"/>
  <c r="H9" i="10"/>
  <c r="Q7" i="10"/>
  <c r="V5" i="10"/>
  <c r="N3" i="10"/>
  <c r="L101" i="9"/>
  <c r="L100" i="9"/>
  <c r="E99" i="9"/>
  <c r="T97" i="9"/>
  <c r="S96" i="9"/>
  <c r="J95" i="9"/>
  <c r="J94" i="9"/>
  <c r="J93" i="9"/>
  <c r="D92" i="9"/>
  <c r="T90" i="9"/>
  <c r="T89" i="9"/>
  <c r="N88" i="9"/>
  <c r="J87" i="9"/>
  <c r="J86" i="9"/>
  <c r="J85" i="9"/>
  <c r="J84" i="9"/>
  <c r="J83" i="9"/>
  <c r="J82" i="9"/>
  <c r="J81" i="9"/>
  <c r="J80" i="9"/>
  <c r="J79" i="9"/>
  <c r="J78" i="9"/>
  <c r="B76" i="9"/>
  <c r="A75" i="9"/>
  <c r="N73" i="9"/>
  <c r="B72" i="9"/>
  <c r="A71" i="9"/>
  <c r="N69" i="9"/>
  <c r="B68" i="9"/>
  <c r="A67" i="9"/>
  <c r="N65" i="9"/>
  <c r="B64" i="9"/>
  <c r="A63" i="9"/>
  <c r="N61" i="9"/>
  <c r="B60" i="9"/>
  <c r="A59" i="9"/>
  <c r="N57" i="9"/>
  <c r="B56" i="9"/>
  <c r="A55" i="9"/>
  <c r="C53" i="9"/>
  <c r="H51" i="9"/>
  <c r="L49" i="9"/>
  <c r="D48" i="9"/>
  <c r="B46" i="9"/>
  <c r="A45" i="9"/>
  <c r="H43" i="9"/>
  <c r="Q41" i="9"/>
  <c r="O40" i="9"/>
  <c r="H39" i="9"/>
  <c r="Q37" i="9"/>
  <c r="O36" i="9"/>
  <c r="H35" i="9"/>
  <c r="Q33" i="9"/>
  <c r="O32" i="9"/>
  <c r="H31" i="9"/>
  <c r="Q29" i="9"/>
  <c r="O28" i="9"/>
  <c r="H27" i="9"/>
  <c r="Q25" i="9"/>
  <c r="O24" i="9"/>
  <c r="H23" i="9"/>
  <c r="Q21" i="9"/>
  <c r="O20" i="9"/>
  <c r="H19" i="9"/>
  <c r="Q17" i="9"/>
  <c r="O16" i="9"/>
  <c r="H15" i="9"/>
  <c r="Q13" i="9"/>
  <c r="O12" i="9"/>
  <c r="H11" i="9"/>
  <c r="Q9" i="9"/>
  <c r="O8" i="9"/>
  <c r="H7" i="9"/>
  <c r="V5" i="9"/>
  <c r="N3" i="9"/>
  <c r="J101" i="8"/>
  <c r="J100" i="8"/>
  <c r="L99" i="8"/>
  <c r="J98" i="8"/>
  <c r="B97" i="8"/>
  <c r="N95" i="8"/>
  <c r="F94" i="8"/>
  <c r="B93" i="8"/>
  <c r="X91" i="8"/>
  <c r="F90" i="8"/>
  <c r="B89" i="8"/>
  <c r="B87" i="8"/>
  <c r="A86" i="8"/>
  <c r="E85" i="8"/>
  <c r="E84" i="8"/>
  <c r="D83" i="8"/>
  <c r="D82" i="8"/>
  <c r="C81" i="8"/>
  <c r="C80" i="8"/>
  <c r="E79" i="8"/>
  <c r="L78" i="8"/>
  <c r="O77" i="8"/>
  <c r="O76" i="8"/>
  <c r="F75" i="8"/>
  <c r="T73" i="8"/>
  <c r="S72" i="8"/>
  <c r="H71" i="8"/>
  <c r="Q69" i="8"/>
  <c r="O68" i="8"/>
  <c r="H67" i="8"/>
  <c r="B65" i="8"/>
  <c r="F63" i="8"/>
  <c r="E62" i="8"/>
  <c r="L61" i="8"/>
  <c r="J60" i="8"/>
  <c r="X58" i="8"/>
  <c r="F57" i="8"/>
  <c r="H56" i="8"/>
  <c r="X54" i="8"/>
  <c r="C53" i="8"/>
  <c r="A52" i="8"/>
  <c r="T50" i="8"/>
  <c r="F49" i="8"/>
  <c r="L48" i="8"/>
  <c r="J47" i="8"/>
  <c r="C46" i="8"/>
  <c r="A45" i="8"/>
  <c r="N43" i="8"/>
  <c r="J42" i="8"/>
  <c r="C41" i="8"/>
  <c r="L39" i="8"/>
  <c r="J38" i="8"/>
  <c r="B37" i="8"/>
  <c r="F35" i="8"/>
  <c r="E34" i="8"/>
  <c r="D33" i="8"/>
  <c r="H31" i="8"/>
  <c r="E30" i="8"/>
  <c r="D29" i="8"/>
  <c r="F27" i="8"/>
  <c r="E26" i="8"/>
  <c r="D25" i="8"/>
  <c r="F23" i="8"/>
  <c r="D22" i="8"/>
  <c r="Q20" i="8"/>
  <c r="N19" i="8"/>
  <c r="B18" i="8"/>
  <c r="A17" i="8"/>
  <c r="Q15" i="8"/>
  <c r="O14" i="8"/>
  <c r="H13" i="8"/>
  <c r="Q11" i="8"/>
  <c r="O10" i="8"/>
  <c r="H9" i="8"/>
  <c r="Q7" i="8"/>
  <c r="T6" i="8"/>
  <c r="S5" i="8"/>
  <c r="B3" i="8"/>
  <c r="J108" i="7"/>
  <c r="J107" i="7"/>
  <c r="T105" i="7"/>
  <c r="O104" i="7"/>
  <c r="F103" i="7"/>
  <c r="T101" i="7"/>
  <c r="T100" i="7"/>
  <c r="F99" i="7"/>
  <c r="J98" i="7"/>
  <c r="E97" i="7"/>
  <c r="H96" i="7"/>
  <c r="H95" i="7"/>
  <c r="H94" i="7"/>
  <c r="H93" i="7"/>
  <c r="H92" i="7"/>
  <c r="H91" i="7"/>
  <c r="E90" i="7"/>
  <c r="L89" i="7"/>
  <c r="O88" i="7"/>
  <c r="O87" i="7"/>
  <c r="O86" i="7"/>
  <c r="O85" i="7"/>
  <c r="O84" i="7"/>
  <c r="O83" i="7"/>
  <c r="O82" i="7"/>
  <c r="O81" i="7"/>
  <c r="B80" i="7"/>
  <c r="C79" i="7"/>
  <c r="E78" i="7"/>
  <c r="H77" i="7"/>
  <c r="L76" i="7"/>
  <c r="L75" i="7"/>
  <c r="N74" i="7"/>
  <c r="N73" i="7"/>
  <c r="O72" i="7"/>
  <c r="E71" i="7"/>
  <c r="L70" i="7"/>
  <c r="Q69" i="7"/>
  <c r="O68" i="7"/>
  <c r="B67" i="7"/>
  <c r="H65" i="7"/>
  <c r="Q63" i="7"/>
  <c r="O62" i="7"/>
  <c r="H61" i="7"/>
  <c r="Q59" i="7"/>
  <c r="V58" i="7"/>
  <c r="A58" i="7"/>
  <c r="E57" i="7"/>
  <c r="E56" i="7"/>
  <c r="H55" i="7"/>
  <c r="L54" i="7"/>
  <c r="H53" i="7"/>
  <c r="L52" i="7"/>
  <c r="N51" i="7"/>
  <c r="Q50" i="7"/>
  <c r="S49" i="7"/>
  <c r="S48" i="7"/>
  <c r="S47" i="7"/>
  <c r="N46" i="7"/>
  <c r="N45" i="7"/>
  <c r="N44" i="7"/>
  <c r="N43" i="7"/>
  <c r="Q42" i="7"/>
  <c r="S41" i="7"/>
  <c r="S40" i="7"/>
  <c r="S39" i="7"/>
  <c r="N38" i="7"/>
  <c r="O37" i="7"/>
  <c r="L36" i="7"/>
  <c r="L35" i="7"/>
  <c r="F34" i="7"/>
  <c r="J33" i="7"/>
  <c r="E32" i="7"/>
  <c r="E31" i="7"/>
  <c r="E30" i="7"/>
  <c r="B29" i="7"/>
  <c r="C28" i="7"/>
  <c r="D27" i="7"/>
  <c r="L25" i="7"/>
  <c r="N24" i="7"/>
  <c r="Q23" i="7"/>
  <c r="S22" i="7"/>
  <c r="V21" i="7"/>
  <c r="A21" i="7"/>
  <c r="T19" i="7"/>
  <c r="Q18" i="7"/>
  <c r="S17" i="7"/>
  <c r="V16" i="7"/>
  <c r="E9" i="12"/>
  <c r="N3" i="12"/>
  <c r="X116" i="11"/>
  <c r="L113" i="11"/>
  <c r="A109" i="11"/>
  <c r="O105" i="11"/>
  <c r="D101" i="11"/>
  <c r="D96" i="11"/>
  <c r="D92" i="11"/>
  <c r="D88" i="11"/>
  <c r="A84" i="11"/>
  <c r="H81" i="11"/>
  <c r="A80" i="11"/>
  <c r="L77" i="11"/>
  <c r="E75" i="11"/>
  <c r="F73" i="11"/>
  <c r="D71" i="11"/>
  <c r="H69" i="11"/>
  <c r="E68" i="11"/>
  <c r="D67" i="11"/>
  <c r="Q64" i="11"/>
  <c r="O63" i="11"/>
  <c r="H62" i="11"/>
  <c r="Q60" i="11"/>
  <c r="O59" i="11"/>
  <c r="H58" i="11"/>
  <c r="Q56" i="11"/>
  <c r="O55" i="11"/>
  <c r="H54" i="11"/>
  <c r="D53" i="11"/>
  <c r="F51" i="11"/>
  <c r="E50" i="11"/>
  <c r="D49" i="11"/>
  <c r="F47" i="11"/>
  <c r="E46" i="11"/>
  <c r="D45" i="11"/>
  <c r="F43" i="11"/>
  <c r="E42" i="11"/>
  <c r="D41" i="11"/>
  <c r="F39" i="11"/>
  <c r="E38" i="11"/>
  <c r="D37" i="11"/>
  <c r="O35" i="11"/>
  <c r="H34" i="11"/>
  <c r="Q32" i="11"/>
  <c r="O31" i="11"/>
  <c r="H30" i="11"/>
  <c r="Q28" i="11"/>
  <c r="O27" i="11"/>
  <c r="H26" i="11"/>
  <c r="Q24" i="11"/>
  <c r="O23" i="11"/>
  <c r="H22" i="11"/>
  <c r="Q20" i="11"/>
  <c r="O19" i="11"/>
  <c r="H18" i="11"/>
  <c r="Q16" i="11"/>
  <c r="O15" i="11"/>
  <c r="H14" i="11"/>
  <c r="Q12" i="11"/>
  <c r="O11" i="11"/>
  <c r="H10" i="11"/>
  <c r="Q8" i="11"/>
  <c r="O7" i="11"/>
  <c r="T5" i="11"/>
  <c r="E4" i="11"/>
  <c r="F145" i="10"/>
  <c r="A144" i="10"/>
  <c r="V142" i="10"/>
  <c r="N140" i="10"/>
  <c r="O138" i="10"/>
  <c r="O137" i="10"/>
  <c r="O136" i="10"/>
  <c r="O135" i="10"/>
  <c r="L134" i="10"/>
  <c r="Q133" i="10"/>
  <c r="V132" i="10"/>
  <c r="F131" i="10"/>
  <c r="C130" i="10"/>
  <c r="C129" i="10"/>
  <c r="C128" i="10"/>
  <c r="T126" i="10"/>
  <c r="V125" i="10"/>
  <c r="H124" i="10"/>
  <c r="D123" i="10"/>
  <c r="X120" i="10"/>
  <c r="F119" i="10"/>
  <c r="B118" i="10"/>
  <c r="X116" i="10"/>
  <c r="F115" i="10"/>
  <c r="B114" i="10"/>
  <c r="X112" i="10"/>
  <c r="F111" i="10"/>
  <c r="A110" i="10"/>
  <c r="E109" i="10"/>
  <c r="L108" i="10"/>
  <c r="Q107" i="10"/>
  <c r="F105" i="10"/>
  <c r="E104" i="10"/>
  <c r="D103" i="10"/>
  <c r="F101" i="10"/>
  <c r="E100" i="10"/>
  <c r="D99" i="10"/>
  <c r="F97" i="10"/>
  <c r="E96" i="10"/>
  <c r="D95" i="10"/>
  <c r="F93" i="10"/>
  <c r="E92" i="10"/>
  <c r="D91" i="10"/>
  <c r="F89" i="10"/>
  <c r="E88" i="10"/>
  <c r="D87" i="10"/>
  <c r="F85" i="10"/>
  <c r="E84" i="10"/>
  <c r="D83" i="10"/>
  <c r="F81" i="10"/>
  <c r="E80" i="10"/>
  <c r="D79" i="10"/>
  <c r="A77" i="10"/>
  <c r="Q75" i="10"/>
  <c r="D74" i="10"/>
  <c r="A73" i="10"/>
  <c r="N71" i="10"/>
  <c r="B70" i="10"/>
  <c r="A69" i="10"/>
  <c r="F67" i="10"/>
  <c r="Q64" i="10"/>
  <c r="O63" i="10"/>
  <c r="H62" i="10"/>
  <c r="Q60" i="10"/>
  <c r="O59" i="10"/>
  <c r="H58" i="10"/>
  <c r="Q56" i="10"/>
  <c r="O55" i="10"/>
  <c r="H54" i="10"/>
  <c r="D53" i="10"/>
  <c r="F51" i="10"/>
  <c r="E50" i="10"/>
  <c r="D49" i="10"/>
  <c r="F47" i="10"/>
  <c r="E46" i="10"/>
  <c r="D45" i="10"/>
  <c r="F43" i="10"/>
  <c r="E42" i="10"/>
  <c r="D41" i="10"/>
  <c r="Q38" i="10"/>
  <c r="O37" i="10"/>
  <c r="H36" i="10"/>
  <c r="D35" i="10"/>
  <c r="F33" i="10"/>
  <c r="E32" i="10"/>
  <c r="D31" i="10"/>
  <c r="F29" i="10"/>
  <c r="E28" i="10"/>
  <c r="D27" i="10"/>
  <c r="F25" i="10"/>
  <c r="E24" i="10"/>
  <c r="D23" i="10"/>
  <c r="F21" i="10"/>
  <c r="E20" i="10"/>
  <c r="D19" i="10"/>
  <c r="F17" i="10"/>
  <c r="E16" i="10"/>
  <c r="D15" i="10"/>
  <c r="F13" i="10"/>
  <c r="E12" i="10"/>
  <c r="D11" i="10"/>
  <c r="F9" i="10"/>
  <c r="E8" i="10"/>
  <c r="D7" i="10"/>
  <c r="J5" i="10"/>
  <c r="A3" i="10"/>
  <c r="B101" i="9"/>
  <c r="B100" i="9"/>
  <c r="S98" i="9"/>
  <c r="N97" i="9"/>
  <c r="F96" i="9"/>
  <c r="S94" i="9"/>
  <c r="S93" i="9"/>
  <c r="S92" i="9"/>
  <c r="H91" i="9"/>
  <c r="H90" i="9"/>
  <c r="C89" i="9"/>
  <c r="N87" i="9"/>
  <c r="N86" i="9"/>
  <c r="N85" i="9"/>
  <c r="N84" i="9"/>
  <c r="N83" i="9"/>
  <c r="N82" i="9"/>
  <c r="N81" i="9"/>
  <c r="N80" i="9"/>
  <c r="N79" i="9"/>
  <c r="N78" i="9"/>
  <c r="L77" i="9"/>
  <c r="E76" i="9"/>
  <c r="D75" i="9"/>
  <c r="F73" i="9"/>
  <c r="E72" i="9"/>
  <c r="D71" i="9"/>
  <c r="F69" i="9"/>
  <c r="E68" i="9"/>
  <c r="D67" i="9"/>
  <c r="F65" i="9"/>
  <c r="E64" i="9"/>
  <c r="D63" i="9"/>
  <c r="F61" i="9"/>
  <c r="E60" i="9"/>
  <c r="D59" i="9"/>
  <c r="F57" i="9"/>
  <c r="E56" i="9"/>
  <c r="D55" i="9"/>
  <c r="L52" i="9"/>
  <c r="B51" i="9"/>
  <c r="J49" i="9"/>
  <c r="F47" i="9"/>
  <c r="A46" i="9"/>
  <c r="H44" i="9"/>
  <c r="L42" i="9"/>
  <c r="J41" i="9"/>
  <c r="C40" i="9"/>
  <c r="L38" i="9"/>
  <c r="J37" i="9"/>
  <c r="C36" i="9"/>
  <c r="L34" i="9"/>
  <c r="J33" i="9"/>
  <c r="C32" i="9"/>
  <c r="L30" i="9"/>
  <c r="J29" i="9"/>
  <c r="C28" i="9"/>
  <c r="L26" i="9"/>
  <c r="J25" i="9"/>
  <c r="C24" i="9"/>
  <c r="L22" i="9"/>
  <c r="J21" i="9"/>
  <c r="C20" i="9"/>
  <c r="L18" i="9"/>
  <c r="J17" i="9"/>
  <c r="C16" i="9"/>
  <c r="L14" i="9"/>
  <c r="J13" i="9"/>
  <c r="C12" i="9"/>
  <c r="L10" i="9"/>
  <c r="J9" i="9"/>
  <c r="C8" i="9"/>
  <c r="L6" i="9"/>
  <c r="O5" i="9"/>
  <c r="E3" i="9"/>
  <c r="H101" i="8"/>
  <c r="H100" i="8"/>
  <c r="J99" i="8"/>
  <c r="H98" i="8"/>
  <c r="L97" i="8"/>
  <c r="Q96" i="8"/>
  <c r="F95" i="8"/>
  <c r="L94" i="8"/>
  <c r="Q93" i="8"/>
  <c r="V92" i="8"/>
  <c r="A92" i="8"/>
  <c r="E91" i="8"/>
  <c r="L90" i="8"/>
  <c r="Q89" i="8"/>
  <c r="A88" i="8"/>
  <c r="A87" i="8"/>
  <c r="T85" i="8"/>
  <c r="T84" i="8"/>
  <c r="S83" i="8"/>
  <c r="S82" i="8"/>
  <c r="X81" i="8"/>
  <c r="F80" i="8"/>
  <c r="J79" i="8"/>
  <c r="J78" i="8"/>
  <c r="H77" i="8"/>
  <c r="H76" i="8"/>
  <c r="L75" i="8"/>
  <c r="Q74" i="8"/>
  <c r="N73" i="8"/>
  <c r="F72" i="8"/>
  <c r="L70" i="8"/>
  <c r="J69" i="8"/>
  <c r="C68" i="8"/>
  <c r="L66" i="8"/>
  <c r="E65" i="8"/>
  <c r="C64" i="8"/>
  <c r="A63" i="8"/>
  <c r="T61" i="8"/>
  <c r="N60" i="8"/>
  <c r="L59" i="8"/>
  <c r="Q58" i="8"/>
  <c r="V57" i="8"/>
  <c r="A57" i="8"/>
  <c r="L55" i="8"/>
  <c r="Q54" i="8"/>
  <c r="B53" i="8"/>
  <c r="N51" i="8"/>
  <c r="N50" i="8"/>
  <c r="L49" i="8"/>
  <c r="O48" i="8"/>
  <c r="H47" i="8"/>
  <c r="O45" i="8"/>
  <c r="H44" i="8"/>
  <c r="O42" i="8"/>
  <c r="B41" i="8"/>
  <c r="A40" i="8"/>
  <c r="N38" i="8"/>
  <c r="E37" i="8"/>
  <c r="D36" i="8"/>
  <c r="A35" i="8"/>
  <c r="N33" i="8"/>
  <c r="L32" i="8"/>
  <c r="F31" i="8"/>
  <c r="D30" i="8"/>
  <c r="F28" i="8"/>
  <c r="E27" i="8"/>
  <c r="D26" i="8"/>
  <c r="F24" i="8"/>
  <c r="E23" i="8"/>
  <c r="C22" i="8"/>
  <c r="J20" i="8"/>
  <c r="Q18" i="8"/>
  <c r="O17" i="8"/>
  <c r="B16" i="8"/>
  <c r="N14" i="8"/>
  <c r="B13" i="8"/>
  <c r="A12" i="8"/>
  <c r="N10" i="8"/>
  <c r="B9" i="8"/>
  <c r="A8" i="8"/>
  <c r="S6" i="8"/>
  <c r="Q5" i="8"/>
  <c r="E3" i="8"/>
  <c r="H108" i="7"/>
  <c r="H107" i="7"/>
  <c r="E106" i="7"/>
  <c r="A105" i="7"/>
  <c r="F47" i="22"/>
  <c r="H139" i="19"/>
  <c r="D56" i="20"/>
  <c r="N39" i="20"/>
  <c r="H218" i="19"/>
  <c r="D127" i="19"/>
  <c r="B52" i="19"/>
  <c r="X106" i="18"/>
  <c r="E35" i="18"/>
  <c r="Q84" i="19"/>
  <c r="D133" i="18"/>
  <c r="A64" i="18"/>
  <c r="Q89" i="19"/>
  <c r="O10" i="19"/>
  <c r="T108" i="18"/>
  <c r="D87" i="18"/>
  <c r="S63" i="18"/>
  <c r="C37" i="18"/>
  <c r="V13" i="18"/>
  <c r="J81" i="17"/>
  <c r="D93" i="19"/>
  <c r="J73" i="19"/>
  <c r="J53" i="19"/>
  <c r="F33" i="19"/>
  <c r="C14" i="19"/>
  <c r="B119" i="18"/>
  <c r="S100" i="18"/>
  <c r="C84" i="18"/>
  <c r="E67" i="18"/>
  <c r="V48" i="18"/>
  <c r="D30" i="18"/>
  <c r="O13" i="18"/>
  <c r="S85" i="17"/>
  <c r="F75" i="17"/>
  <c r="E59" i="17"/>
  <c r="B40" i="17"/>
  <c r="F18" i="17"/>
  <c r="E74" i="16"/>
  <c r="L56" i="16"/>
  <c r="B35" i="16"/>
  <c r="E13" i="16"/>
  <c r="C130" i="15"/>
  <c r="S112" i="15"/>
  <c r="F95" i="15"/>
  <c r="N73" i="15"/>
  <c r="D52" i="15"/>
  <c r="H30" i="15"/>
  <c r="Q8" i="15"/>
  <c r="C367" i="14"/>
  <c r="B72" i="17"/>
  <c r="C56" i="17"/>
  <c r="D35" i="17"/>
  <c r="N13" i="17"/>
  <c r="B69" i="16"/>
  <c r="L50" i="16"/>
  <c r="H29" i="16"/>
  <c r="L7" i="16"/>
  <c r="B127" i="15"/>
  <c r="T109" i="15"/>
  <c r="A91" i="15"/>
  <c r="E69" i="15"/>
  <c r="L47" i="15"/>
  <c r="O26" i="15"/>
  <c r="N77" i="17"/>
  <c r="L67" i="17"/>
  <c r="D62" i="17"/>
  <c r="N56" i="17"/>
  <c r="N50" i="17"/>
  <c r="L43" i="17"/>
  <c r="J36" i="17"/>
  <c r="E29" i="17"/>
  <c r="J22" i="17"/>
  <c r="C15" i="17"/>
  <c r="B8" i="17"/>
  <c r="F77" i="16"/>
  <c r="H70" i="16"/>
  <c r="A65" i="16"/>
  <c r="A61" i="16"/>
  <c r="O56" i="16"/>
  <c r="J51" i="16"/>
  <c r="D46" i="16"/>
  <c r="Q40" i="16"/>
  <c r="D35" i="16"/>
  <c r="N29" i="16"/>
  <c r="E24" i="16"/>
  <c r="D19" i="16"/>
  <c r="O13" i="16"/>
  <c r="F8" i="16"/>
  <c r="T138" i="15"/>
  <c r="E134" i="15"/>
  <c r="E130" i="15"/>
  <c r="C126" i="15"/>
  <c r="S121" i="15"/>
  <c r="B117" i="15"/>
  <c r="A113" i="15"/>
  <c r="B109" i="15"/>
  <c r="A105" i="15"/>
  <c r="N100" i="15"/>
  <c r="J95" i="15"/>
  <c r="B90" i="15"/>
  <c r="N84" i="15"/>
  <c r="J79" i="15"/>
  <c r="Q73" i="15"/>
  <c r="F68" i="15"/>
  <c r="Q62" i="15"/>
  <c r="F57" i="15"/>
  <c r="B52" i="15"/>
  <c r="N46" i="15"/>
  <c r="E41" i="15"/>
  <c r="A36" i="15"/>
  <c r="L30" i="15"/>
  <c r="L25" i="15"/>
  <c r="H20" i="15"/>
  <c r="L14" i="15"/>
  <c r="J9" i="15"/>
  <c r="J389" i="14"/>
  <c r="J381" i="14"/>
  <c r="A375" i="14"/>
  <c r="H368" i="14"/>
  <c r="C362" i="14"/>
  <c r="L355" i="14"/>
  <c r="J95" i="17"/>
  <c r="H78" i="17"/>
  <c r="V73" i="17"/>
  <c r="V69" i="17"/>
  <c r="D65" i="17"/>
  <c r="D61" i="17"/>
  <c r="D57" i="17"/>
  <c r="B53" i="17"/>
  <c r="C48" i="17"/>
  <c r="L42" i="17"/>
  <c r="F37" i="17"/>
  <c r="A32" i="17"/>
  <c r="O26" i="17"/>
  <c r="J21" i="17"/>
  <c r="A16" i="17"/>
  <c r="O10" i="17"/>
  <c r="V5" i="17"/>
  <c r="E77" i="16"/>
  <c r="F72" i="16"/>
  <c r="E68" i="16"/>
  <c r="S63" i="16"/>
  <c r="X59" i="16"/>
  <c r="O54" i="16"/>
  <c r="J49" i="16"/>
  <c r="O43" i="16"/>
  <c r="J38" i="16"/>
  <c r="C33" i="16"/>
  <c r="N27" i="16"/>
  <c r="J22" i="16"/>
  <c r="A17" i="16"/>
  <c r="C12" i="16"/>
  <c r="X6" i="16"/>
  <c r="B137" i="15"/>
  <c r="V132" i="15"/>
  <c r="X128" i="15"/>
  <c r="C124" i="15"/>
  <c r="V119" i="15"/>
  <c r="H115" i="15"/>
  <c r="F111" i="15"/>
  <c r="B107" i="15"/>
  <c r="B103" i="15"/>
  <c r="A98" i="15"/>
  <c r="L92" i="15"/>
  <c r="H87" i="15"/>
  <c r="A82" i="15"/>
  <c r="L76" i="15"/>
  <c r="C71" i="15"/>
  <c r="E65" i="15"/>
  <c r="C60" i="15"/>
  <c r="O54" i="15"/>
  <c r="H49" i="15"/>
  <c r="D44" i="15"/>
  <c r="N38" i="15"/>
  <c r="B33" i="15"/>
  <c r="N27" i="15"/>
  <c r="F22" i="15"/>
  <c r="E17" i="15"/>
  <c r="N11" i="15"/>
  <c r="H6" i="15"/>
  <c r="L386" i="14"/>
  <c r="J379" i="14"/>
  <c r="J371" i="14"/>
  <c r="A16" i="15"/>
  <c r="B379" i="14"/>
  <c r="E358" i="14"/>
  <c r="F348" i="14"/>
  <c r="J340" i="14"/>
  <c r="X332" i="14"/>
  <c r="X324" i="14"/>
  <c r="X316" i="14"/>
  <c r="X308" i="14"/>
  <c r="D300" i="14"/>
  <c r="A291" i="14"/>
  <c r="B282" i="14"/>
  <c r="Q272" i="14"/>
  <c r="Q263" i="14"/>
  <c r="N253" i="14"/>
  <c r="C245" i="14"/>
  <c r="N235" i="14"/>
  <c r="B226" i="14"/>
  <c r="A217" i="14"/>
  <c r="Q207" i="14"/>
  <c r="Q198" i="14"/>
  <c r="N188" i="14"/>
  <c r="C180" i="14"/>
  <c r="N170" i="14"/>
  <c r="O161" i="14"/>
  <c r="Q152" i="14"/>
  <c r="N142" i="14"/>
  <c r="C134" i="14"/>
  <c r="A124" i="14"/>
  <c r="B115" i="14"/>
  <c r="A106" i="14"/>
  <c r="C96" i="14"/>
  <c r="N86" i="14"/>
  <c r="C77" i="14"/>
  <c r="A67" i="14"/>
  <c r="N57" i="14"/>
  <c r="D48" i="14"/>
  <c r="A39" i="14"/>
  <c r="N29" i="14"/>
  <c r="N19" i="14"/>
  <c r="O10" i="14"/>
  <c r="X138" i="13"/>
  <c r="E133" i="13"/>
  <c r="A128" i="13"/>
  <c r="A124" i="13"/>
  <c r="V119" i="13"/>
  <c r="Q116" i="13"/>
  <c r="L113" i="13"/>
  <c r="E110" i="13"/>
  <c r="A107" i="13"/>
  <c r="V103" i="13"/>
  <c r="D100" i="13"/>
  <c r="F94" i="13"/>
  <c r="D89" i="13"/>
  <c r="F83" i="13"/>
  <c r="E78" i="13"/>
  <c r="D73" i="13"/>
  <c r="B67" i="13"/>
  <c r="F61" i="13"/>
  <c r="E56" i="13"/>
  <c r="Q50" i="13"/>
  <c r="O45" i="13"/>
  <c r="H40" i="13"/>
  <c r="D35" i="13"/>
  <c r="F29" i="13"/>
  <c r="E24" i="13"/>
  <c r="D19" i="13"/>
  <c r="F13" i="13"/>
  <c r="E8" i="13"/>
  <c r="V123" i="12"/>
  <c r="N119" i="12"/>
  <c r="N115" i="12"/>
  <c r="N110" i="12"/>
  <c r="X105" i="12"/>
  <c r="N101" i="12"/>
  <c r="E97" i="12"/>
  <c r="D92" i="12"/>
  <c r="E86" i="12"/>
  <c r="L81" i="12"/>
  <c r="J76" i="12"/>
  <c r="C71" i="12"/>
  <c r="Q65" i="12"/>
  <c r="B60" i="12"/>
  <c r="L54" i="12"/>
  <c r="J49" i="12"/>
  <c r="L43" i="12"/>
  <c r="B38" i="12"/>
  <c r="C33" i="12"/>
  <c r="Q27" i="12"/>
  <c r="L22" i="12"/>
  <c r="J17" i="12"/>
  <c r="N11" i="12"/>
  <c r="H6" i="12"/>
  <c r="N118" i="11"/>
  <c r="B114" i="11"/>
  <c r="H109" i="11"/>
  <c r="T104" i="11"/>
  <c r="V100" i="11"/>
  <c r="Q96" i="11"/>
  <c r="L93" i="11"/>
  <c r="E90" i="11"/>
  <c r="A87" i="11"/>
  <c r="H82" i="11"/>
  <c r="C382" i="14"/>
  <c r="L358" i="14"/>
  <c r="L350" i="14"/>
  <c r="C344" i="14"/>
  <c r="L337" i="14"/>
  <c r="A331" i="14"/>
  <c r="A323" i="14"/>
  <c r="A315" i="14"/>
  <c r="A307" i="14"/>
  <c r="A298" i="14"/>
  <c r="B289" i="14"/>
  <c r="C280" i="14"/>
  <c r="Q270" i="14"/>
  <c r="D261" i="14"/>
  <c r="O251" i="14"/>
  <c r="O241" i="14"/>
  <c r="C232" i="14"/>
  <c r="B223" i="14"/>
  <c r="C214" i="14"/>
  <c r="A204" i="14"/>
  <c r="A195" i="14"/>
  <c r="Q185" i="14"/>
  <c r="B176" i="14"/>
  <c r="C167" i="14"/>
  <c r="N157" i="14"/>
  <c r="B148" i="14"/>
  <c r="C139" i="14"/>
  <c r="Q129" i="14"/>
  <c r="N119" i="14"/>
  <c r="C111" i="14"/>
  <c r="B101" i="14"/>
  <c r="Q91" i="14"/>
  <c r="Q82" i="14"/>
  <c r="B73" i="14"/>
  <c r="B63" i="14"/>
  <c r="O53" i="14"/>
  <c r="Q44" i="14"/>
  <c r="O35" i="14"/>
  <c r="Q26" i="14"/>
  <c r="B17" i="14"/>
  <c r="C8" i="14"/>
  <c r="L137" i="13"/>
  <c r="H132" i="13"/>
  <c r="J126" i="13"/>
  <c r="D121" i="13"/>
  <c r="O116" i="13"/>
  <c r="O112" i="13"/>
  <c r="O108" i="13"/>
  <c r="O104" i="13"/>
  <c r="C100" i="13"/>
  <c r="L94" i="13"/>
  <c r="H89" i="13"/>
  <c r="Q83" i="13"/>
  <c r="O78" i="13"/>
  <c r="Q71" i="13"/>
  <c r="O66" i="13"/>
  <c r="L61" i="13"/>
  <c r="J56" i="13"/>
  <c r="J50" i="13"/>
  <c r="C45" i="13"/>
  <c r="L39" i="13"/>
  <c r="L33" i="13"/>
  <c r="J28" i="13"/>
  <c r="C23" i="13"/>
  <c r="L17" i="13"/>
  <c r="J12" i="13"/>
  <c r="C7" i="13"/>
  <c r="B123" i="12"/>
  <c r="V118" i="12"/>
  <c r="Q114" i="12"/>
  <c r="X109" i="12"/>
  <c r="L106" i="12"/>
  <c r="S102" i="12"/>
  <c r="S98" i="12"/>
  <c r="O93" i="12"/>
  <c r="A89" i="12"/>
  <c r="J83" i="12"/>
  <c r="A78" i="12"/>
  <c r="N72" i="12"/>
  <c r="D67" i="12"/>
  <c r="C62" i="12"/>
  <c r="F56" i="12"/>
  <c r="E51" i="12"/>
  <c r="C46" i="12"/>
  <c r="H40" i="12"/>
  <c r="F35" i="12"/>
  <c r="L30" i="12"/>
  <c r="F25" i="12"/>
  <c r="Q19" i="12"/>
  <c r="N14" i="12"/>
  <c r="L6" i="15"/>
  <c r="B363" i="14"/>
  <c r="H353" i="14"/>
  <c r="D345" i="14"/>
  <c r="D337" i="14"/>
  <c r="D329" i="14"/>
  <c r="D321" i="14"/>
  <c r="D313" i="14"/>
  <c r="D305" i="14"/>
  <c r="B296" i="14"/>
  <c r="C287" i="14"/>
  <c r="N277" i="14"/>
  <c r="D268" i="14"/>
  <c r="A259" i="14"/>
  <c r="Q249" i="14"/>
  <c r="O240" i="14"/>
  <c r="C231" i="14"/>
  <c r="B222" i="14"/>
  <c r="D212" i="14"/>
  <c r="A203" i="14"/>
  <c r="O193" i="14"/>
  <c r="Q184" i="14"/>
  <c r="B175" i="14"/>
  <c r="C166" i="14"/>
  <c r="N156" i="14"/>
  <c r="B147" i="14"/>
  <c r="C138" i="14"/>
  <c r="D128" i="14"/>
  <c r="N118" i="14"/>
  <c r="D109" i="14"/>
  <c r="C99" i="14"/>
  <c r="C90" i="14"/>
  <c r="C81" i="14"/>
  <c r="N69" i="14"/>
  <c r="D60" i="14"/>
  <c r="C51" i="14"/>
  <c r="N41" i="14"/>
  <c r="D32" i="14"/>
  <c r="C23" i="14"/>
  <c r="N13" i="14"/>
  <c r="D5" i="14"/>
  <c r="C136" i="13"/>
  <c r="J130" i="13"/>
  <c r="C125" i="13"/>
  <c r="N119" i="13"/>
  <c r="N115" i="13"/>
  <c r="N111" i="13"/>
  <c r="N107" i="13"/>
  <c r="N103" i="13"/>
  <c r="J98" i="13"/>
  <c r="C93" i="13"/>
  <c r="A88" i="13"/>
  <c r="N82" i="13"/>
  <c r="B77" i="13"/>
  <c r="J71" i="13"/>
  <c r="A66" i="13"/>
  <c r="N60" i="13"/>
  <c r="B55" i="13"/>
  <c r="F49" i="13"/>
  <c r="E44" i="13"/>
  <c r="D39" i="13"/>
  <c r="J33" i="13"/>
  <c r="C28" i="13"/>
  <c r="L22" i="13"/>
  <c r="J17" i="13"/>
  <c r="C12" i="13"/>
  <c r="J6" i="13"/>
  <c r="V122" i="12"/>
  <c r="T118" i="12"/>
  <c r="A115" i="12"/>
  <c r="V110" i="12"/>
  <c r="D107" i="12"/>
  <c r="X102" i="12"/>
  <c r="B98" i="12"/>
  <c r="F92" i="12"/>
  <c r="O86" i="12"/>
  <c r="H81" i="12"/>
  <c r="D78" i="12"/>
  <c r="Q75" i="12"/>
  <c r="J74" i="12"/>
  <c r="F72" i="12"/>
  <c r="N70" i="12"/>
  <c r="E69" i="12"/>
  <c r="N67" i="12"/>
  <c r="N65" i="12"/>
  <c r="D64" i="12"/>
  <c r="B62" i="12"/>
  <c r="J60" i="12"/>
  <c r="O58" i="12"/>
  <c r="Q56" i="12"/>
  <c r="D55" i="12"/>
  <c r="B53" i="12"/>
  <c r="O51" i="12"/>
  <c r="F49" i="12"/>
  <c r="A48" i="12"/>
  <c r="F46" i="12"/>
  <c r="O44" i="12"/>
  <c r="C43" i="12"/>
  <c r="E41" i="12"/>
  <c r="L39" i="12"/>
  <c r="D38" i="12"/>
  <c r="Q36" i="12"/>
  <c r="O34" i="12"/>
  <c r="A33" i="12"/>
  <c r="H31" i="12"/>
  <c r="F29" i="12"/>
  <c r="N27" i="12"/>
  <c r="C26" i="12"/>
  <c r="C24" i="12"/>
  <c r="C22" i="12"/>
  <c r="E20" i="12"/>
  <c r="H18" i="12"/>
  <c r="L16" i="12"/>
  <c r="D15" i="12"/>
  <c r="D13" i="12"/>
  <c r="J11" i="12"/>
  <c r="O9" i="12"/>
  <c r="Q7" i="12"/>
  <c r="A6" i="12"/>
  <c r="E4" i="12"/>
  <c r="B120" i="11"/>
  <c r="Q118" i="11"/>
  <c r="A117" i="11"/>
  <c r="F115" i="11"/>
  <c r="E114" i="11"/>
  <c r="S112" i="11"/>
  <c r="A111" i="11"/>
  <c r="S109" i="11"/>
  <c r="J108" i="11"/>
  <c r="X106" i="11"/>
  <c r="H105" i="11"/>
  <c r="V103" i="11"/>
  <c r="E102" i="11"/>
  <c r="C101" i="11"/>
  <c r="S98" i="11"/>
  <c r="H97" i="11"/>
  <c r="C96" i="11"/>
  <c r="S94" i="11"/>
  <c r="H93" i="11"/>
  <c r="C92" i="11"/>
  <c r="S90" i="11"/>
  <c r="H89" i="11"/>
  <c r="C88" i="11"/>
  <c r="S86" i="11"/>
  <c r="H85" i="11"/>
  <c r="B83" i="11"/>
  <c r="O81" i="11"/>
  <c r="F79" i="11"/>
  <c r="A78" i="11"/>
  <c r="H76" i="11"/>
  <c r="H74" i="11"/>
  <c r="N72" i="11"/>
  <c r="Q70" i="11"/>
  <c r="D69" i="11"/>
  <c r="L9" i="15"/>
  <c r="E389" i="14"/>
  <c r="F379" i="14"/>
  <c r="D368" i="14"/>
  <c r="J361" i="14"/>
  <c r="F358" i="14"/>
  <c r="F354" i="14"/>
  <c r="C352" i="14"/>
  <c r="L349" i="14"/>
  <c r="L347" i="14"/>
  <c r="H345" i="14"/>
  <c r="C343" i="14"/>
  <c r="C341" i="14"/>
  <c r="C339" i="14"/>
  <c r="L336" i="14"/>
  <c r="L334" i="14"/>
  <c r="S332" i="14"/>
  <c r="V329" i="14"/>
  <c r="C327" i="14"/>
  <c r="S324" i="14"/>
  <c r="V321" i="14"/>
  <c r="C319" i="14"/>
  <c r="S316" i="14"/>
  <c r="V313" i="14"/>
  <c r="C311" i="14"/>
  <c r="S308" i="14"/>
  <c r="V305" i="14"/>
  <c r="B303" i="14"/>
  <c r="A300" i="14"/>
  <c r="N296" i="14"/>
  <c r="C294" i="14"/>
  <c r="B291" i="14"/>
  <c r="O287" i="14"/>
  <c r="N284" i="14"/>
  <c r="C282" i="14"/>
  <c r="Q278" i="14"/>
  <c r="C275" i="14"/>
  <c r="D271" i="14"/>
  <c r="C268" i="14"/>
  <c r="B265" i="14"/>
  <c r="A262" i="14"/>
  <c r="N258" i="14"/>
  <c r="C256" i="14"/>
  <c r="Q252" i="14"/>
  <c r="B249" i="14"/>
  <c r="Q246" i="14"/>
  <c r="O243" i="14"/>
  <c r="A240" i="14"/>
  <c r="D237" i="14"/>
  <c r="D234" i="14"/>
  <c r="Q230" i="14"/>
  <c r="O227" i="14"/>
  <c r="D224" i="14"/>
  <c r="Q220" i="14"/>
  <c r="O217" i="14"/>
  <c r="N214" i="14"/>
  <c r="N210" i="14"/>
  <c r="C208" i="14"/>
  <c r="B205" i="14"/>
  <c r="A201" i="14"/>
  <c r="D198" i="14"/>
  <c r="Q195" i="14"/>
  <c r="Q191" i="14"/>
  <c r="O188" i="14"/>
  <c r="N185" i="14"/>
  <c r="O182" i="14"/>
  <c r="N179" i="14"/>
  <c r="C177" i="14"/>
  <c r="Q173" i="14"/>
  <c r="O170" i="14"/>
  <c r="N167" i="14"/>
  <c r="D164" i="14"/>
  <c r="Q161" i="14"/>
  <c r="O158" i="14"/>
  <c r="A155" i="14"/>
  <c r="D152" i="14"/>
  <c r="C149" i="14"/>
  <c r="Q145" i="14"/>
  <c r="O142" i="14"/>
  <c r="N139" i="14"/>
  <c r="O136" i="14"/>
  <c r="N133" i="14"/>
  <c r="C131" i="14"/>
  <c r="C127" i="14"/>
  <c r="B124" i="14"/>
  <c r="A121" i="14"/>
  <c r="N117" i="14"/>
  <c r="C115" i="14"/>
  <c r="N111" i="14"/>
  <c r="D108" i="14"/>
  <c r="Q105" i="14"/>
  <c r="O102" i="14"/>
  <c r="B98" i="14"/>
  <c r="A95" i="14"/>
  <c r="D92" i="14"/>
  <c r="C89" i="14"/>
  <c r="B86" i="14"/>
  <c r="N82" i="14"/>
  <c r="D78" i="14"/>
  <c r="N74" i="14"/>
  <c r="O71" i="14"/>
  <c r="D69" i="14"/>
  <c r="B67" i="14"/>
  <c r="B65" i="14"/>
  <c r="N62" i="14"/>
  <c r="Q60" i="14"/>
  <c r="A58" i="14"/>
  <c r="C56" i="14"/>
  <c r="D53" i="14"/>
  <c r="B51" i="14"/>
  <c r="N48" i="14"/>
  <c r="Q46" i="14"/>
  <c r="A44" i="14"/>
  <c r="C42" i="14"/>
  <c r="O39" i="14"/>
  <c r="D37" i="14"/>
  <c r="A34" i="14"/>
  <c r="C32" i="14"/>
  <c r="O29" i="14"/>
  <c r="D27" i="14"/>
  <c r="A24" i="14"/>
  <c r="C22" i="14"/>
  <c r="O19" i="14"/>
  <c r="D17" i="14"/>
  <c r="B15" i="14"/>
  <c r="N12" i="14"/>
  <c r="Q10" i="14"/>
  <c r="A8" i="14"/>
  <c r="N5" i="14"/>
  <c r="T139" i="13"/>
  <c r="H138" i="13"/>
  <c r="F136" i="13"/>
  <c r="E135" i="13"/>
  <c r="C134" i="13"/>
  <c r="L132" i="13"/>
  <c r="J131" i="13"/>
  <c r="C130" i="13"/>
  <c r="J128" i="13"/>
  <c r="B127" i="13"/>
  <c r="X125" i="13"/>
  <c r="F124" i="13"/>
  <c r="B123" i="13"/>
  <c r="X121" i="13"/>
  <c r="L120" i="13"/>
  <c r="B119" i="13"/>
  <c r="X117" i="13"/>
  <c r="F116" i="13"/>
  <c r="B115" i="13"/>
  <c r="X113" i="13"/>
  <c r="F112" i="13"/>
  <c r="B111" i="13"/>
  <c r="X109" i="13"/>
  <c r="F108" i="13"/>
  <c r="B107" i="13"/>
  <c r="X105" i="13"/>
  <c r="F104" i="13"/>
  <c r="B103" i="13"/>
  <c r="V101" i="13"/>
  <c r="Q100" i="13"/>
  <c r="O99" i="13"/>
  <c r="H98" i="13"/>
  <c r="Q96" i="13"/>
  <c r="O95" i="13"/>
  <c r="H94" i="13"/>
  <c r="Q92" i="13"/>
  <c r="O91" i="13"/>
  <c r="H90" i="13"/>
  <c r="A89" i="13"/>
  <c r="N87" i="13"/>
  <c r="B86" i="13"/>
  <c r="A85" i="13"/>
  <c r="N83" i="13"/>
  <c r="B82" i="13"/>
  <c r="A81" i="13"/>
  <c r="N79" i="13"/>
  <c r="B78" i="13"/>
  <c r="A77" i="13"/>
  <c r="Q75" i="13"/>
  <c r="O74" i="13"/>
  <c r="L73" i="13"/>
  <c r="J72" i="13"/>
  <c r="C71" i="13"/>
  <c r="A69" i="13"/>
  <c r="N67" i="13"/>
  <c r="N65" i="13"/>
  <c r="B64" i="13"/>
  <c r="A63" i="13"/>
  <c r="N61" i="13"/>
  <c r="B60" i="13"/>
  <c r="A59" i="13"/>
  <c r="N57" i="13"/>
  <c r="B56" i="13"/>
  <c r="A55" i="13"/>
  <c r="Q53" i="13"/>
  <c r="O52" i="13"/>
  <c r="H51" i="13"/>
  <c r="Q49" i="13"/>
  <c r="O48" i="13"/>
  <c r="H47" i="13"/>
  <c r="Q45" i="13"/>
  <c r="O44" i="13"/>
  <c r="H43" i="13"/>
  <c r="Q41" i="13"/>
  <c r="O40" i="13"/>
  <c r="H39" i="13"/>
  <c r="Q37" i="13"/>
  <c r="O36" i="13"/>
  <c r="L35" i="13"/>
  <c r="J34" i="13"/>
  <c r="C33" i="13"/>
  <c r="L31" i="13"/>
  <c r="J30" i="13"/>
  <c r="C29" i="13"/>
  <c r="L27" i="13"/>
  <c r="J26" i="13"/>
  <c r="C25" i="13"/>
  <c r="L23" i="13"/>
  <c r="J22" i="13"/>
  <c r="C21" i="13"/>
  <c r="L19" i="13"/>
  <c r="J18" i="13"/>
  <c r="C17" i="13"/>
  <c r="L15" i="13"/>
  <c r="J14" i="13"/>
  <c r="C13" i="13"/>
  <c r="L11" i="13"/>
  <c r="J10" i="13"/>
  <c r="C9" i="13"/>
  <c r="L7" i="13"/>
  <c r="H6" i="13"/>
  <c r="A5" i="13"/>
  <c r="B124" i="12"/>
  <c r="D123" i="12"/>
  <c r="D122" i="12"/>
  <c r="S120" i="12"/>
  <c r="V119" i="12"/>
  <c r="S118" i="12"/>
  <c r="V117" i="12"/>
  <c r="S116" i="12"/>
  <c r="O115" i="12"/>
  <c r="N114" i="12"/>
  <c r="L113" i="12"/>
  <c r="J112" i="12"/>
  <c r="D111" i="12"/>
  <c r="D110" i="12"/>
  <c r="C109" i="12"/>
  <c r="C108" i="12"/>
  <c r="C107" i="12"/>
  <c r="C106" i="12"/>
  <c r="C105" i="12"/>
  <c r="A104" i="12"/>
  <c r="E103" i="12"/>
  <c r="L102" i="12"/>
  <c r="O101" i="12"/>
  <c r="L100" i="12"/>
  <c r="Q99" i="12"/>
  <c r="V98" i="12"/>
  <c r="A98" i="12"/>
  <c r="Q96" i="12"/>
  <c r="O95" i="12"/>
  <c r="H94" i="12"/>
  <c r="Q92" i="12"/>
  <c r="N91" i="12"/>
  <c r="J90" i="12"/>
  <c r="C89" i="12"/>
  <c r="L87" i="12"/>
  <c r="F86" i="12"/>
  <c r="E85" i="12"/>
  <c r="D84" i="12"/>
  <c r="H82" i="12"/>
  <c r="Q80" i="12"/>
  <c r="O79" i="12"/>
  <c r="H78" i="12"/>
  <c r="Q76" i="12"/>
  <c r="O75" i="12"/>
  <c r="H74" i="12"/>
  <c r="Q72" i="12"/>
  <c r="O71" i="12"/>
  <c r="E70" i="12"/>
  <c r="D69" i="12"/>
  <c r="F67" i="12"/>
  <c r="C66" i="12"/>
  <c r="N64" i="12"/>
  <c r="B63" i="12"/>
  <c r="A62" i="12"/>
  <c r="N60" i="12"/>
  <c r="E59" i="12"/>
  <c r="B58" i="12"/>
  <c r="A57" i="12"/>
  <c r="N55" i="12"/>
  <c r="B54" i="12"/>
  <c r="A53" i="12"/>
  <c r="N51" i="12"/>
  <c r="B50" i="12"/>
  <c r="A49" i="12"/>
  <c r="N47" i="12"/>
  <c r="E46" i="12"/>
  <c r="D45" i="12"/>
  <c r="F43" i="12"/>
  <c r="E42" i="12"/>
  <c r="D41" i="12"/>
  <c r="O39" i="12"/>
  <c r="H38" i="12"/>
  <c r="O36" i="12"/>
  <c r="J35" i="12"/>
  <c r="C34" i="12"/>
  <c r="N32" i="12"/>
  <c r="B31" i="12"/>
  <c r="L29" i="12"/>
  <c r="H28" i="12"/>
  <c r="A27" i="12"/>
  <c r="Q25" i="12"/>
  <c r="B24" i="12"/>
  <c r="A23" i="12"/>
  <c r="Q21" i="12"/>
  <c r="O20" i="12"/>
  <c r="H19" i="12"/>
  <c r="Q17" i="12"/>
  <c r="O16" i="12"/>
  <c r="H15" i="12"/>
  <c r="D14" i="12"/>
  <c r="F12" i="12"/>
  <c r="C11" i="12"/>
  <c r="N9" i="12"/>
  <c r="B8" i="12"/>
  <c r="Q6" i="12"/>
  <c r="N5" i="12"/>
  <c r="T120" i="11"/>
  <c r="Q119" i="11"/>
  <c r="O118" i="11"/>
  <c r="L117" i="11"/>
  <c r="J116" i="11"/>
  <c r="E115" i="11"/>
  <c r="D114" i="11"/>
  <c r="B113" i="11"/>
  <c r="V111" i="11"/>
  <c r="S110" i="11"/>
  <c r="X109" i="11"/>
  <c r="N108" i="11"/>
  <c r="F107" i="11"/>
  <c r="H106" i="11"/>
  <c r="A105" i="11"/>
  <c r="E104" i="11"/>
  <c r="X102" i="11"/>
  <c r="F101" i="11"/>
  <c r="D100" i="11"/>
  <c r="B98" i="11"/>
  <c r="X96" i="11"/>
  <c r="F95" i="11"/>
  <c r="B94" i="11"/>
  <c r="X92" i="11"/>
  <c r="F91" i="11"/>
  <c r="B90" i="11"/>
  <c r="X88" i="11"/>
  <c r="F87" i="11"/>
  <c r="B86" i="11"/>
  <c r="X83" i="11"/>
  <c r="D12" i="12"/>
  <c r="L7" i="12"/>
  <c r="B119" i="11"/>
  <c r="V113" i="11"/>
  <c r="Q108" i="11"/>
  <c r="J103" i="11"/>
  <c r="O96" i="11"/>
  <c r="O92" i="11"/>
  <c r="O88" i="11"/>
  <c r="O83" i="11"/>
  <c r="D80" i="11"/>
  <c r="O78" i="11"/>
  <c r="F77" i="11"/>
  <c r="H75" i="11"/>
  <c r="L73" i="11"/>
  <c r="B72" i="11"/>
  <c r="N70" i="11"/>
  <c r="H68" i="11"/>
  <c r="Q66" i="11"/>
  <c r="H64" i="11"/>
  <c r="Q62" i="11"/>
  <c r="O61" i="11"/>
  <c r="H60" i="11"/>
  <c r="Q58" i="11"/>
  <c r="O57" i="11"/>
  <c r="H56" i="11"/>
  <c r="Q54" i="11"/>
  <c r="B53" i="11"/>
  <c r="A52" i="11"/>
  <c r="N50" i="11"/>
  <c r="B49" i="11"/>
  <c r="A48" i="11"/>
  <c r="N46" i="11"/>
  <c r="B45" i="11"/>
  <c r="A44" i="11"/>
  <c r="N42" i="11"/>
  <c r="B41" i="11"/>
  <c r="A40" i="11"/>
  <c r="N38" i="11"/>
  <c r="B37" i="11"/>
  <c r="F35" i="11"/>
  <c r="E34" i="11"/>
  <c r="D33" i="11"/>
  <c r="F31" i="11"/>
  <c r="E30" i="11"/>
  <c r="D29" i="11"/>
  <c r="F27" i="11"/>
  <c r="E26" i="11"/>
  <c r="D25" i="11"/>
  <c r="F23" i="11"/>
  <c r="E22" i="11"/>
  <c r="D21" i="11"/>
  <c r="F19" i="11"/>
  <c r="E18" i="11"/>
  <c r="D17" i="11"/>
  <c r="F15" i="11"/>
  <c r="E14" i="11"/>
  <c r="D13" i="11"/>
  <c r="F11" i="11"/>
  <c r="E10" i="11"/>
  <c r="D9" i="11"/>
  <c r="F7" i="11"/>
  <c r="S4" i="11"/>
  <c r="S145" i="10"/>
  <c r="J144" i="10"/>
  <c r="D143" i="10"/>
  <c r="A141" i="10"/>
  <c r="E140" i="10"/>
  <c r="X137" i="10"/>
  <c r="F136" i="10"/>
  <c r="B135" i="10"/>
  <c r="S133" i="10"/>
  <c r="S132" i="10"/>
  <c r="O131" i="10"/>
  <c r="L130" i="10"/>
  <c r="Q129" i="10"/>
  <c r="V128" i="10"/>
  <c r="A128" i="10"/>
  <c r="X126" i="10"/>
  <c r="J125" i="10"/>
  <c r="E124" i="10"/>
  <c r="B123" i="10"/>
  <c r="D121" i="10"/>
  <c r="D120" i="10"/>
  <c r="D119" i="10"/>
  <c r="D118" i="10"/>
  <c r="D117" i="10"/>
  <c r="D116" i="10"/>
  <c r="D115" i="10"/>
  <c r="D114" i="10"/>
  <c r="D113" i="10"/>
  <c r="D112" i="10"/>
  <c r="D111" i="10"/>
  <c r="C110" i="10"/>
  <c r="C109" i="10"/>
  <c r="C108" i="10"/>
  <c r="C107" i="10"/>
  <c r="D105" i="10"/>
  <c r="F103" i="10"/>
  <c r="E102" i="10"/>
  <c r="D101" i="10"/>
  <c r="F99" i="10"/>
  <c r="E98" i="10"/>
  <c r="D97" i="10"/>
  <c r="F95" i="10"/>
  <c r="E94" i="10"/>
  <c r="D93" i="10"/>
  <c r="F91" i="10"/>
  <c r="E90" i="10"/>
  <c r="D89" i="10"/>
  <c r="F87" i="10"/>
  <c r="E86" i="10"/>
  <c r="D85" i="10"/>
  <c r="F83" i="10"/>
  <c r="E82" i="10"/>
  <c r="D81" i="10"/>
  <c r="F79" i="10"/>
  <c r="E78" i="10"/>
  <c r="H75" i="10"/>
  <c r="C73" i="10"/>
  <c r="L71" i="10"/>
  <c r="J70" i="10"/>
  <c r="C69" i="10"/>
  <c r="O67" i="10"/>
  <c r="O65" i="10"/>
  <c r="H64" i="10"/>
  <c r="Q62" i="10"/>
  <c r="O61" i="10"/>
  <c r="H60" i="10"/>
  <c r="Q58" i="10"/>
  <c r="O57" i="10"/>
  <c r="H56" i="10"/>
  <c r="Q54" i="10"/>
  <c r="B53" i="10"/>
  <c r="A52" i="10"/>
  <c r="N50" i="10"/>
  <c r="B49" i="10"/>
  <c r="A48" i="10"/>
  <c r="N46" i="10"/>
  <c r="B45" i="10"/>
  <c r="A44" i="10"/>
  <c r="N42" i="10"/>
  <c r="B41" i="10"/>
  <c r="D39" i="10"/>
  <c r="F37" i="10"/>
  <c r="E36" i="10"/>
  <c r="L34" i="10"/>
  <c r="J33" i="10"/>
  <c r="C32" i="10"/>
  <c r="L30" i="10"/>
  <c r="J29" i="10"/>
  <c r="C28" i="10"/>
  <c r="L26" i="10"/>
  <c r="J25" i="10"/>
  <c r="C24" i="10"/>
  <c r="L22" i="10"/>
  <c r="J21" i="10"/>
  <c r="C20" i="10"/>
  <c r="L18" i="10"/>
  <c r="J17" i="10"/>
  <c r="C16" i="10"/>
  <c r="L14" i="10"/>
  <c r="J13" i="10"/>
  <c r="C12" i="10"/>
  <c r="L10" i="10"/>
  <c r="J9" i="10"/>
  <c r="C8" i="10"/>
  <c r="F5" i="10"/>
  <c r="C3" i="10"/>
  <c r="F100" i="9"/>
  <c r="V98" i="9"/>
  <c r="V97" i="9"/>
  <c r="A97" i="9"/>
  <c r="B96" i="9"/>
  <c r="A95" i="9"/>
  <c r="E94" i="9"/>
  <c r="L93" i="9"/>
  <c r="L92" i="9"/>
  <c r="L91" i="9"/>
  <c r="Q90" i="9"/>
  <c r="V89" i="9"/>
  <c r="T88" i="9"/>
  <c r="V87" i="9"/>
  <c r="A87" i="9"/>
  <c r="E86" i="9"/>
  <c r="L85" i="9"/>
  <c r="Q84" i="9"/>
  <c r="V83" i="9"/>
  <c r="A83" i="9"/>
  <c r="E82" i="9"/>
  <c r="L81" i="9"/>
  <c r="Q80" i="9"/>
  <c r="V79" i="9"/>
  <c r="A79" i="9"/>
  <c r="E78" i="9"/>
  <c r="N76" i="9"/>
  <c r="B75" i="9"/>
  <c r="A74" i="9"/>
  <c r="N72" i="9"/>
  <c r="B71" i="9"/>
  <c r="A70" i="9"/>
  <c r="N68" i="9"/>
  <c r="B67" i="9"/>
  <c r="A66" i="9"/>
  <c r="N64" i="9"/>
  <c r="B63" i="9"/>
  <c r="A62" i="9"/>
  <c r="N60" i="9"/>
  <c r="B59" i="9"/>
  <c r="A58" i="9"/>
  <c r="N56" i="9"/>
  <c r="B55" i="9"/>
  <c r="J53" i="9"/>
  <c r="J51" i="9"/>
  <c r="F49" i="9"/>
  <c r="A48" i="9"/>
  <c r="C46" i="9"/>
  <c r="E44" i="9"/>
  <c r="D43" i="9"/>
  <c r="B41" i="9"/>
  <c r="A40" i="9"/>
  <c r="N38" i="9"/>
  <c r="B37" i="9"/>
  <c r="A36" i="9"/>
  <c r="N34" i="9"/>
  <c r="B33" i="9"/>
  <c r="A32" i="9"/>
  <c r="N30" i="9"/>
  <c r="B29" i="9"/>
  <c r="A28" i="9"/>
  <c r="N26" i="9"/>
  <c r="B25" i="9"/>
  <c r="A24" i="9"/>
  <c r="N22" i="9"/>
  <c r="B21" i="9"/>
  <c r="A20" i="9"/>
  <c r="N18" i="9"/>
  <c r="B17" i="9"/>
  <c r="A16" i="9"/>
  <c r="N14" i="9"/>
  <c r="B13" i="9"/>
  <c r="A12" i="9"/>
  <c r="N10" i="9"/>
  <c r="B9" i="9"/>
  <c r="A8" i="9"/>
  <c r="N6" i="9"/>
  <c r="F5" i="9"/>
  <c r="C3" i="9"/>
  <c r="E101" i="8"/>
  <c r="L100" i="8"/>
  <c r="A99" i="8"/>
  <c r="E98" i="8"/>
  <c r="H97" i="8"/>
  <c r="H96" i="8"/>
  <c r="J95" i="8"/>
  <c r="H94" i="8"/>
  <c r="H93" i="8"/>
  <c r="H92" i="8"/>
  <c r="H91" i="8"/>
  <c r="H90" i="8"/>
  <c r="H89" i="8"/>
  <c r="H87" i="8"/>
  <c r="B86" i="8"/>
  <c r="F84" i="8"/>
  <c r="L83" i="8"/>
  <c r="Q82" i="8"/>
  <c r="T81" i="8"/>
  <c r="T80" i="8"/>
  <c r="S79" i="8"/>
  <c r="F78" i="8"/>
  <c r="L77" i="8"/>
  <c r="Q76" i="8"/>
  <c r="N75" i="8"/>
  <c r="N74" i="8"/>
  <c r="Q73" i="8"/>
  <c r="T72" i="8"/>
  <c r="O71" i="8"/>
  <c r="H70" i="8"/>
  <c r="Q68" i="8"/>
  <c r="O67" i="8"/>
  <c r="H66" i="8"/>
  <c r="C65" i="8"/>
  <c r="A64" i="8"/>
  <c r="F62" i="8"/>
  <c r="B61" i="8"/>
  <c r="A60" i="8"/>
  <c r="S58" i="8"/>
  <c r="S57" i="8"/>
  <c r="T56" i="8"/>
  <c r="N55" i="8"/>
  <c r="N54" i="8"/>
  <c r="J53" i="8"/>
  <c r="L52" i="8"/>
  <c r="E51" i="8"/>
  <c r="L50" i="8"/>
  <c r="H49" i="8"/>
  <c r="B48" i="8"/>
  <c r="A47" i="8"/>
  <c r="F45" i="8"/>
  <c r="E44" i="8"/>
  <c r="D43" i="8"/>
  <c r="O41" i="8"/>
  <c r="H40" i="8"/>
  <c r="Q38" i="8"/>
  <c r="O37" i="8"/>
  <c r="N35" i="8"/>
  <c r="B34" i="8"/>
  <c r="A33" i="8"/>
  <c r="Q31" i="8"/>
  <c r="B30" i="8"/>
  <c r="A29" i="8"/>
  <c r="N27" i="8"/>
  <c r="B26" i="8"/>
  <c r="A25" i="8"/>
  <c r="N23" i="8"/>
  <c r="L22" i="8"/>
  <c r="J21" i="8"/>
  <c r="O19" i="8"/>
  <c r="H18" i="8"/>
  <c r="O16" i="8"/>
  <c r="B15" i="8"/>
  <c r="A14" i="8"/>
  <c r="N12" i="8"/>
  <c r="B11" i="8"/>
  <c r="A10" i="8"/>
  <c r="N8" i="8"/>
  <c r="B7" i="8"/>
  <c r="E6" i="8"/>
  <c r="S4" i="8"/>
  <c r="F109" i="7"/>
  <c r="S107" i="7"/>
  <c r="V106" i="7"/>
  <c r="V105" i="7"/>
  <c r="S104" i="7"/>
  <c r="N103" i="7"/>
  <c r="N102" i="7"/>
  <c r="Q101" i="7"/>
  <c r="V100" i="7"/>
  <c r="S99" i="7"/>
  <c r="S98" i="7"/>
  <c r="T97" i="7"/>
  <c r="O96" i="7"/>
  <c r="O95" i="7"/>
  <c r="O94" i="7"/>
  <c r="O93" i="7"/>
  <c r="O92" i="7"/>
  <c r="O91" i="7"/>
  <c r="F90" i="7"/>
  <c r="B89" i="7"/>
  <c r="E88" i="7"/>
  <c r="L87" i="7"/>
  <c r="Q86" i="7"/>
  <c r="V85" i="7"/>
  <c r="A85" i="7"/>
  <c r="E84" i="7"/>
  <c r="L83" i="7"/>
  <c r="Q82" i="7"/>
  <c r="Q81" i="7"/>
  <c r="S80" i="7"/>
  <c r="V79" i="7"/>
  <c r="F78" i="7"/>
  <c r="J77" i="7"/>
  <c r="B75" i="7"/>
  <c r="D74" i="7"/>
  <c r="C73" i="7"/>
  <c r="E72" i="7"/>
  <c r="F71" i="7"/>
  <c r="B70" i="7"/>
  <c r="Q68" i="7"/>
  <c r="H67" i="7"/>
  <c r="H66" i="7"/>
  <c r="D65" i="7"/>
  <c r="F63" i="7"/>
  <c r="E62" i="7"/>
  <c r="D61" i="7"/>
  <c r="F59" i="7"/>
  <c r="B58" i="7"/>
  <c r="B56" i="7"/>
  <c r="D55" i="7"/>
  <c r="D53" i="7"/>
  <c r="O51" i="7"/>
  <c r="B50" i="7"/>
  <c r="B49" i="7"/>
  <c r="B48" i="7"/>
  <c r="C47" i="7"/>
  <c r="C46" i="7"/>
  <c r="C45" i="7"/>
  <c r="C44" i="7"/>
  <c r="D43" i="7"/>
  <c r="N41" i="7"/>
  <c r="N40" i="7"/>
  <c r="N39" i="7"/>
  <c r="O38" i="7"/>
  <c r="L37" i="7"/>
  <c r="F36" i="7"/>
  <c r="N34" i="7"/>
  <c r="Q33" i="7"/>
  <c r="S32" i="7"/>
  <c r="N31" i="7"/>
  <c r="N30" i="7"/>
  <c r="N29" i="7"/>
  <c r="O28" i="7"/>
  <c r="L27" i="7"/>
  <c r="L26" i="7"/>
  <c r="N25" i="7"/>
  <c r="O24" i="7"/>
  <c r="B23" i="7"/>
  <c r="D22" i="7"/>
  <c r="N20" i="7"/>
  <c r="Q19" i="7"/>
  <c r="S18" i="7"/>
  <c r="O17" i="7"/>
  <c r="J16" i="7"/>
  <c r="J8" i="12"/>
  <c r="S119" i="11"/>
  <c r="F116" i="11"/>
  <c r="B111" i="11"/>
  <c r="O107" i="11"/>
  <c r="D103" i="11"/>
  <c r="D97" i="11"/>
  <c r="D93" i="11"/>
  <c r="D89" i="11"/>
  <c r="D85" i="11"/>
  <c r="C81" i="11"/>
  <c r="O79" i="11"/>
  <c r="F78" i="11"/>
  <c r="N75" i="11"/>
  <c r="Q73" i="11"/>
  <c r="F72" i="11"/>
  <c r="D70" i="11"/>
  <c r="B68" i="11"/>
  <c r="A67" i="11"/>
  <c r="F64" i="11"/>
  <c r="E63" i="11"/>
  <c r="D62" i="11"/>
  <c r="F60" i="11"/>
  <c r="E59" i="11"/>
  <c r="D58" i="11"/>
  <c r="F56" i="11"/>
  <c r="E55" i="11"/>
  <c r="D54" i="11"/>
  <c r="A53" i="11"/>
  <c r="N51" i="11"/>
  <c r="B50" i="11"/>
  <c r="A49" i="11"/>
  <c r="N47" i="11"/>
  <c r="B46" i="11"/>
  <c r="A45" i="11"/>
  <c r="N43" i="11"/>
  <c r="B42" i="11"/>
  <c r="A41" i="11"/>
  <c r="N39" i="11"/>
  <c r="B38" i="11"/>
  <c r="A37" i="11"/>
  <c r="Q35" i="11"/>
  <c r="O34" i="11"/>
  <c r="H33" i="11"/>
  <c r="Q31" i="11"/>
  <c r="O30" i="11"/>
  <c r="H29" i="11"/>
  <c r="Q27" i="11"/>
  <c r="O26" i="11"/>
  <c r="H25" i="11"/>
  <c r="Q23" i="11"/>
  <c r="O22" i="11"/>
  <c r="H21" i="11"/>
  <c r="Q19" i="11"/>
  <c r="O18" i="11"/>
  <c r="H17" i="11"/>
  <c r="Q15" i="11"/>
  <c r="O14" i="11"/>
  <c r="H13" i="11"/>
  <c r="Q11" i="11"/>
  <c r="O10" i="11"/>
  <c r="H9" i="11"/>
  <c r="Q7" i="11"/>
  <c r="V5" i="11"/>
  <c r="N3" i="11"/>
  <c r="B145" i="10"/>
  <c r="X143" i="10"/>
  <c r="H142" i="10"/>
  <c r="J140" i="10"/>
  <c r="Q138" i="10"/>
  <c r="V137" i="10"/>
  <c r="A137" i="10"/>
  <c r="E136" i="10"/>
  <c r="L135" i="10"/>
  <c r="F134" i="10"/>
  <c r="B133" i="10"/>
  <c r="S131" i="10"/>
  <c r="S130" i="10"/>
  <c r="O129" i="10"/>
  <c r="O128" i="10"/>
  <c r="L127" i="10"/>
  <c r="F126" i="10"/>
  <c r="C125" i="10"/>
  <c r="T123" i="10"/>
  <c r="S121" i="10"/>
  <c r="S120" i="10"/>
  <c r="S119" i="10"/>
  <c r="S118" i="10"/>
  <c r="S117" i="10"/>
  <c r="S116" i="10"/>
  <c r="S115" i="10"/>
  <c r="S114" i="10"/>
  <c r="S113" i="10"/>
  <c r="S112" i="10"/>
  <c r="S111" i="10"/>
  <c r="S110" i="10"/>
  <c r="X109" i="10"/>
  <c r="F108" i="10"/>
  <c r="B107" i="10"/>
  <c r="F104" i="10"/>
  <c r="E103" i="10"/>
  <c r="D102" i="10"/>
  <c r="F100" i="10"/>
  <c r="E99" i="10"/>
  <c r="D98" i="10"/>
  <c r="F96" i="10"/>
  <c r="E95" i="10"/>
  <c r="D94" i="10"/>
  <c r="F92" i="10"/>
  <c r="E91" i="10"/>
  <c r="D90" i="10"/>
  <c r="F88" i="10"/>
  <c r="E87" i="10"/>
  <c r="D86" i="10"/>
  <c r="F84" i="10"/>
  <c r="E83" i="10"/>
  <c r="D82" i="10"/>
  <c r="F80" i="10"/>
  <c r="E79" i="10"/>
  <c r="D78" i="10"/>
  <c r="F75" i="10"/>
  <c r="Q72" i="10"/>
  <c r="O71" i="10"/>
  <c r="H70" i="10"/>
  <c r="Q68" i="10"/>
  <c r="H67" i="10"/>
  <c r="C65" i="10"/>
  <c r="L63" i="10"/>
  <c r="J62" i="10"/>
  <c r="C61" i="10"/>
  <c r="L59" i="10"/>
  <c r="J58" i="10"/>
  <c r="C57" i="10"/>
  <c r="L55" i="10"/>
  <c r="J54" i="10"/>
  <c r="E53" i="10"/>
  <c r="D52" i="10"/>
  <c r="F50" i="10"/>
  <c r="E49" i="10"/>
  <c r="D48" i="10"/>
  <c r="F46" i="10"/>
  <c r="E45" i="10"/>
  <c r="D44" i="10"/>
  <c r="F42" i="10"/>
  <c r="E41" i="10"/>
  <c r="H39" i="10"/>
  <c r="Q37" i="10"/>
  <c r="O36" i="10"/>
  <c r="L35" i="10"/>
  <c r="J34" i="10"/>
  <c r="C33" i="10"/>
  <c r="L31" i="10"/>
  <c r="J30" i="10"/>
  <c r="C29" i="10"/>
  <c r="L27" i="10"/>
  <c r="J26" i="10"/>
  <c r="C25" i="10"/>
  <c r="L23" i="10"/>
  <c r="J22" i="10"/>
  <c r="C21" i="10"/>
  <c r="L19" i="10"/>
  <c r="J18" i="10"/>
  <c r="C17" i="10"/>
  <c r="L15" i="10"/>
  <c r="J14" i="10"/>
  <c r="C13" i="10"/>
  <c r="L11" i="10"/>
  <c r="J10" i="10"/>
  <c r="C9" i="10"/>
  <c r="L7" i="10"/>
  <c r="Q5" i="10"/>
  <c r="B3" i="10"/>
  <c r="E101" i="9"/>
  <c r="E100" i="9"/>
  <c r="T98" i="9"/>
  <c r="O97" i="9"/>
  <c r="N96" i="9"/>
  <c r="D95" i="9"/>
  <c r="D94" i="9"/>
  <c r="D93" i="9"/>
  <c r="T91" i="9"/>
  <c r="O90" i="9"/>
  <c r="J89" i="9"/>
  <c r="H88" i="9"/>
  <c r="D87" i="9"/>
  <c r="D86" i="9"/>
  <c r="D85" i="9"/>
  <c r="D84" i="9"/>
  <c r="D83" i="9"/>
  <c r="D82" i="9"/>
  <c r="D81" i="9"/>
  <c r="D80" i="9"/>
  <c r="D79" i="9"/>
  <c r="D78" i="9"/>
  <c r="Q75" i="9"/>
  <c r="O74" i="9"/>
  <c r="H73" i="9"/>
  <c r="Q71" i="9"/>
  <c r="O70" i="9"/>
  <c r="H69" i="9"/>
  <c r="Q67" i="9"/>
  <c r="O66" i="9"/>
  <c r="H65" i="9"/>
  <c r="Q63" i="9"/>
  <c r="O62" i="9"/>
  <c r="H61" i="9"/>
  <c r="Q59" i="9"/>
  <c r="O58" i="9"/>
  <c r="H57" i="9"/>
  <c r="Q55" i="9"/>
  <c r="N54" i="9"/>
  <c r="F52" i="9"/>
  <c r="C51" i="9"/>
  <c r="E49" i="9"/>
  <c r="H47" i="9"/>
  <c r="Q45" i="9"/>
  <c r="J44" i="9"/>
  <c r="C43" i="9"/>
  <c r="L41" i="9"/>
  <c r="J40" i="9"/>
  <c r="C39" i="9"/>
  <c r="L37" i="9"/>
  <c r="J36" i="9"/>
  <c r="C35" i="9"/>
  <c r="L33" i="9"/>
  <c r="J32" i="9"/>
  <c r="C31" i="9"/>
  <c r="L29" i="9"/>
  <c r="J28" i="9"/>
  <c r="C27" i="9"/>
  <c r="L25" i="9"/>
  <c r="J24" i="9"/>
  <c r="C23" i="9"/>
  <c r="L21" i="9"/>
  <c r="J20" i="9"/>
  <c r="C19" i="9"/>
  <c r="L17" i="9"/>
  <c r="J16" i="9"/>
  <c r="C15" i="9"/>
  <c r="L13" i="9"/>
  <c r="J12" i="9"/>
  <c r="C11" i="9"/>
  <c r="L9" i="9"/>
  <c r="J8" i="9"/>
  <c r="C7" i="9"/>
  <c r="Q5" i="9"/>
  <c r="B3" i="9"/>
  <c r="D101" i="8"/>
  <c r="D100" i="8"/>
  <c r="E99" i="8"/>
  <c r="D98" i="8"/>
  <c r="X96" i="8"/>
  <c r="H95" i="8"/>
  <c r="B94" i="8"/>
  <c r="X92" i="8"/>
  <c r="F91" i="8"/>
  <c r="B90" i="8"/>
  <c r="B88" i="8"/>
  <c r="V86" i="8"/>
  <c r="V85" i="8"/>
  <c r="V84" i="8"/>
  <c r="T83" i="8"/>
  <c r="T82" i="8"/>
  <c r="S81" i="8"/>
  <c r="S80" i="8"/>
  <c r="X79" i="8"/>
  <c r="A79" i="8"/>
  <c r="E78" i="8"/>
  <c r="J77" i="8"/>
  <c r="J76" i="8"/>
  <c r="B75" i="8"/>
  <c r="O73" i="8"/>
  <c r="N72" i="8"/>
  <c r="C71" i="8"/>
  <c r="L69" i="8"/>
  <c r="J68" i="8"/>
  <c r="C67" i="8"/>
  <c r="O64" i="8"/>
  <c r="B63" i="8"/>
  <c r="A62" i="8"/>
  <c r="E61" i="8"/>
  <c r="D60" i="8"/>
  <c r="F58" i="8"/>
  <c r="B57" i="8"/>
  <c r="C56" i="8"/>
  <c r="F54" i="8"/>
  <c r="T52" i="8"/>
  <c r="O51" i="8"/>
  <c r="O50" i="8"/>
  <c r="B49" i="8"/>
  <c r="E48" i="8"/>
  <c r="D47" i="8"/>
  <c r="Q45" i="8"/>
  <c r="O44" i="8"/>
  <c r="H43" i="8"/>
  <c r="D42" i="8"/>
  <c r="F40" i="8"/>
  <c r="E39" i="8"/>
  <c r="D38" i="8"/>
  <c r="Q36" i="8"/>
  <c r="B35" i="8"/>
  <c r="A34" i="8"/>
  <c r="F32" i="8"/>
  <c r="C31" i="8"/>
  <c r="A30" i="8"/>
  <c r="N28" i="8"/>
  <c r="B27" i="8"/>
  <c r="A26" i="8"/>
  <c r="N24" i="8"/>
  <c r="B23" i="8"/>
  <c r="N21" i="8"/>
  <c r="L20" i="8"/>
  <c r="H19" i="8"/>
  <c r="Q17" i="8"/>
  <c r="N16" i="8"/>
  <c r="L15" i="8"/>
  <c r="J14" i="8"/>
  <c r="C13" i="8"/>
  <c r="L11" i="8"/>
  <c r="J10" i="8"/>
  <c r="C9" i="8"/>
  <c r="L7" i="8"/>
  <c r="O6" i="8"/>
  <c r="L5" i="8"/>
  <c r="L109" i="7"/>
  <c r="D108" i="7"/>
  <c r="D107" i="7"/>
  <c r="F105" i="7"/>
  <c r="J104" i="7"/>
  <c r="B103" i="7"/>
  <c r="O101" i="7"/>
  <c r="F100" i="7"/>
  <c r="B99" i="7"/>
  <c r="D98" i="7"/>
  <c r="A97" i="7"/>
  <c r="C96" i="7"/>
  <c r="A95" i="7"/>
  <c r="C94" i="7"/>
  <c r="C93" i="7"/>
  <c r="C92" i="7"/>
  <c r="C91" i="7"/>
  <c r="A90" i="7"/>
  <c r="E89" i="7"/>
  <c r="J88" i="7"/>
  <c r="J87" i="7"/>
  <c r="J86" i="7"/>
  <c r="J85" i="7"/>
  <c r="J84" i="7"/>
  <c r="J83" i="7"/>
  <c r="J82" i="7"/>
  <c r="J81" i="7"/>
  <c r="T79" i="7"/>
  <c r="V78" i="7"/>
  <c r="A78" i="7"/>
  <c r="C77" i="7"/>
  <c r="E76" i="7"/>
  <c r="E75" i="7"/>
  <c r="H74" i="7"/>
  <c r="F73" i="7"/>
  <c r="J72" i="7"/>
  <c r="A71" i="7"/>
  <c r="E70" i="7"/>
  <c r="L69" i="7"/>
  <c r="H68" i="7"/>
  <c r="X66" i="7"/>
  <c r="C65" i="7"/>
  <c r="L63" i="7"/>
  <c r="J62" i="7"/>
  <c r="C61" i="7"/>
  <c r="L59" i="7"/>
  <c r="Q58" i="7"/>
  <c r="V57" i="7"/>
  <c r="V56" i="7"/>
  <c r="A56" i="7"/>
  <c r="C55" i="7"/>
  <c r="E54" i="7"/>
  <c r="C53" i="7"/>
  <c r="E52" i="7"/>
  <c r="H51" i="7"/>
  <c r="L50" i="7"/>
  <c r="L49" i="7"/>
  <c r="L48" i="7"/>
  <c r="F47" i="7"/>
  <c r="F46" i="7"/>
  <c r="F45" i="7"/>
  <c r="F44" i="7"/>
  <c r="H43" i="7"/>
  <c r="L42" i="7"/>
  <c r="L41" i="7"/>
  <c r="L40" i="7"/>
  <c r="F39" i="7"/>
  <c r="H38" i="7"/>
  <c r="J37" i="7"/>
  <c r="E36" i="7"/>
  <c r="E35" i="7"/>
  <c r="B34" i="7"/>
  <c r="D33" i="7"/>
  <c r="A32" i="7"/>
  <c r="A31" i="7"/>
  <c r="A30" i="7"/>
  <c r="T28" i="7"/>
  <c r="V27" i="7"/>
  <c r="Q26" i="7"/>
  <c r="E25" i="7"/>
  <c r="H24" i="7"/>
  <c r="L23" i="7"/>
  <c r="N22" i="7"/>
  <c r="Q21" i="7"/>
  <c r="S20" i="7"/>
  <c r="O19" i="7"/>
  <c r="L18" i="7"/>
  <c r="N17" i="7"/>
  <c r="O16" i="7"/>
  <c r="D8" i="12"/>
  <c r="J120" i="11"/>
  <c r="A116" i="11"/>
  <c r="O112" i="11"/>
  <c r="E108" i="11"/>
  <c r="S104" i="11"/>
  <c r="F100" i="11"/>
  <c r="J95" i="11"/>
  <c r="J91" i="11"/>
  <c r="J87" i="11"/>
  <c r="D83" i="11"/>
  <c r="B81" i="11"/>
  <c r="N79" i="11"/>
  <c r="C77" i="11"/>
  <c r="L74" i="11"/>
  <c r="A73" i="11"/>
  <c r="J70" i="11"/>
  <c r="B69" i="11"/>
  <c r="A68" i="11"/>
  <c r="N66" i="11"/>
  <c r="L64" i="11"/>
  <c r="J63" i="11"/>
  <c r="C62" i="11"/>
  <c r="L60" i="11"/>
  <c r="J59" i="11"/>
  <c r="C58" i="11"/>
  <c r="L56" i="11"/>
  <c r="J55" i="11"/>
  <c r="A54" i="11"/>
  <c r="N52" i="11"/>
  <c r="B51" i="11"/>
  <c r="A50" i="11"/>
  <c r="N48" i="11"/>
  <c r="B47" i="11"/>
  <c r="A46" i="11"/>
  <c r="N44" i="11"/>
  <c r="B43" i="11"/>
  <c r="A42" i="11"/>
  <c r="N40" i="11"/>
  <c r="B39" i="11"/>
  <c r="A38" i="11"/>
  <c r="N36" i="11"/>
  <c r="J35" i="11"/>
  <c r="C34" i="11"/>
  <c r="L32" i="11"/>
  <c r="J31" i="11"/>
  <c r="C30" i="11"/>
  <c r="L28" i="11"/>
  <c r="J27" i="11"/>
  <c r="C26" i="11"/>
  <c r="L24" i="11"/>
  <c r="J23" i="11"/>
  <c r="C22" i="11"/>
  <c r="L20" i="11"/>
  <c r="J19" i="11"/>
  <c r="C18" i="11"/>
  <c r="L16" i="11"/>
  <c r="J15" i="11"/>
  <c r="C14" i="11"/>
  <c r="L12" i="11"/>
  <c r="J11" i="11"/>
  <c r="C10" i="11"/>
  <c r="L8" i="11"/>
  <c r="J7" i="11"/>
  <c r="O5" i="11"/>
  <c r="E3" i="11"/>
  <c r="A145" i="10"/>
  <c r="V143" i="10"/>
  <c r="F142" i="10"/>
  <c r="H140" i="10"/>
  <c r="J138" i="10"/>
  <c r="J137" i="10"/>
  <c r="J136" i="10"/>
  <c r="J135" i="10"/>
  <c r="E134" i="10"/>
  <c r="L133" i="10"/>
  <c r="F132" i="10"/>
  <c r="B131" i="10"/>
  <c r="S129" i="10"/>
  <c r="S128" i="10"/>
  <c r="S127" i="10"/>
  <c r="L126" i="10"/>
  <c r="F125" i="10"/>
  <c r="C124" i="10"/>
  <c r="X121" i="10"/>
  <c r="F120" i="10"/>
  <c r="B119" i="10"/>
  <c r="X117" i="10"/>
  <c r="F116" i="10"/>
  <c r="B115" i="10"/>
  <c r="X113" i="10"/>
  <c r="F112" i="10"/>
  <c r="B111" i="10"/>
  <c r="V109" i="10"/>
  <c r="A109" i="10"/>
  <c r="E108" i="10"/>
  <c r="L107" i="10"/>
  <c r="B105" i="10"/>
  <c r="A104" i="10"/>
  <c r="N102" i="10"/>
  <c r="B101" i="10"/>
  <c r="A100" i="10"/>
  <c r="N98" i="10"/>
  <c r="B97" i="10"/>
  <c r="A96" i="10"/>
  <c r="N94" i="10"/>
  <c r="B93" i="10"/>
  <c r="A92" i="10"/>
  <c r="N90" i="10"/>
  <c r="B89" i="10"/>
  <c r="A88" i="10"/>
  <c r="N86" i="10"/>
  <c r="B85" i="10"/>
  <c r="A84" i="10"/>
  <c r="N82" i="10"/>
  <c r="B81" i="10"/>
  <c r="A80" i="10"/>
  <c r="N78" i="10"/>
  <c r="O76" i="10"/>
  <c r="L75" i="10"/>
  <c r="Q73" i="10"/>
  <c r="O72" i="10"/>
  <c r="H71" i="10"/>
  <c r="Q69" i="10"/>
  <c r="O68" i="10"/>
  <c r="B67" i="10"/>
  <c r="L64" i="10"/>
  <c r="J63" i="10"/>
  <c r="C62" i="10"/>
  <c r="L60" i="10"/>
  <c r="J59" i="10"/>
  <c r="C58" i="10"/>
  <c r="L56" i="10"/>
  <c r="J55" i="10"/>
  <c r="A54" i="10"/>
  <c r="N52" i="10"/>
  <c r="B51" i="10"/>
  <c r="A50" i="10"/>
  <c r="N48" i="10"/>
  <c r="B47" i="10"/>
  <c r="A46" i="10"/>
  <c r="N44" i="10"/>
  <c r="B43" i="10"/>
  <c r="A42" i="10"/>
  <c r="C40" i="10"/>
  <c r="L38" i="10"/>
  <c r="J37" i="10"/>
  <c r="A36" i="10"/>
  <c r="N34" i="10"/>
  <c r="B33" i="10"/>
  <c r="A32" i="10"/>
  <c r="N30" i="10"/>
  <c r="B29" i="10"/>
  <c r="A28" i="10"/>
  <c r="N26" i="10"/>
  <c r="B25" i="10"/>
  <c r="A24" i="10"/>
  <c r="N22" i="10"/>
  <c r="B21" i="10"/>
  <c r="A20" i="10"/>
  <c r="N18" i="10"/>
  <c r="B17" i="10"/>
  <c r="A16" i="10"/>
  <c r="N14" i="10"/>
  <c r="B13" i="10"/>
  <c r="A12" i="10"/>
  <c r="N10" i="10"/>
  <c r="B9" i="10"/>
  <c r="A8" i="10"/>
  <c r="A6" i="10"/>
  <c r="D5" i="10"/>
  <c r="T101" i="9"/>
  <c r="T100" i="9"/>
  <c r="V99" i="9"/>
  <c r="H98" i="9"/>
  <c r="H97" i="9"/>
  <c r="S95" i="9"/>
  <c r="N94" i="9"/>
  <c r="N93" i="9"/>
  <c r="H92" i="9"/>
  <c r="C91" i="9"/>
  <c r="C90" i="9"/>
  <c r="X88" i="9"/>
  <c r="H87" i="9"/>
  <c r="H86" i="9"/>
  <c r="H85" i="9"/>
  <c r="H84" i="9"/>
  <c r="H83" i="9"/>
  <c r="H82" i="9"/>
  <c r="H81" i="9"/>
  <c r="H80" i="9"/>
  <c r="H79" i="9"/>
  <c r="H78" i="9"/>
  <c r="E77" i="9"/>
  <c r="A76" i="9"/>
  <c r="N74" i="9"/>
  <c r="B73" i="9"/>
  <c r="A72" i="9"/>
  <c r="N70" i="9"/>
  <c r="B69" i="9"/>
  <c r="A68" i="9"/>
  <c r="N66" i="9"/>
  <c r="B65" i="9"/>
  <c r="A64" i="9"/>
  <c r="N62" i="9"/>
  <c r="B61" i="9"/>
  <c r="A60" i="9"/>
  <c r="N58" i="9"/>
  <c r="B57" i="9"/>
  <c r="A56" i="9"/>
  <c r="F54" i="9"/>
  <c r="E52" i="9"/>
  <c r="L50" i="9"/>
  <c r="D49" i="9"/>
  <c r="B47" i="9"/>
  <c r="O45" i="9"/>
  <c r="C44" i="9"/>
  <c r="E42" i="9"/>
  <c r="D41" i="9"/>
  <c r="F39" i="9"/>
  <c r="E38" i="9"/>
  <c r="D37" i="9"/>
  <c r="F35" i="9"/>
  <c r="E34" i="9"/>
  <c r="D33" i="9"/>
  <c r="F31" i="9"/>
  <c r="E30" i="9"/>
  <c r="D29" i="9"/>
  <c r="F27" i="9"/>
  <c r="E26" i="9"/>
  <c r="D25" i="9"/>
  <c r="F23" i="9"/>
  <c r="E22" i="9"/>
  <c r="D21" i="9"/>
  <c r="F19" i="9"/>
  <c r="E18" i="9"/>
  <c r="D17" i="9"/>
  <c r="F15" i="9"/>
  <c r="E14" i="9"/>
  <c r="D13" i="9"/>
  <c r="F11" i="9"/>
  <c r="E10" i="9"/>
  <c r="D9" i="9"/>
  <c r="F7" i="9"/>
  <c r="E6" i="9"/>
  <c r="J5" i="9"/>
  <c r="A3" i="9"/>
  <c r="C101" i="8"/>
  <c r="A100" i="8"/>
  <c r="C99" i="8"/>
  <c r="C98" i="8"/>
  <c r="E97" i="8"/>
  <c r="L96" i="8"/>
  <c r="A95" i="8"/>
  <c r="E94" i="8"/>
  <c r="L93" i="8"/>
  <c r="Q92" i="8"/>
  <c r="V91" i="8"/>
  <c r="A91" i="8"/>
  <c r="E90" i="8"/>
  <c r="L89" i="8"/>
  <c r="V87" i="8"/>
  <c r="T86" i="8"/>
  <c r="O85" i="8"/>
  <c r="O84" i="8"/>
  <c r="N83" i="8"/>
  <c r="N82" i="8"/>
  <c r="F81" i="8"/>
  <c r="B80" i="8"/>
  <c r="D79" i="8"/>
  <c r="D78" i="8"/>
  <c r="C77" i="8"/>
  <c r="A76" i="8"/>
  <c r="E75" i="8"/>
  <c r="L74" i="8"/>
  <c r="H73" i="8"/>
  <c r="F71" i="8"/>
  <c r="E70" i="8"/>
  <c r="D69" i="8"/>
  <c r="F67" i="8"/>
  <c r="E66" i="8"/>
  <c r="A65" i="8"/>
  <c r="Q63" i="8"/>
  <c r="O62" i="8"/>
  <c r="O61" i="8"/>
  <c r="H60" i="8"/>
  <c r="E59" i="8"/>
  <c r="L58" i="8"/>
  <c r="Q57" i="8"/>
  <c r="F56" i="8"/>
  <c r="E55" i="8"/>
  <c r="L54" i="8"/>
  <c r="S52" i="8"/>
  <c r="H51" i="8"/>
  <c r="H50" i="8"/>
  <c r="E49" i="8"/>
  <c r="J48" i="8"/>
  <c r="C47" i="8"/>
  <c r="J45" i="8"/>
  <c r="C44" i="8"/>
  <c r="H42" i="8"/>
  <c r="Q40" i="8"/>
  <c r="O39" i="8"/>
  <c r="C7" i="21"/>
  <c r="B42" i="20"/>
  <c r="D262" i="19"/>
  <c r="C14" i="20"/>
  <c r="J191" i="19"/>
  <c r="B123" i="19"/>
  <c r="S31" i="19"/>
  <c r="F87" i="18"/>
  <c r="N17" i="18"/>
  <c r="H64" i="19"/>
  <c r="O110" i="18"/>
  <c r="D43" i="18"/>
  <c r="B70" i="19"/>
  <c r="A126" i="18"/>
  <c r="O103" i="18"/>
  <c r="B81" i="18"/>
  <c r="E58" i="18"/>
  <c r="A30" i="18"/>
  <c r="O8" i="18"/>
  <c r="B119" i="19"/>
  <c r="H88" i="19"/>
  <c r="N68" i="19"/>
  <c r="N48" i="19"/>
  <c r="L28" i="19"/>
  <c r="Q8" i="19"/>
  <c r="X113" i="18"/>
  <c r="D96" i="18"/>
  <c r="S79" i="18"/>
  <c r="F63" i="18"/>
  <c r="B43" i="18"/>
  <c r="T25" i="18"/>
  <c r="O9" i="18"/>
  <c r="O81" i="17"/>
  <c r="J71" i="17"/>
  <c r="E55" i="17"/>
  <c r="F34" i="17"/>
  <c r="C13" i="17"/>
  <c r="T69" i="16"/>
  <c r="B51" i="16"/>
  <c r="J29" i="16"/>
  <c r="D8" i="16"/>
  <c r="A126" i="15"/>
  <c r="D109" i="15"/>
  <c r="D90" i="15"/>
  <c r="J68" i="15"/>
  <c r="Q46" i="15"/>
  <c r="L24" i="15"/>
  <c r="D388" i="14"/>
  <c r="L8" i="18"/>
  <c r="B68" i="17"/>
  <c r="F51" i="17"/>
  <c r="N29" i="17"/>
  <c r="H8" i="17"/>
  <c r="T64" i="16"/>
  <c r="O45" i="16"/>
  <c r="B24" i="16"/>
  <c r="L139" i="15"/>
  <c r="Q122" i="15"/>
  <c r="S105" i="15"/>
  <c r="L85" i="15"/>
  <c r="A64" i="15"/>
  <c r="E42" i="15"/>
  <c r="B21" i="15"/>
  <c r="S72" i="17"/>
  <c r="F66" i="17"/>
  <c r="N60" i="17"/>
  <c r="H55" i="17"/>
  <c r="C49" i="17"/>
  <c r="O41" i="17"/>
  <c r="Q34" i="17"/>
  <c r="O27" i="17"/>
  <c r="F20" i="17"/>
  <c r="E13" i="17"/>
  <c r="F6" i="17"/>
  <c r="S75" i="16"/>
  <c r="E69" i="16"/>
  <c r="A64" i="16"/>
  <c r="A60" i="16"/>
  <c r="H55" i="16"/>
  <c r="D50" i="16"/>
  <c r="Q44" i="16"/>
  <c r="J39" i="16"/>
  <c r="Q33" i="16"/>
  <c r="F28" i="16"/>
  <c r="A23" i="16"/>
  <c r="N17" i="16"/>
  <c r="J12" i="16"/>
  <c r="D7" i="16"/>
  <c r="T137" i="15"/>
  <c r="F133" i="15"/>
  <c r="J129" i="15"/>
  <c r="A125" i="15"/>
  <c r="T120" i="15"/>
  <c r="A116" i="15"/>
  <c r="D112" i="15"/>
  <c r="D108" i="15"/>
  <c r="D104" i="15"/>
  <c r="J99" i="15"/>
  <c r="B94" i="15"/>
  <c r="N88" i="15"/>
  <c r="J83" i="15"/>
  <c r="B78" i="15"/>
  <c r="F72" i="15"/>
  <c r="D67" i="15"/>
  <c r="F61" i="15"/>
  <c r="D56" i="15"/>
  <c r="N50" i="15"/>
  <c r="H45" i="15"/>
  <c r="C40" i="15"/>
  <c r="L34" i="15"/>
  <c r="H29" i="15"/>
  <c r="H24" i="15"/>
  <c r="Q18" i="15"/>
  <c r="H13" i="15"/>
  <c r="C8" i="15"/>
  <c r="J387" i="14"/>
  <c r="L379" i="14"/>
  <c r="E373" i="14"/>
  <c r="A367" i="14"/>
  <c r="H360" i="14"/>
  <c r="F353" i="14"/>
  <c r="J87" i="17"/>
  <c r="X76" i="17"/>
  <c r="X72" i="17"/>
  <c r="X68" i="17"/>
  <c r="A64" i="17"/>
  <c r="A60" i="17"/>
  <c r="A56" i="17"/>
  <c r="E52" i="17"/>
  <c r="L46" i="17"/>
  <c r="F41" i="17"/>
  <c r="A36" i="17"/>
  <c r="O30" i="17"/>
  <c r="J25" i="17"/>
  <c r="A20" i="17"/>
  <c r="O14" i="17"/>
  <c r="J9" i="17"/>
  <c r="N3" i="17"/>
  <c r="H76" i="16"/>
  <c r="L71" i="16"/>
  <c r="B67" i="16"/>
  <c r="V62" i="16"/>
  <c r="S58" i="16"/>
  <c r="F53" i="16"/>
  <c r="A48" i="16"/>
  <c r="H42" i="16"/>
  <c r="D37" i="16"/>
  <c r="N31" i="16"/>
  <c r="H26" i="16"/>
  <c r="A21" i="16"/>
  <c r="O15" i="16"/>
  <c r="Q10" i="16"/>
  <c r="S4" i="16"/>
  <c r="A136" i="15"/>
  <c r="T131" i="15"/>
  <c r="V127" i="15"/>
  <c r="A123" i="15"/>
  <c r="H118" i="15"/>
  <c r="E114" i="15"/>
  <c r="B110" i="15"/>
  <c r="A106" i="15"/>
  <c r="A102" i="15"/>
  <c r="L96" i="15"/>
  <c r="H91" i="15"/>
  <c r="A86" i="15"/>
  <c r="L80" i="15"/>
  <c r="A75" i="15"/>
  <c r="O69" i="15"/>
  <c r="C64" i="15"/>
  <c r="O58" i="15"/>
  <c r="H53" i="15"/>
  <c r="A48" i="15"/>
  <c r="O42" i="15"/>
  <c r="J37" i="15"/>
  <c r="N31" i="15"/>
  <c r="E26" i="15"/>
  <c r="D21" i="15"/>
  <c r="C16" i="15"/>
  <c r="J10" i="15"/>
  <c r="J5" i="15"/>
  <c r="C385" i="14"/>
  <c r="J377" i="14"/>
  <c r="J369" i="14"/>
  <c r="F10" i="15"/>
  <c r="B371" i="14"/>
  <c r="J355" i="14"/>
  <c r="J346" i="14"/>
  <c r="J338" i="14"/>
  <c r="X330" i="14"/>
  <c r="X322" i="14"/>
  <c r="X314" i="14"/>
  <c r="X306" i="14"/>
  <c r="B298" i="14"/>
  <c r="C289" i="14"/>
  <c r="N279" i="14"/>
  <c r="D270" i="14"/>
  <c r="A261" i="14"/>
  <c r="Q251" i="14"/>
  <c r="O242" i="14"/>
  <c r="C233" i="14"/>
  <c r="C224" i="14"/>
  <c r="C215" i="14"/>
  <c r="A205" i="14"/>
  <c r="A196" i="14"/>
  <c r="Q186" i="14"/>
  <c r="O177" i="14"/>
  <c r="Q168" i="14"/>
  <c r="D159" i="14"/>
  <c r="O149" i="14"/>
  <c r="Q140" i="14"/>
  <c r="O131" i="14"/>
  <c r="C122" i="14"/>
  <c r="B113" i="14"/>
  <c r="C104" i="14"/>
  <c r="O93" i="14"/>
  <c r="Q84" i="14"/>
  <c r="D74" i="14"/>
  <c r="O64" i="14"/>
  <c r="N55" i="14"/>
  <c r="B46" i="14"/>
  <c r="C37" i="14"/>
  <c r="Q27" i="14"/>
  <c r="Q17" i="14"/>
  <c r="D8" i="14"/>
  <c r="Q136" i="13"/>
  <c r="D132" i="13"/>
  <c r="A127" i="13"/>
  <c r="A123" i="13"/>
  <c r="A119" i="13"/>
  <c r="V115" i="13"/>
  <c r="Q112" i="13"/>
  <c r="L109" i="13"/>
  <c r="E106" i="13"/>
  <c r="A103" i="13"/>
  <c r="F98" i="13"/>
  <c r="E93" i="13"/>
  <c r="F87" i="13"/>
  <c r="E82" i="13"/>
  <c r="D77" i="13"/>
  <c r="F71" i="13"/>
  <c r="F65" i="13"/>
  <c r="E60" i="13"/>
  <c r="D55" i="13"/>
  <c r="O49" i="13"/>
  <c r="H44" i="13"/>
  <c r="Q38" i="13"/>
  <c r="F33" i="13"/>
  <c r="E28" i="13"/>
  <c r="D23" i="13"/>
  <c r="F17" i="13"/>
  <c r="E12" i="13"/>
  <c r="D7" i="13"/>
  <c r="S122" i="12"/>
  <c r="Q118" i="12"/>
  <c r="F114" i="12"/>
  <c r="N109" i="12"/>
  <c r="Q104" i="12"/>
  <c r="Q100" i="12"/>
  <c r="D96" i="12"/>
  <c r="H90" i="12"/>
  <c r="D85" i="12"/>
  <c r="J80" i="12"/>
  <c r="C75" i="12"/>
  <c r="N69" i="12"/>
  <c r="B64" i="12"/>
  <c r="L58" i="12"/>
  <c r="J53" i="12"/>
  <c r="C48" i="12"/>
  <c r="J42" i="12"/>
  <c r="E37" i="12"/>
  <c r="L31" i="12"/>
  <c r="E26" i="12"/>
  <c r="J21" i="12"/>
  <c r="C16" i="12"/>
  <c r="H10" i="12"/>
  <c r="S4" i="12"/>
  <c r="J117" i="11"/>
  <c r="V112" i="11"/>
  <c r="A108" i="11"/>
  <c r="S103" i="11"/>
  <c r="A99" i="11"/>
  <c r="V95" i="11"/>
  <c r="Q92" i="11"/>
  <c r="L89" i="11"/>
  <c r="E86" i="11"/>
  <c r="J13" i="15"/>
  <c r="F375" i="14"/>
  <c r="J356" i="14"/>
  <c r="C349" i="14"/>
  <c r="H342" i="14"/>
  <c r="C336" i="14"/>
  <c r="A329" i="14"/>
  <c r="A321" i="14"/>
  <c r="A313" i="14"/>
  <c r="A305" i="14"/>
  <c r="C296" i="14"/>
  <c r="N286" i="14"/>
  <c r="O277" i="14"/>
  <c r="A268" i="14"/>
  <c r="B259" i="14"/>
  <c r="D249" i="14"/>
  <c r="D239" i="14"/>
  <c r="O229" i="14"/>
  <c r="N220" i="14"/>
  <c r="B211" i="14"/>
  <c r="B202" i="14"/>
  <c r="D192" i="14"/>
  <c r="A183" i="14"/>
  <c r="N173" i="14"/>
  <c r="O164" i="14"/>
  <c r="Q155" i="14"/>
  <c r="N145" i="14"/>
  <c r="D136" i="14"/>
  <c r="O126" i="14"/>
  <c r="Q117" i="14"/>
  <c r="O108" i="14"/>
  <c r="D98" i="14"/>
  <c r="A89" i="14"/>
  <c r="A80" i="14"/>
  <c r="N70" i="14"/>
  <c r="N60" i="14"/>
  <c r="D51" i="14"/>
  <c r="A42" i="14"/>
  <c r="D33" i="14"/>
  <c r="C24" i="14"/>
  <c r="N14" i="14"/>
  <c r="Q5" i="14"/>
  <c r="J136" i="13"/>
  <c r="Q130" i="13"/>
  <c r="D125" i="13"/>
  <c r="O119" i="13"/>
  <c r="O115" i="13"/>
  <c r="O111" i="13"/>
  <c r="O107" i="13"/>
  <c r="O103" i="13"/>
  <c r="L98" i="13"/>
  <c r="J93" i="13"/>
  <c r="Q87" i="13"/>
  <c r="O82" i="13"/>
  <c r="H77" i="13"/>
  <c r="O70" i="13"/>
  <c r="L65" i="13"/>
  <c r="J60" i="13"/>
  <c r="C55" i="13"/>
  <c r="C49" i="13"/>
  <c r="L43" i="13"/>
  <c r="J38" i="13"/>
  <c r="J32" i="13"/>
  <c r="C27" i="13"/>
  <c r="L21" i="13"/>
  <c r="J16" i="13"/>
  <c r="C11" i="13"/>
  <c r="V5" i="13"/>
  <c r="X121" i="12"/>
  <c r="S117" i="12"/>
  <c r="T113" i="12"/>
  <c r="V108" i="12"/>
  <c r="Q105" i="12"/>
  <c r="S101" i="12"/>
  <c r="Q97" i="12"/>
  <c r="H92" i="12"/>
  <c r="N87" i="12"/>
  <c r="A82" i="12"/>
  <c r="N76" i="12"/>
  <c r="B71" i="12"/>
  <c r="O65" i="12"/>
  <c r="L60" i="12"/>
  <c r="E55" i="12"/>
  <c r="D50" i="12"/>
  <c r="L44" i="12"/>
  <c r="Q38" i="12"/>
  <c r="E34" i="12"/>
  <c r="H29" i="12"/>
  <c r="D24" i="12"/>
  <c r="O18" i="12"/>
  <c r="L13" i="12"/>
  <c r="H386" i="14"/>
  <c r="D360" i="14"/>
  <c r="F351" i="14"/>
  <c r="D343" i="14"/>
  <c r="D335" i="14"/>
  <c r="D327" i="14"/>
  <c r="D319" i="14"/>
  <c r="D311" i="14"/>
  <c r="C303" i="14"/>
  <c r="N293" i="14"/>
  <c r="O284" i="14"/>
  <c r="D275" i="14"/>
  <c r="B266" i="14"/>
  <c r="C257" i="14"/>
  <c r="Q247" i="14"/>
  <c r="D238" i="14"/>
  <c r="O228" i="14"/>
  <c r="N219" i="14"/>
  <c r="B210" i="14"/>
  <c r="B201" i="14"/>
  <c r="D191" i="14"/>
  <c r="C182" i="14"/>
  <c r="N172" i="14"/>
  <c r="O163" i="14"/>
  <c r="Q154" i="14"/>
  <c r="N144" i="14"/>
  <c r="D135" i="14"/>
  <c r="O125" i="14"/>
  <c r="Q116" i="14"/>
  <c r="B107" i="14"/>
  <c r="N96" i="14"/>
  <c r="O87" i="14"/>
  <c r="A77" i="14"/>
  <c r="Q67" i="14"/>
  <c r="B58" i="14"/>
  <c r="O48" i="14"/>
  <c r="Q39" i="14"/>
  <c r="B30" i="14"/>
  <c r="O20" i="14"/>
  <c r="Q11" i="14"/>
  <c r="V139" i="13"/>
  <c r="J134" i="13"/>
  <c r="C129" i="13"/>
  <c r="S123" i="13"/>
  <c r="N118" i="13"/>
  <c r="N114" i="13"/>
  <c r="N110" i="13"/>
  <c r="N106" i="13"/>
  <c r="N102" i="13"/>
  <c r="C97" i="13"/>
  <c r="L91" i="13"/>
  <c r="N86" i="13"/>
  <c r="B81" i="13"/>
  <c r="F75" i="13"/>
  <c r="N69" i="13"/>
  <c r="N64" i="13"/>
  <c r="B59" i="13"/>
  <c r="F53" i="13"/>
  <c r="E48" i="13"/>
  <c r="D43" i="13"/>
  <c r="F37" i="13"/>
  <c r="C32" i="13"/>
  <c r="L26" i="13"/>
  <c r="J21" i="13"/>
  <c r="C16" i="13"/>
  <c r="L10" i="13"/>
  <c r="J5" i="13"/>
  <c r="A122" i="12"/>
  <c r="X117" i="12"/>
  <c r="D114" i="12"/>
  <c r="A110" i="12"/>
  <c r="D106" i="12"/>
  <c r="Q101" i="12"/>
  <c r="F96" i="12"/>
  <c r="D91" i="12"/>
  <c r="B85" i="12"/>
  <c r="Q79" i="12"/>
  <c r="H77" i="12"/>
  <c r="L75" i="12"/>
  <c r="D74" i="12"/>
  <c r="Q71" i="12"/>
  <c r="F70" i="12"/>
  <c r="A69" i="12"/>
  <c r="C67" i="12"/>
  <c r="F65" i="12"/>
  <c r="N63" i="12"/>
  <c r="L61" i="12"/>
  <c r="D60" i="12"/>
  <c r="H58" i="12"/>
  <c r="E56" i="12"/>
  <c r="N54" i="12"/>
  <c r="Q52" i="12"/>
  <c r="D51" i="12"/>
  <c r="B49" i="12"/>
  <c r="O47" i="12"/>
  <c r="Q45" i="12"/>
  <c r="J44" i="12"/>
  <c r="F42" i="12"/>
  <c r="N40" i="12"/>
  <c r="E39" i="12"/>
  <c r="T37" i="12"/>
  <c r="D36" i="12"/>
  <c r="J34" i="12"/>
  <c r="O32" i="12"/>
  <c r="Q30" i="12"/>
  <c r="B29" i="12"/>
  <c r="F27" i="12"/>
  <c r="E25" i="12"/>
  <c r="F23" i="12"/>
  <c r="F21" i="12"/>
  <c r="O19" i="12"/>
  <c r="C18" i="12"/>
  <c r="E16" i="12"/>
  <c r="E14" i="12"/>
  <c r="N12" i="12"/>
  <c r="D11" i="12"/>
  <c r="D9" i="12"/>
  <c r="J7" i="12"/>
  <c r="T5" i="12"/>
  <c r="A3" i="12"/>
  <c r="X119" i="11"/>
  <c r="L118" i="11"/>
  <c r="Q116" i="11"/>
  <c r="A115" i="11"/>
  <c r="T113" i="11"/>
  <c r="H112" i="11"/>
  <c r="T110" i="11"/>
  <c r="L109" i="11"/>
  <c r="S107" i="11"/>
  <c r="J106" i="11"/>
  <c r="B105" i="11"/>
  <c r="H103" i="11"/>
  <c r="A102" i="11"/>
  <c r="S100" i="11"/>
  <c r="H98" i="11"/>
  <c r="C97" i="11"/>
  <c r="S95" i="11"/>
  <c r="H94" i="11"/>
  <c r="C93" i="11"/>
  <c r="S91" i="11"/>
  <c r="H90" i="11"/>
  <c r="C89" i="11"/>
  <c r="S87" i="11"/>
  <c r="H86" i="11"/>
  <c r="C85" i="11"/>
  <c r="Q82" i="11"/>
  <c r="D81" i="11"/>
  <c r="B79" i="11"/>
  <c r="O77" i="11"/>
  <c r="O75" i="11"/>
  <c r="A74" i="11"/>
  <c r="H72" i="11"/>
  <c r="E70" i="11"/>
  <c r="D15" i="15"/>
  <c r="J8" i="15"/>
  <c r="C386" i="14"/>
  <c r="D376" i="14"/>
  <c r="J366" i="14"/>
  <c r="J360" i="14"/>
  <c r="A358" i="14"/>
  <c r="A354" i="14"/>
  <c r="E351" i="14"/>
  <c r="E349" i="14"/>
  <c r="E347" i="14"/>
  <c r="L344" i="14"/>
  <c r="L342" i="14"/>
  <c r="L340" i="14"/>
  <c r="E338" i="14"/>
  <c r="E336" i="14"/>
  <c r="E334" i="14"/>
  <c r="V331" i="14"/>
  <c r="C329" i="14"/>
  <c r="S326" i="14"/>
  <c r="V323" i="14"/>
  <c r="C321" i="14"/>
  <c r="S318" i="14"/>
  <c r="V315" i="14"/>
  <c r="C313" i="14"/>
  <c r="S310" i="14"/>
  <c r="V307" i="14"/>
  <c r="C305" i="14"/>
  <c r="Q302" i="14"/>
  <c r="B299" i="14"/>
  <c r="A296" i="14"/>
  <c r="D293" i="14"/>
  <c r="C290" i="14"/>
  <c r="B287" i="14"/>
  <c r="A284" i="14"/>
  <c r="N280" i="14"/>
  <c r="C278" i="14"/>
  <c r="Q274" i="14"/>
  <c r="A270" i="14"/>
  <c r="D267" i="14"/>
  <c r="Q264" i="14"/>
  <c r="B261" i="14"/>
  <c r="A258" i="14"/>
  <c r="N254" i="14"/>
  <c r="D251" i="14"/>
  <c r="O248" i="14"/>
  <c r="C246" i="14"/>
  <c r="Q242" i="14"/>
  <c r="O239" i="14"/>
  <c r="N236" i="14"/>
  <c r="N232" i="14"/>
  <c r="C230" i="14"/>
  <c r="B227" i="14"/>
  <c r="N222" i="14"/>
  <c r="C220" i="14"/>
  <c r="B217" i="14"/>
  <c r="C213" i="14"/>
  <c r="A210" i="14"/>
  <c r="D207" i="14"/>
  <c r="C204" i="14"/>
  <c r="O200" i="14"/>
  <c r="N197" i="14"/>
  <c r="N193" i="14"/>
  <c r="C191" i="14"/>
  <c r="B188" i="14"/>
  <c r="O184" i="14"/>
  <c r="B182" i="14"/>
  <c r="A179" i="14"/>
  <c r="N175" i="14"/>
  <c r="C173" i="14"/>
  <c r="B170" i="14"/>
  <c r="O166" i="14"/>
  <c r="N163" i="14"/>
  <c r="C161" i="14"/>
  <c r="Q157" i="14"/>
  <c r="O154" i="14"/>
  <c r="N151" i="14"/>
  <c r="N147" i="14"/>
  <c r="C145" i="14"/>
  <c r="B142" i="14"/>
  <c r="O138" i="14"/>
  <c r="B136" i="14"/>
  <c r="A133" i="14"/>
  <c r="N129" i="14"/>
  <c r="D126" i="14"/>
  <c r="Q123" i="14"/>
  <c r="B120" i="14"/>
  <c r="A117" i="14"/>
  <c r="D114" i="14"/>
  <c r="O110" i="14"/>
  <c r="N107" i="14"/>
  <c r="C105" i="14"/>
  <c r="D101" i="14"/>
  <c r="Q97" i="14"/>
  <c r="O94" i="14"/>
  <c r="A91" i="14"/>
  <c r="D88" i="14"/>
  <c r="Q85" i="14"/>
  <c r="O81" i="14"/>
  <c r="D77" i="14"/>
  <c r="D73" i="14"/>
  <c r="B71" i="14"/>
  <c r="N68" i="14"/>
  <c r="Q66" i="14"/>
  <c r="Q64" i="14"/>
  <c r="A62" i="14"/>
  <c r="C60" i="14"/>
  <c r="O57" i="14"/>
  <c r="O55" i="14"/>
  <c r="N52" i="14"/>
  <c r="Q50" i="14"/>
  <c r="A48" i="14"/>
  <c r="C46" i="14"/>
  <c r="O43" i="14"/>
  <c r="D41" i="14"/>
  <c r="B39" i="14"/>
  <c r="N36" i="14"/>
  <c r="O33" i="14"/>
  <c r="D31" i="14"/>
  <c r="B29" i="14"/>
  <c r="N26" i="14"/>
  <c r="O23" i="14"/>
  <c r="D21" i="14"/>
  <c r="B19" i="14"/>
  <c r="N16" i="14"/>
  <c r="Q14" i="14"/>
  <c r="A12" i="14"/>
  <c r="C10" i="14"/>
  <c r="O7" i="14"/>
  <c r="H5" i="14"/>
  <c r="J139" i="13"/>
  <c r="N137" i="13"/>
  <c r="B136" i="13"/>
  <c r="A135" i="13"/>
  <c r="F133" i="13"/>
  <c r="E132" i="13"/>
  <c r="D131" i="13"/>
  <c r="F129" i="13"/>
  <c r="D128" i="13"/>
  <c r="X126" i="13"/>
  <c r="F125" i="13"/>
  <c r="B124" i="13"/>
  <c r="X122" i="13"/>
  <c r="F121" i="13"/>
  <c r="E120" i="13"/>
  <c r="X118" i="13"/>
  <c r="F117" i="13"/>
  <c r="B116" i="13"/>
  <c r="X114" i="13"/>
  <c r="F113" i="13"/>
  <c r="B112" i="13"/>
  <c r="X110" i="13"/>
  <c r="F109" i="13"/>
  <c r="B108" i="13"/>
  <c r="X106" i="13"/>
  <c r="F105" i="13"/>
  <c r="B104" i="13"/>
  <c r="X102" i="13"/>
  <c r="Q101" i="13"/>
  <c r="L100" i="13"/>
  <c r="J99" i="13"/>
  <c r="C98" i="13"/>
  <c r="L96" i="13"/>
  <c r="J95" i="13"/>
  <c r="C94" i="13"/>
  <c r="L92" i="13"/>
  <c r="J91" i="13"/>
  <c r="C90" i="13"/>
  <c r="O88" i="13"/>
  <c r="H87" i="13"/>
  <c r="Q85" i="13"/>
  <c r="O84" i="13"/>
  <c r="H83" i="13"/>
  <c r="Q81" i="13"/>
  <c r="O80" i="13"/>
  <c r="H79" i="13"/>
  <c r="Q77" i="13"/>
  <c r="O76" i="13"/>
  <c r="L75" i="13"/>
  <c r="J74" i="13"/>
  <c r="E73" i="13"/>
  <c r="D72" i="13"/>
  <c r="F70" i="13"/>
  <c r="O68" i="13"/>
  <c r="H67" i="13"/>
  <c r="H65" i="13"/>
  <c r="Q63" i="13"/>
  <c r="O62" i="13"/>
  <c r="H61" i="13"/>
  <c r="Q59" i="13"/>
  <c r="O58" i="13"/>
  <c r="H57" i="13"/>
  <c r="Q55" i="13"/>
  <c r="O54" i="13"/>
  <c r="L53" i="13"/>
  <c r="J52" i="13"/>
  <c r="C51" i="13"/>
  <c r="L49" i="13"/>
  <c r="J48" i="13"/>
  <c r="C47" i="13"/>
  <c r="L45" i="13"/>
  <c r="J44" i="13"/>
  <c r="C43" i="13"/>
  <c r="L41" i="13"/>
  <c r="J40" i="13"/>
  <c r="C39" i="13"/>
  <c r="L37" i="13"/>
  <c r="J36" i="13"/>
  <c r="E35" i="13"/>
  <c r="D34" i="13"/>
  <c r="F32" i="13"/>
  <c r="E31" i="13"/>
  <c r="D30" i="13"/>
  <c r="F28" i="13"/>
  <c r="E27" i="13"/>
  <c r="D26" i="13"/>
  <c r="F24" i="13"/>
  <c r="E23" i="13"/>
  <c r="D22" i="13"/>
  <c r="F20" i="13"/>
  <c r="E19" i="13"/>
  <c r="D18" i="13"/>
  <c r="F16" i="13"/>
  <c r="E15" i="13"/>
  <c r="D14" i="13"/>
  <c r="F12" i="13"/>
  <c r="E11" i="13"/>
  <c r="D10" i="13"/>
  <c r="F8" i="13"/>
  <c r="E7" i="13"/>
  <c r="S5" i="13"/>
  <c r="D3" i="13"/>
  <c r="X123" i="12"/>
  <c r="T122" i="12"/>
  <c r="T121" i="12"/>
  <c r="L120" i="12"/>
  <c r="O119" i="12"/>
  <c r="L118" i="12"/>
  <c r="O117" i="12"/>
  <c r="J116" i="12"/>
  <c r="J115" i="12"/>
  <c r="H114" i="12"/>
  <c r="E113" i="12"/>
  <c r="D112" i="12"/>
  <c r="T110" i="12"/>
  <c r="T109" i="12"/>
  <c r="S108" i="12"/>
  <c r="S107" i="12"/>
  <c r="S106" i="12"/>
  <c r="S105" i="12"/>
  <c r="S104" i="12"/>
  <c r="V103" i="12"/>
  <c r="A103" i="12"/>
  <c r="E102" i="12"/>
  <c r="H101" i="12"/>
  <c r="E100" i="12"/>
  <c r="L99" i="12"/>
  <c r="Q98" i="12"/>
  <c r="N97" i="12"/>
  <c r="L96" i="12"/>
  <c r="J95" i="12"/>
  <c r="C94" i="12"/>
  <c r="L92" i="12"/>
  <c r="H91" i="12"/>
  <c r="D90" i="12"/>
  <c r="F88" i="12"/>
  <c r="E87" i="12"/>
  <c r="B86" i="12"/>
  <c r="A85" i="12"/>
  <c r="F83" i="12"/>
  <c r="C82" i="12"/>
  <c r="L80" i="12"/>
  <c r="J79" i="12"/>
  <c r="C78" i="12"/>
  <c r="L76" i="12"/>
  <c r="J75" i="12"/>
  <c r="C74" i="12"/>
  <c r="L72" i="12"/>
  <c r="J71" i="12"/>
  <c r="A70" i="12"/>
  <c r="N68" i="12"/>
  <c r="B67" i="12"/>
  <c r="L65" i="12"/>
  <c r="H64" i="12"/>
  <c r="Q62" i="12"/>
  <c r="O61" i="12"/>
  <c r="H60" i="12"/>
  <c r="A59" i="12"/>
  <c r="Q57" i="12"/>
  <c r="O56" i="12"/>
  <c r="H55" i="12"/>
  <c r="Q53" i="12"/>
  <c r="O52" i="12"/>
  <c r="H51" i="12"/>
  <c r="Q49" i="12"/>
  <c r="O48" i="12"/>
  <c r="H47" i="12"/>
  <c r="A46" i="12"/>
  <c r="N44" i="12"/>
  <c r="B43" i="12"/>
  <c r="A42" i="12"/>
  <c r="L40" i="12"/>
  <c r="J39" i="12"/>
  <c r="C38" i="12"/>
  <c r="H36" i="12"/>
  <c r="D35" i="12"/>
  <c r="Q33" i="12"/>
  <c r="H32" i="12"/>
  <c r="O30" i="12"/>
  <c r="E29" i="12"/>
  <c r="C28" i="12"/>
  <c r="N26" i="12"/>
  <c r="J25" i="12"/>
  <c r="Q23" i="12"/>
  <c r="N22" i="12"/>
  <c r="L21" i="12"/>
  <c r="J20" i="12"/>
  <c r="C19" i="12"/>
  <c r="L17" i="12"/>
  <c r="J16" i="12"/>
  <c r="C15" i="12"/>
  <c r="N13" i="12"/>
  <c r="B12" i="12"/>
  <c r="Q10" i="12"/>
  <c r="H9" i="12"/>
  <c r="O7" i="12"/>
  <c r="J6" i="12"/>
  <c r="H5" i="12"/>
  <c r="F120" i="11"/>
  <c r="L119" i="11"/>
  <c r="J118" i="11"/>
  <c r="E117" i="11"/>
  <c r="D116" i="11"/>
  <c r="T114" i="11"/>
  <c r="S113" i="11"/>
  <c r="X112" i="11"/>
  <c r="Q111" i="11"/>
  <c r="N110" i="11"/>
  <c r="J109" i="11"/>
  <c r="H108" i="11"/>
  <c r="A107" i="11"/>
  <c r="B106" i="11"/>
  <c r="V104" i="11"/>
  <c r="T103" i="11"/>
  <c r="J102" i="11"/>
  <c r="B101" i="11"/>
  <c r="X99" i="11"/>
  <c r="X97" i="11"/>
  <c r="F96" i="11"/>
  <c r="B95" i="11"/>
  <c r="X93" i="11"/>
  <c r="F92" i="11"/>
  <c r="B91" i="11"/>
  <c r="X89" i="11"/>
  <c r="F88" i="11"/>
  <c r="B87" i="11"/>
  <c r="X85" i="11"/>
  <c r="F83" i="11"/>
  <c r="A11" i="12"/>
  <c r="F6" i="12"/>
  <c r="F118" i="11"/>
  <c r="D112" i="11"/>
  <c r="T107" i="11"/>
  <c r="T100" i="11"/>
  <c r="T95" i="11"/>
  <c r="T91" i="11"/>
  <c r="T87" i="11"/>
  <c r="B82" i="11"/>
  <c r="Q79" i="11"/>
  <c r="H78" i="11"/>
  <c r="A77" i="11"/>
  <c r="B75" i="11"/>
  <c r="C73" i="11"/>
  <c r="O71" i="11"/>
  <c r="F70" i="11"/>
  <c r="C68" i="11"/>
  <c r="L66" i="11"/>
  <c r="C64" i="11"/>
  <c r="L62" i="11"/>
  <c r="J61" i="11"/>
  <c r="C60" i="11"/>
  <c r="L58" i="11"/>
  <c r="J57" i="11"/>
  <c r="C56" i="11"/>
  <c r="L54" i="11"/>
  <c r="Q52" i="11"/>
  <c r="O51" i="11"/>
  <c r="H50" i="11"/>
  <c r="Q48" i="11"/>
  <c r="O47" i="11"/>
  <c r="H46" i="11"/>
  <c r="Q44" i="11"/>
  <c r="O43" i="11"/>
  <c r="H42" i="11"/>
  <c r="Q40" i="11"/>
  <c r="O39" i="11"/>
  <c r="H38" i="11"/>
  <c r="Q36" i="11"/>
  <c r="B35" i="11"/>
  <c r="A34" i="11"/>
  <c r="N32" i="11"/>
  <c r="B31" i="11"/>
  <c r="A30" i="11"/>
  <c r="N28" i="11"/>
  <c r="B27" i="11"/>
  <c r="A26" i="11"/>
  <c r="N24" i="11"/>
  <c r="B23" i="11"/>
  <c r="A22" i="11"/>
  <c r="N20" i="11"/>
  <c r="B19" i="11"/>
  <c r="A18" i="11"/>
  <c r="N16" i="11"/>
  <c r="B15" i="11"/>
  <c r="A14" i="11"/>
  <c r="N12" i="11"/>
  <c r="B11" i="11"/>
  <c r="A10" i="11"/>
  <c r="N8" i="11"/>
  <c r="B7" i="11"/>
  <c r="N4" i="11"/>
  <c r="J145" i="10"/>
  <c r="D144" i="10"/>
  <c r="S142" i="10"/>
  <c r="V140" i="10"/>
  <c r="X138" i="10"/>
  <c r="F137" i="10"/>
  <c r="B136" i="10"/>
  <c r="X134" i="10"/>
  <c r="N133" i="10"/>
  <c r="J132" i="10"/>
  <c r="J131" i="10"/>
  <c r="E130" i="10"/>
  <c r="L129" i="10"/>
  <c r="Q128" i="10"/>
  <c r="V127" i="10"/>
  <c r="H126" i="10"/>
  <c r="D125" i="10"/>
  <c r="A124" i="10"/>
  <c r="T121" i="10"/>
  <c r="T120" i="10"/>
  <c r="T119" i="10"/>
  <c r="T118" i="10"/>
  <c r="T117" i="10"/>
  <c r="T116" i="10"/>
  <c r="T115" i="10"/>
  <c r="T114" i="10"/>
  <c r="T113" i="10"/>
  <c r="T112" i="10"/>
  <c r="T111" i="10"/>
  <c r="T110" i="10"/>
  <c r="S109" i="10"/>
  <c r="S108" i="10"/>
  <c r="S107" i="10"/>
  <c r="A106" i="10"/>
  <c r="N104" i="10"/>
  <c r="B103" i="10"/>
  <c r="A102" i="10"/>
  <c r="N100" i="10"/>
  <c r="B99" i="10"/>
  <c r="A98" i="10"/>
  <c r="N96" i="10"/>
  <c r="B95" i="10"/>
  <c r="A94" i="10"/>
  <c r="N92" i="10"/>
  <c r="B91" i="10"/>
  <c r="A90" i="10"/>
  <c r="N88" i="10"/>
  <c r="B87" i="10"/>
  <c r="A86" i="10"/>
  <c r="N84" i="10"/>
  <c r="B83" i="10"/>
  <c r="A82" i="10"/>
  <c r="N80" i="10"/>
  <c r="B79" i="10"/>
  <c r="A78" i="10"/>
  <c r="C75" i="10"/>
  <c r="F72" i="10"/>
  <c r="E71" i="10"/>
  <c r="D70" i="10"/>
  <c r="L68" i="10"/>
  <c r="J67" i="10"/>
  <c r="J65" i="10"/>
  <c r="C64" i="10"/>
  <c r="L62" i="10"/>
  <c r="J61" i="10"/>
  <c r="C60" i="10"/>
  <c r="L58" i="10"/>
  <c r="J57" i="10"/>
  <c r="C56" i="10"/>
  <c r="L54" i="10"/>
  <c r="Q52" i="10"/>
  <c r="O51" i="10"/>
  <c r="H50" i="10"/>
  <c r="Q48" i="10"/>
  <c r="O47" i="10"/>
  <c r="H46" i="10"/>
  <c r="Q44" i="10"/>
  <c r="O43" i="10"/>
  <c r="H42" i="10"/>
  <c r="A40" i="10"/>
  <c r="N38" i="10"/>
  <c r="B37" i="10"/>
  <c r="F35" i="10"/>
  <c r="E34" i="10"/>
  <c r="D33" i="10"/>
  <c r="F31" i="10"/>
  <c r="E30" i="10"/>
  <c r="D29" i="10"/>
  <c r="F27" i="10"/>
  <c r="E26" i="10"/>
  <c r="D25" i="10"/>
  <c r="F23" i="10"/>
  <c r="E22" i="10"/>
  <c r="D21" i="10"/>
  <c r="F19" i="10"/>
  <c r="E18" i="10"/>
  <c r="D17" i="10"/>
  <c r="F15" i="10"/>
  <c r="E14" i="10"/>
  <c r="D13" i="10"/>
  <c r="F11" i="10"/>
  <c r="E10" i="10"/>
  <c r="D9" i="10"/>
  <c r="F7" i="10"/>
  <c r="S4" i="10"/>
  <c r="X101" i="9"/>
  <c r="Q99" i="9"/>
  <c r="L98" i="9"/>
  <c r="Q97" i="9"/>
  <c r="T96" i="9"/>
  <c r="V95" i="9"/>
  <c r="V94" i="9"/>
  <c r="A94" i="9"/>
  <c r="E93" i="9"/>
  <c r="E92" i="9"/>
  <c r="E91" i="9"/>
  <c r="L90" i="9"/>
  <c r="L89" i="9"/>
  <c r="O88" i="9"/>
  <c r="Q87" i="9"/>
  <c r="V86" i="9"/>
  <c r="A86" i="9"/>
  <c r="E85" i="9"/>
  <c r="L84" i="9"/>
  <c r="Q83" i="9"/>
  <c r="V82" i="9"/>
  <c r="A82" i="9"/>
  <c r="E81" i="9"/>
  <c r="L80" i="9"/>
  <c r="Q79" i="9"/>
  <c r="V78" i="9"/>
  <c r="A78" i="9"/>
  <c r="H76" i="9"/>
  <c r="Q74" i="9"/>
  <c r="O73" i="9"/>
  <c r="H72" i="9"/>
  <c r="Q70" i="9"/>
  <c r="O69" i="9"/>
  <c r="H68" i="9"/>
  <c r="Q66" i="9"/>
  <c r="O65" i="9"/>
  <c r="H64" i="9"/>
  <c r="Q62" i="9"/>
  <c r="O61" i="9"/>
  <c r="H60" i="9"/>
  <c r="Q58" i="9"/>
  <c r="O57" i="9"/>
  <c r="H56" i="9"/>
  <c r="O54" i="9"/>
  <c r="D53" i="9"/>
  <c r="D51" i="9"/>
  <c r="B49" i="9"/>
  <c r="J47" i="9"/>
  <c r="F45" i="9"/>
  <c r="A44" i="9"/>
  <c r="H42" i="9"/>
  <c r="Q40" i="9"/>
  <c r="O39" i="9"/>
  <c r="H38" i="9"/>
  <c r="Q36" i="9"/>
  <c r="O35" i="9"/>
  <c r="H34" i="9"/>
  <c r="Q32" i="9"/>
  <c r="O31" i="9"/>
  <c r="H30" i="9"/>
  <c r="Q28" i="9"/>
  <c r="O27" i="9"/>
  <c r="H26" i="9"/>
  <c r="Q24" i="9"/>
  <c r="O23" i="9"/>
  <c r="H22" i="9"/>
  <c r="Q20" i="9"/>
  <c r="O19" i="9"/>
  <c r="H18" i="9"/>
  <c r="Q16" i="9"/>
  <c r="O15" i="9"/>
  <c r="H14" i="9"/>
  <c r="Q12" i="9"/>
  <c r="O11" i="9"/>
  <c r="H10" i="9"/>
  <c r="Q8" i="9"/>
  <c r="O7" i="9"/>
  <c r="H6" i="9"/>
  <c r="S4" i="9"/>
  <c r="X101" i="8"/>
  <c r="A101" i="8"/>
  <c r="E100" i="8"/>
  <c r="V98" i="8"/>
  <c r="A98" i="8"/>
  <c r="C97" i="8"/>
  <c r="A96" i="8"/>
  <c r="C95" i="8"/>
  <c r="C94" i="8"/>
  <c r="C93" i="8"/>
  <c r="C92" i="8"/>
  <c r="C91" i="8"/>
  <c r="C90" i="8"/>
  <c r="C89" i="8"/>
  <c r="C87" i="8"/>
  <c r="X85" i="8"/>
  <c r="A84" i="8"/>
  <c r="E83" i="8"/>
  <c r="L82" i="8"/>
  <c r="O81" i="8"/>
  <c r="O80" i="8"/>
  <c r="F79" i="8"/>
  <c r="B78" i="8"/>
  <c r="E77" i="8"/>
  <c r="L76" i="8"/>
  <c r="H75" i="8"/>
  <c r="H74" i="8"/>
  <c r="L73" i="8"/>
  <c r="O72" i="8"/>
  <c r="J71" i="8"/>
  <c r="C70" i="8"/>
  <c r="L68" i="8"/>
  <c r="J67" i="8"/>
  <c r="A66" i="8"/>
  <c r="Q64" i="8"/>
  <c r="N63" i="8"/>
  <c r="B62" i="8"/>
  <c r="Q60" i="8"/>
  <c r="N59" i="8"/>
  <c r="N58" i="8"/>
  <c r="N57" i="8"/>
  <c r="O56" i="8"/>
  <c r="H55" i="8"/>
  <c r="H54" i="8"/>
  <c r="D53" i="8"/>
  <c r="E52" i="8"/>
  <c r="A51" i="8"/>
  <c r="E50" i="8"/>
  <c r="C49" i="8"/>
  <c r="Q47" i="8"/>
  <c r="O46" i="8"/>
  <c r="B45" i="8"/>
  <c r="A44" i="8"/>
  <c r="L42" i="8"/>
  <c r="J41" i="8"/>
  <c r="C40" i="8"/>
  <c r="L38" i="8"/>
  <c r="H37" i="8"/>
  <c r="H35" i="8"/>
  <c r="Q33" i="8"/>
  <c r="N32" i="8"/>
  <c r="J31" i="8"/>
  <c r="Q29" i="8"/>
  <c r="O28" i="8"/>
  <c r="H27" i="8"/>
  <c r="Q25" i="8"/>
  <c r="O24" i="8"/>
  <c r="H23" i="8"/>
  <c r="E22" i="8"/>
  <c r="D21" i="8"/>
  <c r="J19" i="8"/>
  <c r="C18" i="8"/>
  <c r="J16" i="8"/>
  <c r="Q14" i="8"/>
  <c r="O13" i="8"/>
  <c r="H12" i="8"/>
  <c r="Q10" i="8"/>
  <c r="O9" i="8"/>
  <c r="H8" i="8"/>
  <c r="V6" i="8"/>
  <c r="T5" i="8"/>
  <c r="N4" i="8"/>
  <c r="B109" i="7"/>
  <c r="L107" i="7"/>
  <c r="N106" i="7"/>
  <c r="N105" i="7"/>
  <c r="L104" i="7"/>
  <c r="H103" i="7"/>
  <c r="H102" i="7"/>
  <c r="L101" i="7"/>
  <c r="N100" i="7"/>
  <c r="N99" i="7"/>
  <c r="L98" i="7"/>
  <c r="F97" i="7"/>
  <c r="J96" i="7"/>
  <c r="J95" i="7"/>
  <c r="J94" i="7"/>
  <c r="J93" i="7"/>
  <c r="J92" i="7"/>
  <c r="J91" i="7"/>
  <c r="B90" i="7"/>
  <c r="X88" i="7"/>
  <c r="A88" i="7"/>
  <c r="E87" i="7"/>
  <c r="L86" i="7"/>
  <c r="Q85" i="7"/>
  <c r="V84" i="7"/>
  <c r="A84" i="7"/>
  <c r="E83" i="7"/>
  <c r="L82" i="7"/>
  <c r="L81" i="7"/>
  <c r="N80" i="7"/>
  <c r="O79" i="7"/>
  <c r="B78" i="7"/>
  <c r="D77" i="7"/>
  <c r="T74" i="7"/>
  <c r="T73" i="7"/>
  <c r="V72" i="7"/>
  <c r="A72" i="7"/>
  <c r="B71" i="7"/>
  <c r="X69" i="7"/>
  <c r="J68" i="7"/>
  <c r="C67" i="7"/>
  <c r="A66" i="7"/>
  <c r="N64" i="7"/>
  <c r="B63" i="7"/>
  <c r="A62" i="7"/>
  <c r="N60" i="7"/>
  <c r="B59" i="7"/>
  <c r="X57" i="7"/>
  <c r="T55" i="7"/>
  <c r="F54" i="7"/>
  <c r="F52" i="7"/>
  <c r="J51" i="7"/>
  <c r="T49" i="7"/>
  <c r="T48" i="7"/>
  <c r="T47" i="7"/>
  <c r="V46" i="7"/>
  <c r="V45" i="7"/>
  <c r="V44" i="7"/>
  <c r="V43" i="7"/>
  <c r="F42" i="7"/>
  <c r="F41" i="7"/>
  <c r="F40" i="7"/>
  <c r="H39" i="7"/>
  <c r="J38" i="7"/>
  <c r="E37" i="7"/>
  <c r="F35" i="7"/>
  <c r="H34" i="7"/>
  <c r="L33" i="7"/>
  <c r="F32" i="7"/>
  <c r="F31" i="7"/>
  <c r="F30" i="7"/>
  <c r="H29" i="7"/>
  <c r="J28" i="7"/>
  <c r="E27" i="7"/>
  <c r="E26" i="7"/>
  <c r="F25" i="7"/>
  <c r="J24" i="7"/>
  <c r="T22" i="7"/>
  <c r="F21" i="7"/>
  <c r="H20" i="7"/>
  <c r="L19" i="7"/>
  <c r="F18" i="7"/>
  <c r="J17" i="7"/>
  <c r="D16" i="7"/>
  <c r="E7" i="12"/>
  <c r="X118" i="11"/>
  <c r="H115" i="11"/>
  <c r="E110" i="11"/>
  <c r="S106" i="11"/>
  <c r="F102" i="11"/>
  <c r="J96" i="11"/>
  <c r="J92" i="11"/>
  <c r="J88" i="11"/>
  <c r="J83" i="11"/>
  <c r="Q80" i="11"/>
  <c r="H79" i="11"/>
  <c r="E77" i="11"/>
  <c r="F75" i="11"/>
  <c r="H73" i="11"/>
  <c r="A72" i="11"/>
  <c r="L69" i="11"/>
  <c r="Q67" i="11"/>
  <c r="O66" i="11"/>
  <c r="B64" i="11"/>
  <c r="A63" i="11"/>
  <c r="N61" i="11"/>
  <c r="B60" i="11"/>
  <c r="A59" i="11"/>
  <c r="N57" i="11"/>
  <c r="B56" i="11"/>
  <c r="A55" i="11"/>
  <c r="Q53" i="11"/>
  <c r="O52" i="11"/>
  <c r="H51" i="11"/>
  <c r="Q49" i="11"/>
  <c r="O48" i="11"/>
  <c r="H47" i="11"/>
  <c r="Q45" i="11"/>
  <c r="O44" i="11"/>
  <c r="H43" i="11"/>
  <c r="Q41" i="11"/>
  <c r="O40" i="11"/>
  <c r="H39" i="11"/>
  <c r="Q37" i="11"/>
  <c r="O36" i="11"/>
  <c r="L35" i="11"/>
  <c r="J34" i="11"/>
  <c r="C33" i="11"/>
  <c r="L31" i="11"/>
  <c r="J30" i="11"/>
  <c r="C29" i="11"/>
  <c r="L27" i="11"/>
  <c r="J26" i="11"/>
  <c r="C25" i="11"/>
  <c r="L23" i="11"/>
  <c r="J22" i="11"/>
  <c r="C21" i="11"/>
  <c r="L19" i="11"/>
  <c r="J18" i="11"/>
  <c r="C17" i="11"/>
  <c r="L15" i="11"/>
  <c r="J14" i="11"/>
  <c r="C13" i="11"/>
  <c r="L11" i="11"/>
  <c r="J10" i="11"/>
  <c r="C9" i="11"/>
  <c r="L7" i="11"/>
  <c r="Q5" i="11"/>
  <c r="B3" i="11"/>
  <c r="X144" i="10"/>
  <c r="H143" i="10"/>
  <c r="B142" i="10"/>
  <c r="D140" i="10"/>
  <c r="L138" i="10"/>
  <c r="Q137" i="10"/>
  <c r="V136" i="10"/>
  <c r="A136" i="10"/>
  <c r="E135" i="10"/>
  <c r="B134" i="10"/>
  <c r="X132" i="10"/>
  <c r="N131" i="10"/>
  <c r="J130" i="10"/>
  <c r="J129" i="10"/>
  <c r="J128" i="10"/>
  <c r="E127" i="10"/>
  <c r="B126" i="10"/>
  <c r="S124" i="10"/>
  <c r="L123" i="10"/>
  <c r="N121" i="10"/>
  <c r="N120" i="10"/>
  <c r="N119" i="10"/>
  <c r="N118" i="10"/>
  <c r="N117" i="10"/>
  <c r="N116" i="10"/>
  <c r="N115" i="10"/>
  <c r="N114" i="10"/>
  <c r="N113" i="10"/>
  <c r="N112" i="10"/>
  <c r="N111" i="10"/>
  <c r="N110" i="10"/>
  <c r="F109" i="10"/>
  <c r="B108" i="10"/>
  <c r="N105" i="10"/>
  <c r="B104" i="10"/>
  <c r="A103" i="10"/>
  <c r="N101" i="10"/>
  <c r="B100" i="10"/>
  <c r="A99" i="10"/>
  <c r="N97" i="10"/>
  <c r="B96" i="10"/>
  <c r="A95" i="10"/>
  <c r="N93" i="10"/>
  <c r="B92" i="10"/>
  <c r="A91" i="10"/>
  <c r="N89" i="10"/>
  <c r="B88" i="10"/>
  <c r="A87" i="10"/>
  <c r="N85" i="10"/>
  <c r="B84" i="10"/>
  <c r="A83" i="10"/>
  <c r="N81" i="10"/>
  <c r="B80" i="10"/>
  <c r="A79" i="10"/>
  <c r="Q76" i="10"/>
  <c r="B75" i="10"/>
  <c r="L72" i="10"/>
  <c r="J71" i="10"/>
  <c r="C70" i="10"/>
  <c r="J68" i="10"/>
  <c r="C67" i="10"/>
  <c r="F64" i="10"/>
  <c r="E63" i="10"/>
  <c r="D62" i="10"/>
  <c r="F60" i="10"/>
  <c r="E59" i="10"/>
  <c r="D58" i="10"/>
  <c r="F56" i="10"/>
  <c r="E55" i="10"/>
  <c r="D54" i="10"/>
  <c r="A53" i="10"/>
  <c r="N51" i="10"/>
  <c r="B50" i="10"/>
  <c r="A49" i="10"/>
  <c r="N47" i="10"/>
  <c r="B46" i="10"/>
  <c r="A45" i="10"/>
  <c r="N43" i="10"/>
  <c r="B42" i="10"/>
  <c r="A41" i="10"/>
  <c r="C39" i="10"/>
  <c r="L37" i="10"/>
  <c r="J36" i="10"/>
  <c r="E35" i="10"/>
  <c r="D34" i="10"/>
  <c r="F32" i="10"/>
  <c r="E31" i="10"/>
  <c r="D30" i="10"/>
  <c r="F28" i="10"/>
  <c r="E27" i="10"/>
  <c r="D26" i="10"/>
  <c r="F24" i="10"/>
  <c r="E23" i="10"/>
  <c r="D22" i="10"/>
  <c r="F20" i="10"/>
  <c r="E19" i="10"/>
  <c r="D18" i="10"/>
  <c r="F16" i="10"/>
  <c r="E15" i="10"/>
  <c r="D14" i="10"/>
  <c r="F12" i="10"/>
  <c r="E11" i="10"/>
  <c r="D10" i="10"/>
  <c r="F8" i="10"/>
  <c r="E7" i="10"/>
  <c r="L5" i="10"/>
  <c r="V101" i="9"/>
  <c r="V100" i="9"/>
  <c r="X99" i="9"/>
  <c r="J98" i="9"/>
  <c r="J97" i="9"/>
  <c r="H96" i="9"/>
  <c r="T94" i="9"/>
  <c r="T93" i="9"/>
  <c r="T92" i="9"/>
  <c r="J91" i="9"/>
  <c r="J90" i="9"/>
  <c r="D89" i="9"/>
  <c r="T87" i="9"/>
  <c r="T86" i="9"/>
  <c r="T85" i="9"/>
  <c r="T84" i="9"/>
  <c r="T83" i="9"/>
  <c r="T82" i="9"/>
  <c r="T81" i="9"/>
  <c r="T80" i="9"/>
  <c r="T79" i="9"/>
  <c r="T78" i="9"/>
  <c r="F77" i="9"/>
  <c r="L75" i="9"/>
  <c r="J74" i="9"/>
  <c r="C73" i="9"/>
  <c r="L71" i="9"/>
  <c r="J70" i="9"/>
  <c r="C69" i="9"/>
  <c r="L67" i="9"/>
  <c r="J66" i="9"/>
  <c r="C65" i="9"/>
  <c r="L63" i="9"/>
  <c r="J62" i="9"/>
  <c r="C61" i="9"/>
  <c r="L59" i="9"/>
  <c r="J58" i="9"/>
  <c r="C57" i="9"/>
  <c r="L55" i="9"/>
  <c r="H54" i="9"/>
  <c r="B52" i="9"/>
  <c r="F50" i="9"/>
  <c r="A49" i="9"/>
  <c r="C47" i="9"/>
  <c r="L45" i="9"/>
  <c r="D44" i="9"/>
  <c r="F42" i="9"/>
  <c r="E41" i="9"/>
  <c r="D40" i="9"/>
  <c r="F38" i="9"/>
  <c r="E37" i="9"/>
  <c r="D36" i="9"/>
  <c r="F34" i="9"/>
  <c r="E33" i="9"/>
  <c r="D32" i="9"/>
  <c r="F30" i="9"/>
  <c r="E29" i="9"/>
  <c r="D28" i="9"/>
  <c r="F26" i="9"/>
  <c r="E25" i="9"/>
  <c r="D24" i="9"/>
  <c r="F22" i="9"/>
  <c r="E21" i="9"/>
  <c r="D20" i="9"/>
  <c r="F18" i="9"/>
  <c r="E17" i="9"/>
  <c r="D16" i="9"/>
  <c r="F14" i="9"/>
  <c r="E13" i="9"/>
  <c r="D12" i="9"/>
  <c r="F10" i="9"/>
  <c r="E9" i="9"/>
  <c r="D8" i="9"/>
  <c r="F6" i="9"/>
  <c r="L5" i="9"/>
  <c r="V101" i="8"/>
  <c r="T100" i="8"/>
  <c r="V99" i="8"/>
  <c r="T98" i="8"/>
  <c r="S97" i="8"/>
  <c r="F96" i="8"/>
  <c r="B95" i="8"/>
  <c r="X93" i="8"/>
  <c r="F92" i="8"/>
  <c r="B91" i="8"/>
  <c r="X89" i="8"/>
  <c r="X87" i="8"/>
  <c r="L86" i="8"/>
  <c r="Q85" i="8"/>
  <c r="Q84" i="8"/>
  <c r="O83" i="8"/>
  <c r="O82" i="8"/>
  <c r="N81" i="8"/>
  <c r="N80" i="8"/>
  <c r="Q79" i="8"/>
  <c r="V78" i="8"/>
  <c r="A78" i="8"/>
  <c r="D77" i="8"/>
  <c r="D76" i="8"/>
  <c r="X74" i="8"/>
  <c r="J73" i="8"/>
  <c r="H72" i="8"/>
  <c r="F70" i="8"/>
  <c r="E69" i="8"/>
  <c r="D68" i="8"/>
  <c r="F66" i="8"/>
  <c r="J64" i="8"/>
  <c r="Q62" i="8"/>
  <c r="V61" i="8"/>
  <c r="A61" i="8"/>
  <c r="F59" i="8"/>
  <c r="B58" i="8"/>
  <c r="S56" i="8"/>
  <c r="F55" i="8"/>
  <c r="N53" i="8"/>
  <c r="O52" i="8"/>
  <c r="J51" i="8"/>
  <c r="J50" i="8"/>
  <c r="V48" i="8"/>
  <c r="A48" i="8"/>
  <c r="N46" i="8"/>
  <c r="L45" i="8"/>
  <c r="J44" i="8"/>
  <c r="C43" i="8"/>
  <c r="N41" i="8"/>
  <c r="B40" i="8"/>
  <c r="A39" i="8"/>
  <c r="N37" i="8"/>
  <c r="L36" i="8"/>
  <c r="Q34" i="8"/>
  <c r="O33" i="8"/>
  <c r="B32" i="8"/>
  <c r="Q30" i="8"/>
  <c r="O29" i="8"/>
  <c r="H28" i="8"/>
  <c r="Q26" i="8"/>
  <c r="O25" i="8"/>
  <c r="H24" i="8"/>
  <c r="O22" i="8"/>
  <c r="H21" i="8"/>
  <c r="E20" i="8"/>
  <c r="C19" i="8"/>
  <c r="L17" i="8"/>
  <c r="H16" i="8"/>
  <c r="E15" i="8"/>
  <c r="D14" i="8"/>
  <c r="F12" i="8"/>
  <c r="E11" i="8"/>
  <c r="D10" i="8"/>
  <c r="F8" i="8"/>
  <c r="E7" i="8"/>
  <c r="J6" i="8"/>
  <c r="E5" i="8"/>
  <c r="E109" i="7"/>
  <c r="X107" i="7"/>
  <c r="T106" i="7"/>
  <c r="B105" i="7"/>
  <c r="D104" i="7"/>
  <c r="X102" i="7"/>
  <c r="J101" i="7"/>
  <c r="B100" i="7"/>
  <c r="X98" i="7"/>
  <c r="S97" i="7"/>
  <c r="V96" i="7"/>
  <c r="S95" i="7"/>
  <c r="V94" i="7"/>
  <c r="S93" i="7"/>
  <c r="S92" i="7"/>
  <c r="S91" i="7"/>
  <c r="S90" i="7"/>
  <c r="V89" i="7"/>
  <c r="A89" i="7"/>
  <c r="D88" i="7"/>
  <c r="D87" i="7"/>
  <c r="D86" i="7"/>
  <c r="D85" i="7"/>
  <c r="D84" i="7"/>
  <c r="D83" i="7"/>
  <c r="D82" i="7"/>
  <c r="D81" i="7"/>
  <c r="N79" i="7"/>
  <c r="Q78" i="7"/>
  <c r="S77" i="7"/>
  <c r="V76" i="7"/>
  <c r="V75" i="7"/>
  <c r="A75" i="7"/>
  <c r="A74" i="7"/>
  <c r="B73" i="7"/>
  <c r="D72" i="7"/>
  <c r="V70" i="7"/>
  <c r="A70" i="7"/>
  <c r="E69" i="7"/>
  <c r="C68" i="7"/>
  <c r="F66" i="7"/>
  <c r="F64" i="7"/>
  <c r="E63" i="7"/>
  <c r="D62" i="7"/>
  <c r="F60" i="7"/>
  <c r="E59" i="7"/>
  <c r="L58" i="7"/>
  <c r="Q57" i="7"/>
  <c r="Q56" i="7"/>
  <c r="S55" i="7"/>
  <c r="V54" i="7"/>
  <c r="V53" i="7"/>
  <c r="V52" i="7"/>
  <c r="A52" i="7"/>
  <c r="C51" i="7"/>
  <c r="E50" i="7"/>
  <c r="E49" i="7"/>
  <c r="E48" i="7"/>
  <c r="B47" i="7"/>
  <c r="B46" i="7"/>
  <c r="B45" i="7"/>
  <c r="B44" i="7"/>
  <c r="C43" i="7"/>
  <c r="E42" i="7"/>
  <c r="E41" i="7"/>
  <c r="E40" i="7"/>
  <c r="B39" i="7"/>
  <c r="C38" i="7"/>
  <c r="D37" i="7"/>
  <c r="V35" i="7"/>
  <c r="A35" i="7"/>
  <c r="T33" i="7"/>
  <c r="Q32" i="7"/>
  <c r="S31" i="7"/>
  <c r="S30" i="7"/>
  <c r="S29" i="7"/>
  <c r="N28" i="7"/>
  <c r="O27" i="7"/>
  <c r="J26" i="7"/>
  <c r="A25" i="7"/>
  <c r="C24" i="7"/>
  <c r="E23" i="7"/>
  <c r="H22" i="7"/>
  <c r="L21" i="7"/>
  <c r="F20" i="7"/>
  <c r="J19" i="7"/>
  <c r="E18" i="7"/>
  <c r="H17" i="7"/>
  <c r="L11" i="12"/>
  <c r="A7" i="12"/>
  <c r="N119" i="11"/>
  <c r="B115" i="11"/>
  <c r="S111" i="11"/>
  <c r="J107" i="11"/>
  <c r="X103" i="11"/>
  <c r="O98" i="11"/>
  <c r="O94" i="11"/>
  <c r="O90" i="11"/>
  <c r="O86" i="11"/>
  <c r="F82" i="11"/>
  <c r="O80" i="11"/>
  <c r="E79" i="11"/>
  <c r="Q76" i="11"/>
  <c r="D74" i="11"/>
  <c r="E72" i="11"/>
  <c r="C70" i="11"/>
  <c r="Q68" i="11"/>
  <c r="O67" i="11"/>
  <c r="H66" i="11"/>
  <c r="E64" i="11"/>
  <c r="D63" i="11"/>
  <c r="F61" i="11"/>
  <c r="E60" i="11"/>
  <c r="D59" i="11"/>
  <c r="F57" i="11"/>
  <c r="E56" i="11"/>
  <c r="D55" i="11"/>
  <c r="O53" i="11"/>
  <c r="H52" i="11"/>
  <c r="Q50" i="11"/>
  <c r="O49" i="11"/>
  <c r="H48" i="11"/>
  <c r="Q46" i="11"/>
  <c r="O45" i="11"/>
  <c r="H44" i="11"/>
  <c r="Q42" i="11"/>
  <c r="O41" i="11"/>
  <c r="H40" i="11"/>
  <c r="Q38" i="11"/>
  <c r="O37" i="11"/>
  <c r="H36" i="11"/>
  <c r="D35" i="11"/>
  <c r="F33" i="11"/>
  <c r="E32" i="11"/>
  <c r="D31" i="11"/>
  <c r="F29" i="11"/>
  <c r="E28" i="11"/>
  <c r="D27" i="11"/>
  <c r="F25" i="11"/>
  <c r="E24" i="11"/>
  <c r="D23" i="11"/>
  <c r="F21" i="11"/>
  <c r="E20" i="11"/>
  <c r="D19" i="11"/>
  <c r="F17" i="11"/>
  <c r="E16" i="11"/>
  <c r="D15" i="11"/>
  <c r="F13" i="11"/>
  <c r="E12" i="11"/>
  <c r="D11" i="11"/>
  <c r="F9" i="11"/>
  <c r="E8" i="11"/>
  <c r="D7" i="11"/>
  <c r="J5" i="11"/>
  <c r="A3" i="11"/>
  <c r="V144" i="10"/>
  <c r="F143" i="10"/>
  <c r="A142" i="10"/>
  <c r="B140" i="10"/>
  <c r="D138" i="10"/>
  <c r="D137" i="10"/>
  <c r="D136" i="10"/>
  <c r="D135" i="10"/>
  <c r="A134" i="10"/>
  <c r="E133" i="10"/>
  <c r="B132" i="10"/>
  <c r="X130" i="10"/>
  <c r="N129" i="10"/>
  <c r="N128" i="10"/>
  <c r="J127" i="10"/>
  <c r="E126" i="10"/>
  <c r="B125" i="10"/>
  <c r="S123" i="10"/>
  <c r="F121" i="10"/>
  <c r="B120" i="10"/>
  <c r="X118" i="10"/>
  <c r="F117" i="10"/>
  <c r="B116" i="10"/>
  <c r="X114" i="10"/>
  <c r="F113" i="10"/>
  <c r="B112" i="10"/>
  <c r="X110" i="10"/>
  <c r="Q109" i="10"/>
  <c r="V108" i="10"/>
  <c r="A108" i="10"/>
  <c r="E107" i="10"/>
  <c r="Q104" i="10"/>
  <c r="O103" i="10"/>
  <c r="H102" i="10"/>
  <c r="Q100" i="10"/>
  <c r="O99" i="10"/>
  <c r="H98" i="10"/>
  <c r="Q96" i="10"/>
  <c r="O95" i="10"/>
  <c r="H94" i="10"/>
  <c r="Q92" i="10"/>
  <c r="O91" i="10"/>
  <c r="H90" i="10"/>
  <c r="Q88" i="10"/>
  <c r="O87" i="10"/>
  <c r="H86" i="10"/>
  <c r="Q84" i="10"/>
  <c r="O83" i="10"/>
  <c r="H82" i="10"/>
  <c r="Q80" i="10"/>
  <c r="O79" i="10"/>
  <c r="H78" i="10"/>
  <c r="J76" i="10"/>
  <c r="E75" i="10"/>
  <c r="L73" i="10"/>
  <c r="J72" i="10"/>
  <c r="C71" i="10"/>
  <c r="L69" i="10"/>
  <c r="H68" i="10"/>
  <c r="F65" i="10"/>
  <c r="E64" i="10"/>
  <c r="D63" i="10"/>
  <c r="F61" i="10"/>
  <c r="E60" i="10"/>
  <c r="D59" i="10"/>
  <c r="F57" i="10"/>
  <c r="E56" i="10"/>
  <c r="D55" i="10"/>
  <c r="O53" i="10"/>
  <c r="H52" i="10"/>
  <c r="Q50" i="10"/>
  <c r="O49" i="10"/>
  <c r="H48" i="10"/>
  <c r="Q46" i="10"/>
  <c r="O45" i="10"/>
  <c r="H44" i="10"/>
  <c r="Q42" i="10"/>
  <c r="O41" i="10"/>
  <c r="F39" i="10"/>
  <c r="E38" i="10"/>
  <c r="D37" i="10"/>
  <c r="O35" i="10"/>
  <c r="H34" i="10"/>
  <c r="Q32" i="10"/>
  <c r="O31" i="10"/>
  <c r="H30" i="10"/>
  <c r="Q28" i="10"/>
  <c r="O27" i="10"/>
  <c r="H26" i="10"/>
  <c r="Q24" i="10"/>
  <c r="O23" i="10"/>
  <c r="H22" i="10"/>
  <c r="Q20" i="10"/>
  <c r="O19" i="10"/>
  <c r="H18" i="10"/>
  <c r="Q16" i="10"/>
  <c r="O15" i="10"/>
  <c r="H14" i="10"/>
  <c r="Q12" i="10"/>
  <c r="O11" i="10"/>
  <c r="H10" i="10"/>
  <c r="Q8" i="10"/>
  <c r="O7" i="10"/>
  <c r="T5" i="10"/>
  <c r="E4" i="10"/>
  <c r="O101" i="9"/>
  <c r="O100" i="9"/>
  <c r="N99" i="9"/>
  <c r="C98" i="9"/>
  <c r="C97" i="9"/>
  <c r="H95" i="9"/>
  <c r="H94" i="9"/>
  <c r="H93" i="9"/>
  <c r="C92" i="9"/>
  <c r="S90" i="9"/>
  <c r="S89" i="9"/>
  <c r="F88" i="9"/>
  <c r="C87" i="9"/>
  <c r="C86" i="9"/>
  <c r="C85" i="9"/>
  <c r="C84" i="9"/>
  <c r="C83" i="9"/>
  <c r="C82" i="9"/>
  <c r="C81" i="9"/>
  <c r="C80" i="9"/>
  <c r="C79" i="9"/>
  <c r="C78" i="9"/>
  <c r="Q76" i="9"/>
  <c r="O75" i="9"/>
  <c r="H74" i="9"/>
  <c r="Q72" i="9"/>
  <c r="O71" i="9"/>
  <c r="H70" i="9"/>
  <c r="Q68" i="9"/>
  <c r="O67" i="9"/>
  <c r="H66" i="9"/>
  <c r="Q64" i="9"/>
  <c r="O63" i="9"/>
  <c r="H62" i="9"/>
  <c r="Q60" i="9"/>
  <c r="O59" i="9"/>
  <c r="H58" i="9"/>
  <c r="Q56" i="9"/>
  <c r="O55" i="9"/>
  <c r="F53" i="9"/>
  <c r="A52" i="9"/>
  <c r="E50" i="9"/>
  <c r="H48" i="9"/>
  <c r="L46" i="9"/>
  <c r="J45" i="9"/>
  <c r="F43" i="9"/>
  <c r="A42" i="9"/>
  <c r="N40" i="9"/>
  <c r="B39" i="9"/>
  <c r="A38" i="9"/>
  <c r="N36" i="9"/>
  <c r="B35" i="9"/>
  <c r="A34" i="9"/>
  <c r="N32" i="9"/>
  <c r="B31" i="9"/>
  <c r="A30" i="9"/>
  <c r="N28" i="9"/>
  <c r="B27" i="9"/>
  <c r="A26" i="9"/>
  <c r="N24" i="9"/>
  <c r="B23" i="9"/>
  <c r="A22" i="9"/>
  <c r="N20" i="9"/>
  <c r="B19" i="9"/>
  <c r="A18" i="9"/>
  <c r="N16" i="9"/>
  <c r="B15" i="9"/>
  <c r="A14" i="9"/>
  <c r="N12" i="9"/>
  <c r="B11" i="9"/>
  <c r="A10" i="9"/>
  <c r="N8" i="9"/>
  <c r="B7" i="9"/>
  <c r="A6" i="9"/>
  <c r="D5" i="9"/>
  <c r="T101" i="8"/>
  <c r="S100" i="8"/>
  <c r="T99" i="8"/>
  <c r="S98" i="8"/>
  <c r="X97" i="8"/>
  <c r="A97" i="8"/>
  <c r="E96" i="8"/>
  <c r="V94" i="8"/>
  <c r="A94" i="8"/>
  <c r="E93" i="8"/>
  <c r="L92" i="8"/>
  <c r="Q91" i="8"/>
  <c r="V90" i="8"/>
  <c r="A90" i="8"/>
  <c r="E89" i="8"/>
  <c r="L87" i="8"/>
  <c r="J86" i="8"/>
  <c r="J85" i="8"/>
  <c r="J84" i="8"/>
  <c r="H83" i="8"/>
  <c r="H82" i="8"/>
  <c r="B81" i="8"/>
  <c r="V79" i="8"/>
  <c r="T78" i="8"/>
  <c r="S77" i="8"/>
  <c r="S76" i="8"/>
  <c r="V75" i="8"/>
  <c r="A75" i="8"/>
  <c r="E74" i="8"/>
  <c r="C73" i="8"/>
  <c r="B71" i="8"/>
  <c r="A70" i="8"/>
  <c r="N68" i="8"/>
  <c r="B67" i="8"/>
  <c r="Q65" i="8"/>
  <c r="N64" i="8"/>
  <c r="L63" i="8"/>
  <c r="J62" i="8"/>
  <c r="J61" i="8"/>
  <c r="C60" i="8"/>
  <c r="A59" i="8"/>
  <c r="E58" i="8"/>
  <c r="L57" i="8"/>
  <c r="B56" i="8"/>
  <c r="A55" i="8"/>
  <c r="E54" i="8"/>
  <c r="N52" i="8"/>
  <c r="C51" i="8"/>
  <c r="C50" i="8"/>
  <c r="A49" i="8"/>
  <c r="D48" i="8"/>
  <c r="F46" i="8"/>
  <c r="D45" i="8"/>
  <c r="F43" i="8"/>
  <c r="C42" i="8"/>
  <c r="L40" i="8"/>
  <c r="J39" i="8"/>
  <c r="C38" i="8"/>
  <c r="O36" i="8"/>
  <c r="L35" i="8"/>
  <c r="J34" i="8"/>
  <c r="C33" i="8"/>
  <c r="A32" i="8"/>
  <c r="O30" i="8"/>
  <c r="H29" i="8"/>
  <c r="Q27" i="8"/>
  <c r="O26" i="8"/>
  <c r="H25" i="8"/>
  <c r="Q23" i="8"/>
  <c r="N22" i="8"/>
  <c r="B21" i="8"/>
  <c r="F19" i="8"/>
  <c r="E18" i="8"/>
  <c r="D17" i="8"/>
  <c r="J15" i="8"/>
  <c r="C14" i="8"/>
  <c r="L12" i="8"/>
  <c r="J11" i="8"/>
  <c r="C10" i="8"/>
  <c r="L8" i="8"/>
  <c r="J7" i="8"/>
  <c r="H6" i="8"/>
  <c r="D5" i="8"/>
  <c r="J109" i="7"/>
  <c r="V107" i="7"/>
  <c r="S106" i="7"/>
  <c r="L105" i="7"/>
  <c r="N104" i="7"/>
  <c r="Q103" i="7"/>
  <c r="V102" i="7"/>
  <c r="S101" i="7"/>
  <c r="S100" i="7"/>
  <c r="V99" i="7"/>
  <c r="A99" i="7"/>
  <c r="C98" i="7"/>
  <c r="D97" i="7"/>
  <c r="X95" i="7"/>
  <c r="B94" i="7"/>
  <c r="X92" i="7"/>
  <c r="F91" i="7"/>
  <c r="J90" i="7"/>
  <c r="J89" i="7"/>
  <c r="H88" i="7"/>
  <c r="H87" i="7"/>
  <c r="H86" i="7"/>
  <c r="H85" i="7"/>
  <c r="H84" i="7"/>
  <c r="H83" i="7"/>
  <c r="H82" i="7"/>
  <c r="H81" i="7"/>
  <c r="L80" i="7"/>
  <c r="F79" i="7"/>
  <c r="J78" i="7"/>
  <c r="T76" i="7"/>
  <c r="T75" i="7"/>
  <c r="F74" i="7"/>
  <c r="S72" i="7"/>
  <c r="V71" i="7"/>
  <c r="T70" i="7"/>
  <c r="T69" i="7"/>
  <c r="N68" i="7"/>
  <c r="L67" i="7"/>
  <c r="Q66" i="7"/>
  <c r="B65" i="7"/>
  <c r="A64" i="7"/>
  <c r="N62" i="7"/>
  <c r="B61" i="7"/>
  <c r="A60" i="7"/>
  <c r="T58" i="7"/>
  <c r="T57" i="7"/>
  <c r="T56" i="7"/>
  <c r="F55" i="7"/>
  <c r="J54" i="7"/>
  <c r="F53" i="7"/>
  <c r="J52" i="7"/>
  <c r="T50" i="7"/>
  <c r="Q49" i="7"/>
  <c r="J48" i="7"/>
  <c r="E47" i="7"/>
  <c r="E46" i="7"/>
  <c r="E45" i="7"/>
  <c r="E44" i="7"/>
  <c r="B43" i="7"/>
  <c r="D42" i="7"/>
  <c r="Q40" i="7"/>
  <c r="L39" i="7"/>
  <c r="F38" i="7"/>
  <c r="H37" i="7"/>
  <c r="J36" i="7"/>
  <c r="J35" i="7"/>
  <c r="E34" i="7"/>
  <c r="H33" i="7"/>
  <c r="J32" i="7"/>
  <c r="D31" i="7"/>
  <c r="Q29" i="7"/>
  <c r="S28" i="7"/>
  <c r="N27" i="7"/>
  <c r="O26" i="7"/>
  <c r="Q25" i="7"/>
  <c r="B24" i="7"/>
  <c r="D23" i="7"/>
  <c r="O21" i="7"/>
  <c r="L20" i="7"/>
  <c r="N19" i="7"/>
  <c r="O18" i="7"/>
  <c r="B17" i="7"/>
  <c r="B16" i="7"/>
  <c r="C15" i="7"/>
  <c r="T13" i="7"/>
  <c r="V12" i="7"/>
  <c r="F11" i="7"/>
  <c r="H10" i="7"/>
  <c r="J9" i="7"/>
  <c r="Q155" i="22"/>
  <c r="H267" i="19"/>
  <c r="S71" i="18"/>
  <c r="B25" i="18"/>
  <c r="H75" i="18"/>
  <c r="O105" i="19"/>
  <c r="O23" i="19"/>
  <c r="F75" i="18"/>
  <c r="A3" i="18"/>
  <c r="C29" i="17"/>
  <c r="C24" i="16"/>
  <c r="Q84" i="15"/>
  <c r="A380" i="14"/>
  <c r="H24" i="17"/>
  <c r="N18" i="16"/>
  <c r="H80" i="15"/>
  <c r="O70" i="17"/>
  <c r="A47" i="17"/>
  <c r="Q18" i="17"/>
  <c r="B68" i="16"/>
  <c r="N48" i="16"/>
  <c r="C27" i="16"/>
  <c r="S5" i="16"/>
  <c r="T123" i="15"/>
  <c r="C107" i="15"/>
  <c r="J87" i="15"/>
  <c r="F65" i="15"/>
  <c r="A44" i="15"/>
  <c r="A23" i="15"/>
  <c r="J385" i="14"/>
  <c r="A359" i="14"/>
  <c r="S71" i="17"/>
  <c r="B55" i="17"/>
  <c r="O34" i="17"/>
  <c r="J13" i="17"/>
  <c r="F70" i="16"/>
  <c r="C52" i="16"/>
  <c r="E30" i="16"/>
  <c r="J9" i="16"/>
  <c r="S126" i="15"/>
  <c r="A109" i="15"/>
  <c r="A90" i="15"/>
  <c r="E68" i="15"/>
  <c r="L46" i="15"/>
  <c r="D25" i="15"/>
  <c r="A3" i="15"/>
  <c r="X5" i="15"/>
  <c r="J336" i="14"/>
  <c r="X304" i="14"/>
  <c r="B268" i="14"/>
  <c r="O230" i="14"/>
  <c r="D193" i="14"/>
  <c r="B157" i="14"/>
  <c r="O119" i="14"/>
  <c r="D82" i="14"/>
  <c r="N43" i="14"/>
  <c r="F5" i="14"/>
  <c r="A122" i="13"/>
  <c r="Q108" i="13"/>
  <c r="D92" i="13"/>
  <c r="E70" i="13"/>
  <c r="H48" i="13"/>
  <c r="D27" i="13"/>
  <c r="S4" i="13"/>
  <c r="F108" i="12"/>
  <c r="Q88" i="12"/>
  <c r="B68" i="12"/>
  <c r="J46" i="12"/>
  <c r="C25" i="12"/>
  <c r="S120" i="11"/>
  <c r="V102" i="11"/>
  <c r="Q88" i="11"/>
  <c r="C354" i="14"/>
  <c r="A327" i="14"/>
  <c r="O293" i="14"/>
  <c r="N256" i="14"/>
  <c r="Q218" i="14"/>
  <c r="O180" i="14"/>
  <c r="Q143" i="14"/>
  <c r="D106" i="14"/>
  <c r="Q68" i="14"/>
  <c r="B31" i="14"/>
  <c r="C135" i="13"/>
  <c r="O114" i="13"/>
  <c r="J97" i="13"/>
  <c r="H75" i="13"/>
  <c r="C53" i="13"/>
  <c r="C31" i="13"/>
  <c r="L9" i="13"/>
  <c r="F112" i="12"/>
  <c r="H96" i="12"/>
  <c r="B75" i="12"/>
  <c r="D54" i="12"/>
  <c r="B33" i="12"/>
  <c r="J12" i="12"/>
  <c r="D341" i="14"/>
  <c r="D309" i="14"/>
  <c r="N272" i="14"/>
  <c r="B236" i="14"/>
  <c r="N198" i="14"/>
  <c r="D161" i="14"/>
  <c r="D123" i="14"/>
  <c r="D85" i="14"/>
  <c r="D46" i="14"/>
  <c r="A9" i="14"/>
  <c r="H122" i="13"/>
  <c r="N105" i="13"/>
  <c r="B85" i="13"/>
  <c r="B63" i="13"/>
  <c r="F41" i="13"/>
  <c r="C20" i="13"/>
  <c r="T120" i="12"/>
  <c r="D105" i="12"/>
  <c r="A84" i="12"/>
  <c r="H73" i="12"/>
  <c r="Q66" i="12"/>
  <c r="N59" i="12"/>
  <c r="E52" i="12"/>
  <c r="L45" i="12"/>
  <c r="A39" i="12"/>
  <c r="D32" i="12"/>
  <c r="A25" i="12"/>
  <c r="F17" i="12"/>
  <c r="E10" i="12"/>
  <c r="V120" i="11"/>
  <c r="V114" i="11"/>
  <c r="T108" i="11"/>
  <c r="C103" i="11"/>
  <c r="S96" i="11"/>
  <c r="H91" i="11"/>
  <c r="C86" i="11"/>
  <c r="Q78" i="11"/>
  <c r="F71" i="11"/>
  <c r="H384" i="14"/>
  <c r="F357" i="14"/>
  <c r="E346" i="14"/>
  <c r="A338" i="14"/>
  <c r="S328" i="14"/>
  <c r="V317" i="14"/>
  <c r="C307" i="14"/>
  <c r="O295" i="14"/>
  <c r="B283" i="14"/>
  <c r="O269" i="14"/>
  <c r="O257" i="14"/>
  <c r="N244" i="14"/>
  <c r="A232" i="14"/>
  <c r="D219" i="14"/>
  <c r="A206" i="14"/>
  <c r="A193" i="14"/>
  <c r="Q181" i="14"/>
  <c r="C169" i="14"/>
  <c r="C157" i="14"/>
  <c r="D144" i="14"/>
  <c r="B132" i="14"/>
  <c r="Q119" i="14"/>
  <c r="A107" i="14"/>
  <c r="Q93" i="14"/>
  <c r="B81" i="14"/>
  <c r="A68" i="14"/>
  <c r="D59" i="14"/>
  <c r="C50" i="14"/>
  <c r="N40" i="14"/>
  <c r="N30" i="14"/>
  <c r="N20" i="14"/>
  <c r="O11" i="14"/>
  <c r="D139" i="13"/>
  <c r="B133" i="13"/>
  <c r="X127" i="13"/>
  <c r="F122" i="13"/>
  <c r="B117" i="13"/>
  <c r="X111" i="13"/>
  <c r="F106" i="13"/>
  <c r="L101" i="13"/>
  <c r="E96" i="13"/>
  <c r="D91" i="13"/>
  <c r="L85" i="13"/>
  <c r="J80" i="13"/>
  <c r="E75" i="13"/>
  <c r="L69" i="13"/>
  <c r="L63" i="13"/>
  <c r="J58" i="13"/>
  <c r="E53" i="13"/>
  <c r="D48" i="13"/>
  <c r="F42" i="13"/>
  <c r="E37" i="13"/>
  <c r="B32" i="13"/>
  <c r="A27" i="13"/>
  <c r="N21" i="13"/>
  <c r="B16" i="13"/>
  <c r="A11" i="13"/>
  <c r="N5" i="13"/>
  <c r="H121" i="12"/>
  <c r="H117" i="12"/>
  <c r="A113" i="12"/>
  <c r="N108" i="12"/>
  <c r="L104" i="12"/>
  <c r="C101" i="12"/>
  <c r="F97" i="12"/>
  <c r="E92" i="12"/>
  <c r="A87" i="12"/>
  <c r="F81" i="12"/>
  <c r="E76" i="12"/>
  <c r="D71" i="12"/>
  <c r="E65" i="12"/>
  <c r="C60" i="12"/>
  <c r="C55" i="12"/>
  <c r="L49" i="12"/>
  <c r="H44" i="12"/>
  <c r="D39" i="12"/>
  <c r="J33" i="12"/>
  <c r="L27" i="12"/>
  <c r="F22" i="12"/>
  <c r="E17" i="12"/>
  <c r="O11" i="12"/>
  <c r="D6" i="12"/>
  <c r="D118" i="11"/>
  <c r="N113" i="11"/>
  <c r="D109" i="11"/>
  <c r="Q104" i="11"/>
  <c r="X98" i="11"/>
  <c r="F93" i="11"/>
  <c r="B88" i="11"/>
  <c r="Q9" i="12"/>
  <c r="D105" i="11"/>
  <c r="D86" i="11"/>
  <c r="E76" i="11"/>
  <c r="E69" i="11"/>
  <c r="E62" i="11"/>
  <c r="D57" i="11"/>
  <c r="J51" i="11"/>
  <c r="C46" i="11"/>
  <c r="L40" i="11"/>
  <c r="Q34" i="11"/>
  <c r="O29" i="11"/>
  <c r="H24" i="11"/>
  <c r="Q18" i="11"/>
  <c r="O13" i="11"/>
  <c r="H8" i="11"/>
  <c r="S143" i="10"/>
  <c r="B137" i="10"/>
  <c r="D132" i="10"/>
  <c r="L128" i="10"/>
  <c r="V123" i="10"/>
  <c r="O118" i="10"/>
  <c r="O114" i="10"/>
  <c r="O110" i="10"/>
  <c r="O105" i="10"/>
  <c r="H100" i="10"/>
  <c r="Q94" i="10"/>
  <c r="O89" i="10"/>
  <c r="H84" i="10"/>
  <c r="Q78" i="10"/>
  <c r="A71" i="10"/>
  <c r="D65" i="10"/>
  <c r="F59" i="10"/>
  <c r="E54" i="10"/>
  <c r="L48" i="10"/>
  <c r="J43" i="10"/>
  <c r="Q36" i="10"/>
  <c r="B31" i="10"/>
  <c r="A26" i="10"/>
  <c r="N20" i="10"/>
  <c r="B15" i="10"/>
  <c r="A10" i="10"/>
  <c r="F101" i="9"/>
  <c r="O96" i="9"/>
  <c r="A93" i="9"/>
  <c r="E89" i="9"/>
  <c r="V85" i="9"/>
  <c r="Q82" i="9"/>
  <c r="L79" i="9"/>
  <c r="L74" i="9"/>
  <c r="J69" i="9"/>
  <c r="C64" i="9"/>
  <c r="L58" i="9"/>
  <c r="H52" i="9"/>
  <c r="B45" i="9"/>
  <c r="J39" i="9"/>
  <c r="C34" i="9"/>
  <c r="L28" i="9"/>
  <c r="J23" i="9"/>
  <c r="C18" i="9"/>
  <c r="L12" i="9"/>
  <c r="J7" i="9"/>
  <c r="V100" i="8"/>
  <c r="S96" i="8"/>
  <c r="S92" i="8"/>
  <c r="C88" i="8"/>
  <c r="A83" i="8"/>
  <c r="B79" i="8"/>
  <c r="C75" i="8"/>
  <c r="D71" i="8"/>
  <c r="N65" i="8"/>
  <c r="L60" i="8"/>
  <c r="J56" i="8"/>
  <c r="Q51" i="8"/>
  <c r="L47" i="8"/>
  <c r="E42" i="8"/>
  <c r="C37" i="8"/>
  <c r="D31" i="8"/>
  <c r="L25" i="8"/>
  <c r="F20" i="8"/>
  <c r="L14" i="8"/>
  <c r="J9" i="8"/>
  <c r="S3" i="8"/>
  <c r="H105" i="7"/>
  <c r="E101" i="7"/>
  <c r="B97" i="7"/>
  <c r="D93" i="7"/>
  <c r="Q88" i="7"/>
  <c r="L85" i="7"/>
  <c r="E82" i="7"/>
  <c r="T77" i="7"/>
  <c r="Q72" i="7"/>
  <c r="D68" i="7"/>
  <c r="Q62" i="7"/>
  <c r="F57" i="7"/>
  <c r="D51" i="7"/>
  <c r="O46" i="7"/>
  <c r="B42" i="7"/>
  <c r="D38" i="7"/>
  <c r="E33" i="7"/>
  <c r="C29" i="7"/>
  <c r="B25" i="7"/>
  <c r="C20" i="7"/>
  <c r="N10" i="12"/>
  <c r="F109" i="11"/>
  <c r="O91" i="11"/>
  <c r="A79" i="11"/>
  <c r="N71" i="11"/>
  <c r="Q63" i="11"/>
  <c r="O58" i="11"/>
  <c r="L53" i="11"/>
  <c r="J48" i="11"/>
  <c r="C43" i="11"/>
  <c r="L37" i="11"/>
  <c r="F32" i="11"/>
  <c r="E27" i="11"/>
  <c r="D22" i="11"/>
  <c r="F16" i="11"/>
  <c r="E11" i="11"/>
  <c r="L5" i="11"/>
  <c r="T140" i="10"/>
  <c r="Q136" i="10"/>
  <c r="H132" i="10"/>
  <c r="D128" i="10"/>
  <c r="E123" i="10"/>
  <c r="H118" i="10"/>
  <c r="H114" i="10"/>
  <c r="F110" i="10"/>
  <c r="Q103" i="10"/>
  <c r="O98" i="10"/>
  <c r="H93" i="10"/>
  <c r="Q87" i="10"/>
  <c r="O82" i="10"/>
  <c r="L76" i="10"/>
  <c r="F69" i="10"/>
  <c r="A63" i="10"/>
  <c r="N57" i="10"/>
  <c r="O52" i="10"/>
  <c r="H47" i="10"/>
  <c r="Q41" i="10"/>
  <c r="D36" i="10"/>
  <c r="A31" i="10"/>
  <c r="N25" i="10"/>
  <c r="B20" i="10"/>
  <c r="A15" i="10"/>
  <c r="N9" i="10"/>
  <c r="Q101" i="9"/>
  <c r="D97" i="9"/>
  <c r="J92" i="9"/>
  <c r="O87" i="9"/>
  <c r="O83" i="9"/>
  <c r="O79" i="9"/>
  <c r="D74" i="9"/>
  <c r="F68" i="9"/>
  <c r="E63" i="9"/>
  <c r="D58" i="9"/>
  <c r="N51" i="9"/>
  <c r="E45" i="9"/>
  <c r="N39" i="9"/>
  <c r="B34" i="9"/>
  <c r="A29" i="9"/>
  <c r="N23" i="9"/>
  <c r="B18" i="9"/>
  <c r="A13" i="9"/>
  <c r="N7" i="9"/>
  <c r="O100" i="8"/>
  <c r="S95" i="8"/>
  <c r="X90" i="8"/>
  <c r="L85" i="8"/>
  <c r="H81" i="8"/>
  <c r="T77" i="8"/>
  <c r="D73" i="8"/>
  <c r="N67" i="8"/>
  <c r="Q61" i="8"/>
  <c r="N56" i="8"/>
  <c r="D51" i="8"/>
  <c r="H46" i="8"/>
  <c r="H41" i="8"/>
  <c r="E36" i="8"/>
  <c r="L30" i="8"/>
  <c r="J25" i="8"/>
  <c r="A20" i="8"/>
  <c r="A15" i="8"/>
  <c r="N9" i="8"/>
  <c r="N3" i="8"/>
  <c r="X104" i="7"/>
  <c r="X99" i="7"/>
  <c r="N95" i="7"/>
  <c r="N91" i="7"/>
  <c r="T87" i="7"/>
  <c r="T83" i="7"/>
  <c r="H79" i="7"/>
  <c r="Q75" i="7"/>
  <c r="L71" i="7"/>
  <c r="F67" i="7"/>
  <c r="N61" i="7"/>
  <c r="L57" i="7"/>
  <c r="O53" i="7"/>
  <c r="A50" i="7"/>
  <c r="T45" i="7"/>
  <c r="A42" i="7"/>
  <c r="V37" i="7"/>
  <c r="O33" i="7"/>
  <c r="F29" i="7"/>
  <c r="S24" i="7"/>
  <c r="E21" i="7"/>
  <c r="C17" i="7"/>
  <c r="F114" i="11"/>
  <c r="T97" i="11"/>
  <c r="Q81" i="11"/>
  <c r="N73" i="11"/>
  <c r="J67" i="11"/>
  <c r="B61" i="11"/>
  <c r="A56" i="11"/>
  <c r="L50" i="11"/>
  <c r="J45" i="11"/>
  <c r="C40" i="11"/>
  <c r="N34" i="11"/>
  <c r="B29" i="11"/>
  <c r="A24" i="11"/>
  <c r="N18" i="11"/>
  <c r="B13" i="11"/>
  <c r="A8" i="11"/>
  <c r="F144" i="10"/>
  <c r="T137" i="10"/>
  <c r="V133" i="10"/>
  <c r="H129" i="10"/>
  <c r="X124" i="10"/>
  <c r="F118" i="10"/>
  <c r="B113" i="10"/>
  <c r="Q108" i="10"/>
  <c r="J103" i="10"/>
  <c r="C98" i="10"/>
  <c r="L92" i="10"/>
  <c r="J87" i="10"/>
  <c r="C82" i="10"/>
  <c r="D76" i="10"/>
  <c r="F70" i="10"/>
  <c r="A64" i="10"/>
  <c r="N58" i="10"/>
  <c r="J53" i="10"/>
  <c r="C48" i="10"/>
  <c r="L42" i="10"/>
  <c r="N36" i="10"/>
  <c r="J31" i="10"/>
  <c r="C26" i="10"/>
  <c r="L20" i="10"/>
  <c r="J15" i="10"/>
  <c r="C10" i="10"/>
  <c r="E3" i="10"/>
  <c r="S97" i="9"/>
  <c r="C93" i="9"/>
  <c r="S87" i="9"/>
  <c r="S83" i="9"/>
  <c r="S79" i="9"/>
  <c r="J75" i="9"/>
  <c r="C70" i="9"/>
  <c r="L64" i="9"/>
  <c r="J59" i="9"/>
  <c r="B53" i="9"/>
  <c r="E46" i="9"/>
  <c r="H40" i="9"/>
  <c r="Q34" i="9"/>
  <c r="O29" i="9"/>
  <c r="H24" i="9"/>
  <c r="Q18" i="9"/>
  <c r="O13" i="9"/>
  <c r="H8" i="9"/>
  <c r="N101" i="8"/>
  <c r="Q97" i="8"/>
  <c r="V93" i="8"/>
  <c r="Q90" i="8"/>
  <c r="D86" i="8"/>
  <c r="C82" i="8"/>
  <c r="N77" i="8"/>
  <c r="S73" i="8"/>
  <c r="H68" i="8"/>
  <c r="E63" i="8"/>
  <c r="V58" i="8"/>
  <c r="V54" i="8"/>
  <c r="Q49" i="8"/>
  <c r="N44" i="8"/>
  <c r="D39" i="8"/>
  <c r="J36" i="8"/>
  <c r="D34" i="8"/>
  <c r="N31" i="8"/>
  <c r="C29" i="8"/>
  <c r="J26" i="8"/>
  <c r="L23" i="8"/>
  <c r="O20" i="8"/>
  <c r="A18" i="8"/>
  <c r="D15" i="8"/>
  <c r="E12" i="8"/>
  <c r="F9" i="8"/>
  <c r="D7" i="8"/>
  <c r="E4" i="8"/>
  <c r="N107" i="7"/>
  <c r="E105" i="7"/>
  <c r="V103" i="7"/>
  <c r="Q102" i="7"/>
  <c r="H101" i="7"/>
  <c r="A100" i="7"/>
  <c r="V98" i="7"/>
  <c r="O97" i="7"/>
  <c r="B96" i="7"/>
  <c r="X93" i="7"/>
  <c r="B92" i="7"/>
  <c r="O90" i="7"/>
  <c r="D89" i="7"/>
  <c r="S87" i="7"/>
  <c r="N86" i="7"/>
  <c r="C85" i="7"/>
  <c r="S83" i="7"/>
  <c r="N82" i="7"/>
  <c r="C81" i="7"/>
  <c r="A80" i="7"/>
  <c r="O78" i="7"/>
  <c r="O76" i="7"/>
  <c r="J75" i="7"/>
  <c r="A73" i="7"/>
  <c r="Q71" i="7"/>
  <c r="J70" i="7"/>
  <c r="D69" i="7"/>
  <c r="E67" i="7"/>
  <c r="E66" i="7"/>
  <c r="E64" i="7"/>
  <c r="H62" i="7"/>
  <c r="L60" i="7"/>
  <c r="D59" i="7"/>
  <c r="O57" i="7"/>
  <c r="J56" i="7"/>
  <c r="O54" i="7"/>
  <c r="B53" i="7"/>
  <c r="F51" i="7"/>
  <c r="D50" i="7"/>
  <c r="D48" i="7"/>
  <c r="S46" i="7"/>
  <c r="L45" i="7"/>
  <c r="A44" i="7"/>
  <c r="O42" i="7"/>
  <c r="D41" i="7"/>
  <c r="E39" i="7"/>
  <c r="T37" i="7"/>
  <c r="O36" i="7"/>
  <c r="D35" i="7"/>
  <c r="S33" i="7"/>
  <c r="O32" i="7"/>
  <c r="Q30" i="7"/>
  <c r="E29" i="7"/>
  <c r="T27" i="7"/>
  <c r="H26" i="7"/>
  <c r="D25" i="7"/>
  <c r="J23" i="7"/>
  <c r="J21" i="7"/>
  <c r="A20" i="7"/>
  <c r="V18" i="7"/>
  <c r="T16" i="7"/>
  <c r="N15" i="7"/>
  <c r="B14" i="7"/>
  <c r="Q12" i="7"/>
  <c r="T10" i="7"/>
  <c r="Q9" i="7"/>
  <c r="T7" i="7"/>
  <c r="T6" i="7"/>
  <c r="X5" i="7"/>
  <c r="S3" i="7"/>
  <c r="J123" i="6"/>
  <c r="A122" i="6"/>
  <c r="B121" i="6"/>
  <c r="A120" i="6"/>
  <c r="C119" i="6"/>
  <c r="E11" i="12"/>
  <c r="T109" i="11"/>
  <c r="D95" i="11"/>
  <c r="E80" i="11"/>
  <c r="B70" i="11"/>
  <c r="H63" i="11"/>
  <c r="C59" i="11"/>
  <c r="L51" i="11"/>
  <c r="E47" i="11"/>
  <c r="A43" i="11"/>
  <c r="H35" i="11"/>
  <c r="C31" i="11"/>
  <c r="O24" i="11"/>
  <c r="H19" i="11"/>
  <c r="C15" i="11"/>
  <c r="O8" i="11"/>
  <c r="E145" i="10"/>
  <c r="S138" i="10"/>
  <c r="S134" i="10"/>
  <c r="F130" i="10"/>
  <c r="C123" i="10"/>
  <c r="A119" i="10"/>
  <c r="V115" i="10"/>
  <c r="Q112" i="10"/>
  <c r="J109" i="10"/>
  <c r="Q101" i="10"/>
  <c r="J96" i="10"/>
  <c r="D92" i="10"/>
  <c r="Q85" i="10"/>
  <c r="J80" i="10"/>
  <c r="D75" i="10"/>
  <c r="E70" i="10"/>
  <c r="E65" i="10"/>
  <c r="A61" i="10"/>
  <c r="H53" i="10"/>
  <c r="C49" i="10"/>
  <c r="O42" i="10"/>
  <c r="N35" i="10"/>
  <c r="F30" i="10"/>
  <c r="B26" i="10"/>
  <c r="N19" i="10"/>
  <c r="F14" i="10"/>
  <c r="B10" i="10"/>
  <c r="N100" i="9"/>
  <c r="B93" i="9"/>
  <c r="F89" i="9"/>
  <c r="F84" i="9"/>
  <c r="O77" i="9"/>
  <c r="E73" i="9"/>
  <c r="A69" i="9"/>
  <c r="L61" i="9"/>
  <c r="E57" i="9"/>
  <c r="D52" i="9"/>
  <c r="J46" i="9"/>
  <c r="N41" i="9"/>
  <c r="F36" i="9"/>
  <c r="B32" i="9"/>
  <c r="N25" i="9"/>
  <c r="F20" i="9"/>
  <c r="B16" i="9"/>
  <c r="N9" i="9"/>
  <c r="B101" i="8"/>
  <c r="T96" i="8"/>
  <c r="O92" i="8"/>
  <c r="T87" i="8"/>
  <c r="X83" i="8"/>
  <c r="Q80" i="8"/>
  <c r="O75" i="8"/>
  <c r="E72" i="8"/>
  <c r="J65" i="8"/>
  <c r="H61" i="8"/>
  <c r="O57" i="8"/>
  <c r="Q53" i="8"/>
  <c r="N45" i="8"/>
  <c r="D40" i="8"/>
  <c r="N34" i="8"/>
  <c r="B29" i="8"/>
  <c r="L21" i="8"/>
  <c r="C17" i="8"/>
  <c r="N11" i="8"/>
  <c r="H5" i="8"/>
  <c r="D105" i="7"/>
  <c r="X100" i="7"/>
  <c r="L96" i="7"/>
  <c r="A93" i="7"/>
  <c r="S89" i="7"/>
  <c r="B84" i="7"/>
  <c r="S78" i="7"/>
  <c r="C75" i="7"/>
  <c r="H71" i="7"/>
  <c r="T66" i="7"/>
  <c r="L61" i="7"/>
  <c r="S57" i="7"/>
  <c r="A54" i="7"/>
  <c r="H50" i="7"/>
  <c r="J46" i="7"/>
  <c r="N42" i="7"/>
  <c r="Q38" i="7"/>
  <c r="V34" i="7"/>
  <c r="C30" i="7"/>
  <c r="F26" i="7"/>
  <c r="Q22" i="7"/>
  <c r="C18" i="7"/>
  <c r="E15" i="7"/>
  <c r="S13" i="7"/>
  <c r="N12" i="7"/>
  <c r="H11" i="7"/>
  <c r="B10" i="7"/>
  <c r="T8" i="7"/>
  <c r="H7" i="7"/>
  <c r="F6" i="7"/>
  <c r="B3" i="7"/>
  <c r="O122" i="6"/>
  <c r="A121" i="6"/>
  <c r="X119" i="6"/>
  <c r="S118" i="6"/>
  <c r="L117" i="6"/>
  <c r="Q116" i="6"/>
  <c r="N115" i="6"/>
  <c r="L114" i="6"/>
  <c r="N113" i="6"/>
  <c r="Q112" i="6"/>
  <c r="L111" i="6"/>
  <c r="O110" i="6"/>
  <c r="N109" i="6"/>
  <c r="L108" i="6"/>
  <c r="O107" i="6"/>
  <c r="Q106" i="6"/>
  <c r="N105" i="6"/>
  <c r="O104" i="6"/>
  <c r="Q103" i="6"/>
  <c r="L102" i="6"/>
  <c r="Q100" i="6"/>
  <c r="Q99" i="6"/>
  <c r="V98" i="6"/>
  <c r="A98" i="6"/>
  <c r="D97" i="6"/>
  <c r="D96" i="6"/>
  <c r="D95" i="6"/>
  <c r="D94" i="6"/>
  <c r="D93" i="6"/>
  <c r="F90" i="6"/>
  <c r="E89" i="6"/>
  <c r="D88" i="6"/>
  <c r="F86" i="6"/>
  <c r="E85" i="6"/>
  <c r="D84" i="6"/>
  <c r="F82" i="6"/>
  <c r="E81" i="6"/>
  <c r="D80" i="6"/>
  <c r="F78" i="6"/>
  <c r="E77" i="6"/>
  <c r="D76" i="6"/>
  <c r="O73" i="6"/>
  <c r="H72" i="6"/>
  <c r="Q70" i="6"/>
  <c r="O69" i="6"/>
  <c r="H68" i="6"/>
  <c r="Q66" i="6"/>
  <c r="B65" i="6"/>
  <c r="A64" i="6"/>
  <c r="N62" i="6"/>
  <c r="B61" i="6"/>
  <c r="A60" i="6"/>
  <c r="N58" i="6"/>
  <c r="B57" i="6"/>
  <c r="A56" i="6"/>
  <c r="N54" i="6"/>
  <c r="J53" i="6"/>
  <c r="C52" i="6"/>
  <c r="L50" i="6"/>
  <c r="J49" i="6"/>
  <c r="C48" i="6"/>
  <c r="L46" i="6"/>
  <c r="J45" i="6"/>
  <c r="C44" i="6"/>
  <c r="L42" i="6"/>
  <c r="J41" i="6"/>
  <c r="C40" i="6"/>
  <c r="L38" i="6"/>
  <c r="J37" i="6"/>
  <c r="A36" i="6"/>
  <c r="N34" i="6"/>
  <c r="B33" i="6"/>
  <c r="A32" i="6"/>
  <c r="N30" i="6"/>
  <c r="B29" i="6"/>
  <c r="A28" i="6"/>
  <c r="N26" i="6"/>
  <c r="B25" i="6"/>
  <c r="A24" i="6"/>
  <c r="N22" i="6"/>
  <c r="B21" i="6"/>
  <c r="A20" i="6"/>
  <c r="N18" i="6"/>
  <c r="B17" i="6"/>
  <c r="A16" i="6"/>
  <c r="N14" i="6"/>
  <c r="B13" i="6"/>
  <c r="A12" i="6"/>
  <c r="N10" i="6"/>
  <c r="B9" i="6"/>
  <c r="A8" i="6"/>
  <c r="A6" i="6"/>
  <c r="E5" i="6"/>
  <c r="J97" i="5"/>
  <c r="N95" i="5"/>
  <c r="T93" i="5"/>
  <c r="H92" i="5"/>
  <c r="B91" i="5"/>
  <c r="A90" i="5"/>
  <c r="S88" i="5"/>
  <c r="F87" i="5"/>
  <c r="L85" i="5"/>
  <c r="N84" i="5"/>
  <c r="Q83" i="5"/>
  <c r="T82" i="5"/>
  <c r="X81" i="5"/>
  <c r="A81" i="5"/>
  <c r="C80" i="5"/>
  <c r="E79" i="5"/>
  <c r="H78" i="5"/>
  <c r="L77" i="5"/>
  <c r="N76" i="5"/>
  <c r="N74" i="5"/>
  <c r="B73" i="5"/>
  <c r="C72" i="5"/>
  <c r="D71" i="5"/>
  <c r="E70" i="5"/>
  <c r="S68" i="5"/>
  <c r="T67" i="5"/>
  <c r="V66" i="5"/>
  <c r="T65" i="5"/>
  <c r="V64" i="5"/>
  <c r="A64" i="5"/>
  <c r="N62" i="5"/>
  <c r="O61" i="5"/>
  <c r="Q60" i="5"/>
  <c r="F59" i="5"/>
  <c r="H58" i="5"/>
  <c r="J57" i="5"/>
  <c r="L56" i="5"/>
  <c r="B55" i="5"/>
  <c r="A54" i="5"/>
  <c r="F51" i="5"/>
  <c r="D50" i="5"/>
  <c r="J48" i="5"/>
  <c r="O46" i="5"/>
  <c r="B45" i="5"/>
  <c r="F43" i="5"/>
  <c r="D42" i="5"/>
  <c r="J40" i="5"/>
  <c r="O38" i="5"/>
  <c r="B37" i="5"/>
  <c r="O35" i="5"/>
  <c r="B34" i="5"/>
  <c r="F32" i="5"/>
  <c r="D31" i="5"/>
  <c r="J29" i="5"/>
  <c r="O27" i="5"/>
  <c r="B26" i="5"/>
  <c r="F24" i="5"/>
  <c r="D23" i="5"/>
  <c r="J21" i="5"/>
  <c r="O19" i="5"/>
  <c r="B18" i="5"/>
  <c r="F16" i="5"/>
  <c r="D15" i="5"/>
  <c r="J13" i="5"/>
  <c r="O11" i="5"/>
  <c r="B10" i="5"/>
  <c r="F8" i="5"/>
  <c r="E7" i="5"/>
  <c r="L5" i="5"/>
  <c r="J79" i="4"/>
  <c r="C78" i="4"/>
  <c r="X76" i="4"/>
  <c r="H75" i="4"/>
  <c r="E74" i="4"/>
  <c r="X72" i="4"/>
  <c r="V71" i="4"/>
  <c r="H70" i="4"/>
  <c r="B69" i="4"/>
  <c r="A68" i="4"/>
  <c r="T66" i="4"/>
  <c r="J65" i="4"/>
  <c r="C64" i="4"/>
  <c r="X62" i="4"/>
  <c r="H61" i="4"/>
  <c r="F60" i="4"/>
  <c r="E59" i="4"/>
  <c r="J58" i="4"/>
  <c r="H57" i="4"/>
  <c r="F56" i="4"/>
  <c r="E55" i="4"/>
  <c r="J54" i="4"/>
  <c r="N52" i="4"/>
  <c r="J51" i="4"/>
  <c r="B50" i="4"/>
  <c r="N48" i="4"/>
  <c r="J47" i="4"/>
  <c r="B46" i="4"/>
  <c r="N44" i="4"/>
  <c r="J43" i="4"/>
  <c r="B42" i="4"/>
  <c r="N40" i="4"/>
  <c r="J39" i="4"/>
  <c r="B38" i="4"/>
  <c r="N36" i="4"/>
  <c r="J35" i="4"/>
  <c r="B34" i="4"/>
  <c r="L32" i="4"/>
  <c r="H31" i="4"/>
  <c r="A30" i="4"/>
  <c r="L28" i="4"/>
  <c r="H27" i="4"/>
  <c r="A26" i="4"/>
  <c r="L24" i="4"/>
  <c r="H23" i="4"/>
  <c r="A22" i="4"/>
  <c r="L20" i="4"/>
  <c r="H19" i="4"/>
  <c r="A18" i="4"/>
  <c r="L16" i="4"/>
  <c r="H15" i="4"/>
  <c r="A14" i="4"/>
  <c r="L12" i="4"/>
  <c r="H11" i="4"/>
  <c r="A10" i="4"/>
  <c r="L8" i="4"/>
  <c r="H7" i="4"/>
  <c r="E6" i="4"/>
  <c r="E5" i="4"/>
  <c r="V60" i="3"/>
  <c r="S59" i="3"/>
  <c r="N58" i="3"/>
  <c r="F57" i="3"/>
  <c r="X55" i="3"/>
  <c r="Q54" i="3"/>
  <c r="F53" i="3"/>
  <c r="E52" i="3"/>
  <c r="L51" i="3"/>
  <c r="Q50" i="3"/>
  <c r="V49" i="3"/>
  <c r="A49" i="3"/>
  <c r="E48" i="3"/>
  <c r="J47" i="3"/>
  <c r="L46" i="3"/>
  <c r="Q45" i="3"/>
  <c r="V44" i="3"/>
  <c r="A44" i="3"/>
  <c r="E43" i="3"/>
  <c r="L42" i="3"/>
  <c r="Q41" i="3"/>
  <c r="V40" i="3"/>
  <c r="A40" i="3"/>
  <c r="E39" i="3"/>
  <c r="L38" i="3"/>
  <c r="Q37" i="3"/>
  <c r="V36" i="3"/>
  <c r="S35" i="3"/>
  <c r="X34" i="3"/>
  <c r="B33" i="3"/>
  <c r="D32" i="3"/>
  <c r="N30" i="3"/>
  <c r="B29" i="3"/>
  <c r="A28" i="3"/>
  <c r="N26" i="3"/>
  <c r="B25" i="3"/>
  <c r="A24" i="3"/>
  <c r="N22" i="3"/>
  <c r="B21" i="3"/>
  <c r="A20" i="3"/>
  <c r="N18" i="3"/>
  <c r="B17" i="3"/>
  <c r="A16" i="3"/>
  <c r="N14" i="3"/>
  <c r="B13" i="3"/>
  <c r="F11" i="3"/>
  <c r="E10" i="3"/>
  <c r="D9" i="3"/>
  <c r="Q7" i="3"/>
  <c r="N6" i="3"/>
  <c r="H5" i="3"/>
  <c r="O69" i="2"/>
  <c r="F68" i="2"/>
  <c r="H66" i="2"/>
  <c r="C65" i="2"/>
  <c r="C64" i="2"/>
  <c r="C63" i="2"/>
  <c r="C62" i="2"/>
  <c r="C61" i="2"/>
  <c r="L59" i="2"/>
  <c r="J58" i="2"/>
  <c r="F57" i="2"/>
  <c r="L56" i="2"/>
  <c r="O55" i="2"/>
  <c r="N54" i="2"/>
  <c r="O53" i="2"/>
  <c r="N52" i="2"/>
  <c r="F51" i="2"/>
  <c r="L50" i="2"/>
  <c r="O49" i="2"/>
  <c r="Q5" i="12"/>
  <c r="V108" i="11"/>
  <c r="J94" i="11"/>
  <c r="J78" i="11"/>
  <c r="C71" i="11"/>
  <c r="F66" i="11"/>
  <c r="A61" i="11"/>
  <c r="H53" i="11"/>
  <c r="C49" i="11"/>
  <c r="O42" i="11"/>
  <c r="H37" i="11"/>
  <c r="A33" i="11"/>
  <c r="L25" i="11"/>
  <c r="E21" i="11"/>
  <c r="A17" i="11"/>
  <c r="L9" i="11"/>
  <c r="F140" i="10"/>
  <c r="H135" i="10"/>
  <c r="V131" i="10"/>
  <c r="S126" i="10"/>
  <c r="A122" i="10"/>
  <c r="V118" i="10"/>
  <c r="Q115" i="10"/>
  <c r="L112" i="10"/>
  <c r="J108" i="10"/>
  <c r="N103" i="10"/>
  <c r="F98" i="10"/>
  <c r="B94" i="10"/>
  <c r="N87" i="10"/>
  <c r="F82" i="10"/>
  <c r="B78" i="10"/>
  <c r="B71" i="10"/>
  <c r="A65" i="10"/>
  <c r="L57" i="10"/>
  <c r="C53" i="10"/>
  <c r="O46" i="10"/>
  <c r="H41" i="10"/>
  <c r="H35" i="10"/>
  <c r="C31" i="10"/>
  <c r="O24" i="10"/>
  <c r="H19" i="10"/>
  <c r="C15" i="10"/>
  <c r="O8" i="10"/>
  <c r="H101" i="9"/>
  <c r="F97" i="9"/>
  <c r="X91" i="9"/>
  <c r="E88" i="9"/>
  <c r="F83" i="9"/>
  <c r="J77" i="9"/>
  <c r="A73" i="9"/>
  <c r="L65" i="9"/>
  <c r="E61" i="9"/>
  <c r="A57" i="9"/>
  <c r="C49" i="9"/>
  <c r="Q43" i="9"/>
  <c r="E39" i="9"/>
  <c r="A35" i="9"/>
  <c r="L27" i="9"/>
  <c r="E23" i="9"/>
  <c r="A19" i="9"/>
  <c r="L11" i="9"/>
  <c r="E7" i="9"/>
  <c r="X100" i="8"/>
  <c r="O96" i="8"/>
  <c r="J92" i="8"/>
  <c r="J87" i="8"/>
  <c r="X82" i="8"/>
  <c r="N79" i="8"/>
  <c r="F76" i="8"/>
  <c r="Q71" i="8"/>
  <c r="J66" i="8"/>
  <c r="B60" i="8"/>
  <c r="J55" i="8"/>
  <c r="J49" i="8"/>
  <c r="F44" i="8"/>
  <c r="Q37" i="8"/>
  <c r="F33" i="8"/>
  <c r="O27" i="8"/>
  <c r="F22" i="8"/>
  <c r="Q16" i="8"/>
  <c r="H11" i="8"/>
  <c r="C7" i="8"/>
  <c r="T107" i="7"/>
  <c r="J102" i="7"/>
  <c r="C97" i="7"/>
  <c r="Q93" i="7"/>
  <c r="H90" i="7"/>
  <c r="B87" i="7"/>
  <c r="F82" i="7"/>
  <c r="N78" i="7"/>
  <c r="V74" i="7"/>
  <c r="H70" i="7"/>
  <c r="O66" i="7"/>
  <c r="F62" i="7"/>
  <c r="H58" i="7"/>
  <c r="S54" i="7"/>
  <c r="A51" i="7"/>
  <c r="D47" i="7"/>
  <c r="E43" i="7"/>
  <c r="J39" i="7"/>
  <c r="O34" i="7"/>
  <c r="V29" i="7"/>
  <c r="C25" i="7"/>
  <c r="N21" i="7"/>
  <c r="A17" i="7"/>
  <c r="D15" i="7"/>
  <c r="A14" i="7"/>
  <c r="S12" i="7"/>
  <c r="N11" i="7"/>
  <c r="A10" i="7"/>
  <c r="L8" i="7"/>
  <c r="F7" i="7"/>
  <c r="V5" i="7"/>
  <c r="A3" i="7"/>
  <c r="N122" i="6"/>
  <c r="E121" i="6"/>
  <c r="V119" i="6"/>
  <c r="H118" i="6"/>
  <c r="J117" i="6"/>
  <c r="H116" i="6"/>
  <c r="E115" i="6"/>
  <c r="J114" i="6"/>
  <c r="E113" i="6"/>
  <c r="H112" i="6"/>
  <c r="J111" i="6"/>
  <c r="F110" i="6"/>
  <c r="E109" i="6"/>
  <c r="J108" i="6"/>
  <c r="F107" i="6"/>
  <c r="H106" i="6"/>
  <c r="E105" i="6"/>
  <c r="F104" i="6"/>
  <c r="H103" i="6"/>
  <c r="J102" i="6"/>
  <c r="O100" i="6"/>
  <c r="J99" i="6"/>
  <c r="J98" i="6"/>
  <c r="H97" i="6"/>
  <c r="H96" i="6"/>
  <c r="H95" i="6"/>
  <c r="H94" i="6"/>
  <c r="H93" i="6"/>
  <c r="L90" i="6"/>
  <c r="J89" i="6"/>
  <c r="C88" i="6"/>
  <c r="L86" i="6"/>
  <c r="J85" i="6"/>
  <c r="C84" i="6"/>
  <c r="L82" i="6"/>
  <c r="J81" i="6"/>
  <c r="C80" i="6"/>
  <c r="L78" i="6"/>
  <c r="J77" i="6"/>
  <c r="A76" i="6"/>
  <c r="H73" i="6"/>
  <c r="Q71" i="6"/>
  <c r="O70" i="6"/>
  <c r="H69" i="6"/>
  <c r="Q67" i="6"/>
  <c r="O66" i="6"/>
  <c r="L65" i="6"/>
  <c r="J64" i="6"/>
  <c r="C63" i="6"/>
  <c r="L61" i="6"/>
  <c r="J60" i="6"/>
  <c r="C59" i="6"/>
  <c r="L57" i="6"/>
  <c r="J56" i="6"/>
  <c r="C55" i="6"/>
  <c r="C53" i="6"/>
  <c r="L51" i="6"/>
  <c r="J50" i="6"/>
  <c r="C49" i="6"/>
  <c r="L47" i="6"/>
  <c r="J46" i="6"/>
  <c r="C45" i="6"/>
  <c r="L43" i="6"/>
  <c r="J42" i="6"/>
  <c r="C41" i="6"/>
  <c r="L39" i="6"/>
  <c r="J38" i="6"/>
  <c r="C37" i="6"/>
  <c r="C35" i="6"/>
  <c r="L33" i="6"/>
  <c r="J32" i="6"/>
  <c r="C31" i="6"/>
  <c r="L29" i="6"/>
  <c r="J28" i="6"/>
  <c r="C27" i="6"/>
  <c r="L25" i="6"/>
  <c r="J24" i="6"/>
  <c r="C23" i="6"/>
  <c r="L21" i="6"/>
  <c r="J20" i="6"/>
  <c r="C19" i="6"/>
  <c r="L17" i="6"/>
  <c r="J16" i="6"/>
  <c r="C15" i="6"/>
  <c r="L13" i="6"/>
  <c r="J12" i="6"/>
  <c r="C11" i="6"/>
  <c r="L9" i="6"/>
  <c r="J8" i="6"/>
  <c r="C7" i="6"/>
  <c r="D5" i="6"/>
  <c r="S97" i="5"/>
  <c r="F95" i="5"/>
  <c r="C93" i="5"/>
  <c r="V91" i="5"/>
  <c r="T90" i="5"/>
  <c r="H89" i="5"/>
  <c r="B88" i="5"/>
  <c r="A87" i="5"/>
  <c r="D85" i="5"/>
  <c r="V83" i="5"/>
  <c r="S82" i="5"/>
  <c r="O81" i="5"/>
  <c r="F80" i="5"/>
  <c r="J79" i="5"/>
  <c r="B78" i="5"/>
  <c r="D77" i="5"/>
  <c r="F74" i="5"/>
  <c r="E73" i="5"/>
  <c r="S71" i="5"/>
  <c r="T70" i="5"/>
  <c r="V69" i="5"/>
  <c r="A69" i="5"/>
  <c r="N67" i="5"/>
  <c r="O66" i="5"/>
  <c r="N65" i="5"/>
  <c r="O64" i="5"/>
  <c r="Q63" i="5"/>
  <c r="F62" i="5"/>
  <c r="H61" i="5"/>
  <c r="J60" i="5"/>
  <c r="L59" i="5"/>
  <c r="B58" i="5"/>
  <c r="C57" i="5"/>
  <c r="D56" i="5"/>
  <c r="E55" i="5"/>
  <c r="N52" i="5"/>
  <c r="L51" i="5"/>
  <c r="H50" i="5"/>
  <c r="E49" i="5"/>
  <c r="C48" i="5"/>
  <c r="A47" i="5"/>
  <c r="Q45" i="5"/>
  <c r="N44" i="5"/>
  <c r="L43" i="5"/>
  <c r="H42" i="5"/>
  <c r="E41" i="5"/>
  <c r="C40" i="5"/>
  <c r="A39" i="5"/>
  <c r="Q37" i="5"/>
  <c r="N36" i="5"/>
  <c r="H35" i="5"/>
  <c r="E34" i="5"/>
  <c r="C33" i="5"/>
  <c r="A32" i="5"/>
  <c r="Q30" i="5"/>
  <c r="N29" i="5"/>
  <c r="L28" i="5"/>
  <c r="H27" i="5"/>
  <c r="E26" i="5"/>
  <c r="C25" i="5"/>
  <c r="A24" i="5"/>
  <c r="Q22" i="5"/>
  <c r="N21" i="5"/>
  <c r="L20" i="5"/>
  <c r="H19" i="5"/>
  <c r="E18" i="5"/>
  <c r="C17" i="5"/>
  <c r="A16" i="5"/>
  <c r="Q14" i="5"/>
  <c r="N13" i="5"/>
  <c r="L12" i="5"/>
  <c r="H11" i="5"/>
  <c r="E10" i="5"/>
  <c r="C9" i="5"/>
  <c r="A8" i="5"/>
  <c r="A6" i="5"/>
  <c r="D5" i="5"/>
  <c r="H79" i="4"/>
  <c r="B78" i="4"/>
  <c r="A77" i="4"/>
  <c r="E76" i="4"/>
  <c r="A75" i="4"/>
  <c r="D74" i="4"/>
  <c r="A73" i="4"/>
  <c r="T71" i="4"/>
  <c r="F70" i="4"/>
  <c r="E69" i="4"/>
  <c r="D68" i="4"/>
  <c r="S66" i="4"/>
  <c r="C65" i="4"/>
  <c r="X63" i="4"/>
  <c r="V62" i="4"/>
  <c r="S61" i="4"/>
  <c r="X60" i="4"/>
  <c r="V59" i="4"/>
  <c r="T58" i="4"/>
  <c r="S57" i="4"/>
  <c r="X56" i="4"/>
  <c r="V55" i="4"/>
  <c r="T54" i="4"/>
  <c r="V53" i="4"/>
  <c r="L52" i="4"/>
  <c r="H51" i="4"/>
  <c r="A50" i="4"/>
  <c r="L48" i="4"/>
  <c r="H47" i="4"/>
  <c r="A46" i="4"/>
  <c r="L44" i="4"/>
  <c r="H43" i="4"/>
  <c r="A42" i="4"/>
  <c r="L40" i="4"/>
  <c r="H39" i="4"/>
  <c r="A38" i="4"/>
  <c r="L36" i="4"/>
  <c r="H35" i="4"/>
  <c r="A34" i="4"/>
  <c r="Q32" i="4"/>
  <c r="F31" i="4"/>
  <c r="D30" i="4"/>
  <c r="Q28" i="4"/>
  <c r="F27" i="4"/>
  <c r="D26" i="4"/>
  <c r="Q24" i="4"/>
  <c r="F23" i="4"/>
  <c r="D22" i="4"/>
  <c r="Q20" i="4"/>
  <c r="F19" i="4"/>
  <c r="D18" i="4"/>
  <c r="Q16" i="4"/>
  <c r="F15" i="4"/>
  <c r="D14" i="4"/>
  <c r="Q12" i="4"/>
  <c r="F11" i="4"/>
  <c r="D10" i="4"/>
  <c r="Q8" i="4"/>
  <c r="F7" i="4"/>
  <c r="A6" i="4"/>
  <c r="A5" i="4"/>
  <c r="H60" i="3"/>
  <c r="E59" i="3"/>
  <c r="V57" i="3"/>
  <c r="X56" i="3"/>
  <c r="L55" i="3"/>
  <c r="O54" i="3"/>
  <c r="Q53" i="3"/>
  <c r="V52" i="3"/>
  <c r="T51" i="3"/>
  <c r="T50" i="3"/>
  <c r="T49" i="3"/>
  <c r="T48" i="3"/>
  <c r="S47" i="3"/>
  <c r="O46" i="3"/>
  <c r="O45" i="3"/>
  <c r="O44" i="3"/>
  <c r="O43" i="3"/>
  <c r="O42" i="3"/>
  <c r="O41" i="3"/>
  <c r="O40" i="3"/>
  <c r="O39" i="3"/>
  <c r="O38" i="3"/>
  <c r="O37" i="3"/>
  <c r="O36" i="3"/>
  <c r="F35" i="3"/>
  <c r="L34" i="3"/>
  <c r="L33" i="3"/>
  <c r="N32" i="3"/>
  <c r="F31" i="3"/>
  <c r="L29" i="3"/>
  <c r="J28" i="3"/>
  <c r="C27" i="3"/>
  <c r="L25" i="3"/>
  <c r="J24" i="3"/>
  <c r="C23" i="3"/>
  <c r="L21" i="3"/>
  <c r="J20" i="3"/>
  <c r="C19" i="3"/>
  <c r="L17" i="3"/>
  <c r="J16" i="3"/>
  <c r="C15" i="3"/>
  <c r="L13" i="3"/>
  <c r="F12" i="3"/>
  <c r="E11" i="3"/>
  <c r="D10" i="3"/>
  <c r="F8" i="3"/>
  <c r="C7" i="3"/>
  <c r="F5" i="3"/>
  <c r="C3" i="3"/>
  <c r="C69" i="2"/>
  <c r="E68" i="2"/>
  <c r="F65" i="2"/>
  <c r="B64" i="2"/>
  <c r="X62" i="2"/>
  <c r="F61" i="2"/>
  <c r="J59" i="2"/>
  <c r="C58" i="2"/>
  <c r="A57" i="2"/>
  <c r="D56" i="2"/>
  <c r="C55" i="2"/>
  <c r="N53" i="2"/>
  <c r="F52" i="2"/>
  <c r="L51" i="2"/>
  <c r="O50" i="2"/>
  <c r="N49" i="2"/>
  <c r="F48" i="2"/>
  <c r="L47" i="2"/>
  <c r="O46" i="2"/>
  <c r="F44" i="2"/>
  <c r="X42" i="2"/>
  <c r="F41" i="2"/>
  <c r="B40" i="2"/>
  <c r="X38" i="2"/>
  <c r="F37" i="2"/>
  <c r="T35" i="2"/>
  <c r="T34" i="2"/>
  <c r="T33" i="2"/>
  <c r="T32" i="2"/>
  <c r="T31" i="2"/>
  <c r="T30" i="2"/>
  <c r="A9" i="12"/>
  <c r="T96" i="11"/>
  <c r="A81" i="11"/>
  <c r="C75" i="11"/>
  <c r="D68" i="11"/>
  <c r="O60" i="11"/>
  <c r="H55" i="11"/>
  <c r="A51" i="11"/>
  <c r="L43" i="11"/>
  <c r="E39" i="11"/>
  <c r="O32" i="11"/>
  <c r="H27" i="11"/>
  <c r="C23" i="11"/>
  <c r="O16" i="11"/>
  <c r="H11" i="11"/>
  <c r="C7" i="11"/>
  <c r="T143" i="10"/>
  <c r="H138" i="10"/>
  <c r="D134" i="10"/>
  <c r="V130" i="10"/>
  <c r="H127" i="10"/>
  <c r="A121" i="10"/>
  <c r="V117" i="10"/>
  <c r="Q114" i="10"/>
  <c r="L111" i="10"/>
  <c r="J107" i="10"/>
  <c r="F102" i="10"/>
  <c r="B98" i="10"/>
  <c r="N91" i="10"/>
  <c r="F86" i="10"/>
  <c r="B82" i="10"/>
  <c r="Q70" i="10"/>
  <c r="O64" i="10"/>
  <c r="H59" i="10"/>
  <c r="C55" i="10"/>
  <c r="L47" i="10"/>
  <c r="E43" i="10"/>
  <c r="J38" i="10"/>
  <c r="B34" i="10"/>
  <c r="N27" i="10"/>
  <c r="F22" i="10"/>
  <c r="B18" i="10"/>
  <c r="N11" i="10"/>
  <c r="N5" i="10"/>
  <c r="E96" i="9"/>
  <c r="V88" i="9"/>
  <c r="X83" i="9"/>
  <c r="B79" i="9"/>
  <c r="O72" i="9"/>
  <c r="H67" i="9"/>
  <c r="C63" i="9"/>
  <c r="O56" i="9"/>
  <c r="L51" i="9"/>
  <c r="D42" i="9"/>
  <c r="Q35" i="9"/>
  <c r="J30" i="9"/>
  <c r="D26" i="9"/>
  <c r="Q19" i="9"/>
  <c r="J14" i="9"/>
  <c r="D10" i="9"/>
  <c r="A5" i="9"/>
  <c r="D97" i="8"/>
  <c r="T93" i="8"/>
  <c r="T89" i="8"/>
  <c r="H85" i="8"/>
  <c r="E80" i="8"/>
  <c r="D75" i="8"/>
  <c r="J70" i="8"/>
  <c r="D66" i="8"/>
  <c r="O59" i="8"/>
  <c r="D55" i="8"/>
  <c r="B51" i="8"/>
  <c r="F47" i="8"/>
  <c r="A43" i="8"/>
  <c r="J37" i="8"/>
  <c r="B33" i="8"/>
  <c r="H26" i="8"/>
  <c r="B22" i="8"/>
  <c r="N17" i="8"/>
  <c r="E13" i="8"/>
  <c r="A9" i="8"/>
  <c r="O106" i="7"/>
  <c r="D102" i="7"/>
  <c r="T98" i="7"/>
  <c r="E94" i="7"/>
  <c r="A91" i="7"/>
  <c r="B86" i="7"/>
  <c r="D80" i="7"/>
  <c r="N76" i="7"/>
  <c r="T71" i="7"/>
  <c r="D67" i="7"/>
  <c r="C63" i="7"/>
  <c r="H57" i="7"/>
  <c r="L53" i="7"/>
  <c r="V49" i="7"/>
  <c r="C42" i="7"/>
  <c r="E38" i="7"/>
  <c r="J34" i="7"/>
  <c r="O29" i="7"/>
  <c r="T25" i="7"/>
  <c r="E22" i="7"/>
  <c r="Q17" i="7"/>
  <c r="J15" i="7"/>
  <c r="E14" i="7"/>
  <c r="H12" i="7"/>
  <c r="D11" i="7"/>
  <c r="F9" i="7"/>
  <c r="C8" i="7"/>
  <c r="A6" i="7"/>
  <c r="E3" i="7"/>
  <c r="J122" i="6"/>
  <c r="D121" i="6"/>
  <c r="S119" i="6"/>
  <c r="O118" i="6"/>
  <c r="O117" i="6"/>
  <c r="N116" i="6"/>
  <c r="Q115" i="6"/>
  <c r="O114" i="6"/>
  <c r="Q113" i="6"/>
  <c r="N112" i="6"/>
  <c r="O111" i="6"/>
  <c r="L110" i="6"/>
  <c r="Q109" i="6"/>
  <c r="O108" i="6"/>
  <c r="L107" i="6"/>
  <c r="N106" i="6"/>
  <c r="Q105" i="6"/>
  <c r="L104" i="6"/>
  <c r="N103" i="6"/>
  <c r="O102" i="6"/>
  <c r="N100" i="6"/>
  <c r="H99" i="6"/>
  <c r="H98" i="6"/>
  <c r="F97" i="6"/>
  <c r="B96" i="6"/>
  <c r="X94" i="6"/>
  <c r="F93" i="6"/>
  <c r="E91" i="6"/>
  <c r="N89" i="6"/>
  <c r="B88" i="6"/>
  <c r="A87" i="6"/>
  <c r="N85" i="6"/>
  <c r="B84" i="6"/>
  <c r="A83" i="6"/>
  <c r="N81" i="6"/>
  <c r="B80" i="6"/>
  <c r="A79" i="6"/>
  <c r="N77" i="6"/>
  <c r="A75" i="6"/>
  <c r="B73" i="6"/>
  <c r="A72" i="6"/>
  <c r="N70" i="6"/>
  <c r="B69" i="6"/>
  <c r="A68" i="6"/>
  <c r="N66" i="6"/>
  <c r="J65" i="6"/>
  <c r="C64" i="6"/>
  <c r="L62" i="6"/>
  <c r="J61" i="6"/>
  <c r="C60" i="6"/>
  <c r="L58" i="6"/>
  <c r="J57" i="6"/>
  <c r="C56" i="6"/>
  <c r="L54" i="6"/>
  <c r="Q52" i="6"/>
  <c r="O51" i="6"/>
  <c r="H50" i="6"/>
  <c r="Q48" i="6"/>
  <c r="O47" i="6"/>
  <c r="H46" i="6"/>
  <c r="Q44" i="6"/>
  <c r="O43" i="6"/>
  <c r="H42" i="6"/>
  <c r="Q40" i="6"/>
  <c r="O39" i="6"/>
  <c r="H38" i="6"/>
  <c r="Q36" i="6"/>
  <c r="B35" i="6"/>
  <c r="A34" i="6"/>
  <c r="N32" i="6"/>
  <c r="B31" i="6"/>
  <c r="A30" i="6"/>
  <c r="N28" i="6"/>
  <c r="B27" i="6"/>
  <c r="A26" i="6"/>
  <c r="N24" i="6"/>
  <c r="B23" i="6"/>
  <c r="A22" i="6"/>
  <c r="N20" i="6"/>
  <c r="B19" i="6"/>
  <c r="A18" i="6"/>
  <c r="N16" i="6"/>
  <c r="B15" i="6"/>
  <c r="A14" i="6"/>
  <c r="N12" i="6"/>
  <c r="B11" i="6"/>
  <c r="A10" i="6"/>
  <c r="N8" i="6"/>
  <c r="B7" i="6"/>
  <c r="A5" i="6"/>
  <c r="B97" i="5"/>
  <c r="E95" i="5"/>
  <c r="B93" i="5"/>
  <c r="A92" i="5"/>
  <c r="S90" i="5"/>
  <c r="F89" i="5"/>
  <c r="E88" i="5"/>
  <c r="D87" i="5"/>
  <c r="H85" i="5"/>
  <c r="L84" i="5"/>
  <c r="N83" i="5"/>
  <c r="Q82" i="5"/>
  <c r="T81" i="5"/>
  <c r="X80" i="5"/>
  <c r="A80" i="5"/>
  <c r="C79" i="5"/>
  <c r="E78" i="5"/>
  <c r="H77" i="5"/>
  <c r="L76" i="5"/>
  <c r="L74" i="5"/>
  <c r="J73" i="5"/>
  <c r="L72" i="5"/>
  <c r="B71" i="5"/>
  <c r="C70" i="5"/>
  <c r="D69" i="5"/>
  <c r="E68" i="5"/>
  <c r="S66" i="5"/>
  <c r="F65" i="5"/>
  <c r="H64" i="5"/>
  <c r="J63" i="5"/>
  <c r="L62" i="5"/>
  <c r="B61" i="5"/>
  <c r="C60" i="5"/>
  <c r="D59" i="5"/>
  <c r="E58" i="5"/>
  <c r="S56" i="5"/>
  <c r="T55" i="5"/>
  <c r="V54" i="5"/>
  <c r="F52" i="5"/>
  <c r="D51" i="5"/>
  <c r="J49" i="5"/>
  <c r="O47" i="5"/>
  <c r="B46" i="5"/>
  <c r="F44" i="5"/>
  <c r="D43" i="5"/>
  <c r="J41" i="5"/>
  <c r="O39" i="5"/>
  <c r="B38" i="5"/>
  <c r="F36" i="5"/>
  <c r="J34" i="5"/>
  <c r="O32" i="5"/>
  <c r="B31" i="5"/>
  <c r="F29" i="5"/>
  <c r="D28" i="5"/>
  <c r="J26" i="5"/>
  <c r="O24" i="5"/>
  <c r="B23" i="5"/>
  <c r="F21" i="5"/>
  <c r="D20" i="5"/>
  <c r="J18" i="5"/>
  <c r="O16" i="5"/>
  <c r="B15" i="5"/>
  <c r="F13" i="5"/>
  <c r="D12" i="5"/>
  <c r="J10" i="5"/>
  <c r="O8" i="5"/>
  <c r="H7" i="5"/>
  <c r="H5" i="5"/>
  <c r="B79" i="4"/>
  <c r="A78" i="4"/>
  <c r="T76" i="4"/>
  <c r="X75" i="4"/>
  <c r="O74" i="4"/>
  <c r="J73" i="4"/>
  <c r="C72" i="4"/>
  <c r="X70" i="4"/>
  <c r="V69" i="4"/>
  <c r="H68" i="4"/>
  <c r="B67" i="4"/>
  <c r="S65" i="4"/>
  <c r="L64" i="4"/>
  <c r="J63" i="4"/>
  <c r="J62" i="4"/>
  <c r="E61" i="4"/>
  <c r="J60" i="4"/>
  <c r="H59" i="4"/>
  <c r="F58" i="4"/>
  <c r="E57" i="4"/>
  <c r="J56" i="4"/>
  <c r="H55" i="4"/>
  <c r="F54" i="4"/>
  <c r="D53" i="4"/>
  <c r="N51" i="4"/>
  <c r="J50" i="4"/>
  <c r="B49" i="4"/>
  <c r="N47" i="4"/>
  <c r="J46" i="4"/>
  <c r="B45" i="4"/>
  <c r="N43" i="4"/>
  <c r="J42" i="4"/>
  <c r="B41" i="4"/>
  <c r="N39" i="4"/>
  <c r="J38" i="4"/>
  <c r="B37" i="4"/>
  <c r="X35" i="4"/>
  <c r="L33" i="4"/>
  <c r="H32" i="4"/>
  <c r="A31" i="4"/>
  <c r="L29" i="4"/>
  <c r="H28" i="4"/>
  <c r="A27" i="4"/>
  <c r="L25" i="4"/>
  <c r="H24" i="4"/>
  <c r="A23" i="4"/>
  <c r="L21" i="4"/>
  <c r="H20" i="4"/>
  <c r="A19" i="4"/>
  <c r="L17" i="4"/>
  <c r="H16" i="4"/>
  <c r="A15" i="4"/>
  <c r="L13" i="4"/>
  <c r="H12" i="4"/>
  <c r="A11" i="4"/>
  <c r="L9" i="4"/>
  <c r="H8" i="4"/>
  <c r="A7" i="4"/>
  <c r="N5" i="4"/>
  <c r="S3" i="4"/>
  <c r="F60" i="3"/>
  <c r="J59" i="3"/>
  <c r="L58" i="3"/>
  <c r="O57" i="3"/>
  <c r="L56" i="3"/>
  <c r="J55" i="3"/>
  <c r="H54" i="3"/>
  <c r="D53" i="3"/>
  <c r="C52" i="3"/>
  <c r="C51" i="3"/>
  <c r="C50" i="3"/>
  <c r="C49" i="3"/>
  <c r="C48" i="3"/>
  <c r="N46" i="3"/>
  <c r="N45" i="3"/>
  <c r="N44" i="3"/>
  <c r="N43" i="3"/>
  <c r="N42" i="3"/>
  <c r="N41" i="3"/>
  <c r="N40" i="3"/>
  <c r="N39" i="3"/>
  <c r="N38" i="3"/>
  <c r="N37" i="3"/>
  <c r="N36" i="3"/>
  <c r="Q35" i="3"/>
  <c r="T34" i="3"/>
  <c r="O33" i="3"/>
  <c r="F32" i="3"/>
  <c r="L31" i="3"/>
  <c r="E30" i="3"/>
  <c r="D29" i="3"/>
  <c r="F27" i="3"/>
  <c r="E26" i="3"/>
  <c r="D25" i="3"/>
  <c r="F23" i="3"/>
  <c r="E22" i="3"/>
  <c r="D21" i="3"/>
  <c r="F19" i="3"/>
  <c r="E18" i="3"/>
  <c r="D17" i="3"/>
  <c r="F15" i="3"/>
  <c r="E14" i="3"/>
  <c r="D13" i="3"/>
  <c r="O11" i="3"/>
  <c r="H10" i="3"/>
  <c r="Q8" i="3"/>
  <c r="N7" i="3"/>
  <c r="Q6" i="3"/>
  <c r="Q5" i="3"/>
  <c r="B3" i="3"/>
  <c r="T68" i="2"/>
  <c r="A67" i="2"/>
  <c r="E66" i="2"/>
  <c r="E65" i="2"/>
  <c r="L64" i="2"/>
  <c r="Q63" i="2"/>
  <c r="V62" i="2"/>
  <c r="A62" i="2"/>
  <c r="E61" i="2"/>
  <c r="H59" i="2"/>
  <c r="V57" i="2"/>
  <c r="S56" i="2"/>
  <c r="X55" i="2"/>
  <c r="Q54" i="2"/>
  <c r="F53" i="2"/>
  <c r="L52" i="2"/>
  <c r="O51" i="2"/>
  <c r="N50" i="2"/>
  <c r="F49" i="2"/>
  <c r="L48" i="2"/>
  <c r="O47" i="2"/>
  <c r="N46" i="2"/>
  <c r="V44" i="2"/>
  <c r="V43" i="2"/>
  <c r="A43" i="2"/>
  <c r="E42" i="2"/>
  <c r="L41" i="2"/>
  <c r="Q40" i="2"/>
  <c r="V39" i="2"/>
  <c r="A39" i="2"/>
  <c r="E38" i="2"/>
  <c r="L37" i="2"/>
  <c r="Q36" i="2"/>
  <c r="N35" i="2"/>
  <c r="N34" i="2"/>
  <c r="N33" i="2"/>
  <c r="N32" i="2"/>
  <c r="N31" i="2"/>
  <c r="N30" i="2"/>
  <c r="N29" i="2"/>
  <c r="N28" i="2"/>
  <c r="N27" i="2"/>
  <c r="V25" i="2"/>
  <c r="V24" i="2"/>
  <c r="A24" i="2"/>
  <c r="E23" i="2"/>
  <c r="L22" i="2"/>
  <c r="Q21" i="2"/>
  <c r="V20" i="2"/>
  <c r="A20" i="2"/>
  <c r="E19" i="2"/>
  <c r="L18" i="2"/>
  <c r="Q17" i="2"/>
  <c r="V16" i="2"/>
  <c r="A16" i="2"/>
  <c r="H70" i="11"/>
  <c r="Q51" i="11"/>
  <c r="F30" i="11"/>
  <c r="E13" i="11"/>
  <c r="C127" i="10"/>
  <c r="V112" i="10"/>
  <c r="O96" i="10"/>
  <c r="O73" i="10"/>
  <c r="L51" i="10"/>
  <c r="Q33" i="10"/>
  <c r="O16" i="10"/>
  <c r="B94" i="9"/>
  <c r="D68" i="9"/>
  <c r="Q39" i="9"/>
  <c r="O22" i="9"/>
  <c r="O93" i="8"/>
  <c r="L72" i="8"/>
  <c r="A56" i="8"/>
  <c r="H30" i="8"/>
  <c r="A13" i="8"/>
  <c r="J99" i="7"/>
  <c r="X85" i="7"/>
  <c r="A68" i="7"/>
  <c r="O48" i="7"/>
  <c r="F33" i="7"/>
  <c r="H18" i="7"/>
  <c r="A12" i="7"/>
  <c r="C7" i="7"/>
  <c r="T118" i="6"/>
  <c r="C115" i="6"/>
  <c r="N111" i="6"/>
  <c r="D107" i="6"/>
  <c r="L103" i="6"/>
  <c r="E97" i="6"/>
  <c r="A94" i="6"/>
  <c r="N86" i="6"/>
  <c r="F81" i="6"/>
  <c r="B77" i="6"/>
  <c r="F70" i="6"/>
  <c r="Q63" i="6"/>
  <c r="J58" i="6"/>
  <c r="D54" i="6"/>
  <c r="N47" i="6"/>
  <c r="F42" i="6"/>
  <c r="B38" i="6"/>
  <c r="N33" i="6"/>
  <c r="F28" i="6"/>
  <c r="B24" i="6"/>
  <c r="N17" i="6"/>
  <c r="F12" i="6"/>
  <c r="B8" i="6"/>
  <c r="O95" i="5"/>
  <c r="L89" i="5"/>
  <c r="S83" i="5"/>
  <c r="F79" i="5"/>
  <c r="N73" i="5"/>
  <c r="T68" i="5"/>
  <c r="A65" i="5"/>
  <c r="E61" i="5"/>
  <c r="L57" i="5"/>
  <c r="H51" i="5"/>
  <c r="Q46" i="5"/>
  <c r="E42" i="5"/>
  <c r="N37" i="5"/>
  <c r="A33" i="5"/>
  <c r="H28" i="5"/>
  <c r="Q23" i="5"/>
  <c r="E19" i="5"/>
  <c r="N14" i="5"/>
  <c r="C10" i="5"/>
  <c r="A79" i="4"/>
  <c r="C73" i="4"/>
  <c r="V66" i="4"/>
  <c r="N62" i="4"/>
  <c r="E58" i="4"/>
  <c r="X54" i="4"/>
  <c r="H48" i="4"/>
  <c r="O42" i="4"/>
  <c r="C38" i="4"/>
  <c r="J33" i="4"/>
  <c r="Q27" i="4"/>
  <c r="D23" i="4"/>
  <c r="J17" i="4"/>
  <c r="Q11" i="4"/>
  <c r="D7" i="4"/>
  <c r="O59" i="3"/>
  <c r="S55" i="3"/>
  <c r="X48" i="3"/>
  <c r="X43" i="3"/>
  <c r="B39" i="3"/>
  <c r="C33" i="3"/>
  <c r="C29" i="3"/>
  <c r="O22" i="3"/>
  <c r="H17" i="3"/>
  <c r="C13" i="3"/>
  <c r="O6" i="3"/>
  <c r="H68" i="2"/>
  <c r="D63" i="2"/>
  <c r="V58" i="2"/>
  <c r="L55" i="2"/>
  <c r="C51" i="2"/>
  <c r="J48" i="2"/>
  <c r="O44" i="2"/>
  <c r="J42" i="2"/>
  <c r="J40" i="2"/>
  <c r="J38" i="2"/>
  <c r="J36" i="2"/>
  <c r="X33" i="2"/>
  <c r="B31" i="2"/>
  <c r="X28" i="2"/>
  <c r="V27" i="2"/>
  <c r="X25" i="2"/>
  <c r="O24" i="2"/>
  <c r="N23" i="2"/>
  <c r="J21" i="2"/>
  <c r="H20" i="2"/>
  <c r="F19" i="2"/>
  <c r="C17" i="2"/>
  <c r="B16" i="2"/>
  <c r="E15" i="2"/>
  <c r="L14" i="2"/>
  <c r="Q13" i="2"/>
  <c r="V12" i="2"/>
  <c r="A12" i="2"/>
  <c r="E11" i="2"/>
  <c r="L10" i="2"/>
  <c r="Q9" i="2"/>
  <c r="V8" i="2"/>
  <c r="A8" i="2"/>
  <c r="E7" i="2"/>
  <c r="L5" i="2"/>
  <c r="X78" i="1"/>
  <c r="F77" i="1"/>
  <c r="L76" i="1"/>
  <c r="B75" i="1"/>
  <c r="C73" i="1"/>
  <c r="S71" i="1"/>
  <c r="S70" i="1"/>
  <c r="H69" i="1"/>
  <c r="F68" i="1"/>
  <c r="B67" i="1"/>
  <c r="E66" i="1"/>
  <c r="V64" i="1"/>
  <c r="A64" i="1"/>
  <c r="E63" i="1"/>
  <c r="L62" i="1"/>
  <c r="Q61" i="1"/>
  <c r="V60" i="1"/>
  <c r="A60" i="1"/>
  <c r="E59" i="1"/>
  <c r="L58" i="1"/>
  <c r="Q57" i="1"/>
  <c r="V56" i="1"/>
  <c r="A56" i="1"/>
  <c r="E55" i="1"/>
  <c r="J54" i="1"/>
  <c r="D53" i="1"/>
  <c r="S51" i="1"/>
  <c r="S50" i="1"/>
  <c r="F49" i="1"/>
  <c r="E48" i="1"/>
  <c r="D47" i="1"/>
  <c r="F45" i="1"/>
  <c r="E44" i="1"/>
  <c r="D43" i="1"/>
  <c r="F41" i="1"/>
  <c r="E40" i="1"/>
  <c r="D39" i="1"/>
  <c r="D38" i="1"/>
  <c r="X36" i="1"/>
  <c r="Q34" i="1"/>
  <c r="O33" i="1"/>
  <c r="H32" i="1"/>
  <c r="Q30" i="1"/>
  <c r="O29" i="1"/>
  <c r="H28" i="1"/>
  <c r="Q26" i="1"/>
  <c r="O25" i="1"/>
  <c r="H24" i="1"/>
  <c r="Q22" i="1"/>
  <c r="H21" i="1"/>
  <c r="Q19" i="1"/>
  <c r="O18" i="1"/>
  <c r="H17" i="1"/>
  <c r="Q15" i="1"/>
  <c r="O14" i="1"/>
  <c r="H13" i="1"/>
  <c r="Q11" i="1"/>
  <c r="O10" i="1"/>
  <c r="H9" i="1"/>
  <c r="Q7" i="1"/>
  <c r="T6" i="1"/>
  <c r="N5" i="1"/>
  <c r="B100" i="11"/>
  <c r="B128" i="10"/>
  <c r="O80" i="10"/>
  <c r="B23" i="20"/>
  <c r="N166" i="19"/>
  <c r="E93" i="17"/>
  <c r="B50" i="19"/>
  <c r="E50" i="18"/>
  <c r="B83" i="19"/>
  <c r="S131" i="18"/>
  <c r="L59" i="18"/>
  <c r="E101" i="17"/>
  <c r="L7" i="17"/>
  <c r="X138" i="15"/>
  <c r="D63" i="15"/>
  <c r="S81" i="17"/>
  <c r="A79" i="16"/>
  <c r="A135" i="15"/>
  <c r="L58" i="15"/>
  <c r="N64" i="17"/>
  <c r="D40" i="17"/>
  <c r="O11" i="17"/>
  <c r="C63" i="16"/>
  <c r="J43" i="16"/>
  <c r="N21" i="16"/>
  <c r="N136" i="15"/>
  <c r="L119" i="15"/>
  <c r="C103" i="15"/>
  <c r="B82" i="15"/>
  <c r="D60" i="15"/>
  <c r="O38" i="15"/>
  <c r="F17" i="15"/>
  <c r="C378" i="14"/>
  <c r="N10" i="18"/>
  <c r="J67" i="17"/>
  <c r="L50" i="17"/>
  <c r="J29" i="17"/>
  <c r="A8" i="17"/>
  <c r="X65" i="16"/>
  <c r="O46" i="16"/>
  <c r="C25" i="16"/>
  <c r="S139" i="15"/>
  <c r="B122" i="15"/>
  <c r="D105" i="15"/>
  <c r="L84" i="15"/>
  <c r="O62" i="15"/>
  <c r="J41" i="15"/>
  <c r="Q19" i="15"/>
  <c r="H383" i="14"/>
  <c r="F363" i="14"/>
  <c r="X328" i="14"/>
  <c r="N295" i="14"/>
  <c r="C259" i="14"/>
  <c r="N221" i="14"/>
  <c r="A184" i="14"/>
  <c r="D147" i="14"/>
  <c r="N110" i="14"/>
  <c r="N71" i="14"/>
  <c r="D34" i="14"/>
  <c r="O135" i="13"/>
  <c r="E118" i="13"/>
  <c r="L105" i="13"/>
  <c r="E86" i="13"/>
  <c r="E64" i="13"/>
  <c r="Q42" i="13"/>
  <c r="F21" i="13"/>
  <c r="S121" i="12"/>
  <c r="O103" i="12"/>
  <c r="Q83" i="12"/>
  <c r="A63" i="12"/>
  <c r="C41" i="12"/>
  <c r="C20" i="12"/>
  <c r="H116" i="11"/>
  <c r="E98" i="11"/>
  <c r="L85" i="11"/>
  <c r="H347" i="14"/>
  <c r="A319" i="14"/>
  <c r="Q284" i="14"/>
  <c r="A246" i="14"/>
  <c r="N208" i="14"/>
  <c r="Q171" i="14"/>
  <c r="B134" i="14"/>
  <c r="B96" i="14"/>
  <c r="Q58" i="14"/>
  <c r="O21" i="14"/>
  <c r="O129" i="13"/>
  <c r="O110" i="13"/>
  <c r="C92" i="13"/>
  <c r="H69" i="13"/>
  <c r="L47" i="13"/>
  <c r="L25" i="13"/>
  <c r="N3" i="13"/>
  <c r="A108" i="12"/>
  <c r="E91" i="12"/>
  <c r="F69" i="12"/>
  <c r="F48" i="12"/>
  <c r="A28" i="12"/>
  <c r="D378" i="14"/>
  <c r="D333" i="14"/>
  <c r="O300" i="14"/>
  <c r="N263" i="14"/>
  <c r="D226" i="14"/>
  <c r="B189" i="14"/>
  <c r="A152" i="14"/>
  <c r="A114" i="14"/>
  <c r="O74" i="14"/>
  <c r="A37" i="14"/>
  <c r="T138" i="13"/>
  <c r="N117" i="13"/>
  <c r="F101" i="13"/>
  <c r="A80" i="13"/>
  <c r="A58" i="13"/>
  <c r="E36" i="13"/>
  <c r="L14" i="13"/>
  <c r="T116" i="12"/>
  <c r="N100" i="12"/>
  <c r="E79" i="12"/>
  <c r="L71" i="12"/>
  <c r="B65" i="12"/>
  <c r="F57" i="12"/>
  <c r="N50" i="12"/>
  <c r="D44" i="12"/>
  <c r="H37" i="12"/>
  <c r="J30" i="12"/>
  <c r="B23" i="12"/>
  <c r="O15" i="12"/>
  <c r="N8" i="12"/>
  <c r="F119" i="11"/>
  <c r="J113" i="11"/>
  <c r="N107" i="11"/>
  <c r="V101" i="11"/>
  <c r="H95" i="11"/>
  <c r="C90" i="11"/>
  <c r="S83" i="11"/>
  <c r="D77" i="11"/>
  <c r="A70" i="11"/>
  <c r="J374" i="14"/>
  <c r="A353" i="14"/>
  <c r="E344" i="14"/>
  <c r="A336" i="14"/>
  <c r="V325" i="14"/>
  <c r="C315" i="14"/>
  <c r="S304" i="14"/>
  <c r="A292" i="14"/>
  <c r="A280" i="14"/>
  <c r="N266" i="14"/>
  <c r="O253" i="14"/>
  <c r="C242" i="14"/>
  <c r="D229" i="14"/>
  <c r="C216" i="14"/>
  <c r="D203" i="14"/>
  <c r="D190" i="14"/>
  <c r="B178" i="14"/>
  <c r="B166" i="14"/>
  <c r="B154" i="14"/>
  <c r="C141" i="14"/>
  <c r="A129" i="14"/>
  <c r="O116" i="14"/>
  <c r="N103" i="14"/>
  <c r="O90" i="14"/>
  <c r="N76" i="14"/>
  <c r="A66" i="14"/>
  <c r="B57" i="14"/>
  <c r="O47" i="14"/>
  <c r="Q38" i="14"/>
  <c r="Q28" i="14"/>
  <c r="Q18" i="14"/>
  <c r="D9" i="14"/>
  <c r="H137" i="13"/>
  <c r="A132" i="13"/>
  <c r="F126" i="13"/>
  <c r="B121" i="13"/>
  <c r="X115" i="13"/>
  <c r="F110" i="13"/>
  <c r="B105" i="13"/>
  <c r="E100" i="13"/>
  <c r="D95" i="13"/>
  <c r="L89" i="13"/>
  <c r="J84" i="13"/>
  <c r="C79" i="13"/>
  <c r="D74" i="13"/>
  <c r="J68" i="13"/>
  <c r="J62" i="13"/>
  <c r="C57" i="13"/>
  <c r="D52" i="13"/>
  <c r="F46" i="13"/>
  <c r="E41" i="13"/>
  <c r="D36" i="13"/>
  <c r="A31" i="13"/>
  <c r="N25" i="13"/>
  <c r="B20" i="13"/>
  <c r="A15" i="13"/>
  <c r="N9" i="13"/>
  <c r="S124" i="12"/>
  <c r="E120" i="12"/>
  <c r="D116" i="12"/>
  <c r="T111" i="12"/>
  <c r="N107" i="12"/>
  <c r="Q103" i="12"/>
  <c r="A100" i="12"/>
  <c r="E96" i="12"/>
  <c r="C91" i="12"/>
  <c r="Q85" i="12"/>
  <c r="E80" i="12"/>
  <c r="D75" i="12"/>
  <c r="O69" i="12"/>
  <c r="C64" i="12"/>
  <c r="N58" i="12"/>
  <c r="L53" i="12"/>
  <c r="J48" i="12"/>
  <c r="Q42" i="12"/>
  <c r="F37" i="12"/>
  <c r="C32" i="12"/>
  <c r="F26" i="12"/>
  <c r="E21" i="12"/>
  <c r="D16" i="12"/>
  <c r="J10" i="12"/>
  <c r="A5" i="12"/>
  <c r="T116" i="11"/>
  <c r="F112" i="11"/>
  <c r="B108" i="11"/>
  <c r="F103" i="11"/>
  <c r="F97" i="11"/>
  <c r="B92" i="11"/>
  <c r="X86" i="11"/>
  <c r="L5" i="12"/>
  <c r="D98" i="11"/>
  <c r="E81" i="11"/>
  <c r="O74" i="11"/>
  <c r="F67" i="11"/>
  <c r="D61" i="11"/>
  <c r="F55" i="11"/>
  <c r="C50" i="11"/>
  <c r="L44" i="11"/>
  <c r="J39" i="11"/>
  <c r="O33" i="11"/>
  <c r="H28" i="11"/>
  <c r="Q22" i="11"/>
  <c r="O17" i="11"/>
  <c r="H12" i="11"/>
  <c r="X5" i="11"/>
  <c r="J142" i="10"/>
  <c r="X135" i="10"/>
  <c r="D131" i="10"/>
  <c r="F127" i="10"/>
  <c r="O121" i="10"/>
  <c r="O117" i="10"/>
  <c r="O113" i="10"/>
  <c r="N109" i="10"/>
  <c r="H104" i="10"/>
  <c r="Q98" i="10"/>
  <c r="O93" i="10"/>
  <c r="H88" i="10"/>
  <c r="Q82" i="10"/>
  <c r="F76" i="10"/>
  <c r="N69" i="10"/>
  <c r="F63" i="10"/>
  <c r="E58" i="10"/>
  <c r="L52" i="10"/>
  <c r="J47" i="10"/>
  <c r="C42" i="10"/>
  <c r="B35" i="10"/>
  <c r="A30" i="10"/>
  <c r="N24" i="10"/>
  <c r="B19" i="10"/>
  <c r="A14" i="10"/>
  <c r="N8" i="10"/>
  <c r="L99" i="9"/>
  <c r="L95" i="9"/>
  <c r="A92" i="9"/>
  <c r="J88" i="9"/>
  <c r="A85" i="9"/>
  <c r="V81" i="9"/>
  <c r="Q78" i="9"/>
  <c r="J73" i="9"/>
  <c r="C68" i="9"/>
  <c r="L62" i="9"/>
  <c r="J57" i="9"/>
  <c r="H50" i="9"/>
  <c r="O43" i="9"/>
  <c r="C38" i="9"/>
  <c r="L32" i="9"/>
  <c r="J27" i="9"/>
  <c r="C22" i="9"/>
  <c r="L16" i="9"/>
  <c r="J11" i="9"/>
  <c r="C6" i="9"/>
  <c r="X99" i="8"/>
  <c r="T95" i="8"/>
  <c r="S91" i="8"/>
  <c r="X86" i="8"/>
  <c r="E82" i="8"/>
  <c r="V77" i="8"/>
  <c r="A74" i="8"/>
  <c r="F69" i="8"/>
  <c r="L64" i="8"/>
  <c r="H59" i="8"/>
  <c r="C55" i="8"/>
  <c r="V50" i="8"/>
  <c r="J46" i="8"/>
  <c r="D41" i="8"/>
  <c r="C35" i="8"/>
  <c r="L29" i="8"/>
  <c r="J24" i="8"/>
  <c r="D19" i="8"/>
  <c r="J13" i="8"/>
  <c r="C8" i="8"/>
  <c r="L108" i="7"/>
  <c r="E104" i="7"/>
  <c r="H100" i="7"/>
  <c r="D96" i="7"/>
  <c r="D92" i="7"/>
  <c r="V87" i="7"/>
  <c r="Q84" i="7"/>
  <c r="E81" i="7"/>
  <c r="F76" i="7"/>
  <c r="S71" i="7"/>
  <c r="S66" i="7"/>
  <c r="O61" i="7"/>
  <c r="O55" i="7"/>
  <c r="N49" i="7"/>
  <c r="O45" i="7"/>
  <c r="B41" i="7"/>
  <c r="A37" i="7"/>
  <c r="B32" i="7"/>
  <c r="D28" i="7"/>
  <c r="D24" i="7"/>
  <c r="E19" i="7"/>
  <c r="B6" i="12"/>
  <c r="T105" i="11"/>
  <c r="O87" i="11"/>
  <c r="L76" i="11"/>
  <c r="C69" i="11"/>
  <c r="O62" i="11"/>
  <c r="H57" i="11"/>
  <c r="J52" i="11"/>
  <c r="C47" i="11"/>
  <c r="L41" i="11"/>
  <c r="J36" i="11"/>
  <c r="E31" i="11"/>
  <c r="D26" i="11"/>
  <c r="F20" i="11"/>
  <c r="E15" i="11"/>
  <c r="D10" i="11"/>
  <c r="X145" i="10"/>
  <c r="A139" i="10"/>
  <c r="V135" i="10"/>
  <c r="H131" i="10"/>
  <c r="A127" i="10"/>
  <c r="H121" i="10"/>
  <c r="H117" i="10"/>
  <c r="H113" i="10"/>
  <c r="B109" i="10"/>
  <c r="O102" i="10"/>
  <c r="H97" i="10"/>
  <c r="Q91" i="10"/>
  <c r="O86" i="10"/>
  <c r="H81" i="10"/>
  <c r="F73" i="10"/>
  <c r="D68" i="10"/>
  <c r="N61" i="10"/>
  <c r="B56" i="10"/>
  <c r="H51" i="10"/>
  <c r="Q45" i="10"/>
  <c r="D40" i="10"/>
  <c r="A35" i="10"/>
  <c r="N29" i="10"/>
  <c r="B24" i="10"/>
  <c r="A19" i="10"/>
  <c r="N13" i="10"/>
  <c r="B8" i="10"/>
  <c r="Q100" i="9"/>
  <c r="T95" i="9"/>
  <c r="D91" i="9"/>
  <c r="O86" i="9"/>
  <c r="O82" i="9"/>
  <c r="O78" i="9"/>
  <c r="F72" i="9"/>
  <c r="E67" i="9"/>
  <c r="D62" i="9"/>
  <c r="F56" i="9"/>
  <c r="B50" i="9"/>
  <c r="N43" i="9"/>
  <c r="B38" i="9"/>
  <c r="A33" i="9"/>
  <c r="N27" i="9"/>
  <c r="B22" i="9"/>
  <c r="A17" i="9"/>
  <c r="N11" i="9"/>
  <c r="B6" i="9"/>
  <c r="Q99" i="8"/>
  <c r="X94" i="8"/>
  <c r="F89" i="8"/>
  <c r="L84" i="8"/>
  <c r="H80" i="8"/>
  <c r="T76" i="8"/>
  <c r="N71" i="8"/>
  <c r="F65" i="8"/>
  <c r="O60" i="8"/>
  <c r="B55" i="8"/>
  <c r="D50" i="8"/>
  <c r="E45" i="8"/>
  <c r="Q39" i="8"/>
  <c r="L34" i="8"/>
  <c r="J29" i="8"/>
  <c r="C24" i="8"/>
  <c r="F18" i="8"/>
  <c r="N13" i="8"/>
  <c r="B8" i="8"/>
  <c r="A109" i="7"/>
  <c r="X103" i="7"/>
  <c r="O98" i="7"/>
  <c r="N94" i="7"/>
  <c r="L90" i="7"/>
  <c r="T86" i="7"/>
  <c r="T82" i="7"/>
  <c r="L78" i="7"/>
  <c r="S74" i="7"/>
  <c r="Q70" i="7"/>
  <c r="N65" i="7"/>
  <c r="B60" i="7"/>
  <c r="L56" i="7"/>
  <c r="Q52" i="7"/>
  <c r="A49" i="7"/>
  <c r="T44" i="7"/>
  <c r="A41" i="7"/>
  <c r="Q36" i="7"/>
  <c r="L32" i="7"/>
  <c r="H28" i="7"/>
  <c r="V23" i="7"/>
  <c r="B20" i="7"/>
  <c r="F10" i="12"/>
  <c r="V110" i="11"/>
  <c r="T93" i="11"/>
  <c r="F80" i="11"/>
  <c r="L71" i="11"/>
  <c r="A66" i="11"/>
  <c r="A60" i="11"/>
  <c r="N54" i="11"/>
  <c r="J49" i="11"/>
  <c r="C44" i="11"/>
  <c r="L38" i="11"/>
  <c r="B33" i="11"/>
  <c r="A28" i="11"/>
  <c r="N22" i="11"/>
  <c r="B17" i="11"/>
  <c r="A12" i="11"/>
  <c r="A6" i="11"/>
  <c r="A143" i="10"/>
  <c r="T136" i="10"/>
  <c r="A133" i="10"/>
  <c r="H128" i="10"/>
  <c r="J123" i="10"/>
  <c r="B117" i="10"/>
  <c r="X111" i="10"/>
  <c r="V107" i="10"/>
  <c r="C102" i="10"/>
  <c r="L96" i="10"/>
  <c r="J91" i="10"/>
  <c r="C86" i="10"/>
  <c r="L80" i="10"/>
  <c r="A75" i="10"/>
  <c r="E69" i="10"/>
  <c r="N62" i="10"/>
  <c r="B57" i="10"/>
  <c r="C52" i="10"/>
  <c r="L46" i="10"/>
  <c r="J41" i="10"/>
  <c r="J35" i="10"/>
  <c r="C30" i="10"/>
  <c r="L24" i="10"/>
  <c r="J19" i="10"/>
  <c r="C14" i="10"/>
  <c r="L8" i="10"/>
  <c r="J101" i="9"/>
  <c r="X96" i="9"/>
  <c r="S91" i="9"/>
  <c r="S86" i="9"/>
  <c r="S82" i="9"/>
  <c r="S78" i="9"/>
  <c r="C74" i="9"/>
  <c r="L68" i="9"/>
  <c r="J63" i="9"/>
  <c r="C58" i="9"/>
  <c r="F51" i="9"/>
  <c r="D45" i="9"/>
  <c r="Q38" i="9"/>
  <c r="O33" i="9"/>
  <c r="H28" i="9"/>
  <c r="Q22" i="9"/>
  <c r="O17" i="9"/>
  <c r="H12" i="9"/>
  <c r="Q6" i="9"/>
  <c r="N100" i="8"/>
  <c r="V96" i="8"/>
  <c r="A93" i="8"/>
  <c r="V89" i="8"/>
  <c r="D85" i="8"/>
  <c r="X80" i="8"/>
  <c r="N76" i="8"/>
  <c r="X72" i="8"/>
  <c r="Q66" i="8"/>
  <c r="D62" i="8"/>
  <c r="A58" i="8"/>
  <c r="F53" i="8"/>
  <c r="T48" i="8"/>
  <c r="B43" i="8"/>
  <c r="H38" i="8"/>
  <c r="Q35" i="8"/>
  <c r="H33" i="8"/>
  <c r="B31" i="8"/>
  <c r="B28" i="8"/>
  <c r="N25" i="8"/>
  <c r="A23" i="8"/>
  <c r="D20" i="8"/>
  <c r="J17" i="8"/>
  <c r="H14" i="8"/>
  <c r="O11" i="8"/>
  <c r="Q8" i="8"/>
  <c r="N6" i="8"/>
  <c r="A3" i="8"/>
  <c r="C107" i="7"/>
  <c r="V104" i="7"/>
  <c r="L103" i="7"/>
  <c r="L102" i="7"/>
  <c r="C101" i="7"/>
  <c r="Q99" i="7"/>
  <c r="N98" i="7"/>
  <c r="J97" i="7"/>
  <c r="F95" i="7"/>
  <c r="F93" i="7"/>
  <c r="X91" i="7"/>
  <c r="D90" i="7"/>
  <c r="T88" i="7"/>
  <c r="N87" i="7"/>
  <c r="C86" i="7"/>
  <c r="S84" i="7"/>
  <c r="N83" i="7"/>
  <c r="A82" i="7"/>
  <c r="V80" i="7"/>
  <c r="S79" i="7"/>
  <c r="D78" i="7"/>
  <c r="J76" i="7"/>
  <c r="D75" i="7"/>
  <c r="N72" i="7"/>
  <c r="J71" i="7"/>
  <c r="D70" i="7"/>
  <c r="F68" i="7"/>
  <c r="A67" i="7"/>
  <c r="F65" i="7"/>
  <c r="O63" i="7"/>
  <c r="C62" i="7"/>
  <c r="E60" i="7"/>
  <c r="O58" i="7"/>
  <c r="J57" i="7"/>
  <c r="D56" i="7"/>
  <c r="D54" i="7"/>
  <c r="T52" i="7"/>
  <c r="B51" i="7"/>
  <c r="J49" i="7"/>
  <c r="Q47" i="7"/>
  <c r="L46" i="7"/>
  <c r="A45" i="7"/>
  <c r="S43" i="7"/>
  <c r="J42" i="7"/>
  <c r="J40" i="7"/>
  <c r="A39" i="7"/>
  <c r="N37" i="7"/>
  <c r="D36" i="7"/>
  <c r="Q34" i="7"/>
  <c r="N33" i="7"/>
  <c r="D32" i="7"/>
  <c r="J30" i="7"/>
  <c r="A29" i="7"/>
  <c r="H27" i="7"/>
  <c r="C26" i="7"/>
  <c r="F24" i="7"/>
  <c r="F22" i="7"/>
  <c r="D21" i="7"/>
  <c r="S19" i="7"/>
  <c r="J18" i="7"/>
  <c r="N16" i="7"/>
  <c r="H15" i="7"/>
  <c r="N13" i="7"/>
  <c r="J12" i="7"/>
  <c r="N10" i="7"/>
  <c r="D9" i="7"/>
  <c r="O7" i="7"/>
  <c r="O6" i="7"/>
  <c r="F5" i="7"/>
  <c r="C3" i="7"/>
  <c r="S122" i="6"/>
  <c r="T121" i="6"/>
  <c r="X120" i="6"/>
  <c r="T119" i="6"/>
  <c r="X118" i="6"/>
  <c r="N6" i="12"/>
  <c r="E106" i="11"/>
  <c r="T88" i="11"/>
  <c r="H77" i="11"/>
  <c r="O68" i="11"/>
  <c r="F62" i="11"/>
  <c r="B58" i="11"/>
  <c r="J50" i="11"/>
  <c r="D46" i="11"/>
  <c r="Q39" i="11"/>
  <c r="F34" i="11"/>
  <c r="B30" i="11"/>
  <c r="N23" i="11"/>
  <c r="F18" i="11"/>
  <c r="B14" i="11"/>
  <c r="N7" i="11"/>
  <c r="E144" i="10"/>
  <c r="C137" i="10"/>
  <c r="T133" i="10"/>
  <c r="X127" i="10"/>
  <c r="L121" i="10"/>
  <c r="E118" i="10"/>
  <c r="A115" i="10"/>
  <c r="V111" i="10"/>
  <c r="O108" i="10"/>
  <c r="O100" i="10"/>
  <c r="H95" i="10"/>
  <c r="C91" i="10"/>
  <c r="O84" i="10"/>
  <c r="H79" i="10"/>
  <c r="J73" i="10"/>
  <c r="D69" i="10"/>
  <c r="D64" i="10"/>
  <c r="Q57" i="10"/>
  <c r="F52" i="10"/>
  <c r="B48" i="10"/>
  <c r="N41" i="10"/>
  <c r="L33" i="10"/>
  <c r="E29" i="10"/>
  <c r="A25" i="10"/>
  <c r="L17" i="10"/>
  <c r="E13" i="10"/>
  <c r="A9" i="10"/>
  <c r="F98" i="9"/>
  <c r="B92" i="9"/>
  <c r="L88" i="9"/>
  <c r="X81" i="9"/>
  <c r="J76" i="9"/>
  <c r="D72" i="9"/>
  <c r="Q65" i="9"/>
  <c r="J60" i="9"/>
  <c r="D56" i="9"/>
  <c r="A51" i="9"/>
  <c r="H45" i="9"/>
  <c r="L39" i="9"/>
  <c r="E35" i="9"/>
  <c r="A31" i="9"/>
  <c r="L23" i="9"/>
  <c r="E19" i="9"/>
  <c r="A15" i="9"/>
  <c r="L7" i="9"/>
  <c r="F100" i="8"/>
  <c r="V95" i="8"/>
  <c r="T91" i="8"/>
  <c r="S86" i="8"/>
  <c r="B83" i="8"/>
  <c r="T79" i="8"/>
  <c r="T74" i="8"/>
  <c r="A71" i="8"/>
  <c r="F64" i="8"/>
  <c r="F60" i="8"/>
  <c r="Q56" i="8"/>
  <c r="O49" i="8"/>
  <c r="L43" i="8"/>
  <c r="C39" i="8"/>
  <c r="J32" i="8"/>
  <c r="A28" i="8"/>
  <c r="H20" i="8"/>
  <c r="A16" i="8"/>
  <c r="L9" i="8"/>
  <c r="H109" i="7"/>
  <c r="F104" i="7"/>
  <c r="D99" i="7"/>
  <c r="Q95" i="7"/>
  <c r="E92" i="7"/>
  <c r="B88" i="7"/>
  <c r="F83" i="7"/>
  <c r="V77" i="7"/>
  <c r="E74" i="7"/>
  <c r="N70" i="7"/>
  <c r="Q65" i="7"/>
  <c r="J60" i="7"/>
  <c r="S56" i="7"/>
  <c r="A53" i="7"/>
  <c r="H49" i="7"/>
  <c r="J45" i="7"/>
  <c r="O41" i="7"/>
  <c r="S37" i="7"/>
  <c r="B33" i="7"/>
  <c r="D29" i="7"/>
  <c r="H25" i="7"/>
  <c r="S21" i="7"/>
  <c r="E17" i="7"/>
  <c r="Q14" i="7"/>
  <c r="L13" i="7"/>
  <c r="E12" i="7"/>
  <c r="A11" i="7"/>
  <c r="S9" i="7"/>
  <c r="N8" i="7"/>
  <c r="B7" i="7"/>
  <c r="Q5" i="7"/>
  <c r="T123" i="6"/>
  <c r="F122" i="6"/>
  <c r="T120" i="6"/>
  <c r="Q119" i="6"/>
  <c r="J118" i="6"/>
  <c r="E117" i="6"/>
  <c r="J116" i="6"/>
  <c r="F115" i="6"/>
  <c r="E114" i="6"/>
  <c r="F113" i="6"/>
  <c r="J112" i="6"/>
  <c r="E111" i="6"/>
  <c r="H110" i="6"/>
  <c r="F109" i="6"/>
  <c r="E108" i="6"/>
  <c r="H107" i="6"/>
  <c r="J106" i="6"/>
  <c r="F105" i="6"/>
  <c r="H104" i="6"/>
  <c r="J103" i="6"/>
  <c r="E102" i="6"/>
  <c r="L100" i="6"/>
  <c r="L99" i="6"/>
  <c r="Q98" i="6"/>
  <c r="V97" i="6"/>
  <c r="T96" i="6"/>
  <c r="T95" i="6"/>
  <c r="T94" i="6"/>
  <c r="T93" i="6"/>
  <c r="A92" i="6"/>
  <c r="B90" i="6"/>
  <c r="A89" i="6"/>
  <c r="N87" i="6"/>
  <c r="B86" i="6"/>
  <c r="A85" i="6"/>
  <c r="N83" i="6"/>
  <c r="B82" i="6"/>
  <c r="A81" i="6"/>
  <c r="N79" i="6"/>
  <c r="B78" i="6"/>
  <c r="A77" i="6"/>
  <c r="Q74" i="6"/>
  <c r="J73" i="6"/>
  <c r="C72" i="6"/>
  <c r="L70" i="6"/>
  <c r="J69" i="6"/>
  <c r="C68" i="6"/>
  <c r="L66" i="6"/>
  <c r="Q64" i="6"/>
  <c r="O63" i="6"/>
  <c r="H62" i="6"/>
  <c r="Q60" i="6"/>
  <c r="O59" i="6"/>
  <c r="H58" i="6"/>
  <c r="Q56" i="6"/>
  <c r="O55" i="6"/>
  <c r="H54" i="6"/>
  <c r="D53" i="6"/>
  <c r="F51" i="6"/>
  <c r="E50" i="6"/>
  <c r="D49" i="6"/>
  <c r="F47" i="6"/>
  <c r="E46" i="6"/>
  <c r="D45" i="6"/>
  <c r="F43" i="6"/>
  <c r="E42" i="6"/>
  <c r="D41" i="6"/>
  <c r="F39" i="6"/>
  <c r="E38" i="6"/>
  <c r="D37" i="6"/>
  <c r="O35" i="6"/>
  <c r="H34" i="6"/>
  <c r="Q32" i="6"/>
  <c r="O31" i="6"/>
  <c r="H30" i="6"/>
  <c r="Q28" i="6"/>
  <c r="O27" i="6"/>
  <c r="H26" i="6"/>
  <c r="Q24" i="6"/>
  <c r="O23" i="6"/>
  <c r="H22" i="6"/>
  <c r="Q20" i="6"/>
  <c r="O19" i="6"/>
  <c r="H18" i="6"/>
  <c r="Q16" i="6"/>
  <c r="O15" i="6"/>
  <c r="H14" i="6"/>
  <c r="Q12" i="6"/>
  <c r="O11" i="6"/>
  <c r="H10" i="6"/>
  <c r="Q8" i="6"/>
  <c r="O7" i="6"/>
  <c r="V5" i="6"/>
  <c r="N3" i="6"/>
  <c r="D97" i="5"/>
  <c r="H95" i="5"/>
  <c r="J93" i="5"/>
  <c r="C92" i="5"/>
  <c r="V90" i="5"/>
  <c r="T89" i="5"/>
  <c r="H88" i="5"/>
  <c r="B87" i="5"/>
  <c r="E85" i="5"/>
  <c r="H84" i="5"/>
  <c r="L83" i="5"/>
  <c r="N82" i="5"/>
  <c r="Q81" i="5"/>
  <c r="T80" i="5"/>
  <c r="X79" i="5"/>
  <c r="A79" i="5"/>
  <c r="C78" i="5"/>
  <c r="E77" i="5"/>
  <c r="H76" i="5"/>
  <c r="H74" i="5"/>
  <c r="S72" i="5"/>
  <c r="T71" i="5"/>
  <c r="V70" i="5"/>
  <c r="A70" i="5"/>
  <c r="N68" i="5"/>
  <c r="O67" i="5"/>
  <c r="Q66" i="5"/>
  <c r="O65" i="5"/>
  <c r="Q64" i="5"/>
  <c r="F63" i="5"/>
  <c r="H62" i="5"/>
  <c r="J61" i="5"/>
  <c r="L60" i="5"/>
  <c r="B59" i="5"/>
  <c r="C58" i="5"/>
  <c r="D57" i="5"/>
  <c r="E56" i="5"/>
  <c r="S54" i="5"/>
  <c r="O52" i="5"/>
  <c r="B51" i="5"/>
  <c r="F49" i="5"/>
  <c r="D48" i="5"/>
  <c r="J46" i="5"/>
  <c r="O44" i="5"/>
  <c r="B43" i="5"/>
  <c r="F41" i="5"/>
  <c r="D40" i="5"/>
  <c r="J38" i="5"/>
  <c r="O36" i="5"/>
  <c r="J35" i="5"/>
  <c r="O33" i="5"/>
  <c r="B32" i="5"/>
  <c r="F30" i="5"/>
  <c r="D29" i="5"/>
  <c r="J27" i="5"/>
  <c r="O25" i="5"/>
  <c r="B24" i="5"/>
  <c r="F22" i="5"/>
  <c r="D21" i="5"/>
  <c r="J19" i="5"/>
  <c r="O17" i="5"/>
  <c r="B16" i="5"/>
  <c r="F14" i="5"/>
  <c r="D13" i="5"/>
  <c r="J11" i="5"/>
  <c r="O9" i="5"/>
  <c r="B8" i="5"/>
  <c r="A7" i="5"/>
  <c r="E5" i="5"/>
  <c r="D79" i="4"/>
  <c r="S77" i="4"/>
  <c r="F76" i="4"/>
  <c r="B75" i="4"/>
  <c r="S73" i="4"/>
  <c r="L72" i="4"/>
  <c r="J71" i="4"/>
  <c r="C70" i="4"/>
  <c r="X68" i="4"/>
  <c r="V67" i="4"/>
  <c r="H66" i="4"/>
  <c r="D65" i="4"/>
  <c r="S63" i="4"/>
  <c r="F62" i="4"/>
  <c r="C61" i="4"/>
  <c r="B60" i="4"/>
  <c r="A59" i="4"/>
  <c r="D58" i="4"/>
  <c r="C57" i="4"/>
  <c r="B56" i="4"/>
  <c r="A55" i="4"/>
  <c r="D54" i="4"/>
  <c r="F52" i="4"/>
  <c r="D51" i="4"/>
  <c r="Q49" i="4"/>
  <c r="F48" i="4"/>
  <c r="D47" i="4"/>
  <c r="Q45" i="4"/>
  <c r="F44" i="4"/>
  <c r="D43" i="4"/>
  <c r="Q41" i="4"/>
  <c r="F40" i="4"/>
  <c r="D39" i="4"/>
  <c r="Q37" i="4"/>
  <c r="F36" i="4"/>
  <c r="D35" i="4"/>
  <c r="O33" i="4"/>
  <c r="E32" i="4"/>
  <c r="C31" i="4"/>
  <c r="O29" i="4"/>
  <c r="E28" i="4"/>
  <c r="C27" i="4"/>
  <c r="O25" i="4"/>
  <c r="E24" i="4"/>
  <c r="C23" i="4"/>
  <c r="O21" i="4"/>
  <c r="E20" i="4"/>
  <c r="C19" i="4"/>
  <c r="O17" i="4"/>
  <c r="E16" i="4"/>
  <c r="C15" i="4"/>
  <c r="O13" i="4"/>
  <c r="E12" i="4"/>
  <c r="C11" i="4"/>
  <c r="O9" i="4"/>
  <c r="E8" i="4"/>
  <c r="C7" i="4"/>
  <c r="V5" i="4"/>
  <c r="E4" i="4"/>
  <c r="Q60" i="3"/>
  <c r="N59" i="3"/>
  <c r="H58" i="3"/>
  <c r="S56" i="3"/>
  <c r="F55" i="3"/>
  <c r="L54" i="3"/>
  <c r="B53" i="3"/>
  <c r="A52" i="3"/>
  <c r="E51" i="3"/>
  <c r="L50" i="3"/>
  <c r="Q49" i="3"/>
  <c r="V48" i="3"/>
  <c r="A48" i="3"/>
  <c r="A47" i="3"/>
  <c r="E46" i="3"/>
  <c r="L45" i="3"/>
  <c r="Q44" i="3"/>
  <c r="V43" i="3"/>
  <c r="A43" i="3"/>
  <c r="E42" i="3"/>
  <c r="L41" i="3"/>
  <c r="Q40" i="3"/>
  <c r="V39" i="3"/>
  <c r="A39" i="3"/>
  <c r="E38" i="3"/>
  <c r="L37" i="3"/>
  <c r="Q36" i="3"/>
  <c r="N35" i="3"/>
  <c r="F34" i="3"/>
  <c r="V32" i="3"/>
  <c r="S31" i="3"/>
  <c r="H30" i="3"/>
  <c r="Q28" i="3"/>
  <c r="O27" i="3"/>
  <c r="H26" i="3"/>
  <c r="Q24" i="3"/>
  <c r="O23" i="3"/>
  <c r="H22" i="3"/>
  <c r="Q20" i="3"/>
  <c r="O19" i="3"/>
  <c r="H18" i="3"/>
  <c r="Q16" i="3"/>
  <c r="O15" i="3"/>
  <c r="H14" i="3"/>
  <c r="O12" i="3"/>
  <c r="B11" i="3"/>
  <c r="A10" i="3"/>
  <c r="N8" i="3"/>
  <c r="J7" i="3"/>
  <c r="H6" i="3"/>
  <c r="A5" i="3"/>
  <c r="J69" i="2"/>
  <c r="B68" i="2"/>
  <c r="S65" i="2"/>
  <c r="S64" i="2"/>
  <c r="S63" i="2"/>
  <c r="S62" i="2"/>
  <c r="S61" i="2"/>
  <c r="A60" i="2"/>
  <c r="E59" i="2"/>
  <c r="D58" i="2"/>
  <c r="B57" i="2"/>
  <c r="E56" i="2"/>
  <c r="J55" i="2"/>
  <c r="H54" i="2"/>
  <c r="J53" i="2"/>
  <c r="H52" i="2"/>
  <c r="B51" i="2"/>
  <c r="E50" i="2"/>
  <c r="J49" i="2"/>
  <c r="H119" i="11"/>
  <c r="J105" i="11"/>
  <c r="D91" i="11"/>
  <c r="B77" i="11"/>
  <c r="N69" i="11"/>
  <c r="D64" i="11"/>
  <c r="Q57" i="11"/>
  <c r="F52" i="11"/>
  <c r="B48" i="11"/>
  <c r="N41" i="11"/>
  <c r="F36" i="11"/>
  <c r="Q29" i="11"/>
  <c r="J24" i="11"/>
  <c r="D20" i="11"/>
  <c r="Q13" i="11"/>
  <c r="J8" i="11"/>
  <c r="N138" i="10"/>
  <c r="J134" i="10"/>
  <c r="A131" i="10"/>
  <c r="T125" i="10"/>
  <c r="E121" i="10"/>
  <c r="A118" i="10"/>
  <c r="V114" i="10"/>
  <c r="Q111" i="10"/>
  <c r="O107" i="10"/>
  <c r="L101" i="10"/>
  <c r="E97" i="10"/>
  <c r="A93" i="10"/>
  <c r="L85" i="10"/>
  <c r="E81" i="10"/>
  <c r="A76" i="10"/>
  <c r="A70" i="10"/>
  <c r="Q61" i="10"/>
  <c r="J56" i="10"/>
  <c r="B52" i="10"/>
  <c r="N45" i="10"/>
  <c r="Q39" i="10"/>
  <c r="F34" i="10"/>
  <c r="B30" i="10"/>
  <c r="N23" i="10"/>
  <c r="F18" i="10"/>
  <c r="B14" i="10"/>
  <c r="N7" i="10"/>
  <c r="H100" i="9"/>
  <c r="L96" i="9"/>
  <c r="X90" i="9"/>
  <c r="F87" i="9"/>
  <c r="X80" i="9"/>
  <c r="D76" i="9"/>
  <c r="Q69" i="9"/>
  <c r="J64" i="9"/>
  <c r="D60" i="9"/>
  <c r="Q54" i="9"/>
  <c r="L47" i="9"/>
  <c r="J42" i="9"/>
  <c r="D38" i="9"/>
  <c r="Q31" i="9"/>
  <c r="J26" i="9"/>
  <c r="D22" i="9"/>
  <c r="Q15" i="9"/>
  <c r="J10" i="9"/>
  <c r="D6" i="9"/>
  <c r="B99" i="8"/>
  <c r="Q95" i="8"/>
  <c r="O91" i="8"/>
  <c r="H86" i="8"/>
  <c r="B82" i="8"/>
  <c r="S78" i="8"/>
  <c r="J75" i="8"/>
  <c r="O70" i="8"/>
  <c r="D65" i="8"/>
  <c r="D58" i="8"/>
  <c r="O54" i="8"/>
  <c r="N48" i="8"/>
  <c r="E43" i="8"/>
  <c r="N36" i="8"/>
  <c r="D32" i="8"/>
  <c r="N26" i="8"/>
  <c r="E21" i="8"/>
  <c r="N15" i="8"/>
  <c r="F10" i="8"/>
  <c r="F6" i="8"/>
  <c r="X106" i="7"/>
  <c r="O100" i="7"/>
  <c r="E96" i="7"/>
  <c r="V92" i="7"/>
  <c r="N89" i="7"/>
  <c r="F86" i="7"/>
  <c r="F81" i="7"/>
  <c r="Q77" i="7"/>
  <c r="V73" i="7"/>
  <c r="N69" i="7"/>
  <c r="L65" i="7"/>
  <c r="E61" i="7"/>
  <c r="N57" i="7"/>
  <c r="S53" i="7"/>
  <c r="C50" i="7"/>
  <c r="D46" i="7"/>
  <c r="H42" i="7"/>
  <c r="L38" i="7"/>
  <c r="T32" i="7"/>
  <c r="A28" i="7"/>
  <c r="E24" i="7"/>
  <c r="O20" i="7"/>
  <c r="E16" i="7"/>
  <c r="X14" i="7"/>
  <c r="Q13" i="7"/>
  <c r="L12" i="7"/>
  <c r="E11" i="7"/>
  <c r="H9" i="7"/>
  <c r="D8" i="7"/>
  <c r="A7" i="7"/>
  <c r="O5" i="7"/>
  <c r="S123" i="6"/>
  <c r="D122" i="6"/>
  <c r="S120" i="6"/>
  <c r="N119" i="6"/>
  <c r="B118" i="6"/>
  <c r="D117" i="6"/>
  <c r="C116" i="6"/>
  <c r="A115" i="6"/>
  <c r="D114" i="6"/>
  <c r="A113" i="6"/>
  <c r="C112" i="6"/>
  <c r="D111" i="6"/>
  <c r="B110" i="6"/>
  <c r="A109" i="6"/>
  <c r="D108" i="6"/>
  <c r="B107" i="6"/>
  <c r="C106" i="6"/>
  <c r="A105" i="6"/>
  <c r="B104" i="6"/>
  <c r="C103" i="6"/>
  <c r="D102" i="6"/>
  <c r="J100" i="6"/>
  <c r="D99" i="6"/>
  <c r="D98" i="6"/>
  <c r="C97" i="6"/>
  <c r="C96" i="6"/>
  <c r="C95" i="6"/>
  <c r="C94" i="6"/>
  <c r="C93" i="6"/>
  <c r="E90" i="6"/>
  <c r="D89" i="6"/>
  <c r="F87" i="6"/>
  <c r="E86" i="6"/>
  <c r="D85" i="6"/>
  <c r="F83" i="6"/>
  <c r="E82" i="6"/>
  <c r="D81" i="6"/>
  <c r="F79" i="6"/>
  <c r="E78" i="6"/>
  <c r="D77" i="6"/>
  <c r="O74" i="6"/>
  <c r="C73" i="6"/>
  <c r="L71" i="6"/>
  <c r="J70" i="6"/>
  <c r="C69" i="6"/>
  <c r="L67" i="6"/>
  <c r="J66" i="6"/>
  <c r="E65" i="6"/>
  <c r="D64" i="6"/>
  <c r="F62" i="6"/>
  <c r="E61" i="6"/>
  <c r="D60" i="6"/>
  <c r="F58" i="6"/>
  <c r="E57" i="6"/>
  <c r="D56" i="6"/>
  <c r="F54" i="6"/>
  <c r="F52" i="6"/>
  <c r="E51" i="6"/>
  <c r="D50" i="6"/>
  <c r="F48" i="6"/>
  <c r="E47" i="6"/>
  <c r="D46" i="6"/>
  <c r="F44" i="6"/>
  <c r="E43" i="6"/>
  <c r="D42" i="6"/>
  <c r="F40" i="6"/>
  <c r="E39" i="6"/>
  <c r="D38" i="6"/>
  <c r="F36" i="6"/>
  <c r="F34" i="6"/>
  <c r="E33" i="6"/>
  <c r="D32" i="6"/>
  <c r="F30" i="6"/>
  <c r="E29" i="6"/>
  <c r="D28" i="6"/>
  <c r="F26" i="6"/>
  <c r="E25" i="6"/>
  <c r="D24" i="6"/>
  <c r="F22" i="6"/>
  <c r="E21" i="6"/>
  <c r="D20" i="6"/>
  <c r="F18" i="6"/>
  <c r="E17" i="6"/>
  <c r="D16" i="6"/>
  <c r="F14" i="6"/>
  <c r="E13" i="6"/>
  <c r="D12" i="6"/>
  <c r="F10" i="6"/>
  <c r="E9" i="6"/>
  <c r="D8" i="6"/>
  <c r="T5" i="6"/>
  <c r="E4" i="6"/>
  <c r="H97" i="5"/>
  <c r="B95" i="5"/>
  <c r="X92" i="5"/>
  <c r="L91" i="5"/>
  <c r="J90" i="5"/>
  <c r="C89" i="5"/>
  <c r="V87" i="5"/>
  <c r="V85" i="5"/>
  <c r="S84" i="5"/>
  <c r="O83" i="5"/>
  <c r="F82" i="5"/>
  <c r="J81" i="5"/>
  <c r="B80" i="5"/>
  <c r="D79" i="5"/>
  <c r="V77" i="5"/>
  <c r="S76" i="5"/>
  <c r="V73" i="5"/>
  <c r="A73" i="5"/>
  <c r="N71" i="5"/>
  <c r="O70" i="5"/>
  <c r="Q69" i="5"/>
  <c r="F68" i="5"/>
  <c r="H67" i="5"/>
  <c r="J66" i="5"/>
  <c r="H65" i="5"/>
  <c r="J64" i="5"/>
  <c r="L63" i="5"/>
  <c r="B62" i="5"/>
  <c r="C61" i="5"/>
  <c r="D60" i="5"/>
  <c r="E59" i="5"/>
  <c r="S57" i="5"/>
  <c r="T56" i="5"/>
  <c r="V55" i="5"/>
  <c r="A55" i="5"/>
  <c r="H52" i="5"/>
  <c r="E51" i="5"/>
  <c r="C50" i="5"/>
  <c r="A49" i="5"/>
  <c r="Q47" i="5"/>
  <c r="N46" i="5"/>
  <c r="L45" i="5"/>
  <c r="H44" i="5"/>
  <c r="E43" i="5"/>
  <c r="C42" i="5"/>
  <c r="A41" i="5"/>
  <c r="Q39" i="5"/>
  <c r="N38" i="5"/>
  <c r="L37" i="5"/>
  <c r="H36" i="5"/>
  <c r="C35" i="5"/>
  <c r="A34" i="5"/>
  <c r="Q32" i="5"/>
  <c r="N31" i="5"/>
  <c r="L30" i="5"/>
  <c r="H29" i="5"/>
  <c r="E28" i="5"/>
  <c r="C27" i="5"/>
  <c r="A26" i="5"/>
  <c r="Q24" i="5"/>
  <c r="N23" i="5"/>
  <c r="L22" i="5"/>
  <c r="H21" i="5"/>
  <c r="E20" i="5"/>
  <c r="C19" i="5"/>
  <c r="A18" i="5"/>
  <c r="Q16" i="5"/>
  <c r="N15" i="5"/>
  <c r="L14" i="5"/>
  <c r="H13" i="5"/>
  <c r="E12" i="5"/>
  <c r="C11" i="5"/>
  <c r="A10" i="5"/>
  <c r="Q8" i="5"/>
  <c r="O7" i="5"/>
  <c r="T5" i="5"/>
  <c r="E4" i="5"/>
  <c r="C79" i="4"/>
  <c r="X77" i="4"/>
  <c r="V76" i="4"/>
  <c r="S75" i="4"/>
  <c r="V74" i="4"/>
  <c r="X73" i="4"/>
  <c r="V72" i="4"/>
  <c r="H71" i="4"/>
  <c r="B70" i="4"/>
  <c r="A69" i="4"/>
  <c r="T67" i="4"/>
  <c r="F66" i="4"/>
  <c r="S64" i="4"/>
  <c r="L63" i="4"/>
  <c r="Q62" i="4"/>
  <c r="N61" i="4"/>
  <c r="L60" i="4"/>
  <c r="Q59" i="4"/>
  <c r="O58" i="4"/>
  <c r="N57" i="4"/>
  <c r="L56" i="4"/>
  <c r="Q55" i="4"/>
  <c r="O54" i="4"/>
  <c r="Q53" i="4"/>
  <c r="E52" i="4"/>
  <c r="C51" i="4"/>
  <c r="O49" i="4"/>
  <c r="E48" i="4"/>
  <c r="C47" i="4"/>
  <c r="O45" i="4"/>
  <c r="E44" i="4"/>
  <c r="C43" i="4"/>
  <c r="O41" i="4"/>
  <c r="E40" i="4"/>
  <c r="C39" i="4"/>
  <c r="O37" i="4"/>
  <c r="E36" i="4"/>
  <c r="A35" i="4"/>
  <c r="N33" i="4"/>
  <c r="J32" i="4"/>
  <c r="B31" i="4"/>
  <c r="N29" i="4"/>
  <c r="J28" i="4"/>
  <c r="B27" i="4"/>
  <c r="N25" i="4"/>
  <c r="J24" i="4"/>
  <c r="B23" i="4"/>
  <c r="N21" i="4"/>
  <c r="J20" i="4"/>
  <c r="B19" i="4"/>
  <c r="N17" i="4"/>
  <c r="J16" i="4"/>
  <c r="B15" i="4"/>
  <c r="N13" i="4"/>
  <c r="J12" i="4"/>
  <c r="B11" i="4"/>
  <c r="N9" i="4"/>
  <c r="J8" i="4"/>
  <c r="B7" i="4"/>
  <c r="T5" i="4"/>
  <c r="D3" i="4"/>
  <c r="C60" i="3"/>
  <c r="X58" i="3"/>
  <c r="Q57" i="3"/>
  <c r="F56" i="3"/>
  <c r="E55" i="3"/>
  <c r="J54" i="3"/>
  <c r="L53" i="3"/>
  <c r="Q52" i="3"/>
  <c r="O51" i="3"/>
  <c r="O50" i="3"/>
  <c r="O49" i="3"/>
  <c r="O48" i="3"/>
  <c r="N47" i="3"/>
  <c r="J46" i="3"/>
  <c r="J45" i="3"/>
  <c r="J44" i="3"/>
  <c r="J43" i="3"/>
  <c r="J42" i="3"/>
  <c r="J41" i="3"/>
  <c r="J40" i="3"/>
  <c r="J39" i="3"/>
  <c r="J38" i="3"/>
  <c r="J37" i="3"/>
  <c r="J36" i="3"/>
  <c r="B35" i="3"/>
  <c r="E34" i="3"/>
  <c r="E33" i="3"/>
  <c r="H32" i="3"/>
  <c r="F30" i="3"/>
  <c r="E29" i="3"/>
  <c r="D28" i="3"/>
  <c r="F26" i="3"/>
  <c r="E25" i="3"/>
  <c r="D24" i="3"/>
  <c r="F22" i="3"/>
  <c r="E21" i="3"/>
  <c r="D20" i="3"/>
  <c r="F18" i="3"/>
  <c r="E17" i="3"/>
  <c r="D16" i="3"/>
  <c r="F14" i="3"/>
  <c r="E13" i="3"/>
  <c r="B12" i="3"/>
  <c r="A11" i="3"/>
  <c r="N9" i="3"/>
  <c r="B8" i="3"/>
  <c r="X6" i="3"/>
  <c r="S4" i="3"/>
  <c r="S69" i="2"/>
  <c r="V68" i="2"/>
  <c r="X66" i="2"/>
  <c r="B65" i="2"/>
  <c r="X63" i="2"/>
  <c r="F62" i="2"/>
  <c r="B61" i="2"/>
  <c r="S58" i="2"/>
  <c r="X57" i="2"/>
  <c r="T56" i="2"/>
  <c r="S55" i="2"/>
  <c r="X54" i="2"/>
  <c r="H53" i="2"/>
  <c r="B52" i="2"/>
  <c r="E51" i="2"/>
  <c r="J50" i="2"/>
  <c r="H49" i="2"/>
  <c r="B48" i="2"/>
  <c r="E47" i="2"/>
  <c r="J46" i="2"/>
  <c r="X43" i="2"/>
  <c r="F42" i="2"/>
  <c r="B41" i="2"/>
  <c r="X39" i="2"/>
  <c r="F38" i="2"/>
  <c r="B37" i="2"/>
  <c r="O35" i="2"/>
  <c r="O34" i="2"/>
  <c r="O33" i="2"/>
  <c r="O32" i="2"/>
  <c r="O31" i="2"/>
  <c r="O30" i="2"/>
  <c r="X114" i="11"/>
  <c r="O93" i="11"/>
  <c r="L79" i="11"/>
  <c r="D72" i="11"/>
  <c r="C67" i="11"/>
  <c r="N59" i="11"/>
  <c r="F54" i="11"/>
  <c r="Q47" i="11"/>
  <c r="J42" i="11"/>
  <c r="D38" i="11"/>
  <c r="N31" i="11"/>
  <c r="F26" i="11"/>
  <c r="B22" i="11"/>
  <c r="N15" i="11"/>
  <c r="F10" i="11"/>
  <c r="H5" i="11"/>
  <c r="T142" i="10"/>
  <c r="N137" i="10"/>
  <c r="J133" i="10"/>
  <c r="X129" i="10"/>
  <c r="J126" i="10"/>
  <c r="E120" i="10"/>
  <c r="A117" i="10"/>
  <c r="V113" i="10"/>
  <c r="Q110" i="10"/>
  <c r="L105" i="10"/>
  <c r="E101" i="10"/>
  <c r="A97" i="10"/>
  <c r="L89" i="10"/>
  <c r="E85" i="10"/>
  <c r="A81" i="10"/>
  <c r="O69" i="10"/>
  <c r="N63" i="10"/>
  <c r="F58" i="10"/>
  <c r="Q51" i="10"/>
  <c r="J46" i="10"/>
  <c r="D42" i="10"/>
  <c r="H37" i="10"/>
  <c r="A33" i="10"/>
  <c r="L25" i="10"/>
  <c r="E21" i="10"/>
  <c r="A17" i="10"/>
  <c r="L9" i="10"/>
  <c r="X98" i="9"/>
  <c r="B95" i="9"/>
  <c r="X87" i="9"/>
  <c r="B83" i="9"/>
  <c r="F78" i="9"/>
  <c r="N71" i="9"/>
  <c r="F66" i="9"/>
  <c r="B62" i="9"/>
  <c r="N55" i="9"/>
  <c r="D50" i="9"/>
  <c r="C41" i="9"/>
  <c r="O34" i="9"/>
  <c r="H29" i="9"/>
  <c r="C25" i="9"/>
  <c r="O18" i="9"/>
  <c r="H13" i="9"/>
  <c r="C9" i="9"/>
  <c r="S99" i="8"/>
  <c r="J96" i="8"/>
  <c r="D92" i="8"/>
  <c r="D88" i="8"/>
  <c r="H84" i="8"/>
  <c r="H79" i="8"/>
  <c r="J74" i="8"/>
  <c r="H69" i="8"/>
  <c r="O63" i="8"/>
  <c r="T58" i="8"/>
  <c r="J54" i="8"/>
  <c r="F50" i="8"/>
  <c r="E46" i="8"/>
  <c r="Q41" i="8"/>
  <c r="H36" i="8"/>
  <c r="N30" i="8"/>
  <c r="F25" i="8"/>
  <c r="A21" i="8"/>
  <c r="L16" i="8"/>
  <c r="D12" i="8"/>
  <c r="X6" i="8"/>
  <c r="O105" i="7"/>
  <c r="F101" i="7"/>
  <c r="V97" i="7"/>
  <c r="L93" i="7"/>
  <c r="C90" i="7"/>
  <c r="F85" i="7"/>
  <c r="E79" i="7"/>
  <c r="N75" i="7"/>
  <c r="C70" i="7"/>
  <c r="J66" i="7"/>
  <c r="B62" i="7"/>
  <c r="H56" i="7"/>
  <c r="N52" i="7"/>
  <c r="V48" i="7"/>
  <c r="C41" i="7"/>
  <c r="F37" i="7"/>
  <c r="N32" i="7"/>
  <c r="Q28" i="7"/>
  <c r="V24" i="7"/>
  <c r="H21" i="7"/>
  <c r="S16" i="7"/>
  <c r="B15" i="7"/>
  <c r="O13" i="7"/>
  <c r="B12" i="7"/>
  <c r="V10" i="7"/>
  <c r="A9" i="7"/>
  <c r="S7" i="7"/>
  <c r="T5" i="7"/>
  <c r="O123" i="6"/>
  <c r="C122" i="6"/>
  <c r="Q120" i="6"/>
  <c r="L119" i="6"/>
  <c r="F118" i="6"/>
  <c r="H117" i="6"/>
  <c r="F116" i="6"/>
  <c r="J115" i="6"/>
  <c r="H114" i="6"/>
  <c r="J113" i="6"/>
  <c r="F112" i="6"/>
  <c r="H111" i="6"/>
  <c r="E110" i="6"/>
  <c r="J109" i="6"/>
  <c r="H108" i="6"/>
  <c r="E107" i="6"/>
  <c r="F106" i="6"/>
  <c r="J105" i="6"/>
  <c r="E104" i="6"/>
  <c r="F103" i="6"/>
  <c r="H102" i="6"/>
  <c r="H100" i="6"/>
  <c r="C99" i="6"/>
  <c r="C98" i="6"/>
  <c r="B97" i="6"/>
  <c r="X95" i="6"/>
  <c r="F94" i="6"/>
  <c r="B93" i="6"/>
  <c r="O90" i="6"/>
  <c r="H89" i="6"/>
  <c r="Q87" i="6"/>
  <c r="O86" i="6"/>
  <c r="H85" i="6"/>
  <c r="Q83" i="6"/>
  <c r="O82" i="6"/>
  <c r="H81" i="6"/>
  <c r="Q79" i="6"/>
  <c r="O78" i="6"/>
  <c r="H77" i="6"/>
  <c r="N74" i="6"/>
  <c r="Q72" i="6"/>
  <c r="O71" i="6"/>
  <c r="H70" i="6"/>
  <c r="Q68" i="6"/>
  <c r="O67" i="6"/>
  <c r="H66" i="6"/>
  <c r="D65" i="6"/>
  <c r="F63" i="6"/>
  <c r="E62" i="6"/>
  <c r="D61" i="6"/>
  <c r="F59" i="6"/>
  <c r="E58" i="6"/>
  <c r="D57" i="6"/>
  <c r="F55" i="6"/>
  <c r="E54" i="6"/>
  <c r="L52" i="6"/>
  <c r="J51" i="6"/>
  <c r="C50" i="6"/>
  <c r="L48" i="6"/>
  <c r="J47" i="6"/>
  <c r="C46" i="6"/>
  <c r="L44" i="6"/>
  <c r="J43" i="6"/>
  <c r="C42" i="6"/>
  <c r="L40" i="6"/>
  <c r="J39" i="6"/>
  <c r="C38" i="6"/>
  <c r="L36" i="6"/>
  <c r="Q34" i="6"/>
  <c r="O33" i="6"/>
  <c r="H32" i="6"/>
  <c r="Q30" i="6"/>
  <c r="O29" i="6"/>
  <c r="H28" i="6"/>
  <c r="Q26" i="6"/>
  <c r="O25" i="6"/>
  <c r="H24" i="6"/>
  <c r="Q22" i="6"/>
  <c r="O21" i="6"/>
  <c r="H20" i="6"/>
  <c r="Q18" i="6"/>
  <c r="O17" i="6"/>
  <c r="H16" i="6"/>
  <c r="Q14" i="6"/>
  <c r="O13" i="6"/>
  <c r="H12" i="6"/>
  <c r="Q10" i="6"/>
  <c r="O9" i="6"/>
  <c r="H8" i="6"/>
  <c r="S5" i="6"/>
  <c r="D3" i="6"/>
  <c r="V95" i="5"/>
  <c r="A95" i="5"/>
  <c r="V92" i="5"/>
  <c r="T91" i="5"/>
  <c r="H90" i="5"/>
  <c r="B89" i="5"/>
  <c r="A88" i="5"/>
  <c r="A86" i="5"/>
  <c r="C85" i="5"/>
  <c r="E84" i="5"/>
  <c r="H83" i="5"/>
  <c r="L82" i="5"/>
  <c r="N81" i="5"/>
  <c r="Q80" i="5"/>
  <c r="T79" i="5"/>
  <c r="X78" i="5"/>
  <c r="A78" i="5"/>
  <c r="C77" i="5"/>
  <c r="E76" i="5"/>
  <c r="E74" i="5"/>
  <c r="D73" i="5"/>
  <c r="E72" i="5"/>
  <c r="S70" i="5"/>
  <c r="T69" i="5"/>
  <c r="V68" i="5"/>
  <c r="A68" i="5"/>
  <c r="N66" i="5"/>
  <c r="B65" i="5"/>
  <c r="C64" i="5"/>
  <c r="D63" i="5"/>
  <c r="E62" i="5"/>
  <c r="S60" i="5"/>
  <c r="T59" i="5"/>
  <c r="V58" i="5"/>
  <c r="A58" i="5"/>
  <c r="N56" i="5"/>
  <c r="O55" i="5"/>
  <c r="Q54" i="5"/>
  <c r="B52" i="5"/>
  <c r="F50" i="5"/>
  <c r="D49" i="5"/>
  <c r="J47" i="5"/>
  <c r="O45" i="5"/>
  <c r="B44" i="5"/>
  <c r="F42" i="5"/>
  <c r="D41" i="5"/>
  <c r="J39" i="5"/>
  <c r="O37" i="5"/>
  <c r="F35" i="5"/>
  <c r="D34" i="5"/>
  <c r="J32" i="5"/>
  <c r="O30" i="5"/>
  <c r="B29" i="5"/>
  <c r="F27" i="5"/>
  <c r="D26" i="5"/>
  <c r="J24" i="5"/>
  <c r="O22" i="5"/>
  <c r="B21" i="5"/>
  <c r="F19" i="5"/>
  <c r="D18" i="5"/>
  <c r="J16" i="5"/>
  <c r="O14" i="5"/>
  <c r="B13" i="5"/>
  <c r="F11" i="5"/>
  <c r="D10" i="5"/>
  <c r="J8" i="5"/>
  <c r="C7" i="5"/>
  <c r="A5" i="5"/>
  <c r="X78" i="4"/>
  <c r="V77" i="4"/>
  <c r="O76" i="4"/>
  <c r="L75" i="4"/>
  <c r="H74" i="4"/>
  <c r="D73" i="4"/>
  <c r="S71" i="4"/>
  <c r="L70" i="4"/>
  <c r="J69" i="4"/>
  <c r="C68" i="4"/>
  <c r="X66" i="4"/>
  <c r="F65" i="4"/>
  <c r="E64" i="4"/>
  <c r="D63" i="4"/>
  <c r="D62" i="4"/>
  <c r="A61" i="4"/>
  <c r="D60" i="4"/>
  <c r="C59" i="4"/>
  <c r="B58" i="4"/>
  <c r="A57" i="4"/>
  <c r="D56" i="4"/>
  <c r="C55" i="4"/>
  <c r="T53" i="4"/>
  <c r="Q52" i="4"/>
  <c r="F51" i="4"/>
  <c r="D50" i="4"/>
  <c r="Q48" i="4"/>
  <c r="F47" i="4"/>
  <c r="D46" i="4"/>
  <c r="Q44" i="4"/>
  <c r="F43" i="4"/>
  <c r="D42" i="4"/>
  <c r="Q40" i="4"/>
  <c r="F39" i="4"/>
  <c r="D38" i="4"/>
  <c r="Q36" i="4"/>
  <c r="F35" i="4"/>
  <c r="E33" i="4"/>
  <c r="C32" i="4"/>
  <c r="O30" i="4"/>
  <c r="E29" i="4"/>
  <c r="C28" i="4"/>
  <c r="O26" i="4"/>
  <c r="E25" i="4"/>
  <c r="C24" i="4"/>
  <c r="O22" i="4"/>
  <c r="E21" i="4"/>
  <c r="C20" i="4"/>
  <c r="O18" i="4"/>
  <c r="E17" i="4"/>
  <c r="C16" i="4"/>
  <c r="O14" i="4"/>
  <c r="E13" i="4"/>
  <c r="C12" i="4"/>
  <c r="O10" i="4"/>
  <c r="E9" i="4"/>
  <c r="C8" i="4"/>
  <c r="N6" i="4"/>
  <c r="H5" i="4"/>
  <c r="C3" i="4"/>
  <c r="B60" i="3"/>
  <c r="A59" i="3"/>
  <c r="E58" i="3"/>
  <c r="J57" i="3"/>
  <c r="E56" i="3"/>
  <c r="D55" i="3"/>
  <c r="T53" i="3"/>
  <c r="T52" i="3"/>
  <c r="S51" i="3"/>
  <c r="S50" i="3"/>
  <c r="S49" i="3"/>
  <c r="S48" i="3"/>
  <c r="X47" i="3"/>
  <c r="H46" i="3"/>
  <c r="H45" i="3"/>
  <c r="H44" i="3"/>
  <c r="H43" i="3"/>
  <c r="H42" i="3"/>
  <c r="H41" i="3"/>
  <c r="H40" i="3"/>
  <c r="H39" i="3"/>
  <c r="H38" i="3"/>
  <c r="H37" i="3"/>
  <c r="H36" i="3"/>
  <c r="L35" i="3"/>
  <c r="O34" i="3"/>
  <c r="J33" i="3"/>
  <c r="B32" i="3"/>
  <c r="E31" i="3"/>
  <c r="A30" i="3"/>
  <c r="N28" i="3"/>
  <c r="B27" i="3"/>
  <c r="A26" i="3"/>
  <c r="N24" i="3"/>
  <c r="B23" i="3"/>
  <c r="A22" i="3"/>
  <c r="N20" i="3"/>
  <c r="B19" i="3"/>
  <c r="A18" i="3"/>
  <c r="N16" i="3"/>
  <c r="B15" i="3"/>
  <c r="A14" i="3"/>
  <c r="L12" i="3"/>
  <c r="J11" i="3"/>
  <c r="C10" i="3"/>
  <c r="L8" i="3"/>
  <c r="F7" i="3"/>
  <c r="L6" i="3"/>
  <c r="L5" i="3"/>
  <c r="X69" i="2"/>
  <c r="O68" i="2"/>
  <c r="V66" i="2"/>
  <c r="V65" i="2"/>
  <c r="A65" i="2"/>
  <c r="E64" i="2"/>
  <c r="L63" i="2"/>
  <c r="Q62" i="2"/>
  <c r="V61" i="2"/>
  <c r="A61" i="2"/>
  <c r="X58" i="2"/>
  <c r="Q57" i="2"/>
  <c r="N56" i="2"/>
  <c r="F55" i="2"/>
  <c r="L54" i="2"/>
  <c r="B53" i="2"/>
  <c r="E52" i="2"/>
  <c r="J51" i="2"/>
  <c r="H50" i="2"/>
  <c r="B49" i="2"/>
  <c r="E48" i="2"/>
  <c r="J47" i="2"/>
  <c r="H46" i="2"/>
  <c r="Q44" i="2"/>
  <c r="Q43" i="2"/>
  <c r="V42" i="2"/>
  <c r="A42" i="2"/>
  <c r="E41" i="2"/>
  <c r="L40" i="2"/>
  <c r="Q39" i="2"/>
  <c r="V38" i="2"/>
  <c r="A38" i="2"/>
  <c r="E37" i="2"/>
  <c r="L36" i="2"/>
  <c r="H35" i="2"/>
  <c r="H34" i="2"/>
  <c r="H33" i="2"/>
  <c r="H32" i="2"/>
  <c r="H31" i="2"/>
  <c r="H30" i="2"/>
  <c r="H29" i="2"/>
  <c r="H28" i="2"/>
  <c r="H27" i="2"/>
  <c r="Q25" i="2"/>
  <c r="Q24" i="2"/>
  <c r="V23" i="2"/>
  <c r="A23" i="2"/>
  <c r="E22" i="2"/>
  <c r="L21" i="2"/>
  <c r="Q20" i="2"/>
  <c r="V19" i="2"/>
  <c r="A19" i="2"/>
  <c r="E18" i="2"/>
  <c r="L17" i="2"/>
  <c r="Q16" i="2"/>
  <c r="Q110" i="11"/>
  <c r="O64" i="11"/>
  <c r="L47" i="11"/>
  <c r="B26" i="11"/>
  <c r="A9" i="11"/>
  <c r="H123" i="10"/>
  <c r="O109" i="10"/>
  <c r="J92" i="10"/>
  <c r="J69" i="10"/>
  <c r="E47" i="10"/>
  <c r="L29" i="10"/>
  <c r="J12" i="10"/>
  <c r="X86" i="9"/>
  <c r="N59" i="9"/>
  <c r="L35" i="9"/>
  <c r="J18" i="9"/>
  <c r="J90" i="8"/>
  <c r="B68" i="8"/>
  <c r="C48" i="8"/>
  <c r="C26" i="8"/>
  <c r="O8" i="8"/>
  <c r="V95" i="7"/>
  <c r="A79" i="7"/>
  <c r="N59" i="7"/>
  <c r="Q44" i="7"/>
  <c r="J29" i="7"/>
  <c r="O15" i="7"/>
  <c r="S10" i="7"/>
  <c r="V123" i="6"/>
  <c r="S117" i="6"/>
  <c r="F114" i="6"/>
  <c r="Q110" i="6"/>
  <c r="E106" i="6"/>
  <c r="N102" i="6"/>
  <c r="L96" i="6"/>
  <c r="E93" i="6"/>
  <c r="L84" i="6"/>
  <c r="E80" i="6"/>
  <c r="L73" i="6"/>
  <c r="E69" i="6"/>
  <c r="O62" i="6"/>
  <c r="H57" i="6"/>
  <c r="A53" i="6"/>
  <c r="L45" i="6"/>
  <c r="E41" i="6"/>
  <c r="A37" i="6"/>
  <c r="L31" i="6"/>
  <c r="E27" i="6"/>
  <c r="A23" i="6"/>
  <c r="L15" i="6"/>
  <c r="E11" i="6"/>
  <c r="A7" i="6"/>
  <c r="V93" i="5"/>
  <c r="J88" i="5"/>
  <c r="V82" i="5"/>
  <c r="J78" i="5"/>
  <c r="O72" i="5"/>
  <c r="V67" i="5"/>
  <c r="B64" i="5"/>
  <c r="F60" i="5"/>
  <c r="N55" i="5"/>
  <c r="E50" i="5"/>
  <c r="N45" i="5"/>
  <c r="C41" i="5"/>
  <c r="L36" i="5"/>
  <c r="Q31" i="5"/>
  <c r="E27" i="5"/>
  <c r="N22" i="5"/>
  <c r="C18" i="5"/>
  <c r="L13" i="5"/>
  <c r="A9" i="5"/>
  <c r="A76" i="4"/>
  <c r="B72" i="4"/>
  <c r="L65" i="4"/>
  <c r="Q61" i="4"/>
  <c r="J57" i="4"/>
  <c r="A53" i="4"/>
  <c r="E47" i="4"/>
  <c r="L41" i="4"/>
  <c r="A37" i="4"/>
  <c r="F32" i="4"/>
  <c r="N26" i="4"/>
  <c r="B22" i="4"/>
  <c r="F16" i="4"/>
  <c r="N10" i="4"/>
  <c r="X5" i="4"/>
  <c r="O58" i="3"/>
  <c r="S53" i="3"/>
  <c r="B48" i="3"/>
  <c r="B43" i="3"/>
  <c r="F38" i="3"/>
  <c r="E32" i="3"/>
  <c r="B28" i="3"/>
  <c r="N21" i="3"/>
  <c r="F16" i="3"/>
  <c r="Q9" i="3"/>
  <c r="O5" i="3"/>
  <c r="O66" i="2"/>
  <c r="J62" i="2"/>
  <c r="A58" i="2"/>
  <c r="O54" i="2"/>
  <c r="F50" i="2"/>
  <c r="N47" i="2"/>
  <c r="O43" i="2"/>
  <c r="O41" i="2"/>
  <c r="O39" i="2"/>
  <c r="O37" i="2"/>
  <c r="X35" i="2"/>
  <c r="B33" i="2"/>
  <c r="F30" i="2"/>
  <c r="Q28" i="2"/>
  <c r="O27" i="2"/>
  <c r="O25" i="2"/>
  <c r="H24" i="2"/>
  <c r="F23" i="2"/>
  <c r="C21" i="2"/>
  <c r="B20" i="2"/>
  <c r="S18" i="2"/>
  <c r="X16" i="2"/>
  <c r="V15" i="2"/>
  <c r="A15" i="2"/>
  <c r="E14" i="2"/>
  <c r="L13" i="2"/>
  <c r="Q12" i="2"/>
  <c r="V11" i="2"/>
  <c r="A11" i="2"/>
  <c r="E10" i="2"/>
  <c r="L9" i="2"/>
  <c r="Q8" i="2"/>
  <c r="V7" i="2"/>
  <c r="A7" i="2"/>
  <c r="E5" i="2"/>
  <c r="F78" i="1"/>
  <c r="B77" i="1"/>
  <c r="E76" i="1"/>
  <c r="S73" i="1"/>
  <c r="S72" i="1"/>
  <c r="N71" i="1"/>
  <c r="H70" i="1"/>
  <c r="C69" i="1"/>
  <c r="B68" i="1"/>
  <c r="V66" i="1"/>
  <c r="X65" i="1"/>
  <c r="Q64" i="1"/>
  <c r="V63" i="1"/>
  <c r="A63" i="1"/>
  <c r="E62" i="1"/>
  <c r="L61" i="1"/>
  <c r="Q60" i="1"/>
  <c r="V59" i="1"/>
  <c r="A59" i="1"/>
  <c r="E58" i="1"/>
  <c r="L57" i="1"/>
  <c r="Q56" i="1"/>
  <c r="V55" i="1"/>
  <c r="A55" i="1"/>
  <c r="A54" i="1"/>
  <c r="N52" i="1"/>
  <c r="N51" i="1"/>
  <c r="N50" i="1"/>
  <c r="B49" i="1"/>
  <c r="A48" i="1"/>
  <c r="N46" i="1"/>
  <c r="B45" i="1"/>
  <c r="A44" i="1"/>
  <c r="N42" i="1"/>
  <c r="B41" i="1"/>
  <c r="A40" i="1"/>
  <c r="T38" i="1"/>
  <c r="N37" i="1"/>
  <c r="F36" i="1"/>
  <c r="L34" i="1"/>
  <c r="J33" i="1"/>
  <c r="C32" i="1"/>
  <c r="L30" i="1"/>
  <c r="J29" i="1"/>
  <c r="C28" i="1"/>
  <c r="L26" i="1"/>
  <c r="J25" i="1"/>
  <c r="C24" i="1"/>
  <c r="J22" i="1"/>
  <c r="C21" i="1"/>
  <c r="L19" i="1"/>
  <c r="J18" i="1"/>
  <c r="C17" i="1"/>
  <c r="L15" i="1"/>
  <c r="J14" i="1"/>
  <c r="C13" i="1"/>
  <c r="L11" i="1"/>
  <c r="J10" i="1"/>
  <c r="C9" i="1"/>
  <c r="L7" i="1"/>
  <c r="O6" i="1"/>
  <c r="H5" i="1"/>
  <c r="H31" i="11"/>
  <c r="V116" i="10"/>
  <c r="E250" i="19"/>
  <c r="H93" i="19"/>
  <c r="A44" i="19"/>
  <c r="S119" i="18"/>
  <c r="A25" i="18"/>
  <c r="D63" i="19"/>
  <c r="S108" i="18"/>
  <c r="H38" i="18"/>
  <c r="H67" i="17"/>
  <c r="O65" i="16"/>
  <c r="O121" i="15"/>
  <c r="H41" i="15"/>
  <c r="C64" i="17"/>
  <c r="T60" i="16"/>
  <c r="A118" i="15"/>
  <c r="B37" i="15"/>
  <c r="H59" i="17"/>
  <c r="A33" i="17"/>
  <c r="C3" i="17"/>
  <c r="A59" i="16"/>
  <c r="A38" i="16"/>
  <c r="F16" i="16"/>
  <c r="E132" i="15"/>
  <c r="D115" i="15"/>
  <c r="B98" i="15"/>
  <c r="N76" i="15"/>
  <c r="Q54" i="15"/>
  <c r="H33" i="15"/>
  <c r="A12" i="15"/>
  <c r="L371" i="14"/>
  <c r="X82" i="17"/>
  <c r="B63" i="17"/>
  <c r="F45" i="17"/>
  <c r="A24" i="17"/>
  <c r="H79" i="16"/>
  <c r="X61" i="16"/>
  <c r="C41" i="16"/>
  <c r="O19" i="16"/>
  <c r="X134" i="15"/>
  <c r="E117" i="15"/>
  <c r="L100" i="15"/>
  <c r="H79" i="15"/>
  <c r="E57" i="15"/>
  <c r="N35" i="15"/>
  <c r="J14" i="15"/>
  <c r="J375" i="14"/>
  <c r="F352" i="14"/>
  <c r="X320" i="14"/>
  <c r="O286" i="14"/>
  <c r="A249" i="14"/>
  <c r="B212" i="14"/>
  <c r="D175" i="14"/>
  <c r="A138" i="14"/>
  <c r="C101" i="14"/>
  <c r="D62" i="14"/>
  <c r="D24" i="14"/>
  <c r="F130" i="13"/>
  <c r="A115" i="13"/>
  <c r="E102" i="13"/>
  <c r="D81" i="13"/>
  <c r="D59" i="13"/>
  <c r="O37" i="13"/>
  <c r="E16" i="13"/>
  <c r="N117" i="12"/>
  <c r="O99" i="12"/>
  <c r="C79" i="12"/>
  <c r="J57" i="12"/>
  <c r="B36" i="12"/>
  <c r="H14" i="12"/>
  <c r="T111" i="11"/>
  <c r="A95" i="11"/>
  <c r="A9" i="15"/>
  <c r="A341" i="14"/>
  <c r="A311" i="14"/>
  <c r="N274" i="14"/>
  <c r="B237" i="14"/>
  <c r="N199" i="14"/>
  <c r="D162" i="14"/>
  <c r="D124" i="14"/>
  <c r="C87" i="14"/>
  <c r="B49" i="14"/>
  <c r="Q12" i="14"/>
  <c r="T123" i="13"/>
  <c r="O106" i="13"/>
  <c r="O86" i="13"/>
  <c r="J64" i="13"/>
  <c r="J42" i="13"/>
  <c r="J20" i="13"/>
  <c r="V120" i="12"/>
  <c r="V104" i="12"/>
  <c r="J86" i="12"/>
  <c r="L64" i="12"/>
  <c r="J43" i="12"/>
  <c r="Q22" i="12"/>
  <c r="B358" i="14"/>
  <c r="D325" i="14"/>
  <c r="Q291" i="14"/>
  <c r="B254" i="14"/>
  <c r="Q217" i="14"/>
  <c r="O179" i="14"/>
  <c r="Q142" i="14"/>
  <c r="N104" i="14"/>
  <c r="C65" i="14"/>
  <c r="N27" i="14"/>
  <c r="C133" i="13"/>
  <c r="N113" i="13"/>
  <c r="L95" i="13"/>
  <c r="E74" i="13"/>
  <c r="E52" i="13"/>
  <c r="L30" i="13"/>
  <c r="J9" i="13"/>
  <c r="X112" i="12"/>
  <c r="E95" i="12"/>
  <c r="C77" i="12"/>
  <c r="B70" i="12"/>
  <c r="C63" i="12"/>
  <c r="A56" i="12"/>
  <c r="Q48" i="12"/>
  <c r="Q41" i="12"/>
  <c r="L35" i="12"/>
  <c r="Q28" i="12"/>
  <c r="Q20" i="12"/>
  <c r="A14" i="12"/>
  <c r="D7" i="12"/>
  <c r="T117" i="11"/>
  <c r="B112" i="11"/>
  <c r="D106" i="11"/>
  <c r="E100" i="11"/>
  <c r="C94" i="11"/>
  <c r="S88" i="11"/>
  <c r="E82" i="11"/>
  <c r="J75" i="11"/>
  <c r="B14" i="15"/>
  <c r="J363" i="14"/>
  <c r="A351" i="14"/>
  <c r="E342" i="14"/>
  <c r="H333" i="14"/>
  <c r="C323" i="14"/>
  <c r="S312" i="14"/>
  <c r="D301" i="14"/>
  <c r="D289" i="14"/>
  <c r="D277" i="14"/>
  <c r="D263" i="14"/>
  <c r="N250" i="14"/>
  <c r="B239" i="14"/>
  <c r="C226" i="14"/>
  <c r="Q212" i="14"/>
  <c r="B200" i="14"/>
  <c r="C187" i="14"/>
  <c r="A175" i="14"/>
  <c r="A163" i="14"/>
  <c r="C150" i="14"/>
  <c r="B138" i="14"/>
  <c r="N125" i="14"/>
  <c r="C113" i="14"/>
  <c r="D100" i="14"/>
  <c r="N87" i="14"/>
  <c r="N72" i="14"/>
  <c r="C64" i="14"/>
  <c r="B55" i="14"/>
  <c r="D45" i="14"/>
  <c r="D35" i="14"/>
  <c r="A26" i="14"/>
  <c r="A16" i="14"/>
  <c r="B7" i="14"/>
  <c r="Q135" i="13"/>
  <c r="N130" i="13"/>
  <c r="B125" i="13"/>
  <c r="X119" i="13"/>
  <c r="F114" i="13"/>
  <c r="B109" i="13"/>
  <c r="X103" i="13"/>
  <c r="D99" i="13"/>
  <c r="F93" i="13"/>
  <c r="J88" i="13"/>
  <c r="C83" i="13"/>
  <c r="L77" i="13"/>
  <c r="A73" i="13"/>
  <c r="C67" i="13"/>
  <c r="C61" i="13"/>
  <c r="L55" i="13"/>
  <c r="F50" i="13"/>
  <c r="E45" i="13"/>
  <c r="D40" i="13"/>
  <c r="A35" i="13"/>
  <c r="N29" i="13"/>
  <c r="B24" i="13"/>
  <c r="A19" i="13"/>
  <c r="N13" i="13"/>
  <c r="B8" i="13"/>
  <c r="Q123" i="12"/>
  <c r="H119" i="12"/>
  <c r="D115" i="12"/>
  <c r="O110" i="12"/>
  <c r="N106" i="12"/>
  <c r="V102" i="12"/>
  <c r="E99" i="12"/>
  <c r="D95" i="12"/>
  <c r="N89" i="12"/>
  <c r="O84" i="12"/>
  <c r="D79" i="12"/>
  <c r="F73" i="12"/>
  <c r="H68" i="12"/>
  <c r="L62" i="12"/>
  <c r="L57" i="12"/>
  <c r="J52" i="12"/>
  <c r="C47" i="12"/>
  <c r="O41" i="12"/>
  <c r="C36" i="12"/>
  <c r="H30" i="12"/>
  <c r="D25" i="12"/>
  <c r="D20" i="12"/>
  <c r="Q14" i="12"/>
  <c r="C9" i="12"/>
  <c r="A120" i="11"/>
  <c r="S115" i="11"/>
  <c r="L111" i="11"/>
  <c r="V106" i="11"/>
  <c r="D102" i="11"/>
  <c r="B96" i="11"/>
  <c r="X90" i="11"/>
  <c r="F85" i="11"/>
  <c r="H117" i="11"/>
  <c r="D94" i="11"/>
  <c r="J79" i="11"/>
  <c r="Q72" i="11"/>
  <c r="E66" i="11"/>
  <c r="F59" i="11"/>
  <c r="E54" i="11"/>
  <c r="L48" i="11"/>
  <c r="J43" i="11"/>
  <c r="C38" i="11"/>
  <c r="H32" i="11"/>
  <c r="Q26" i="11"/>
  <c r="O21" i="11"/>
  <c r="H16" i="11"/>
  <c r="Q10" i="11"/>
  <c r="S3" i="11"/>
  <c r="Q140" i="10"/>
  <c r="H134" i="10"/>
  <c r="A130" i="10"/>
  <c r="C126" i="10"/>
  <c r="O120" i="10"/>
  <c r="O116" i="10"/>
  <c r="O112" i="10"/>
  <c r="N108" i="10"/>
  <c r="Q102" i="10"/>
  <c r="O97" i="10"/>
  <c r="H92" i="10"/>
  <c r="Q86" i="10"/>
  <c r="O81" i="10"/>
  <c r="N73" i="10"/>
  <c r="E68" i="10"/>
  <c r="E62" i="10"/>
  <c r="D57" i="10"/>
  <c r="J51" i="10"/>
  <c r="C46" i="10"/>
  <c r="O39" i="10"/>
  <c r="A34" i="10"/>
  <c r="N28" i="10"/>
  <c r="B23" i="10"/>
  <c r="A18" i="10"/>
  <c r="N12" i="10"/>
  <c r="B7" i="10"/>
  <c r="E98" i="9"/>
  <c r="Q94" i="9"/>
  <c r="A91" i="9"/>
  <c r="L87" i="9"/>
  <c r="E84" i="9"/>
  <c r="A81" i="9"/>
  <c r="N77" i="9"/>
  <c r="C72" i="9"/>
  <c r="L66" i="9"/>
  <c r="J61" i="9"/>
  <c r="C56" i="9"/>
  <c r="L48" i="9"/>
  <c r="C42" i="9"/>
  <c r="L36" i="9"/>
  <c r="J31" i="9"/>
  <c r="C26" i="9"/>
  <c r="L20" i="9"/>
  <c r="J15" i="9"/>
  <c r="C10" i="9"/>
  <c r="N4" i="9"/>
  <c r="Q98" i="8"/>
  <c r="S94" i="8"/>
  <c r="S90" i="8"/>
  <c r="F85" i="8"/>
  <c r="J81" i="8"/>
  <c r="A77" i="8"/>
  <c r="E73" i="8"/>
  <c r="E68" i="8"/>
  <c r="H63" i="8"/>
  <c r="H58" i="8"/>
  <c r="A54" i="8"/>
  <c r="A50" i="8"/>
  <c r="Q44" i="8"/>
  <c r="F39" i="8"/>
  <c r="L33" i="8"/>
  <c r="J28" i="8"/>
  <c r="C23" i="8"/>
  <c r="F17" i="8"/>
  <c r="C12" i="8"/>
  <c r="Q6" i="8"/>
  <c r="E107" i="7"/>
  <c r="C103" i="7"/>
  <c r="H99" i="7"/>
  <c r="D95" i="7"/>
  <c r="D91" i="7"/>
  <c r="A87" i="7"/>
  <c r="V83" i="7"/>
  <c r="H80" i="7"/>
  <c r="O74" i="7"/>
  <c r="X70" i="7"/>
  <c r="O65" i="7"/>
  <c r="H60" i="7"/>
  <c r="Q53" i="7"/>
  <c r="N48" i="7"/>
  <c r="O44" i="7"/>
  <c r="B40" i="7"/>
  <c r="B35" i="7"/>
  <c r="B31" i="7"/>
  <c r="A27" i="7"/>
  <c r="O22" i="7"/>
  <c r="B18" i="7"/>
  <c r="A118" i="11"/>
  <c r="J101" i="11"/>
  <c r="J82" i="11"/>
  <c r="A75" i="11"/>
  <c r="L67" i="11"/>
  <c r="H61" i="11"/>
  <c r="Q55" i="11"/>
  <c r="C51" i="11"/>
  <c r="L45" i="11"/>
  <c r="J40" i="11"/>
  <c r="E35" i="11"/>
  <c r="D30" i="11"/>
  <c r="F24" i="11"/>
  <c r="E19" i="11"/>
  <c r="D14" i="11"/>
  <c r="F8" i="11"/>
  <c r="H144" i="10"/>
  <c r="E138" i="10"/>
  <c r="A135" i="10"/>
  <c r="D130" i="10"/>
  <c r="X125" i="10"/>
  <c r="H120" i="10"/>
  <c r="H116" i="10"/>
  <c r="H112" i="10"/>
  <c r="X107" i="10"/>
  <c r="H101" i="10"/>
  <c r="Q95" i="10"/>
  <c r="O90" i="10"/>
  <c r="H85" i="10"/>
  <c r="Q79" i="10"/>
  <c r="E72" i="10"/>
  <c r="N65" i="10"/>
  <c r="B60" i="10"/>
  <c r="A55" i="10"/>
  <c r="Q49" i="10"/>
  <c r="O44" i="10"/>
  <c r="F38" i="10"/>
  <c r="N33" i="10"/>
  <c r="B28" i="10"/>
  <c r="A23" i="10"/>
  <c r="N17" i="10"/>
  <c r="B12" i="10"/>
  <c r="A7" i="10"/>
  <c r="O99" i="9"/>
  <c r="O94" i="9"/>
  <c r="D90" i="9"/>
  <c r="O85" i="9"/>
  <c r="O81" i="9"/>
  <c r="F76" i="9"/>
  <c r="E71" i="9"/>
  <c r="D66" i="9"/>
  <c r="F60" i="9"/>
  <c r="E55" i="9"/>
  <c r="J48" i="9"/>
  <c r="B42" i="9"/>
  <c r="A37" i="9"/>
  <c r="N31" i="9"/>
  <c r="B26" i="9"/>
  <c r="A21" i="9"/>
  <c r="N15" i="9"/>
  <c r="B10" i="9"/>
  <c r="E5" i="9"/>
  <c r="O98" i="8"/>
  <c r="F93" i="8"/>
  <c r="F87" i="8"/>
  <c r="J83" i="8"/>
  <c r="L79" i="8"/>
  <c r="X75" i="8"/>
  <c r="B70" i="8"/>
  <c r="D64" i="8"/>
  <c r="B59" i="8"/>
  <c r="H53" i="8"/>
  <c r="Q48" i="8"/>
  <c r="D44" i="8"/>
  <c r="O38" i="8"/>
  <c r="J33" i="8"/>
  <c r="C28" i="8"/>
  <c r="J22" i="8"/>
  <c r="E17" i="8"/>
  <c r="B12" i="8"/>
  <c r="A7" i="8"/>
  <c r="O107" i="7"/>
  <c r="F102" i="7"/>
  <c r="L97" i="7"/>
  <c r="N93" i="7"/>
  <c r="Q89" i="7"/>
  <c r="T85" i="7"/>
  <c r="T81" i="7"/>
  <c r="N77" i="7"/>
  <c r="S73" i="7"/>
  <c r="V69" i="7"/>
  <c r="B64" i="7"/>
  <c r="A59" i="7"/>
  <c r="N55" i="7"/>
  <c r="S51" i="7"/>
  <c r="A48" i="7"/>
  <c r="T43" i="7"/>
  <c r="A40" i="7"/>
  <c r="Q35" i="7"/>
  <c r="L31" i="7"/>
  <c r="J27" i="7"/>
  <c r="A23" i="7"/>
  <c r="D19" i="7"/>
  <c r="V5" i="12"/>
  <c r="L106" i="11"/>
  <c r="T89" i="11"/>
  <c r="D78" i="11"/>
  <c r="Q69" i="11"/>
  <c r="A64" i="11"/>
  <c r="N58" i="11"/>
  <c r="J53" i="11"/>
  <c r="C48" i="11"/>
  <c r="L42" i="11"/>
  <c r="J37" i="11"/>
  <c r="A32" i="11"/>
  <c r="N26" i="11"/>
  <c r="B21" i="11"/>
  <c r="A16" i="11"/>
  <c r="N10" i="11"/>
  <c r="D5" i="11"/>
  <c r="S140" i="10"/>
  <c r="T135" i="10"/>
  <c r="X131" i="10"/>
  <c r="D127" i="10"/>
  <c r="B121" i="10"/>
  <c r="X115" i="10"/>
  <c r="E110" i="10"/>
  <c r="A107" i="10"/>
  <c r="L100" i="10"/>
  <c r="J95" i="10"/>
  <c r="C90" i="10"/>
  <c r="L84" i="10"/>
  <c r="J79" i="10"/>
  <c r="E73" i="10"/>
  <c r="C68" i="10"/>
  <c r="B61" i="10"/>
  <c r="A56" i="10"/>
  <c r="L50" i="10"/>
  <c r="J45" i="10"/>
  <c r="B39" i="10"/>
  <c r="C34" i="10"/>
  <c r="L28" i="10"/>
  <c r="J23" i="10"/>
  <c r="C18" i="10"/>
  <c r="L12" i="10"/>
  <c r="J7" i="10"/>
  <c r="J100" i="9"/>
  <c r="C95" i="9"/>
  <c r="N90" i="9"/>
  <c r="S85" i="9"/>
  <c r="S81" i="9"/>
  <c r="Q77" i="9"/>
  <c r="L72" i="9"/>
  <c r="J67" i="9"/>
  <c r="C62" i="9"/>
  <c r="L56" i="9"/>
  <c r="A50" i="9"/>
  <c r="B43" i="9"/>
  <c r="O37" i="9"/>
  <c r="H32" i="9"/>
  <c r="Q26" i="9"/>
  <c r="O21" i="9"/>
  <c r="H16" i="9"/>
  <c r="Q10" i="9"/>
  <c r="T5" i="9"/>
  <c r="O99" i="8"/>
  <c r="X95" i="8"/>
  <c r="E92" i="8"/>
  <c r="A89" i="8"/>
  <c r="C84" i="8"/>
  <c r="O79" i="8"/>
  <c r="Q75" i="8"/>
  <c r="Q70" i="8"/>
  <c r="L65" i="8"/>
  <c r="D61" i="8"/>
  <c r="E57" i="8"/>
  <c r="H52" i="8"/>
  <c r="N47" i="8"/>
  <c r="F41" i="8"/>
  <c r="L37" i="8"/>
  <c r="E35" i="8"/>
  <c r="Q32" i="8"/>
  <c r="J30" i="8"/>
  <c r="L27" i="8"/>
  <c r="C25" i="8"/>
  <c r="H22" i="8"/>
  <c r="B19" i="8"/>
  <c r="F16" i="8"/>
  <c r="F13" i="8"/>
  <c r="D11" i="8"/>
  <c r="E8" i="8"/>
  <c r="X5" i="8"/>
  <c r="D109" i="7"/>
  <c r="L106" i="7"/>
  <c r="H104" i="7"/>
  <c r="E103" i="7"/>
  <c r="E102" i="7"/>
  <c r="L100" i="7"/>
  <c r="L99" i="7"/>
  <c r="H98" i="7"/>
  <c r="T96" i="7"/>
  <c r="T94" i="7"/>
  <c r="B93" i="7"/>
  <c r="B91" i="7"/>
  <c r="T89" i="7"/>
  <c r="N88" i="7"/>
  <c r="C87" i="7"/>
  <c r="S85" i="7"/>
  <c r="N84" i="7"/>
  <c r="C83" i="7"/>
  <c r="S81" i="7"/>
  <c r="Q80" i="7"/>
  <c r="B79" i="7"/>
  <c r="F77" i="7"/>
  <c r="D76" i="7"/>
  <c r="L73" i="7"/>
  <c r="H72" i="7"/>
  <c r="D71" i="7"/>
  <c r="O69" i="7"/>
  <c r="B68" i="7"/>
  <c r="V66" i="7"/>
  <c r="Q64" i="7"/>
  <c r="J63" i="7"/>
  <c r="F61" i="7"/>
  <c r="O59" i="7"/>
  <c r="J58" i="7"/>
  <c r="D57" i="7"/>
  <c r="B55" i="7"/>
  <c r="T53" i="7"/>
  <c r="O52" i="7"/>
  <c r="O50" i="7"/>
  <c r="D49" i="7"/>
  <c r="L47" i="7"/>
  <c r="A46" i="7"/>
  <c r="S44" i="7"/>
  <c r="F43" i="7"/>
  <c r="Q41" i="7"/>
  <c r="D40" i="7"/>
  <c r="S38" i="7"/>
  <c r="C37" i="7"/>
  <c r="T35" i="7"/>
  <c r="L34" i="7"/>
  <c r="C33" i="7"/>
  <c r="Q31" i="7"/>
  <c r="D30" i="7"/>
  <c r="F28" i="7"/>
  <c r="C27" i="7"/>
  <c r="V25" i="7"/>
  <c r="T23" i="7"/>
  <c r="B22" i="7"/>
  <c r="Q20" i="7"/>
  <c r="H19" i="7"/>
  <c r="D18" i="7"/>
  <c r="F16" i="7"/>
  <c r="S14" i="7"/>
  <c r="H13" i="7"/>
  <c r="D12" i="7"/>
  <c r="C10" i="7"/>
  <c r="F8" i="7"/>
  <c r="J7" i="7"/>
  <c r="J6" i="7"/>
  <c r="S4" i="7"/>
  <c r="X123" i="6"/>
  <c r="L122" i="6"/>
  <c r="N121" i="6"/>
  <c r="L120" i="6"/>
  <c r="O119" i="6"/>
  <c r="L118" i="6"/>
  <c r="D120" i="11"/>
  <c r="T102" i="11"/>
  <c r="O85" i="11"/>
  <c r="J74" i="11"/>
  <c r="N67" i="11"/>
  <c r="E61" i="11"/>
  <c r="A57" i="11"/>
  <c r="H49" i="11"/>
  <c r="C45" i="11"/>
  <c r="O38" i="11"/>
  <c r="E33" i="11"/>
  <c r="A29" i="11"/>
  <c r="L21" i="11"/>
  <c r="E17" i="11"/>
  <c r="A13" i="11"/>
  <c r="S5" i="11"/>
  <c r="E143" i="10"/>
  <c r="H136" i="10"/>
  <c r="A132" i="10"/>
  <c r="A125" i="10"/>
  <c r="Q120" i="10"/>
  <c r="L117" i="10"/>
  <c r="E114" i="10"/>
  <c r="A111" i="10"/>
  <c r="T107" i="10"/>
  <c r="N99" i="10"/>
  <c r="F94" i="10"/>
  <c r="B90" i="10"/>
  <c r="N83" i="10"/>
  <c r="F78" i="10"/>
  <c r="H72" i="10"/>
  <c r="B68" i="10"/>
  <c r="C63" i="10"/>
  <c r="O56" i="10"/>
  <c r="E51" i="10"/>
  <c r="A47" i="10"/>
  <c r="B40" i="10"/>
  <c r="J32" i="10"/>
  <c r="D28" i="10"/>
  <c r="Q21" i="10"/>
  <c r="J16" i="10"/>
  <c r="D12" i="10"/>
  <c r="A5" i="10"/>
  <c r="Q96" i="9"/>
  <c r="B91" i="9"/>
  <c r="X85" i="9"/>
  <c r="B81" i="9"/>
  <c r="H75" i="9"/>
  <c r="C71" i="9"/>
  <c r="O64" i="9"/>
  <c r="H59" i="9"/>
  <c r="C55" i="9"/>
  <c r="H49" i="9"/>
  <c r="B44" i="9"/>
  <c r="J38" i="9"/>
  <c r="D34" i="9"/>
  <c r="Q27" i="9"/>
  <c r="J22" i="9"/>
  <c r="D18" i="9"/>
  <c r="Q11" i="9"/>
  <c r="J6" i="9"/>
  <c r="H99" i="8"/>
  <c r="D94" i="8"/>
  <c r="D90" i="8"/>
  <c r="S85" i="8"/>
  <c r="F82" i="8"/>
  <c r="C78" i="8"/>
  <c r="X73" i="8"/>
  <c r="Q67" i="8"/>
  <c r="D63" i="8"/>
  <c r="D59" i="8"/>
  <c r="O55" i="8"/>
  <c r="S48" i="8"/>
  <c r="F42" i="8"/>
  <c r="B38" i="8"/>
  <c r="E31" i="8"/>
  <c r="Q24" i="8"/>
  <c r="E19" i="8"/>
  <c r="Q13" i="8"/>
  <c r="J8" i="8"/>
  <c r="B107" i="7"/>
  <c r="J103" i="7"/>
  <c r="F98" i="7"/>
  <c r="S94" i="7"/>
  <c r="L91" i="7"/>
  <c r="F87" i="7"/>
  <c r="O80" i="7"/>
  <c r="A77" i="7"/>
  <c r="D73" i="7"/>
  <c r="S69" i="7"/>
  <c r="O64" i="7"/>
  <c r="H59" i="7"/>
  <c r="V55" i="7"/>
  <c r="C52" i="7"/>
  <c r="H48" i="7"/>
  <c r="J44" i="7"/>
  <c r="O40" i="7"/>
  <c r="T36" i="7"/>
  <c r="C32" i="7"/>
  <c r="E28" i="7"/>
  <c r="L24" i="7"/>
  <c r="V20" i="7"/>
  <c r="H16" i="7"/>
  <c r="J14" i="7"/>
  <c r="D13" i="7"/>
  <c r="V11" i="7"/>
  <c r="Q10" i="7"/>
  <c r="L9" i="7"/>
  <c r="E8" i="7"/>
  <c r="V6" i="7"/>
  <c r="J5" i="7"/>
  <c r="L123" i="6"/>
  <c r="Q121" i="6"/>
  <c r="N120" i="6"/>
  <c r="F119" i="6"/>
  <c r="C118" i="6"/>
  <c r="A117" i="6"/>
  <c r="D116" i="6"/>
  <c r="B115" i="6"/>
  <c r="A114" i="6"/>
  <c r="B113" i="6"/>
  <c r="D112" i="6"/>
  <c r="A111" i="6"/>
  <c r="C110" i="6"/>
  <c r="B109" i="6"/>
  <c r="A108" i="6"/>
  <c r="C107" i="6"/>
  <c r="D106" i="6"/>
  <c r="B105" i="6"/>
  <c r="C104" i="6"/>
  <c r="D103" i="6"/>
  <c r="A102" i="6"/>
  <c r="E100" i="6"/>
  <c r="E99" i="6"/>
  <c r="L98" i="6"/>
  <c r="Q97" i="6"/>
  <c r="O96" i="6"/>
  <c r="O95" i="6"/>
  <c r="O94" i="6"/>
  <c r="O93" i="6"/>
  <c r="N91" i="6"/>
  <c r="Q89" i="6"/>
  <c r="O88" i="6"/>
  <c r="H87" i="6"/>
  <c r="Q85" i="6"/>
  <c r="O84" i="6"/>
  <c r="H83" i="6"/>
  <c r="Q81" i="6"/>
  <c r="O80" i="6"/>
  <c r="H79" i="6"/>
  <c r="Q77" i="6"/>
  <c r="O76" i="6"/>
  <c r="L74" i="6"/>
  <c r="D73" i="6"/>
  <c r="F71" i="6"/>
  <c r="E70" i="6"/>
  <c r="D69" i="6"/>
  <c r="F67" i="6"/>
  <c r="E66" i="6"/>
  <c r="L64" i="6"/>
  <c r="J63" i="6"/>
  <c r="C62" i="6"/>
  <c r="L60" i="6"/>
  <c r="J59" i="6"/>
  <c r="C58" i="6"/>
  <c r="L56" i="6"/>
  <c r="J55" i="6"/>
  <c r="A54" i="6"/>
  <c r="N52" i="6"/>
  <c r="B51" i="6"/>
  <c r="A50" i="6"/>
  <c r="N48" i="6"/>
  <c r="B47" i="6"/>
  <c r="A46" i="6"/>
  <c r="N44" i="6"/>
  <c r="B43" i="6"/>
  <c r="A42" i="6"/>
  <c r="N40" i="6"/>
  <c r="B39" i="6"/>
  <c r="A38" i="6"/>
  <c r="N36" i="6"/>
  <c r="J35" i="6"/>
  <c r="C34" i="6"/>
  <c r="L32" i="6"/>
  <c r="J31" i="6"/>
  <c r="C30" i="6"/>
  <c r="L28" i="6"/>
  <c r="J27" i="6"/>
  <c r="C26" i="6"/>
  <c r="L24" i="6"/>
  <c r="J23" i="6"/>
  <c r="C22" i="6"/>
  <c r="L20" i="6"/>
  <c r="J19" i="6"/>
  <c r="C18" i="6"/>
  <c r="L16" i="6"/>
  <c r="J15" i="6"/>
  <c r="C14" i="6"/>
  <c r="L12" i="6"/>
  <c r="J11" i="6"/>
  <c r="C10" i="6"/>
  <c r="L8" i="6"/>
  <c r="J7" i="6"/>
  <c r="Q5" i="6"/>
  <c r="B3" i="6"/>
  <c r="A96" i="5"/>
  <c r="C95" i="5"/>
  <c r="D93" i="5"/>
  <c r="X91" i="5"/>
  <c r="L90" i="5"/>
  <c r="J89" i="5"/>
  <c r="C88" i="5"/>
  <c r="X85" i="5"/>
  <c r="A85" i="5"/>
  <c r="C84" i="5"/>
  <c r="E83" i="5"/>
  <c r="H82" i="5"/>
  <c r="L81" i="5"/>
  <c r="N80" i="5"/>
  <c r="Q79" i="5"/>
  <c r="T78" i="5"/>
  <c r="X77" i="5"/>
  <c r="A77" i="5"/>
  <c r="A76" i="5"/>
  <c r="A74" i="5"/>
  <c r="N72" i="5"/>
  <c r="O71" i="5"/>
  <c r="Q70" i="5"/>
  <c r="F69" i="5"/>
  <c r="H68" i="5"/>
  <c r="J67" i="5"/>
  <c r="L66" i="5"/>
  <c r="J65" i="5"/>
  <c r="L64" i="5"/>
  <c r="B63" i="5"/>
  <c r="C62" i="5"/>
  <c r="D61" i="5"/>
  <c r="E60" i="5"/>
  <c r="S58" i="5"/>
  <c r="T57" i="5"/>
  <c r="V56" i="5"/>
  <c r="A56" i="5"/>
  <c r="N54" i="5"/>
  <c r="J52" i="5"/>
  <c r="O50" i="5"/>
  <c r="B49" i="5"/>
  <c r="F47" i="5"/>
  <c r="D46" i="5"/>
  <c r="J44" i="5"/>
  <c r="O42" i="5"/>
  <c r="B41" i="5"/>
  <c r="F39" i="5"/>
  <c r="D38" i="5"/>
  <c r="J36" i="5"/>
  <c r="D35" i="5"/>
  <c r="J33" i="5"/>
  <c r="O31" i="5"/>
  <c r="B30" i="5"/>
  <c r="F28" i="5"/>
  <c r="D27" i="5"/>
  <c r="J25" i="5"/>
  <c r="O23" i="5"/>
  <c r="B22" i="5"/>
  <c r="F20" i="5"/>
  <c r="D19" i="5"/>
  <c r="J17" i="5"/>
  <c r="O15" i="5"/>
  <c r="B14" i="5"/>
  <c r="F12" i="5"/>
  <c r="D11" i="5"/>
  <c r="J9" i="5"/>
  <c r="Q7" i="5"/>
  <c r="V5" i="5"/>
  <c r="N3" i="5"/>
  <c r="T78" i="4"/>
  <c r="F77" i="4"/>
  <c r="T75" i="4"/>
  <c r="X74" i="4"/>
  <c r="F73" i="4"/>
  <c r="E72" i="4"/>
  <c r="D71" i="4"/>
  <c r="S69" i="4"/>
  <c r="L68" i="4"/>
  <c r="J67" i="4"/>
  <c r="A66" i="4"/>
  <c r="T64" i="4"/>
  <c r="F63" i="4"/>
  <c r="T61" i="4"/>
  <c r="S60" i="4"/>
  <c r="X59" i="4"/>
  <c r="V58" i="4"/>
  <c r="T57" i="4"/>
  <c r="S56" i="4"/>
  <c r="X55" i="4"/>
  <c r="V54" i="4"/>
  <c r="X53" i="4"/>
  <c r="B52" i="4"/>
  <c r="N50" i="4"/>
  <c r="J49" i="4"/>
  <c r="B48" i="4"/>
  <c r="N46" i="4"/>
  <c r="J45" i="4"/>
  <c r="B44" i="4"/>
  <c r="N42" i="4"/>
  <c r="J41" i="4"/>
  <c r="B40" i="4"/>
  <c r="N38" i="4"/>
  <c r="J37" i="4"/>
  <c r="T35" i="4"/>
  <c r="O34" i="4"/>
  <c r="H33" i="4"/>
  <c r="A32" i="4"/>
  <c r="L30" i="4"/>
  <c r="H29" i="4"/>
  <c r="A28" i="4"/>
  <c r="L26" i="4"/>
  <c r="H25" i="4"/>
  <c r="A24" i="4"/>
  <c r="L22" i="4"/>
  <c r="H21" i="4"/>
  <c r="A20" i="4"/>
  <c r="L18" i="4"/>
  <c r="H17" i="4"/>
  <c r="A16" i="4"/>
  <c r="L14" i="4"/>
  <c r="H13" i="4"/>
  <c r="A12" i="4"/>
  <c r="L10" i="4"/>
  <c r="H9" i="4"/>
  <c r="A8" i="4"/>
  <c r="Q6" i="4"/>
  <c r="Q5" i="4"/>
  <c r="E3" i="4"/>
  <c r="J60" i="3"/>
  <c r="F59" i="3"/>
  <c r="C58" i="3"/>
  <c r="H56" i="3"/>
  <c r="B55" i="3"/>
  <c r="E54" i="3"/>
  <c r="X52" i="3"/>
  <c r="V51" i="3"/>
  <c r="A51" i="3"/>
  <c r="E50" i="3"/>
  <c r="L49" i="3"/>
  <c r="Q48" i="3"/>
  <c r="T47" i="3"/>
  <c r="V46" i="3"/>
  <c r="A46" i="3"/>
  <c r="E45" i="3"/>
  <c r="L44" i="3"/>
  <c r="Q43" i="3"/>
  <c r="V42" i="3"/>
  <c r="A42" i="3"/>
  <c r="E41" i="3"/>
  <c r="L40" i="3"/>
  <c r="Q39" i="3"/>
  <c r="V38" i="3"/>
  <c r="A38" i="3"/>
  <c r="E37" i="3"/>
  <c r="L36" i="3"/>
  <c r="H35" i="3"/>
  <c r="B34" i="3"/>
  <c r="O32" i="3"/>
  <c r="N31" i="3"/>
  <c r="C30" i="3"/>
  <c r="L28" i="3"/>
  <c r="J27" i="3"/>
  <c r="C26" i="3"/>
  <c r="L24" i="3"/>
  <c r="J23" i="3"/>
  <c r="C22" i="3"/>
  <c r="L20" i="3"/>
  <c r="J19" i="3"/>
  <c r="C18" i="3"/>
  <c r="L16" i="3"/>
  <c r="J15" i="3"/>
  <c r="C14" i="3"/>
  <c r="H12" i="3"/>
  <c r="Q10" i="3"/>
  <c r="O9" i="3"/>
  <c r="H8" i="3"/>
  <c r="D7" i="3"/>
  <c r="S5" i="3"/>
  <c r="D3" i="3"/>
  <c r="D69" i="2"/>
  <c r="S66" i="2"/>
  <c r="N65" i="2"/>
  <c r="N64" i="2"/>
  <c r="N63" i="2"/>
  <c r="N62" i="2"/>
  <c r="N61" i="2"/>
  <c r="V59" i="2"/>
  <c r="T58" i="2"/>
  <c r="S57" i="2"/>
  <c r="V56" i="2"/>
  <c r="A56" i="2"/>
  <c r="D55" i="2"/>
  <c r="A54" i="2"/>
  <c r="D53" i="2"/>
  <c r="C52" i="2"/>
  <c r="V50" i="2"/>
  <c r="A50" i="2"/>
  <c r="D49" i="2"/>
  <c r="V115" i="11"/>
  <c r="X101" i="11"/>
  <c r="T83" i="11"/>
  <c r="L75" i="11"/>
  <c r="J68" i="11"/>
  <c r="C63" i="11"/>
  <c r="O56" i="11"/>
  <c r="E51" i="11"/>
  <c r="A47" i="11"/>
  <c r="L39" i="11"/>
  <c r="C35" i="11"/>
  <c r="O28" i="11"/>
  <c r="H23" i="11"/>
  <c r="C19" i="11"/>
  <c r="O12" i="11"/>
  <c r="H7" i="11"/>
  <c r="S137" i="10"/>
  <c r="O133" i="10"/>
  <c r="B130" i="10"/>
  <c r="V124" i="10"/>
  <c r="L120" i="10"/>
  <c r="E117" i="10"/>
  <c r="A114" i="10"/>
  <c r="V110" i="10"/>
  <c r="Q105" i="10"/>
  <c r="J100" i="10"/>
  <c r="D96" i="10"/>
  <c r="Q89" i="10"/>
  <c r="J84" i="10"/>
  <c r="D80" i="10"/>
  <c r="D73" i="10"/>
  <c r="Q67" i="10"/>
  <c r="O60" i="10"/>
  <c r="H55" i="10"/>
  <c r="A51" i="10"/>
  <c r="L43" i="10"/>
  <c r="O38" i="10"/>
  <c r="E33" i="10"/>
  <c r="A29" i="10"/>
  <c r="L21" i="10"/>
  <c r="E17" i="10"/>
  <c r="A13" i="10"/>
  <c r="S5" i="10"/>
  <c r="B99" i="9"/>
  <c r="F95" i="9"/>
  <c r="B90" i="9"/>
  <c r="X84" i="9"/>
  <c r="B80" i="9"/>
  <c r="C75" i="9"/>
  <c r="O68" i="9"/>
  <c r="H63" i="9"/>
  <c r="C59" i="9"/>
  <c r="E53" i="9"/>
  <c r="D46" i="9"/>
  <c r="H41" i="9"/>
  <c r="C37" i="9"/>
  <c r="O30" i="9"/>
  <c r="H25" i="9"/>
  <c r="C21" i="9"/>
  <c r="O14" i="9"/>
  <c r="H9" i="9"/>
  <c r="H5" i="9"/>
  <c r="F98" i="8"/>
  <c r="T94" i="8"/>
  <c r="T90" i="8"/>
  <c r="N85" i="8"/>
  <c r="E81" i="8"/>
  <c r="X77" i="8"/>
  <c r="O74" i="8"/>
  <c r="N69" i="8"/>
  <c r="B64" i="8"/>
  <c r="J57" i="8"/>
  <c r="L53" i="8"/>
  <c r="L46" i="8"/>
  <c r="B42" i="8"/>
  <c r="J35" i="8"/>
  <c r="A31" i="8"/>
  <c r="L24" i="8"/>
  <c r="C20" i="8"/>
  <c r="L13" i="8"/>
  <c r="E9" i="8"/>
  <c r="A5" i="8"/>
  <c r="X105" i="7"/>
  <c r="T99" i="7"/>
  <c r="L95" i="7"/>
  <c r="A92" i="7"/>
  <c r="S88" i="7"/>
  <c r="X83" i="7"/>
  <c r="J80" i="7"/>
  <c r="S76" i="7"/>
  <c r="B72" i="7"/>
  <c r="L68" i="7"/>
  <c r="J64" i="7"/>
  <c r="D60" i="7"/>
  <c r="N56" i="7"/>
  <c r="S52" i="7"/>
  <c r="C49" i="7"/>
  <c r="D45" i="7"/>
  <c r="H41" i="7"/>
  <c r="N36" i="7"/>
  <c r="V31" i="7"/>
  <c r="B27" i="7"/>
  <c r="H23" i="7"/>
  <c r="T18" i="7"/>
  <c r="S15" i="7"/>
  <c r="O14" i="7"/>
  <c r="J13" i="7"/>
  <c r="C12" i="7"/>
  <c r="O10" i="7"/>
  <c r="B9" i="7"/>
  <c r="V7" i="7"/>
  <c r="S6" i="7"/>
  <c r="H5" i="7"/>
  <c r="H123" i="6"/>
  <c r="X121" i="6"/>
  <c r="J120" i="6"/>
  <c r="E119" i="6"/>
  <c r="V117" i="6"/>
  <c r="T116" i="6"/>
  <c r="X115" i="6"/>
  <c r="V114" i="6"/>
  <c r="S113" i="6"/>
  <c r="T112" i="6"/>
  <c r="X111" i="6"/>
  <c r="S110" i="6"/>
  <c r="X109" i="6"/>
  <c r="V108" i="6"/>
  <c r="S107" i="6"/>
  <c r="V106" i="6"/>
  <c r="X105" i="6"/>
  <c r="T104" i="6"/>
  <c r="V103" i="6"/>
  <c r="X102" i="6"/>
  <c r="A101" i="6"/>
  <c r="T99" i="6"/>
  <c r="T98" i="6"/>
  <c r="T97" i="6"/>
  <c r="S96" i="6"/>
  <c r="S95" i="6"/>
  <c r="S94" i="6"/>
  <c r="S93" i="6"/>
  <c r="F91" i="6"/>
  <c r="A90" i="6"/>
  <c r="N88" i="6"/>
  <c r="B87" i="6"/>
  <c r="A86" i="6"/>
  <c r="N84" i="6"/>
  <c r="B83" i="6"/>
  <c r="A82" i="6"/>
  <c r="N80" i="6"/>
  <c r="B79" i="6"/>
  <c r="A78" i="6"/>
  <c r="N76" i="6"/>
  <c r="J74" i="6"/>
  <c r="F72" i="6"/>
  <c r="E71" i="6"/>
  <c r="D70" i="6"/>
  <c r="F68" i="6"/>
  <c r="E67" i="6"/>
  <c r="D66" i="6"/>
  <c r="A65" i="6"/>
  <c r="N63" i="6"/>
  <c r="B62" i="6"/>
  <c r="A61" i="6"/>
  <c r="N59" i="6"/>
  <c r="B58" i="6"/>
  <c r="A57" i="6"/>
  <c r="N55" i="6"/>
  <c r="N53" i="6"/>
  <c r="B52" i="6"/>
  <c r="A51" i="6"/>
  <c r="N49" i="6"/>
  <c r="B48" i="6"/>
  <c r="A47" i="6"/>
  <c r="N45" i="6"/>
  <c r="B44" i="6"/>
  <c r="A43" i="6"/>
  <c r="N41" i="6"/>
  <c r="B40" i="6"/>
  <c r="A39" i="6"/>
  <c r="N37" i="6"/>
  <c r="N35" i="6"/>
  <c r="B34" i="6"/>
  <c r="A33" i="6"/>
  <c r="N31" i="6"/>
  <c r="B30" i="6"/>
  <c r="A29" i="6"/>
  <c r="N27" i="6"/>
  <c r="B26" i="6"/>
  <c r="A25" i="6"/>
  <c r="N23" i="6"/>
  <c r="B22" i="6"/>
  <c r="A21" i="6"/>
  <c r="N19" i="6"/>
  <c r="B18" i="6"/>
  <c r="A17" i="6"/>
  <c r="N15" i="6"/>
  <c r="B14" i="6"/>
  <c r="A13" i="6"/>
  <c r="N11" i="6"/>
  <c r="B10" i="6"/>
  <c r="A9" i="6"/>
  <c r="N7" i="6"/>
  <c r="O5" i="6"/>
  <c r="E3" i="6"/>
  <c r="C97" i="5"/>
  <c r="S93" i="5"/>
  <c r="F92" i="5"/>
  <c r="E91" i="5"/>
  <c r="D90" i="5"/>
  <c r="X88" i="5"/>
  <c r="L87" i="5"/>
  <c r="O85" i="5"/>
  <c r="F84" i="5"/>
  <c r="J83" i="5"/>
  <c r="B82" i="5"/>
  <c r="D81" i="5"/>
  <c r="V79" i="5"/>
  <c r="S78" i="5"/>
  <c r="O77" i="5"/>
  <c r="F76" i="5"/>
  <c r="Q73" i="5"/>
  <c r="F72" i="5"/>
  <c r="H71" i="5"/>
  <c r="J70" i="5"/>
  <c r="L69" i="5"/>
  <c r="B68" i="5"/>
  <c r="C67" i="5"/>
  <c r="D66" i="5"/>
  <c r="C65" i="5"/>
  <c r="D64" i="5"/>
  <c r="E63" i="5"/>
  <c r="S61" i="5"/>
  <c r="T60" i="5"/>
  <c r="V59" i="5"/>
  <c r="A59" i="5"/>
  <c r="N57" i="5"/>
  <c r="O56" i="5"/>
  <c r="Q55" i="5"/>
  <c r="F54" i="5"/>
  <c r="C52" i="5"/>
  <c r="A51" i="5"/>
  <c r="Q49" i="5"/>
  <c r="N48" i="5"/>
  <c r="L47" i="5"/>
  <c r="H46" i="5"/>
  <c r="E45" i="5"/>
  <c r="C44" i="5"/>
  <c r="A43" i="5"/>
  <c r="Q41" i="5"/>
  <c r="N40" i="5"/>
  <c r="L39" i="5"/>
  <c r="H38" i="5"/>
  <c r="E37" i="5"/>
  <c r="A36" i="5"/>
  <c r="Q34" i="5"/>
  <c r="N33" i="5"/>
  <c r="L32" i="5"/>
  <c r="H31" i="5"/>
  <c r="E30" i="5"/>
  <c r="C29" i="5"/>
  <c r="A28" i="5"/>
  <c r="Q26" i="5"/>
  <c r="N25" i="5"/>
  <c r="L24" i="5"/>
  <c r="H23" i="5"/>
  <c r="E22" i="5"/>
  <c r="C21" i="5"/>
  <c r="A20" i="5"/>
  <c r="Q18" i="5"/>
  <c r="N17" i="5"/>
  <c r="L16" i="5"/>
  <c r="H15" i="5"/>
  <c r="E14" i="5"/>
  <c r="C13" i="5"/>
  <c r="A12" i="5"/>
  <c r="Q10" i="5"/>
  <c r="N9" i="5"/>
  <c r="L8" i="5"/>
  <c r="J7" i="5"/>
  <c r="O5" i="5"/>
  <c r="E3" i="5"/>
  <c r="S78" i="4"/>
  <c r="L77" i="4"/>
  <c r="Q76" i="4"/>
  <c r="N75" i="4"/>
  <c r="Q74" i="4"/>
  <c r="L73" i="4"/>
  <c r="J72" i="4"/>
  <c r="C71" i="4"/>
  <c r="X69" i="4"/>
  <c r="V68" i="4"/>
  <c r="H67" i="4"/>
  <c r="T65" i="4"/>
  <c r="F64" i="4"/>
  <c r="E63" i="4"/>
  <c r="L62" i="4"/>
  <c r="F61" i="4"/>
  <c r="E60" i="4"/>
  <c r="J59" i="4"/>
  <c r="H58" i="4"/>
  <c r="F57" i="4"/>
  <c r="E56" i="4"/>
  <c r="J55" i="4"/>
  <c r="H54" i="4"/>
  <c r="L53" i="4"/>
  <c r="A52" i="4"/>
  <c r="L50" i="4"/>
  <c r="H49" i="4"/>
  <c r="A48" i="4"/>
  <c r="L46" i="4"/>
  <c r="H45" i="4"/>
  <c r="A44" i="4"/>
  <c r="L42" i="4"/>
  <c r="H41" i="4"/>
  <c r="A40" i="4"/>
  <c r="L38" i="4"/>
  <c r="H37" i="4"/>
  <c r="S35" i="4"/>
  <c r="N34" i="4"/>
  <c r="F33" i="4"/>
  <c r="D32" i="4"/>
  <c r="Q30" i="4"/>
  <c r="F29" i="4"/>
  <c r="D28" i="4"/>
  <c r="Q26" i="4"/>
  <c r="F25" i="4"/>
  <c r="D24" i="4"/>
  <c r="Q22" i="4"/>
  <c r="F21" i="4"/>
  <c r="D20" i="4"/>
  <c r="Q18" i="4"/>
  <c r="F17" i="4"/>
  <c r="D16" i="4"/>
  <c r="Q14" i="4"/>
  <c r="F13" i="4"/>
  <c r="D12" i="4"/>
  <c r="Q10" i="4"/>
  <c r="F9" i="4"/>
  <c r="D8" i="4"/>
  <c r="O6" i="4"/>
  <c r="O5" i="4"/>
  <c r="T60" i="3"/>
  <c r="X59" i="3"/>
  <c r="F58" i="3"/>
  <c r="L57" i="3"/>
  <c r="B56" i="3"/>
  <c r="A55" i="3"/>
  <c r="A54" i="3"/>
  <c r="E53" i="3"/>
  <c r="J52" i="3"/>
  <c r="J51" i="3"/>
  <c r="J50" i="3"/>
  <c r="J49" i="3"/>
  <c r="J48" i="3"/>
  <c r="H47" i="3"/>
  <c r="D46" i="3"/>
  <c r="D45" i="3"/>
  <c r="D44" i="3"/>
  <c r="D43" i="3"/>
  <c r="D42" i="3"/>
  <c r="D41" i="3"/>
  <c r="D40" i="3"/>
  <c r="D39" i="3"/>
  <c r="D38" i="3"/>
  <c r="D37" i="3"/>
  <c r="D36" i="3"/>
  <c r="V34" i="3"/>
  <c r="A34" i="3"/>
  <c r="A33" i="3"/>
  <c r="C32" i="3"/>
  <c r="B30" i="3"/>
  <c r="A29" i="3"/>
  <c r="N27" i="3"/>
  <c r="B26" i="3"/>
  <c r="A25" i="3"/>
  <c r="N23" i="3"/>
  <c r="B22" i="3"/>
  <c r="A21" i="3"/>
  <c r="N19" i="3"/>
  <c r="B18" i="3"/>
  <c r="A17" i="3"/>
  <c r="N15" i="3"/>
  <c r="B14" i="3"/>
  <c r="A13" i="3"/>
  <c r="Q11" i="3"/>
  <c r="O10" i="3"/>
  <c r="H9" i="3"/>
  <c r="O7" i="3"/>
  <c r="F6" i="3"/>
  <c r="N4" i="3"/>
  <c r="N69" i="2"/>
  <c r="Q68" i="2"/>
  <c r="F66" i="2"/>
  <c r="X64" i="2"/>
  <c r="F63" i="2"/>
  <c r="B62" i="2"/>
  <c r="T59" i="2"/>
  <c r="N58" i="2"/>
  <c r="L57" i="2"/>
  <c r="O56" i="2"/>
  <c r="N55" i="2"/>
  <c r="F54" i="2"/>
  <c r="C53" i="2"/>
  <c r="V51" i="2"/>
  <c r="A51" i="2"/>
  <c r="D50" i="2"/>
  <c r="C49" i="2"/>
  <c r="V47" i="2"/>
  <c r="A47" i="2"/>
  <c r="D46" i="2"/>
  <c r="F43" i="2"/>
  <c r="B42" i="2"/>
  <c r="X40" i="2"/>
  <c r="F39" i="2"/>
  <c r="B38" i="2"/>
  <c r="X36" i="2"/>
  <c r="J35" i="2"/>
  <c r="J34" i="2"/>
  <c r="J33" i="2"/>
  <c r="J32" i="2"/>
  <c r="J31" i="2"/>
  <c r="J30" i="2"/>
  <c r="N111" i="11"/>
  <c r="J90" i="11"/>
  <c r="C78" i="11"/>
  <c r="O70" i="11"/>
  <c r="A65" i="11"/>
  <c r="L57" i="11"/>
  <c r="C53" i="11"/>
  <c r="O46" i="11"/>
  <c r="H41" i="11"/>
  <c r="C37" i="11"/>
  <c r="L29" i="11"/>
  <c r="E25" i="11"/>
  <c r="A21" i="11"/>
  <c r="L13" i="11"/>
  <c r="E9" i="11"/>
  <c r="T145" i="10"/>
  <c r="X140" i="10"/>
  <c r="S136" i="10"/>
  <c r="L132" i="10"/>
  <c r="B129" i="10"/>
  <c r="L125" i="10"/>
  <c r="L119" i="10"/>
  <c r="E116" i="10"/>
  <c r="A113" i="10"/>
  <c r="T109" i="10"/>
  <c r="J104" i="10"/>
  <c r="D100" i="10"/>
  <c r="Q93" i="10"/>
  <c r="J88" i="10"/>
  <c r="D84" i="10"/>
  <c r="O75" i="10"/>
  <c r="L67" i="10"/>
  <c r="L61" i="10"/>
  <c r="E57" i="10"/>
  <c r="O50" i="10"/>
  <c r="H45" i="10"/>
  <c r="C41" i="10"/>
  <c r="F36" i="10"/>
  <c r="Q29" i="10"/>
  <c r="J24" i="10"/>
  <c r="D20" i="10"/>
  <c r="Q13" i="10"/>
  <c r="J8" i="10"/>
  <c r="X97" i="9"/>
  <c r="F94" i="9"/>
  <c r="B87" i="9"/>
  <c r="F82" i="9"/>
  <c r="B77" i="9"/>
  <c r="L69" i="9"/>
  <c r="E65" i="9"/>
  <c r="A61" i="9"/>
  <c r="L54" i="9"/>
  <c r="E47" i="9"/>
  <c r="B40" i="9"/>
  <c r="N33" i="9"/>
  <c r="F28" i="9"/>
  <c r="B24" i="9"/>
  <c r="N17" i="9"/>
  <c r="F12" i="9"/>
  <c r="B8" i="9"/>
  <c r="X98" i="8"/>
  <c r="L95" i="8"/>
  <c r="J91" i="8"/>
  <c r="D87" i="8"/>
  <c r="V81" i="8"/>
  <c r="N78" i="8"/>
  <c r="Q72" i="8"/>
  <c r="F68" i="8"/>
  <c r="N62" i="8"/>
  <c r="D57" i="8"/>
  <c r="E53" i="8"/>
  <c r="D49" i="8"/>
  <c r="C45" i="8"/>
  <c r="O40" i="8"/>
  <c r="D35" i="8"/>
  <c r="L28" i="8"/>
  <c r="E24" i="8"/>
  <c r="Q19" i="8"/>
  <c r="H15" i="8"/>
  <c r="C11" i="8"/>
  <c r="V5" i="8"/>
  <c r="T104" i="7"/>
  <c r="J100" i="7"/>
  <c r="A96" i="7"/>
  <c r="Q92" i="7"/>
  <c r="H89" i="7"/>
  <c r="X82" i="7"/>
  <c r="H78" i="7"/>
  <c r="Q74" i="7"/>
  <c r="H69" i="7"/>
  <c r="E65" i="7"/>
  <c r="A61" i="7"/>
  <c r="L55" i="7"/>
  <c r="Q51" i="7"/>
  <c r="V47" i="7"/>
  <c r="C40" i="7"/>
  <c r="H36" i="7"/>
  <c r="O31" i="7"/>
  <c r="S27" i="7"/>
  <c r="A24" i="7"/>
  <c r="J20" i="7"/>
  <c r="C16" i="7"/>
  <c r="V14" i="7"/>
  <c r="F13" i="7"/>
  <c r="S11" i="7"/>
  <c r="E10" i="7"/>
  <c r="Q8" i="7"/>
  <c r="E7" i="7"/>
  <c r="N5" i="7"/>
  <c r="F123" i="6"/>
  <c r="V121" i="6"/>
  <c r="H120" i="6"/>
  <c r="D119" i="6"/>
  <c r="A118" i="6"/>
  <c r="C117" i="6"/>
  <c r="B116" i="6"/>
  <c r="D115" i="6"/>
  <c r="C114" i="6"/>
  <c r="D113" i="6"/>
  <c r="B112" i="6"/>
  <c r="C111" i="6"/>
  <c r="A110" i="6"/>
  <c r="D109" i="6"/>
  <c r="C108" i="6"/>
  <c r="A107" i="6"/>
  <c r="B106" i="6"/>
  <c r="D105" i="6"/>
  <c r="A104" i="6"/>
  <c r="B103" i="6"/>
  <c r="C102" i="6"/>
  <c r="S99" i="6"/>
  <c r="S98" i="6"/>
  <c r="S97" i="6"/>
  <c r="X96" i="6"/>
  <c r="F95" i="6"/>
  <c r="B94" i="6"/>
  <c r="Q91" i="6"/>
  <c r="J90" i="6"/>
  <c r="C89" i="6"/>
  <c r="L87" i="6"/>
  <c r="J86" i="6"/>
  <c r="C85" i="6"/>
  <c r="L83" i="6"/>
  <c r="J82" i="6"/>
  <c r="C81" i="6"/>
  <c r="L79" i="6"/>
  <c r="J78" i="6"/>
  <c r="C77" i="6"/>
  <c r="H74" i="6"/>
  <c r="L72" i="6"/>
  <c r="J71" i="6"/>
  <c r="C70" i="6"/>
  <c r="L68" i="6"/>
  <c r="J67" i="6"/>
  <c r="A66" i="6"/>
  <c r="N64" i="6"/>
  <c r="B63" i="6"/>
  <c r="A62" i="6"/>
  <c r="N60" i="6"/>
  <c r="B59" i="6"/>
  <c r="A58" i="6"/>
  <c r="N56" i="6"/>
  <c r="B55" i="6"/>
  <c r="F53" i="6"/>
  <c r="E52" i="6"/>
  <c r="D51" i="6"/>
  <c r="F49" i="6"/>
  <c r="E48" i="6"/>
  <c r="D47" i="6"/>
  <c r="F45" i="6"/>
  <c r="E44" i="6"/>
  <c r="D43" i="6"/>
  <c r="F41" i="6"/>
  <c r="E40" i="6"/>
  <c r="D39" i="6"/>
  <c r="F37" i="6"/>
  <c r="E36" i="6"/>
  <c r="L34" i="6"/>
  <c r="J33" i="6"/>
  <c r="C32" i="6"/>
  <c r="L30" i="6"/>
  <c r="J29" i="6"/>
  <c r="C28" i="6"/>
  <c r="L26" i="6"/>
  <c r="J25" i="6"/>
  <c r="C24" i="6"/>
  <c r="L22" i="6"/>
  <c r="J21" i="6"/>
  <c r="C20" i="6"/>
  <c r="L18" i="6"/>
  <c r="J17" i="6"/>
  <c r="C16" i="6"/>
  <c r="L14" i="6"/>
  <c r="J13" i="6"/>
  <c r="C12" i="6"/>
  <c r="L10" i="6"/>
  <c r="J9" i="6"/>
  <c r="C8" i="6"/>
  <c r="N5" i="6"/>
  <c r="X97" i="5"/>
  <c r="Q95" i="5"/>
  <c r="X93" i="5"/>
  <c r="L92" i="5"/>
  <c r="J91" i="5"/>
  <c r="C90" i="5"/>
  <c r="V88" i="5"/>
  <c r="T87" i="5"/>
  <c r="T85" i="5"/>
  <c r="X84" i="5"/>
  <c r="A84" i="5"/>
  <c r="C83" i="5"/>
  <c r="E82" i="5"/>
  <c r="H81" i="5"/>
  <c r="L80" i="5"/>
  <c r="N79" i="5"/>
  <c r="Q78" i="5"/>
  <c r="T77" i="5"/>
  <c r="X76" i="5"/>
  <c r="V74" i="5"/>
  <c r="T73" i="5"/>
  <c r="V72" i="5"/>
  <c r="A72" i="5"/>
  <c r="N70" i="5"/>
  <c r="O69" i="5"/>
  <c r="Q68" i="5"/>
  <c r="F67" i="5"/>
  <c r="H66" i="5"/>
  <c r="S64" i="5"/>
  <c r="T63" i="5"/>
  <c r="V62" i="5"/>
  <c r="A62" i="5"/>
  <c r="N60" i="5"/>
  <c r="O59" i="5"/>
  <c r="Q58" i="5"/>
  <c r="F57" i="5"/>
  <c r="H56" i="5"/>
  <c r="J55" i="5"/>
  <c r="L54" i="5"/>
  <c r="O51" i="5"/>
  <c r="B50" i="5"/>
  <c r="F48" i="5"/>
  <c r="D47" i="5"/>
  <c r="J45" i="5"/>
  <c r="O43" i="5"/>
  <c r="B42" i="5"/>
  <c r="F40" i="5"/>
  <c r="D39" i="5"/>
  <c r="J37" i="5"/>
  <c r="B35" i="5"/>
  <c r="F33" i="5"/>
  <c r="D32" i="5"/>
  <c r="J30" i="5"/>
  <c r="O28" i="5"/>
  <c r="B27" i="5"/>
  <c r="F25" i="5"/>
  <c r="D24" i="5"/>
  <c r="J22" i="5"/>
  <c r="O20" i="5"/>
  <c r="B19" i="5"/>
  <c r="F17" i="5"/>
  <c r="D16" i="5"/>
  <c r="J14" i="5"/>
  <c r="O12" i="5"/>
  <c r="B11" i="5"/>
  <c r="F9" i="5"/>
  <c r="D8" i="5"/>
  <c r="S5" i="5"/>
  <c r="D3" i="5"/>
  <c r="L78" i="4"/>
  <c r="J77" i="4"/>
  <c r="J76" i="4"/>
  <c r="E75" i="4"/>
  <c r="A74" i="4"/>
  <c r="T72" i="4"/>
  <c r="F71" i="4"/>
  <c r="E70" i="4"/>
  <c r="D69" i="4"/>
  <c r="S67" i="4"/>
  <c r="L66" i="4"/>
  <c r="B65" i="4"/>
  <c r="A64" i="4"/>
  <c r="T62" i="4"/>
  <c r="X61" i="4"/>
  <c r="V60" i="4"/>
  <c r="T59" i="4"/>
  <c r="S58" i="4"/>
  <c r="X57" i="4"/>
  <c r="V56" i="4"/>
  <c r="T55" i="4"/>
  <c r="S54" i="4"/>
  <c r="O53" i="4"/>
  <c r="J52" i="4"/>
  <c r="B51" i="4"/>
  <c r="N49" i="4"/>
  <c r="J48" i="4"/>
  <c r="B47" i="4"/>
  <c r="N45" i="4"/>
  <c r="J44" i="4"/>
  <c r="B43" i="4"/>
  <c r="N41" i="4"/>
  <c r="J40" i="4"/>
  <c r="B39" i="4"/>
  <c r="N37" i="4"/>
  <c r="J36" i="4"/>
  <c r="L34" i="4"/>
  <c r="A33" i="4"/>
  <c r="L31" i="4"/>
  <c r="H30" i="4"/>
  <c r="A29" i="4"/>
  <c r="L27" i="4"/>
  <c r="H26" i="4"/>
  <c r="A25" i="4"/>
  <c r="L23" i="4"/>
  <c r="H22" i="4"/>
  <c r="A21" i="4"/>
  <c r="L19" i="4"/>
  <c r="H18" i="4"/>
  <c r="A17" i="4"/>
  <c r="L15" i="4"/>
  <c r="H14" i="4"/>
  <c r="A13" i="4"/>
  <c r="L11" i="4"/>
  <c r="H10" i="4"/>
  <c r="A9" i="4"/>
  <c r="L7" i="4"/>
  <c r="H6" i="4"/>
  <c r="S4" i="4"/>
  <c r="S60" i="3"/>
  <c r="V59" i="3"/>
  <c r="V58" i="3"/>
  <c r="A58" i="3"/>
  <c r="A57" i="3"/>
  <c r="A56" i="3"/>
  <c r="S54" i="3"/>
  <c r="O53" i="3"/>
  <c r="O52" i="3"/>
  <c r="N51" i="3"/>
  <c r="N50" i="3"/>
  <c r="N49" i="3"/>
  <c r="N48" i="3"/>
  <c r="F47" i="3"/>
  <c r="C46" i="3"/>
  <c r="C45" i="3"/>
  <c r="C44" i="3"/>
  <c r="C43" i="3"/>
  <c r="C42" i="3"/>
  <c r="C41" i="3"/>
  <c r="C40" i="3"/>
  <c r="C39" i="3"/>
  <c r="C38" i="3"/>
  <c r="C37" i="3"/>
  <c r="A36" i="3"/>
  <c r="E35" i="3"/>
  <c r="J34" i="3"/>
  <c r="D33" i="3"/>
  <c r="V31" i="3"/>
  <c r="Q30" i="3"/>
  <c r="O29" i="3"/>
  <c r="H28" i="3"/>
  <c r="Q26" i="3"/>
  <c r="O25" i="3"/>
  <c r="H24" i="3"/>
  <c r="Q22" i="3"/>
  <c r="O21" i="3"/>
  <c r="H20" i="3"/>
  <c r="Q18" i="3"/>
  <c r="O17" i="3"/>
  <c r="H16" i="3"/>
  <c r="Q14" i="3"/>
  <c r="O13" i="3"/>
  <c r="E12" i="3"/>
  <c r="D11" i="3"/>
  <c r="F9" i="3"/>
  <c r="E8" i="3"/>
  <c r="B7" i="3"/>
  <c r="E6" i="3"/>
  <c r="E5" i="3"/>
  <c r="F69" i="2"/>
  <c r="J68" i="2"/>
  <c r="Q66" i="2"/>
  <c r="Q65" i="2"/>
  <c r="V64" i="2"/>
  <c r="A64" i="2"/>
  <c r="E63" i="2"/>
  <c r="L62" i="2"/>
  <c r="Q61" i="2"/>
  <c r="S59" i="2"/>
  <c r="F58" i="2"/>
  <c r="J57" i="2"/>
  <c r="H56" i="2"/>
  <c r="B55" i="2"/>
  <c r="E54" i="2"/>
  <c r="V52" i="2"/>
  <c r="A52" i="2"/>
  <c r="D51" i="2"/>
  <c r="C50" i="2"/>
  <c r="V48" i="2"/>
  <c r="A48" i="2"/>
  <c r="D47" i="2"/>
  <c r="C46" i="2"/>
  <c r="L44" i="2"/>
  <c r="L43" i="2"/>
  <c r="Q42" i="2"/>
  <c r="V41" i="2"/>
  <c r="A41" i="2"/>
  <c r="E40" i="2"/>
  <c r="L39" i="2"/>
  <c r="Q38" i="2"/>
  <c r="V37" i="2"/>
  <c r="A37" i="2"/>
  <c r="E36" i="2"/>
  <c r="C35" i="2"/>
  <c r="C34" i="2"/>
  <c r="C33" i="2"/>
  <c r="C32" i="2"/>
  <c r="C31" i="2"/>
  <c r="C30" i="2"/>
  <c r="C29" i="2"/>
  <c r="C28" i="2"/>
  <c r="C27" i="2"/>
  <c r="L25" i="2"/>
  <c r="L24" i="2"/>
  <c r="Q23" i="2"/>
  <c r="V22" i="2"/>
  <c r="A22" i="2"/>
  <c r="E21" i="2"/>
  <c r="L20" i="2"/>
  <c r="Q19" i="2"/>
  <c r="V18" i="2"/>
  <c r="A18" i="2"/>
  <c r="E17" i="2"/>
  <c r="L16" i="2"/>
  <c r="D82" i="11"/>
  <c r="J60" i="11"/>
  <c r="E43" i="11"/>
  <c r="Q21" i="11"/>
  <c r="L142" i="10"/>
  <c r="E119" i="10"/>
  <c r="E105" i="10"/>
  <c r="D88" i="10"/>
  <c r="J64" i="10"/>
  <c r="A43" i="10"/>
  <c r="E25" i="10"/>
  <c r="D8" i="10"/>
  <c r="O76" i="9"/>
  <c r="H55" i="9"/>
  <c r="E31" i="9"/>
  <c r="D14" i="9"/>
  <c r="C79" i="8"/>
  <c r="J63" i="8"/>
  <c r="Q43" i="8"/>
  <c r="Q21" i="8"/>
  <c r="J106" i="7"/>
  <c r="L92" i="7"/>
  <c r="H75" i="7"/>
  <c r="C56" i="7"/>
  <c r="V40" i="7"/>
  <c r="O25" i="7"/>
  <c r="L14" i="7"/>
  <c r="N9" i="7"/>
  <c r="H122" i="6"/>
  <c r="X116" i="6"/>
  <c r="H113" i="6"/>
  <c r="T109" i="6"/>
  <c r="H105" i="6"/>
  <c r="X98" i="6"/>
  <c r="Q95" i="6"/>
  <c r="Q88" i="6"/>
  <c r="J83" i="6"/>
  <c r="D79" i="6"/>
  <c r="J72" i="6"/>
  <c r="D68" i="6"/>
  <c r="N61" i="6"/>
  <c r="F56" i="6"/>
  <c r="Q49" i="6"/>
  <c r="J44" i="6"/>
  <c r="D40" i="6"/>
  <c r="Q35" i="6"/>
  <c r="J30" i="6"/>
  <c r="D26" i="6"/>
  <c r="Q19" i="6"/>
  <c r="J14" i="6"/>
  <c r="D10" i="6"/>
  <c r="F5" i="6"/>
  <c r="T92" i="5"/>
  <c r="H87" i="5"/>
  <c r="B81" i="5"/>
  <c r="O76" i="5"/>
  <c r="Q71" i="5"/>
  <c r="A67" i="5"/>
  <c r="C63" i="5"/>
  <c r="H59" i="5"/>
  <c r="O54" i="5"/>
  <c r="C49" i="5"/>
  <c r="L44" i="5"/>
  <c r="A40" i="5"/>
  <c r="E35" i="5"/>
  <c r="N30" i="5"/>
  <c r="C26" i="5"/>
  <c r="L21" i="5"/>
  <c r="A17" i="5"/>
  <c r="H12" i="5"/>
  <c r="X5" i="5"/>
  <c r="D75" i="4"/>
  <c r="A71" i="4"/>
  <c r="J64" i="4"/>
  <c r="T60" i="4"/>
  <c r="O56" i="4"/>
  <c r="O50" i="4"/>
  <c r="C46" i="4"/>
  <c r="H40" i="4"/>
  <c r="V35" i="4"/>
  <c r="D31" i="4"/>
  <c r="J25" i="4"/>
  <c r="Q19" i="4"/>
  <c r="D15" i="4"/>
  <c r="J9" i="4"/>
  <c r="N3" i="4"/>
  <c r="S57" i="3"/>
  <c r="B52" i="3"/>
  <c r="E47" i="3"/>
  <c r="F42" i="3"/>
  <c r="T35" i="3"/>
  <c r="J31" i="3"/>
  <c r="A27" i="3"/>
  <c r="L19" i="3"/>
  <c r="E15" i="3"/>
  <c r="O8" i="3"/>
  <c r="A3" i="3"/>
  <c r="O65" i="2"/>
  <c r="O61" i="2"/>
  <c r="C57" i="2"/>
  <c r="Q53" i="2"/>
  <c r="L49" i="2"/>
  <c r="C47" i="2"/>
  <c r="D43" i="2"/>
  <c r="D41" i="2"/>
  <c r="D39" i="2"/>
  <c r="D37" i="2"/>
  <c r="B35" i="2"/>
  <c r="F32" i="2"/>
  <c r="L29" i="2"/>
  <c r="J28" i="2"/>
  <c r="F27" i="2"/>
  <c r="H25" i="2"/>
  <c r="B24" i="2"/>
  <c r="S22" i="2"/>
  <c r="X20" i="2"/>
  <c r="T19" i="2"/>
  <c r="D18" i="2"/>
  <c r="O16" i="2"/>
  <c r="Q15" i="2"/>
  <c r="V14" i="2"/>
  <c r="A14" i="2"/>
  <c r="E13" i="2"/>
  <c r="L12" i="2"/>
  <c r="Q11" i="2"/>
  <c r="V10" i="2"/>
  <c r="A10" i="2"/>
  <c r="E9" i="2"/>
  <c r="L8" i="2"/>
  <c r="Q7" i="2"/>
  <c r="V5" i="2"/>
  <c r="N3" i="2"/>
  <c r="B78" i="1"/>
  <c r="V76" i="1"/>
  <c r="X75" i="1"/>
  <c r="N73" i="1"/>
  <c r="H72" i="1"/>
  <c r="H71" i="1"/>
  <c r="C70" i="1"/>
  <c r="S68" i="1"/>
  <c r="X67" i="1"/>
  <c r="Q66" i="1"/>
  <c r="F65" i="1"/>
  <c r="L64" i="1"/>
  <c r="Q63" i="1"/>
  <c r="V62" i="1"/>
  <c r="A62" i="1"/>
  <c r="E61" i="1"/>
  <c r="L60" i="1"/>
  <c r="Q59" i="1"/>
  <c r="V58" i="1"/>
  <c r="A58" i="1"/>
  <c r="E57" i="1"/>
  <c r="L56" i="1"/>
  <c r="Q55" i="1"/>
  <c r="T54" i="1"/>
  <c r="O53" i="1"/>
  <c r="H52" i="1"/>
  <c r="H51" i="1"/>
  <c r="H50" i="1"/>
  <c r="Q48" i="1"/>
  <c r="O47" i="1"/>
  <c r="H46" i="1"/>
  <c r="Q44" i="1"/>
  <c r="O43" i="1"/>
  <c r="H42" i="1"/>
  <c r="Q40" i="1"/>
  <c r="O39" i="1"/>
  <c r="O38" i="1"/>
  <c r="H37" i="1"/>
  <c r="F35" i="1"/>
  <c r="E34" i="1"/>
  <c r="D33" i="1"/>
  <c r="F31" i="1"/>
  <c r="E30" i="1"/>
  <c r="D29" i="1"/>
  <c r="F27" i="1"/>
  <c r="E26" i="1"/>
  <c r="D25" i="1"/>
  <c r="F23" i="1"/>
  <c r="D22" i="1"/>
  <c r="F20" i="1"/>
  <c r="E19" i="1"/>
  <c r="D18" i="1"/>
  <c r="F16" i="1"/>
  <c r="E15" i="1"/>
  <c r="D14" i="1"/>
  <c r="F12" i="1"/>
  <c r="E11" i="1"/>
  <c r="D10" i="1"/>
  <c r="F8" i="1"/>
  <c r="E7" i="1"/>
  <c r="H6" i="1"/>
  <c r="A5" i="1"/>
  <c r="A5" i="11"/>
  <c r="D107" i="10"/>
  <c r="A57" i="10"/>
  <c r="B78" i="9"/>
  <c r="A11" i="9"/>
  <c r="J40" i="8"/>
  <c r="O60" i="7"/>
  <c r="A16" i="7"/>
  <c r="E116" i="6"/>
  <c r="Q104" i="6"/>
  <c r="J91" i="6"/>
  <c r="J79" i="6"/>
  <c r="B64" i="6"/>
  <c r="A49" i="6"/>
  <c r="N29" i="6"/>
  <c r="A19" i="6"/>
  <c r="V97" i="5"/>
  <c r="D82" i="5"/>
  <c r="E67" i="5"/>
  <c r="T54" i="5"/>
  <c r="C39" i="5"/>
  <c r="E25" i="5"/>
  <c r="L11" i="5"/>
  <c r="J75" i="4"/>
  <c r="V64" i="4"/>
  <c r="E54" i="4"/>
  <c r="A36" i="4"/>
  <c r="B20" i="4"/>
  <c r="F6" i="4"/>
  <c r="X49" i="3"/>
  <c r="X36" i="3"/>
  <c r="B24" i="3"/>
  <c r="T6" i="3"/>
  <c r="T61" i="2"/>
  <c r="A53" i="2"/>
  <c r="F47" i="2"/>
  <c r="N42" i="2"/>
  <c r="N38" i="2"/>
  <c r="A34" i="2"/>
  <c r="V30" i="2"/>
  <c r="B27" i="2"/>
  <c r="F22" i="2"/>
  <c r="T18" i="2"/>
  <c r="B12" i="2"/>
  <c r="F8" i="2"/>
  <c r="H78" i="1"/>
  <c r="C75" i="1"/>
  <c r="D70" i="1"/>
  <c r="N65" i="1"/>
  <c r="B62" i="1"/>
  <c r="X56" i="1"/>
  <c r="A53" i="1"/>
  <c r="D50" i="1"/>
  <c r="D46" i="1"/>
  <c r="D42" i="1"/>
  <c r="V38" i="1"/>
  <c r="N35" i="1"/>
  <c r="H31" i="1"/>
  <c r="H27" i="1"/>
  <c r="O21" i="1"/>
  <c r="D17" i="1"/>
  <c r="J13" i="1"/>
  <c r="D9" i="1"/>
  <c r="O5" i="1"/>
  <c r="D107" i="11"/>
  <c r="N63" i="11"/>
  <c r="J46" i="11"/>
  <c r="A25" i="11"/>
  <c r="L145" i="10"/>
  <c r="Q121" i="10"/>
  <c r="T108" i="10"/>
  <c r="C87" i="10"/>
  <c r="C59" i="10"/>
  <c r="O32" i="10"/>
  <c r="H11" i="10"/>
  <c r="F93" i="9"/>
  <c r="H71" i="9"/>
  <c r="E43" i="9"/>
  <c r="N21" i="9"/>
  <c r="D96" i="8"/>
  <c r="Q81" i="8"/>
  <c r="H62" i="8"/>
  <c r="N42" i="8"/>
  <c r="N20" i="8"/>
  <c r="X101" i="7"/>
  <c r="C78" i="7"/>
  <c r="E55" i="7"/>
  <c r="V39" i="7"/>
  <c r="Q24" i="7"/>
  <c r="D14" i="7"/>
  <c r="A8" i="7"/>
  <c r="B122" i="6"/>
  <c r="T115" i="6"/>
  <c r="F111" i="6"/>
  <c r="V107" i="6"/>
  <c r="E103" i="6"/>
  <c r="E96" i="6"/>
  <c r="A93" i="6"/>
  <c r="H86" i="6"/>
  <c r="C82" i="6"/>
  <c r="E73" i="6"/>
  <c r="A69" i="6"/>
  <c r="H61" i="6"/>
  <c r="C57" i="6"/>
  <c r="O52" i="6"/>
  <c r="H47" i="6"/>
  <c r="C43" i="6"/>
  <c r="O36" i="6"/>
  <c r="F32" i="6"/>
  <c r="B28" i="6"/>
  <c r="N21" i="6"/>
  <c r="F16" i="6"/>
  <c r="B12" i="6"/>
  <c r="S3" i="6"/>
  <c r="J92" i="5"/>
  <c r="D88" i="5"/>
  <c r="O82" i="5"/>
  <c r="D78" i="5"/>
  <c r="H73" i="5"/>
  <c r="O68" i="5"/>
  <c r="T62" i="5"/>
  <c r="C59" i="5"/>
  <c r="H55" i="5"/>
  <c r="A50" i="5"/>
  <c r="H45" i="5"/>
  <c r="Q40" i="5"/>
  <c r="E36" i="5"/>
  <c r="L31" i="5"/>
  <c r="A27" i="5"/>
  <c r="H22" i="5"/>
  <c r="Q17" i="5"/>
  <c r="E13" i="5"/>
  <c r="N8" i="5"/>
  <c r="T77" i="4"/>
  <c r="V70" i="4"/>
  <c r="J66" i="4"/>
  <c r="H62" i="4"/>
  <c r="X58" i="4"/>
  <c r="N55" i="4"/>
  <c r="H50" i="4"/>
  <c r="O44" i="4"/>
  <c r="C40" i="4"/>
  <c r="J34" i="4"/>
  <c r="N28" i="4"/>
  <c r="B24" i="4"/>
  <c r="F18" i="4"/>
  <c r="N12" i="4"/>
  <c r="B8" i="4"/>
  <c r="J58" i="3"/>
  <c r="N53" i="3"/>
  <c r="F50" i="3"/>
  <c r="F45" i="3"/>
  <c r="X38" i="3"/>
  <c r="S34" i="3"/>
  <c r="A31" i="3"/>
  <c r="L23" i="3"/>
  <c r="E19" i="3"/>
  <c r="A15" i="3"/>
  <c r="J8" i="3"/>
  <c r="V69" i="2"/>
  <c r="O64" i="2"/>
  <c r="Q58" i="2"/>
  <c r="E55" i="2"/>
  <c r="S51" i="2"/>
  <c r="S48" i="2"/>
  <c r="Q46" i="2"/>
  <c r="C43" i="2"/>
  <c r="C41" i="2"/>
  <c r="C39" i="2"/>
  <c r="C37" i="2"/>
  <c r="L35" i="2"/>
  <c r="V33" i="2"/>
  <c r="E32" i="2"/>
  <c r="Q30" i="2"/>
  <c r="J29" i="2"/>
  <c r="F28" i="2"/>
  <c r="T25" i="2"/>
  <c r="N24" i="2"/>
  <c r="J22" i="2"/>
  <c r="H21" i="2"/>
  <c r="F20" i="2"/>
  <c r="C18" i="2"/>
  <c r="B17" i="2"/>
  <c r="T15" i="2"/>
  <c r="T14" i="2"/>
  <c r="T13" i="2"/>
  <c r="T12" i="2"/>
  <c r="T11" i="2"/>
  <c r="T10" i="2"/>
  <c r="T9" i="2"/>
  <c r="D98" i="18"/>
  <c r="E21" i="18"/>
  <c r="J19" i="15"/>
  <c r="L12" i="18"/>
  <c r="D54" i="16"/>
  <c r="C111" i="15"/>
  <c r="A28" i="15"/>
  <c r="B59" i="17"/>
  <c r="E57" i="16"/>
  <c r="J113" i="15"/>
  <c r="J30" i="15"/>
  <c r="X312" i="14"/>
  <c r="A166" i="14"/>
  <c r="A15" i="14"/>
  <c r="O75" i="13"/>
  <c r="D113" i="12"/>
  <c r="F30" i="12"/>
  <c r="F367" i="14"/>
  <c r="D227" i="14"/>
  <c r="B77" i="14"/>
  <c r="O102" i="13"/>
  <c r="C15" i="13"/>
  <c r="H59" i="12"/>
  <c r="D317" i="14"/>
  <c r="Q170" i="14"/>
  <c r="D18" i="14"/>
  <c r="L68" i="13"/>
  <c r="D109" i="12"/>
  <c r="E61" i="12"/>
  <c r="D34" i="12"/>
  <c r="J5" i="12"/>
  <c r="C98" i="11"/>
  <c r="O73" i="11"/>
  <c r="A340" i="14"/>
  <c r="Q298" i="14"/>
  <c r="B248" i="14"/>
  <c r="O196" i="14"/>
  <c r="A147" i="14"/>
  <c r="C97" i="14"/>
  <c r="A52" i="14"/>
  <c r="C14" i="14"/>
  <c r="X123" i="13"/>
  <c r="F102" i="13"/>
  <c r="L81" i="13"/>
  <c r="L59" i="13"/>
  <c r="F38" i="13"/>
  <c r="N17" i="13"/>
  <c r="E118" i="12"/>
  <c r="A102" i="12"/>
  <c r="B83" i="12"/>
  <c r="J61" i="12"/>
  <c r="E40" i="12"/>
  <c r="F18" i="12"/>
  <c r="O114" i="11"/>
  <c r="X94" i="11"/>
  <c r="D90" i="11"/>
  <c r="E58" i="11"/>
  <c r="L36" i="11"/>
  <c r="Q14" i="11"/>
  <c r="H133" i="10"/>
  <c r="O115" i="10"/>
  <c r="H96" i="10"/>
  <c r="B72" i="10"/>
  <c r="C50" i="10"/>
  <c r="B27" i="10"/>
  <c r="N4" i="10"/>
  <c r="Q86" i="9"/>
  <c r="L70" i="9"/>
  <c r="D47" i="9"/>
  <c r="L24" i="9"/>
  <c r="Q101" i="8"/>
  <c r="V83" i="8"/>
  <c r="D67" i="8"/>
  <c r="X48" i="8"/>
  <c r="C27" i="8"/>
  <c r="N5" i="8"/>
  <c r="D94" i="7"/>
  <c r="J79" i="7"/>
  <c r="X58" i="7"/>
  <c r="C39" i="7"/>
  <c r="B21" i="7"/>
  <c r="J80" i="11"/>
  <c r="O54" i="11"/>
  <c r="D34" i="11"/>
  <c r="F12" i="11"/>
  <c r="X133" i="10"/>
  <c r="H115" i="10"/>
  <c r="O94" i="10"/>
  <c r="D71" i="10"/>
  <c r="O48" i="10"/>
  <c r="A27" i="10"/>
  <c r="E5" i="10"/>
  <c r="O84" i="9"/>
  <c r="F64" i="9"/>
  <c r="A41" i="9"/>
  <c r="N19" i="9"/>
  <c r="F97" i="8"/>
  <c r="Q78" i="8"/>
  <c r="X57" i="8"/>
  <c r="F37" i="8"/>
  <c r="C16" i="8"/>
  <c r="D101" i="7"/>
  <c r="T84" i="7"/>
  <c r="A69" i="7"/>
  <c r="V50" i="7"/>
  <c r="S34" i="7"/>
  <c r="A18" i="7"/>
  <c r="J76" i="11"/>
  <c r="C52" i="11"/>
  <c r="N30" i="11"/>
  <c r="B9" i="11"/>
  <c r="H130" i="10"/>
  <c r="L109" i="10"/>
  <c r="L88" i="10"/>
  <c r="B65" i="10"/>
  <c r="C44" i="10"/>
  <c r="C22" i="10"/>
  <c r="D99" i="9"/>
  <c r="S80" i="9"/>
  <c r="L60" i="9"/>
  <c r="H36" i="9"/>
  <c r="Q14" i="9"/>
  <c r="Q94" i="8"/>
  <c r="O78" i="8"/>
  <c r="Q59" i="8"/>
  <c r="E40" i="8"/>
  <c r="N29" i="8"/>
  <c r="L18" i="8"/>
  <c r="O7" i="8"/>
  <c r="A104" i="7"/>
  <c r="E99" i="7"/>
  <c r="F92" i="7"/>
  <c r="S86" i="7"/>
  <c r="N81" i="7"/>
  <c r="O75" i="7"/>
  <c r="J69" i="7"/>
  <c r="D63" i="7"/>
  <c r="O56" i="7"/>
  <c r="J50" i="7"/>
  <c r="L44" i="7"/>
  <c r="B38" i="7"/>
  <c r="V32" i="7"/>
  <c r="V26" i="7"/>
  <c r="E20" i="7"/>
  <c r="F14" i="7"/>
  <c r="B8" i="7"/>
  <c r="Q123" i="6"/>
  <c r="H119" i="6"/>
  <c r="N81" i="11"/>
  <c r="N53" i="11"/>
  <c r="D32" i="11"/>
  <c r="Q9" i="11"/>
  <c r="E131" i="10"/>
  <c r="L113" i="10"/>
  <c r="E93" i="10"/>
  <c r="F71" i="10"/>
  <c r="D50" i="10"/>
  <c r="C27" i="10"/>
  <c r="N101" i="9"/>
  <c r="F80" i="9"/>
  <c r="F58" i="9"/>
  <c r="H37" i="9"/>
  <c r="C17" i="9"/>
  <c r="J93" i="8"/>
  <c r="F77" i="8"/>
  <c r="J58" i="8"/>
  <c r="O35" i="8"/>
  <c r="O12" i="8"/>
  <c r="H97" i="7"/>
  <c r="Q79" i="7"/>
  <c r="N63" i="7"/>
  <c r="J47" i="7"/>
  <c r="C31" i="7"/>
  <c r="V15" i="7"/>
  <c r="J10" i="7"/>
  <c r="A5" i="7"/>
  <c r="A119" i="6"/>
  <c r="X114" i="6"/>
  <c r="T110" i="6"/>
  <c r="X106" i="6"/>
  <c r="S102" i="6"/>
  <c r="E98" i="6"/>
  <c r="J94" i="6"/>
  <c r="J88" i="6"/>
  <c r="C83" i="6"/>
  <c r="L77" i="6"/>
  <c r="B71" i="6"/>
  <c r="F65" i="6"/>
  <c r="E60" i="6"/>
  <c r="D55" i="6"/>
  <c r="O49" i="6"/>
  <c r="H44" i="6"/>
  <c r="Q38" i="6"/>
  <c r="F33" i="6"/>
  <c r="E28" i="6"/>
  <c r="D23" i="6"/>
  <c r="F17" i="6"/>
  <c r="E12" i="6"/>
  <c r="D7" i="6"/>
  <c r="A94" i="5"/>
  <c r="D89" i="5"/>
  <c r="X83" i="5"/>
  <c r="H80" i="5"/>
  <c r="T76" i="5"/>
  <c r="J71" i="5"/>
  <c r="D67" i="5"/>
  <c r="S62" i="5"/>
  <c r="N58" i="5"/>
  <c r="H54" i="5"/>
  <c r="B47" i="5"/>
  <c r="O40" i="5"/>
  <c r="F34" i="5"/>
  <c r="B28" i="5"/>
  <c r="O21" i="5"/>
  <c r="J15" i="5"/>
  <c r="D9" i="5"/>
  <c r="H78" i="4"/>
  <c r="B73" i="4"/>
  <c r="E68" i="4"/>
  <c r="B63" i="4"/>
  <c r="Q58" i="4"/>
  <c r="Q54" i="4"/>
  <c r="D49" i="4"/>
  <c r="Q43" i="4"/>
  <c r="F38" i="4"/>
  <c r="C33" i="4"/>
  <c r="O27" i="4"/>
  <c r="E22" i="4"/>
  <c r="C17" i="4"/>
  <c r="O11" i="4"/>
  <c r="L6" i="4"/>
  <c r="S58" i="3"/>
  <c r="X53" i="3"/>
  <c r="A50" i="3"/>
  <c r="Q46" i="3"/>
  <c r="L43" i="3"/>
  <c r="E40" i="3"/>
  <c r="A37" i="3"/>
  <c r="J32" i="3"/>
  <c r="D27" i="3"/>
  <c r="F21" i="3"/>
  <c r="E16" i="3"/>
  <c r="L10" i="3"/>
  <c r="N5" i="3"/>
  <c r="H65" i="2"/>
  <c r="H61" i="2"/>
  <c r="Q56" i="2"/>
  <c r="S52" i="2"/>
  <c r="B10" i="12"/>
  <c r="L72" i="11"/>
  <c r="D50" i="11"/>
  <c r="N27" i="11"/>
  <c r="N5" i="11"/>
  <c r="X123" i="10"/>
  <c r="D109" i="10"/>
  <c r="O88" i="10"/>
  <c r="D66" i="10"/>
  <c r="J42" i="10"/>
  <c r="J20" i="10"/>
  <c r="B98" i="9"/>
  <c r="F79" i="9"/>
  <c r="B58" i="9"/>
  <c r="B36" i="9"/>
  <c r="N13" i="9"/>
  <c r="D93" i="8"/>
  <c r="B77" i="8"/>
  <c r="L56" i="8"/>
  <c r="H34" i="8"/>
  <c r="J12" i="8"/>
  <c r="B98" i="7"/>
  <c r="B83" i="7"/>
  <c r="J67" i="7"/>
  <c r="V51" i="7"/>
  <c r="N35" i="7"/>
  <c r="V17" i="7"/>
  <c r="T11" i="7"/>
  <c r="E6" i="7"/>
  <c r="C120" i="6"/>
  <c r="L115" i="6"/>
  <c r="Q111" i="6"/>
  <c r="N107" i="6"/>
  <c r="O103" i="6"/>
  <c r="O98" i="6"/>
  <c r="N94" i="6"/>
  <c r="H88" i="6"/>
  <c r="Q82" i="6"/>
  <c r="O77" i="6"/>
  <c r="A71" i="6"/>
  <c r="Q65" i="6"/>
  <c r="O60" i="6"/>
  <c r="H55" i="6"/>
  <c r="H49" i="6"/>
  <c r="Q43" i="6"/>
  <c r="O38" i="6"/>
  <c r="O32" i="6"/>
  <c r="H27" i="6"/>
  <c r="Q21" i="6"/>
  <c r="O16" i="6"/>
  <c r="H11" i="6"/>
  <c r="J5" i="6"/>
  <c r="B92" i="5"/>
  <c r="E87" i="5"/>
  <c r="V81" i="5"/>
  <c r="J77" i="5"/>
  <c r="C71" i="5"/>
  <c r="T66" i="5"/>
  <c r="A63" i="5"/>
  <c r="F58" i="5"/>
  <c r="A53" i="5"/>
  <c r="H48" i="5"/>
  <c r="Q43" i="5"/>
  <c r="E39" i="5"/>
  <c r="L34" i="5"/>
  <c r="A30" i="5"/>
  <c r="H25" i="5"/>
  <c r="Q20" i="5"/>
  <c r="E16" i="5"/>
  <c r="N11" i="5"/>
  <c r="D7" i="5"/>
  <c r="E77" i="4"/>
  <c r="E73" i="4"/>
  <c r="J68" i="4"/>
  <c r="A63" i="4"/>
  <c r="D59" i="4"/>
  <c r="D55" i="4"/>
  <c r="E50" i="4"/>
  <c r="C45" i="4"/>
  <c r="O39" i="4"/>
  <c r="F34" i="4"/>
  <c r="B29" i="4"/>
  <c r="N23" i="4"/>
  <c r="J18" i="4"/>
  <c r="B13" i="4"/>
  <c r="N7" i="4"/>
  <c r="L59" i="3"/>
  <c r="T54" i="3"/>
  <c r="D51" i="3"/>
  <c r="T46" i="3"/>
  <c r="T42" i="3"/>
  <c r="T38" i="3"/>
  <c r="Q34" i="3"/>
  <c r="Q29" i="3"/>
  <c r="O24" i="3"/>
  <c r="H19" i="3"/>
  <c r="Q13" i="3"/>
  <c r="C9" i="3"/>
  <c r="H69" i="2"/>
  <c r="B63" i="2"/>
  <c r="E57" i="2"/>
  <c r="X52" i="2"/>
  <c r="X48" i="2"/>
  <c r="B43" i="2"/>
  <c r="X37" i="2"/>
  <c r="D33" i="2"/>
  <c r="N104" i="11"/>
  <c r="Q61" i="11"/>
  <c r="F40" i="11"/>
  <c r="Q17" i="11"/>
  <c r="A140" i="10"/>
  <c r="V121" i="10"/>
  <c r="D108" i="10"/>
  <c r="H87" i="10"/>
  <c r="J60" i="10"/>
  <c r="L39" i="10"/>
  <c r="C19" i="10"/>
  <c r="X89" i="9"/>
  <c r="J68" i="9"/>
  <c r="L43" i="9"/>
  <c r="A23" i="9"/>
  <c r="B98" i="8"/>
  <c r="A81" i="8"/>
  <c r="S61" i="8"/>
  <c r="B44" i="8"/>
  <c r="D23" i="8"/>
  <c r="D3" i="8"/>
  <c r="V91" i="7"/>
  <c r="Q73" i="7"/>
  <c r="N54" i="7"/>
  <c r="H35" i="7"/>
  <c r="N18" i="7"/>
  <c r="L11" i="7"/>
  <c r="E5" i="7"/>
  <c r="V118" i="6"/>
  <c r="T114" i="6"/>
  <c r="X110" i="6"/>
  <c r="T106" i="6"/>
  <c r="V102" i="6"/>
  <c r="N97" i="6"/>
  <c r="L91" i="6"/>
  <c r="D86" i="6"/>
  <c r="F80" i="6"/>
  <c r="F73" i="6"/>
  <c r="E68" i="6"/>
  <c r="Q62" i="6"/>
  <c r="O57" i="6"/>
  <c r="A52" i="6"/>
  <c r="N46" i="6"/>
  <c r="B41" i="6"/>
  <c r="F35" i="6"/>
  <c r="E30" i="6"/>
  <c r="D25" i="6"/>
  <c r="F19" i="6"/>
  <c r="E14" i="6"/>
  <c r="D9" i="6"/>
  <c r="L95" i="5"/>
  <c r="X89" i="5"/>
  <c r="Q84" i="5"/>
  <c r="C81" i="5"/>
  <c r="N77" i="5"/>
  <c r="Q72" i="5"/>
  <c r="L68" i="5"/>
  <c r="O63" i="5"/>
  <c r="J59" i="5"/>
  <c r="D55" i="5"/>
  <c r="B48" i="5"/>
  <c r="O41" i="5"/>
  <c r="O34" i="5"/>
  <c r="J28" i="5"/>
  <c r="D22" i="5"/>
  <c r="F15" i="5"/>
  <c r="B9" i="5"/>
  <c r="E78" i="4"/>
  <c r="V73" i="4"/>
  <c r="T68" i="4"/>
  <c r="V63" i="4"/>
  <c r="O59" i="4"/>
  <c r="O55" i="4"/>
  <c r="Q50" i="4"/>
  <c r="F45" i="4"/>
  <c r="D40" i="4"/>
  <c r="E34" i="4"/>
  <c r="O28" i="4"/>
  <c r="E23" i="4"/>
  <c r="C18" i="4"/>
  <c r="O12" i="4"/>
  <c r="E7" i="4"/>
  <c r="Q59" i="3"/>
  <c r="T55" i="3"/>
  <c r="H51" i="3"/>
  <c r="S46" i="3"/>
  <c r="S42" i="3"/>
  <c r="S38" i="3"/>
  <c r="A35" i="3"/>
  <c r="L30" i="3"/>
  <c r="J25" i="3"/>
  <c r="C20" i="3"/>
  <c r="L14" i="3"/>
  <c r="B9" i="3"/>
  <c r="N3" i="3"/>
  <c r="L65" i="2"/>
  <c r="E62" i="2"/>
  <c r="D57" i="2"/>
  <c r="Q52" i="2"/>
  <c r="Q48" i="2"/>
  <c r="E44" i="2"/>
  <c r="V40" i="2"/>
  <c r="Q37" i="2"/>
  <c r="S33" i="2"/>
  <c r="S29" i="2"/>
  <c r="E25" i="2"/>
  <c r="V21" i="2"/>
  <c r="Q18" i="2"/>
  <c r="F76" i="11"/>
  <c r="H137" i="10"/>
  <c r="D60" i="10"/>
  <c r="J72" i="9"/>
  <c r="T75" i="8"/>
  <c r="T102" i="7"/>
  <c r="B37" i="7"/>
  <c r="C121" i="6"/>
  <c r="J104" i="6"/>
  <c r="H82" i="6"/>
  <c r="L59" i="6"/>
  <c r="C39" i="6"/>
  <c r="O18" i="6"/>
  <c r="S91" i="5"/>
  <c r="S69" i="5"/>
  <c r="L52" i="5"/>
  <c r="C34" i="5"/>
  <c r="Q15" i="5"/>
  <c r="X67" i="4"/>
  <c r="L49" i="4"/>
  <c r="B30" i="4"/>
  <c r="F8" i="4"/>
  <c r="F46" i="3"/>
  <c r="Q23" i="3"/>
  <c r="E69" i="2"/>
  <c r="T52" i="2"/>
  <c r="T40" i="2"/>
  <c r="X31" i="2"/>
  <c r="X24" i="2"/>
  <c r="N19" i="2"/>
  <c r="Q14" i="2"/>
  <c r="L11" i="2"/>
  <c r="E8" i="2"/>
  <c r="X77" i="1"/>
  <c r="C72" i="1"/>
  <c r="F67" i="1"/>
  <c r="L63" i="1"/>
  <c r="E60" i="1"/>
  <c r="A57" i="1"/>
  <c r="J53" i="1"/>
  <c r="L48" i="1"/>
  <c r="J43" i="1"/>
  <c r="J38" i="1"/>
  <c r="N32" i="1"/>
  <c r="B27" i="1"/>
  <c r="N21" i="1"/>
  <c r="B16" i="1"/>
  <c r="A11" i="1"/>
  <c r="S5" i="1"/>
  <c r="L65" i="10"/>
  <c r="E69" i="9"/>
  <c r="D91" i="8"/>
  <c r="S96" i="7"/>
  <c r="C11" i="7"/>
  <c r="V110" i="6"/>
  <c r="A95" i="6"/>
  <c r="E76" i="6"/>
  <c r="E53" i="6"/>
  <c r="D36" i="6"/>
  <c r="Q15" i="6"/>
  <c r="V89" i="5"/>
  <c r="B70" i="5"/>
  <c r="H49" i="5"/>
  <c r="C32" i="5"/>
  <c r="A15" i="5"/>
  <c r="H73" i="4"/>
  <c r="F59" i="4"/>
  <c r="L39" i="4"/>
  <c r="N16" i="4"/>
  <c r="X54" i="3"/>
  <c r="B40" i="3"/>
  <c r="N17" i="3"/>
  <c r="T66" i="2"/>
  <c r="T54" i="2"/>
  <c r="L46" i="2"/>
  <c r="N40" i="2"/>
  <c r="E35" i="2"/>
  <c r="A30" i="2"/>
  <c r="O23" i="2"/>
  <c r="O19" i="2"/>
  <c r="F11" i="2"/>
  <c r="N4" i="2"/>
  <c r="S75" i="1"/>
  <c r="D69" i="1"/>
  <c r="X63" i="1"/>
  <c r="B58" i="1"/>
  <c r="D52" i="1"/>
  <c r="Q47" i="1"/>
  <c r="A43" i="1"/>
  <c r="E38" i="1"/>
  <c r="E33" i="1"/>
  <c r="D28" i="1"/>
  <c r="C20" i="1"/>
  <c r="B15" i="1"/>
  <c r="E10" i="1"/>
  <c r="E4" i="1"/>
  <c r="Q74" i="11"/>
  <c r="O50" i="11"/>
  <c r="O20" i="11"/>
  <c r="D133" i="10"/>
  <c r="A112" i="10"/>
  <c r="N72" i="10"/>
  <c r="D46" i="10"/>
  <c r="N15" i="10"/>
  <c r="B86" i="9"/>
  <c r="E54" i="9"/>
  <c r="D30" i="9"/>
  <c r="T92" i="8"/>
  <c r="E71" i="8"/>
  <c r="B47" i="8"/>
  <c r="E16" i="8"/>
  <c r="F88" i="7"/>
  <c r="S58" i="7"/>
  <c r="A36" i="7"/>
  <c r="L17" i="7"/>
  <c r="E9" i="7"/>
  <c r="V120" i="6"/>
  <c r="C113" i="6"/>
  <c r="S108" i="6"/>
  <c r="F102" i="6"/>
  <c r="Q94" i="6"/>
  <c r="J87" i="6"/>
  <c r="B81" i="6"/>
  <c r="C71" i="6"/>
  <c r="J62" i="6"/>
  <c r="B56" i="6"/>
  <c r="L49" i="6"/>
  <c r="D44" i="6"/>
  <c r="L35" i="6"/>
  <c r="D30" i="6"/>
  <c r="O22" i="6"/>
  <c r="E15" i="6"/>
  <c r="Q7" i="6"/>
  <c r="L93" i="5"/>
  <c r="C87" i="5"/>
  <c r="V80" i="5"/>
  <c r="J74" i="5"/>
  <c r="Q67" i="5"/>
  <c r="A61" i="5"/>
  <c r="F56" i="5"/>
  <c r="Q48" i="5"/>
  <c r="C43" i="5"/>
  <c r="H37" i="5"/>
  <c r="H30" i="5"/>
  <c r="N24" i="5"/>
  <c r="A19" i="5"/>
  <c r="C12" i="5"/>
  <c r="C3" i="5"/>
  <c r="X71" i="4"/>
  <c r="E65" i="4"/>
  <c r="O60" i="4"/>
  <c r="H56" i="4"/>
  <c r="E49" i="4"/>
  <c r="H42" i="4"/>
  <c r="Q35" i="4"/>
  <c r="J27" i="4"/>
  <c r="N20" i="4"/>
  <c r="Q13" i="4"/>
  <c r="B3" i="4"/>
  <c r="J56" i="3"/>
  <c r="B51" i="3"/>
  <c r="X42" i="3"/>
  <c r="F37" i="3"/>
  <c r="A32" i="3"/>
  <c r="J22" i="3"/>
  <c r="C17" i="3"/>
  <c r="L9" i="3"/>
  <c r="C68" i="2"/>
  <c r="D62" i="2"/>
  <c r="B56" i="2"/>
  <c r="X50" i="2"/>
  <c r="X47" i="2"/>
  <c r="N43" i="2"/>
  <c r="S40" i="2"/>
  <c r="H38" i="2"/>
  <c r="V35" i="2"/>
  <c r="L33" i="2"/>
  <c r="L31" i="2"/>
  <c r="Q29" i="2"/>
  <c r="A28" i="2"/>
  <c r="F25" i="2"/>
  <c r="D23" i="2"/>
  <c r="B21" i="2"/>
  <c r="D19" i="2"/>
  <c r="H17" i="2"/>
  <c r="O15" i="2"/>
  <c r="J14" i="2"/>
  <c r="D13" i="2"/>
  <c r="O11" i="2"/>
  <c r="J10" i="2"/>
  <c r="D9" i="2"/>
  <c r="D8" i="2"/>
  <c r="D7" i="2"/>
  <c r="J5" i="2"/>
  <c r="A3" i="2"/>
  <c r="A78" i="1"/>
  <c r="E77" i="1"/>
  <c r="J76" i="1"/>
  <c r="L75" i="1"/>
  <c r="F73" i="1"/>
  <c r="B72" i="1"/>
  <c r="X70" i="1"/>
  <c r="F69" i="1"/>
  <c r="E68" i="1"/>
  <c r="E67" i="1"/>
  <c r="J66" i="1"/>
  <c r="L65" i="1"/>
  <c r="J64" i="1"/>
  <c r="J63" i="1"/>
  <c r="J62" i="1"/>
  <c r="J61" i="1"/>
  <c r="J60" i="1"/>
  <c r="J59" i="1"/>
  <c r="J58" i="1"/>
  <c r="J57" i="1"/>
  <c r="J56" i="1"/>
  <c r="J55" i="1"/>
  <c r="H54" i="1"/>
  <c r="F52" i="1"/>
  <c r="B51" i="1"/>
  <c r="Q49" i="1"/>
  <c r="O48" i="1"/>
  <c r="H47" i="1"/>
  <c r="Q45" i="1"/>
  <c r="O44" i="1"/>
  <c r="H43" i="1"/>
  <c r="Q41" i="1"/>
  <c r="O40" i="1"/>
  <c r="H39" i="1"/>
  <c r="H38" i="1"/>
  <c r="V36" i="1"/>
  <c r="Q35" i="1"/>
  <c r="O34" i="1"/>
  <c r="H33" i="1"/>
  <c r="Q31" i="1"/>
  <c r="O30" i="1"/>
  <c r="H29" i="1"/>
  <c r="Q27" i="1"/>
  <c r="O26" i="1"/>
  <c r="H25" i="1"/>
  <c r="Q23" i="1"/>
  <c r="O22" i="1"/>
  <c r="B21" i="1"/>
  <c r="A20" i="1"/>
  <c r="N18" i="1"/>
  <c r="B17" i="1"/>
  <c r="A16" i="1"/>
  <c r="N14" i="1"/>
  <c r="B13" i="1"/>
  <c r="A12" i="1"/>
  <c r="N10" i="1"/>
  <c r="B9" i="1"/>
  <c r="A8" i="1"/>
  <c r="S6" i="1"/>
  <c r="F5" i="1"/>
  <c r="C3" i="1"/>
  <c r="L61" i="11"/>
  <c r="C27" i="11"/>
  <c r="B102" i="10"/>
  <c r="F48" i="10"/>
  <c r="F81" i="9"/>
  <c r="L19" i="9"/>
  <c r="F73" i="8"/>
  <c r="O103" i="7"/>
  <c r="A57" i="7"/>
  <c r="F12" i="7"/>
  <c r="J121" i="6"/>
  <c r="T102" i="6"/>
  <c r="B89" i="6"/>
  <c r="F66" i="6"/>
  <c r="D52" i="6"/>
  <c r="Q31" i="6"/>
  <c r="J10" i="6"/>
  <c r="O78" i="5"/>
  <c r="E65" i="5"/>
  <c r="N51" i="5"/>
  <c r="A38" i="5"/>
  <c r="C24" i="5"/>
  <c r="E9" i="5"/>
  <c r="X65" i="4"/>
  <c r="C52" i="4"/>
  <c r="E37" i="4"/>
  <c r="D21" i="4"/>
  <c r="B49" i="3"/>
  <c r="H29" i="3"/>
  <c r="D12" i="3"/>
  <c r="Q35" i="2"/>
  <c r="N18" i="2"/>
  <c r="B13" i="2"/>
  <c r="F9" i="2"/>
  <c r="N77" i="1"/>
  <c r="O73" i="1"/>
  <c r="J70" i="1"/>
  <c r="H65" i="1"/>
  <c r="F61" i="1"/>
  <c r="F57" i="1"/>
  <c r="E53" i="1"/>
  <c r="O50" i="1"/>
  <c r="B44" i="1"/>
  <c r="B40" i="1"/>
  <c r="H36" i="1"/>
  <c r="O32" i="1"/>
  <c r="N27" i="1"/>
  <c r="H23" i="1"/>
  <c r="Q18" i="1"/>
  <c r="Q14" i="1"/>
  <c r="F11" i="1"/>
  <c r="F7" i="1"/>
  <c r="N117" i="11"/>
  <c r="F58" i="11"/>
  <c r="J32" i="11"/>
  <c r="C11" i="11"/>
  <c r="X128" i="10"/>
  <c r="L114" i="10"/>
  <c r="B86" i="10"/>
  <c r="F62" i="10"/>
  <c r="C45" i="10"/>
  <c r="F10" i="10"/>
  <c r="F92" i="9"/>
  <c r="X78" i="9"/>
  <c r="L57" i="9"/>
  <c r="H33" i="9"/>
  <c r="Q7" i="9"/>
  <c r="V80" i="8"/>
  <c r="N61" i="8"/>
  <c r="A46" i="8"/>
  <c r="E28" i="8"/>
  <c r="F108" i="7"/>
  <c r="V90" i="7"/>
  <c r="J73" i="7"/>
  <c r="N50" i="7"/>
  <c r="H31" i="7"/>
  <c r="A15" i="7"/>
  <c r="D10" i="7"/>
  <c r="E4" i="7"/>
  <c r="J119" i="6"/>
  <c r="O115" i="6"/>
  <c r="A112" i="6"/>
  <c r="N108" i="6"/>
  <c r="X104" i="6"/>
  <c r="F99" i="6"/>
  <c r="L94" i="6"/>
  <c r="F89" i="6"/>
  <c r="B85" i="6"/>
  <c r="N78" i="6"/>
  <c r="Q69" i="6"/>
  <c r="F64" i="6"/>
  <c r="B60" i="6"/>
  <c r="L53" i="6"/>
  <c r="E49" i="6"/>
  <c r="A45" i="6"/>
  <c r="L37" i="6"/>
  <c r="C33" i="6"/>
  <c r="O26" i="6"/>
  <c r="H21" i="6"/>
  <c r="C17" i="6"/>
  <c r="O10" i="6"/>
  <c r="C3" i="6"/>
  <c r="D92" i="5"/>
  <c r="B85" i="5"/>
  <c r="O80" i="5"/>
  <c r="D76" i="5"/>
  <c r="E71" i="5"/>
  <c r="L67" i="5"/>
  <c r="Q61" i="5"/>
  <c r="A57" i="5"/>
  <c r="A52" i="5"/>
  <c r="H47" i="5"/>
  <c r="Q42" i="5"/>
  <c r="E38" i="5"/>
  <c r="L33" i="5"/>
  <c r="A29" i="5"/>
  <c r="H24" i="5"/>
  <c r="Q19" i="5"/>
  <c r="E15" i="5"/>
  <c r="N10" i="5"/>
  <c r="N4" i="5"/>
  <c r="N76" i="4"/>
  <c r="S72" i="4"/>
  <c r="F68" i="4"/>
  <c r="A62" i="4"/>
  <c r="V57" i="4"/>
  <c r="N53" i="4"/>
  <c r="A49" i="4"/>
  <c r="E43" i="4"/>
  <c r="L37" i="4"/>
  <c r="Q31" i="4"/>
  <c r="D27" i="4"/>
  <c r="J21" i="4"/>
  <c r="Q15" i="4"/>
  <c r="D11" i="4"/>
  <c r="A60" i="3"/>
  <c r="C55" i="3"/>
  <c r="X50" i="3"/>
  <c r="X45" i="3"/>
  <c r="B41" i="3"/>
  <c r="F36" i="3"/>
  <c r="Q32" i="3"/>
  <c r="L27" i="3"/>
  <c r="E23" i="3"/>
  <c r="A19" i="3"/>
  <c r="J12" i="3"/>
  <c r="D8" i="3"/>
  <c r="E4" i="3"/>
  <c r="J64" i="2"/>
  <c r="L58" i="2"/>
  <c r="D54" i="2"/>
  <c r="V49" i="2"/>
  <c r="S47" i="2"/>
  <c r="T44" i="2"/>
  <c r="O42" i="2"/>
  <c r="O40" i="2"/>
  <c r="O38" i="2"/>
  <c r="O36" i="2"/>
  <c r="B34" i="2"/>
  <c r="F31" i="2"/>
  <c r="O29" i="2"/>
  <c r="E28" i="2"/>
  <c r="S24" i="2"/>
  <c r="X22" i="2"/>
  <c r="T21" i="2"/>
  <c r="D20" i="2"/>
  <c r="O18" i="2"/>
  <c r="N17" i="2"/>
  <c r="S15" i="2"/>
  <c r="S14" i="2"/>
  <c r="S13" i="2"/>
  <c r="S12" i="2"/>
  <c r="S11" i="2"/>
  <c r="S10" i="2"/>
  <c r="S9" i="2"/>
  <c r="S8" i="2"/>
  <c r="S7" i="2"/>
  <c r="S5" i="2"/>
  <c r="D3" i="2"/>
  <c r="T77" i="1"/>
  <c r="S76" i="1"/>
  <c r="O75" i="1"/>
  <c r="V73" i="1"/>
  <c r="A73" i="1"/>
  <c r="A72" i="1"/>
  <c r="E71" i="1"/>
  <c r="E70" i="1"/>
  <c r="E69" i="1"/>
  <c r="J68" i="1"/>
  <c r="D67" i="1"/>
  <c r="T65" i="1"/>
  <c r="S64" i="1"/>
  <c r="S63" i="1"/>
  <c r="S62" i="1"/>
  <c r="S61" i="1"/>
  <c r="S60" i="1"/>
  <c r="S59" i="1"/>
  <c r="S58" i="1"/>
  <c r="S57" i="1"/>
  <c r="S56" i="1"/>
  <c r="S55" i="1"/>
  <c r="X54" i="1"/>
  <c r="Q52" i="1"/>
  <c r="V51" i="1"/>
  <c r="A51" i="1"/>
  <c r="E50" i="1"/>
  <c r="D49" i="1"/>
  <c r="F47" i="1"/>
  <c r="E46" i="1"/>
  <c r="D45" i="1"/>
  <c r="F43" i="1"/>
  <c r="E42" i="1"/>
  <c r="D41" i="1"/>
  <c r="F39" i="1"/>
  <c r="B38" i="1"/>
  <c r="A37" i="1"/>
  <c r="A36" i="1"/>
  <c r="N34" i="1"/>
  <c r="B33" i="1"/>
  <c r="A32" i="1"/>
  <c r="N30" i="1"/>
  <c r="B29" i="1"/>
  <c r="A28" i="1"/>
  <c r="N26" i="1"/>
  <c r="B25" i="1"/>
  <c r="A24" i="1"/>
  <c r="N22" i="1"/>
  <c r="L21" i="1"/>
  <c r="J20" i="1"/>
  <c r="C19" i="1"/>
  <c r="L17" i="1"/>
  <c r="J16" i="1"/>
  <c r="C15" i="1"/>
  <c r="L13" i="1"/>
  <c r="J12" i="1"/>
  <c r="C11" i="1"/>
  <c r="L9" i="1"/>
  <c r="J8" i="1"/>
  <c r="C7" i="1"/>
  <c r="V5" i="1"/>
  <c r="N3" i="1"/>
  <c r="F14" i="11"/>
  <c r="J110" i="10"/>
  <c r="B44" i="10"/>
  <c r="O60" i="9"/>
  <c r="V97" i="8"/>
  <c r="J18" i="8"/>
  <c r="E53" i="7"/>
  <c r="T14" i="7"/>
  <c r="B119" i="6"/>
  <c r="C109" i="6"/>
  <c r="F98" i="6"/>
  <c r="O83" i="6"/>
  <c r="H67" i="6"/>
  <c r="B50" i="6"/>
  <c r="E37" i="6"/>
  <c r="B20" i="6"/>
  <c r="N4" i="6"/>
  <c r="B83" i="5"/>
  <c r="A71" i="5"/>
  <c r="N59" i="5"/>
  <c r="N43" i="5"/>
  <c r="Q29" i="5"/>
  <c r="E17" i="5"/>
  <c r="D78" i="4"/>
  <c r="B68" i="4"/>
  <c r="H53" i="4"/>
  <c r="H38" i="4"/>
  <c r="N24" i="4"/>
  <c r="N8" i="4"/>
  <c r="F48" i="3"/>
  <c r="H33" i="3"/>
  <c r="A23" i="3"/>
  <c r="A9" i="3"/>
  <c r="T65" i="2"/>
  <c r="Q55" i="2"/>
  <c r="V46" i="2"/>
  <c r="C42" i="2"/>
  <c r="V34" i="2"/>
  <c r="Q31" i="2"/>
  <c r="L28" i="2"/>
  <c r="J24" i="2"/>
  <c r="N22" i="2"/>
  <c r="F18" i="2"/>
  <c r="B15" i="2"/>
  <c r="X11" i="2"/>
  <c r="X7" i="2"/>
  <c r="S3" i="2"/>
  <c r="T73" i="1"/>
  <c r="T70" i="1"/>
  <c r="H67" i="1"/>
  <c r="B65" i="1"/>
  <c r="B61" i="1"/>
  <c r="F58" i="1"/>
  <c r="Q54" i="1"/>
  <c r="J51" i="1"/>
  <c r="F48" i="1"/>
  <c r="N45" i="1"/>
  <c r="H41" i="1"/>
  <c r="A38" i="1"/>
  <c r="Q33" i="1"/>
  <c r="C31" i="1"/>
  <c r="C27" i="1"/>
  <c r="J24" i="1"/>
  <c r="J21" i="1"/>
  <c r="O17" i="1"/>
  <c r="O13" i="1"/>
  <c r="J9" i="1"/>
  <c r="J5" i="1"/>
  <c r="O186" i="19"/>
  <c r="B98" i="17"/>
  <c r="Q50" i="17"/>
  <c r="C46" i="17"/>
  <c r="D54" i="17"/>
  <c r="H32" i="16"/>
  <c r="N92" i="15"/>
  <c r="J6" i="15"/>
  <c r="C40" i="17"/>
  <c r="N35" i="16"/>
  <c r="H95" i="15"/>
  <c r="C9" i="15"/>
  <c r="Q277" i="14"/>
  <c r="D129" i="14"/>
  <c r="A126" i="13"/>
  <c r="O53" i="13"/>
  <c r="F94" i="12"/>
  <c r="Q8" i="12"/>
  <c r="H334" i="14"/>
  <c r="B190" i="14"/>
  <c r="C40" i="14"/>
  <c r="H81" i="13"/>
  <c r="V116" i="12"/>
  <c r="V37" i="12"/>
  <c r="D282" i="14"/>
  <c r="B133" i="14"/>
  <c r="S127" i="13"/>
  <c r="D47" i="13"/>
  <c r="O89" i="12"/>
  <c r="H54" i="12"/>
  <c r="O26" i="12"/>
  <c r="L116" i="11"/>
  <c r="S92" i="11"/>
  <c r="E6" i="15"/>
  <c r="C331" i="14"/>
  <c r="Q286" i="14"/>
  <c r="O235" i="14"/>
  <c r="B184" i="14"/>
  <c r="Q135" i="14"/>
  <c r="D84" i="14"/>
  <c r="B43" i="14"/>
  <c r="A5" i="14"/>
  <c r="F118" i="13"/>
  <c r="F97" i="13"/>
  <c r="J76" i="13"/>
  <c r="J54" i="13"/>
  <c r="N33" i="13"/>
  <c r="B12" i="13"/>
  <c r="C114" i="12"/>
  <c r="L98" i="12"/>
  <c r="F77" i="12"/>
  <c r="J56" i="12"/>
  <c r="N34" i="12"/>
  <c r="H13" i="12"/>
  <c r="H110" i="11"/>
  <c r="F89" i="11"/>
  <c r="B78" i="11"/>
  <c r="L52" i="11"/>
  <c r="Q30" i="11"/>
  <c r="O9" i="11"/>
  <c r="E129" i="10"/>
  <c r="O111" i="10"/>
  <c r="Q90" i="10"/>
  <c r="D67" i="10"/>
  <c r="L44" i="10"/>
  <c r="A22" i="10"/>
  <c r="L97" i="9"/>
  <c r="L83" i="9"/>
  <c r="J65" i="9"/>
  <c r="L40" i="9"/>
  <c r="J19" i="9"/>
  <c r="T97" i="8"/>
  <c r="J80" i="8"/>
  <c r="X61" i="8"/>
  <c r="O43" i="8"/>
  <c r="A22" i="8"/>
  <c r="H106" i="7"/>
  <c r="X89" i="7"/>
  <c r="O73" i="7"/>
  <c r="B52" i="7"/>
  <c r="C34" i="7"/>
  <c r="D17" i="7"/>
  <c r="B73" i="11"/>
  <c r="L49" i="11"/>
  <c r="F28" i="11"/>
  <c r="E7" i="11"/>
  <c r="D129" i="10"/>
  <c r="H111" i="10"/>
  <c r="H89" i="10"/>
  <c r="B64" i="10"/>
  <c r="H43" i="10"/>
  <c r="N21" i="10"/>
  <c r="D98" i="9"/>
  <c r="O80" i="9"/>
  <c r="E59" i="9"/>
  <c r="N35" i="9"/>
  <c r="B14" i="9"/>
  <c r="B92" i="8"/>
  <c r="F74" i="8"/>
  <c r="J52" i="8"/>
  <c r="O31" i="8"/>
  <c r="A11" i="8"/>
  <c r="N96" i="7"/>
  <c r="F80" i="7"/>
  <c r="A63" i="7"/>
  <c r="T46" i="7"/>
  <c r="L30" i="7"/>
  <c r="V117" i="11"/>
  <c r="L68" i="11"/>
  <c r="L46" i="11"/>
  <c r="B25" i="11"/>
  <c r="V145" i="10"/>
  <c r="A126" i="10"/>
  <c r="L104" i="10"/>
  <c r="J83" i="10"/>
  <c r="A60" i="10"/>
  <c r="A38" i="10"/>
  <c r="L16" i="10"/>
  <c r="C94" i="9"/>
  <c r="L76" i="9"/>
  <c r="J55" i="9"/>
  <c r="Q30" i="9"/>
  <c r="O9" i="9"/>
  <c r="L91" i="8"/>
  <c r="V74" i="8"/>
  <c r="Q55" i="8"/>
  <c r="A37" i="8"/>
  <c r="A27" i="8"/>
  <c r="O15" i="8"/>
  <c r="J5" i="8"/>
  <c r="A103" i="7"/>
  <c r="X97" i="7"/>
  <c r="X90" i="7"/>
  <c r="N85" i="7"/>
  <c r="E80" i="7"/>
  <c r="E73" i="7"/>
  <c r="Q67" i="7"/>
  <c r="Q60" i="7"/>
  <c r="T54" i="7"/>
  <c r="Q48" i="7"/>
  <c r="T42" i="7"/>
  <c r="V36" i="7"/>
  <c r="J31" i="7"/>
  <c r="J25" i="7"/>
  <c r="C19" i="7"/>
  <c r="C13" i="7"/>
  <c r="D7" i="7"/>
  <c r="E122" i="6"/>
  <c r="E118" i="6"/>
  <c r="J71" i="11"/>
  <c r="F48" i="11"/>
  <c r="Q25" i="11"/>
  <c r="D3" i="11"/>
  <c r="B124" i="10"/>
  <c r="D110" i="10"/>
  <c r="A89" i="10"/>
  <c r="A67" i="10"/>
  <c r="Q43" i="10"/>
  <c r="O20" i="10"/>
  <c r="X93" i="9"/>
  <c r="F74" i="9"/>
  <c r="L53" i="9"/>
  <c r="C33" i="9"/>
  <c r="O10" i="9"/>
  <c r="J89" i="8"/>
  <c r="B73" i="8"/>
  <c r="T54" i="8"/>
  <c r="C30" i="8"/>
  <c r="H7" i="8"/>
  <c r="V93" i="7"/>
  <c r="A76" i="7"/>
  <c r="N58" i="7"/>
  <c r="L43" i="7"/>
  <c r="F27" i="7"/>
  <c r="C14" i="7"/>
  <c r="C9" i="7"/>
  <c r="X122" i="6"/>
  <c r="X117" i="6"/>
  <c r="T113" i="6"/>
  <c r="S109" i="6"/>
  <c r="S105" i="6"/>
  <c r="V100" i="6"/>
  <c r="J97" i="6"/>
  <c r="J93" i="6"/>
  <c r="C87" i="6"/>
  <c r="L81" i="6"/>
  <c r="J76" i="6"/>
  <c r="A70" i="6"/>
  <c r="E64" i="6"/>
  <c r="D59" i="6"/>
  <c r="O53" i="6"/>
  <c r="H48" i="6"/>
  <c r="Q42" i="6"/>
  <c r="O37" i="6"/>
  <c r="E32" i="6"/>
  <c r="D27" i="6"/>
  <c r="F21" i="6"/>
  <c r="E16" i="6"/>
  <c r="D11" i="6"/>
  <c r="L5" i="6"/>
  <c r="S92" i="5"/>
  <c r="X87" i="5"/>
  <c r="A83" i="5"/>
  <c r="L79" i="5"/>
  <c r="S74" i="5"/>
  <c r="L70" i="5"/>
  <c r="E66" i="5"/>
  <c r="T61" i="5"/>
  <c r="O57" i="5"/>
  <c r="D52" i="5"/>
  <c r="F45" i="5"/>
  <c r="B39" i="5"/>
  <c r="D33" i="5"/>
  <c r="F26" i="5"/>
  <c r="B20" i="5"/>
  <c r="O13" i="5"/>
  <c r="L7" i="5"/>
  <c r="B77" i="4"/>
  <c r="A72" i="4"/>
  <c r="D67" i="4"/>
  <c r="O61" i="4"/>
  <c r="O57" i="4"/>
  <c r="F53" i="4"/>
  <c r="Q47" i="4"/>
  <c r="F42" i="4"/>
  <c r="D37" i="4"/>
  <c r="O31" i="4"/>
  <c r="E26" i="4"/>
  <c r="C21" i="4"/>
  <c r="O15" i="4"/>
  <c r="E10" i="4"/>
  <c r="L5" i="4"/>
  <c r="X57" i="3"/>
  <c r="L52" i="3"/>
  <c r="E49" i="3"/>
  <c r="V45" i="3"/>
  <c r="Q42" i="3"/>
  <c r="L39" i="3"/>
  <c r="E36" i="3"/>
  <c r="H31" i="3"/>
  <c r="F25" i="3"/>
  <c r="E20" i="3"/>
  <c r="D15" i="3"/>
  <c r="J9" i="3"/>
  <c r="T69" i="2"/>
  <c r="H64" i="2"/>
  <c r="Q59" i="2"/>
  <c r="T55" i="2"/>
  <c r="X51" i="2"/>
  <c r="J112" i="11"/>
  <c r="H67" i="11"/>
  <c r="Q43" i="11"/>
  <c r="F22" i="11"/>
  <c r="C136" i="10"/>
  <c r="Q119" i="10"/>
  <c r="O104" i="10"/>
  <c r="H83" i="10"/>
  <c r="N59" i="10"/>
  <c r="N37" i="10"/>
  <c r="D16" i="10"/>
  <c r="X92" i="9"/>
  <c r="B74" i="9"/>
  <c r="J50" i="9"/>
  <c r="N29" i="9"/>
  <c r="F8" i="9"/>
  <c r="D89" i="8"/>
  <c r="V72" i="8"/>
  <c r="F51" i="8"/>
  <c r="Q28" i="8"/>
  <c r="D8" i="8"/>
  <c r="L94" i="7"/>
  <c r="L79" i="7"/>
  <c r="H63" i="7"/>
  <c r="C48" i="7"/>
  <c r="V30" i="7"/>
  <c r="L15" i="7"/>
  <c r="F10" i="7"/>
  <c r="N3" i="7"/>
  <c r="Q118" i="6"/>
  <c r="Q114" i="6"/>
  <c r="N110" i="6"/>
  <c r="O106" i="6"/>
  <c r="Q102" i="6"/>
  <c r="O97" i="6"/>
  <c r="N93" i="6"/>
  <c r="Q86" i="6"/>
  <c r="O81" i="6"/>
  <c r="H76" i="6"/>
  <c r="N69" i="6"/>
  <c r="O64" i="6"/>
  <c r="H59" i="6"/>
  <c r="H53" i="6"/>
  <c r="Q47" i="6"/>
  <c r="O42" i="6"/>
  <c r="H37" i="6"/>
  <c r="H31" i="6"/>
  <c r="Q25" i="6"/>
  <c r="O20" i="6"/>
  <c r="H15" i="6"/>
  <c r="Q9" i="6"/>
  <c r="A3" i="6"/>
  <c r="A91" i="5"/>
  <c r="J85" i="5"/>
  <c r="S80" i="5"/>
  <c r="A75" i="5"/>
  <c r="D70" i="5"/>
  <c r="S65" i="5"/>
  <c r="N61" i="5"/>
  <c r="H57" i="5"/>
  <c r="Q51" i="5"/>
  <c r="E47" i="5"/>
  <c r="N42" i="5"/>
  <c r="C38" i="5"/>
  <c r="H33" i="5"/>
  <c r="Q28" i="5"/>
  <c r="E24" i="5"/>
  <c r="N19" i="5"/>
  <c r="C15" i="5"/>
  <c r="L10" i="5"/>
  <c r="J5" i="5"/>
  <c r="L76" i="4"/>
  <c r="D72" i="4"/>
  <c r="C67" i="4"/>
  <c r="E62" i="4"/>
  <c r="C58" i="4"/>
  <c r="A54" i="4"/>
  <c r="C49" i="4"/>
  <c r="O43" i="4"/>
  <c r="E38" i="4"/>
  <c r="B33" i="4"/>
  <c r="N27" i="4"/>
  <c r="J22" i="4"/>
  <c r="B17" i="4"/>
  <c r="N11" i="4"/>
  <c r="J6" i="4"/>
  <c r="B58" i="3"/>
  <c r="V53" i="3"/>
  <c r="D50" i="3"/>
  <c r="T45" i="3"/>
  <c r="T41" i="3"/>
  <c r="T37" i="3"/>
  <c r="Q33" i="3"/>
  <c r="O28" i="3"/>
  <c r="H23" i="3"/>
  <c r="Q17" i="3"/>
  <c r="N12" i="3"/>
  <c r="H7" i="3"/>
  <c r="L68" i="2"/>
  <c r="X61" i="2"/>
  <c r="J56" i="2"/>
  <c r="Q51" i="2"/>
  <c r="Q47" i="2"/>
  <c r="X41" i="2"/>
  <c r="F36" i="2"/>
  <c r="D32" i="2"/>
  <c r="D87" i="11"/>
  <c r="J56" i="11"/>
  <c r="Q33" i="11"/>
  <c r="J12" i="11"/>
  <c r="C135" i="10"/>
  <c r="Q118" i="10"/>
  <c r="H103" i="10"/>
  <c r="C83" i="10"/>
  <c r="D56" i="10"/>
  <c r="C35" i="10"/>
  <c r="O12" i="10"/>
  <c r="F86" i="9"/>
  <c r="D64" i="9"/>
  <c r="A39" i="9"/>
  <c r="L15" i="9"/>
  <c r="O94" i="8"/>
  <c r="X76" i="8"/>
  <c r="E56" i="8"/>
  <c r="N39" i="8"/>
  <c r="O18" i="8"/>
  <c r="T103" i="7"/>
  <c r="X86" i="7"/>
  <c r="E68" i="7"/>
  <c r="S50" i="7"/>
  <c r="O30" i="7"/>
  <c r="Q15" i="7"/>
  <c r="O9" i="7"/>
  <c r="T122" i="6"/>
  <c r="T117" i="6"/>
  <c r="X113" i="6"/>
  <c r="V109" i="6"/>
  <c r="V105" i="6"/>
  <c r="S100" i="6"/>
  <c r="F96" i="6"/>
  <c r="D90" i="6"/>
  <c r="F84" i="6"/>
  <c r="E79" i="6"/>
  <c r="E72" i="6"/>
  <c r="D67" i="6"/>
  <c r="O61" i="6"/>
  <c r="H56" i="6"/>
  <c r="N50" i="6"/>
  <c r="B45" i="6"/>
  <c r="A40" i="6"/>
  <c r="E34" i="6"/>
  <c r="D29" i="6"/>
  <c r="F23" i="6"/>
  <c r="E18" i="6"/>
  <c r="D13" i="6"/>
  <c r="F7" i="6"/>
  <c r="F93" i="5"/>
  <c r="L88" i="5"/>
  <c r="T83" i="5"/>
  <c r="E80" i="5"/>
  <c r="Q76" i="5"/>
  <c r="F71" i="5"/>
  <c r="B67" i="5"/>
  <c r="Q62" i="5"/>
  <c r="L58" i="5"/>
  <c r="E54" i="5"/>
  <c r="F46" i="5"/>
  <c r="B40" i="5"/>
  <c r="B33" i="5"/>
  <c r="O26" i="5"/>
  <c r="J20" i="5"/>
  <c r="D14" i="5"/>
  <c r="N7" i="5"/>
  <c r="D77" i="4"/>
  <c r="H72" i="4"/>
  <c r="F67" i="4"/>
  <c r="O62" i="4"/>
  <c r="N58" i="4"/>
  <c r="N54" i="4"/>
  <c r="F49" i="4"/>
  <c r="D44" i="4"/>
  <c r="Q38" i="4"/>
  <c r="O32" i="4"/>
  <c r="E27" i="4"/>
  <c r="C22" i="4"/>
  <c r="O16" i="4"/>
  <c r="E11" i="4"/>
  <c r="S5" i="4"/>
  <c r="Q58" i="3"/>
  <c r="N54" i="3"/>
  <c r="H50" i="3"/>
  <c r="S45" i="3"/>
  <c r="S41" i="3"/>
  <c r="S37" i="3"/>
  <c r="D34" i="3"/>
  <c r="J29" i="3"/>
  <c r="C24" i="3"/>
  <c r="L18" i="3"/>
  <c r="J13" i="3"/>
  <c r="A8" i="3"/>
  <c r="A69" i="2"/>
  <c r="Q64" i="2"/>
  <c r="L61" i="2"/>
  <c r="C56" i="2"/>
  <c r="T51" i="2"/>
  <c r="T47" i="2"/>
  <c r="E43" i="2"/>
  <c r="A40" i="2"/>
  <c r="V36" i="2"/>
  <c r="S32" i="2"/>
  <c r="S28" i="2"/>
  <c r="E24" i="2"/>
  <c r="A21" i="2"/>
  <c r="V17" i="2"/>
  <c r="D56" i="11"/>
  <c r="A116" i="10"/>
  <c r="D38" i="10"/>
  <c r="F44" i="9"/>
  <c r="J59" i="8"/>
  <c r="C89" i="7"/>
  <c r="A22" i="7"/>
  <c r="A116" i="6"/>
  <c r="B98" i="6"/>
  <c r="C78" i="6"/>
  <c r="E55" i="6"/>
  <c r="O34" i="6"/>
  <c r="H13" i="6"/>
  <c r="O84" i="5"/>
  <c r="V65" i="5"/>
  <c r="A48" i="5"/>
  <c r="L29" i="5"/>
  <c r="E11" i="5"/>
  <c r="H63" i="4"/>
  <c r="A45" i="4"/>
  <c r="F24" i="4"/>
  <c r="L60" i="3"/>
  <c r="X39" i="3"/>
  <c r="J18" i="3"/>
  <c r="T64" i="2"/>
  <c r="T48" i="2"/>
  <c r="T38" i="2"/>
  <c r="D29" i="2"/>
  <c r="T23" i="2"/>
  <c r="J17" i="2"/>
  <c r="V13" i="2"/>
  <c r="Q10" i="2"/>
  <c r="L7" i="2"/>
  <c r="Q76" i="1"/>
  <c r="C71" i="1"/>
  <c r="L66" i="1"/>
  <c r="Q62" i="1"/>
  <c r="L59" i="1"/>
  <c r="E56" i="1"/>
  <c r="C52" i="1"/>
  <c r="J47" i="1"/>
  <c r="C42" i="1"/>
  <c r="C37" i="1"/>
  <c r="B31" i="1"/>
  <c r="A26" i="1"/>
  <c r="B20" i="1"/>
  <c r="A15" i="1"/>
  <c r="N9" i="1"/>
  <c r="D3" i="1"/>
  <c r="E39" i="10"/>
  <c r="J56" i="9"/>
  <c r="A80" i="8"/>
  <c r="O49" i="7"/>
  <c r="D5" i="7"/>
  <c r="J107" i="6"/>
  <c r="A88" i="6"/>
  <c r="N71" i="6"/>
  <c r="C51" i="6"/>
  <c r="J26" i="6"/>
  <c r="H9" i="6"/>
  <c r="S85" i="5"/>
  <c r="F64" i="5"/>
  <c r="A46" i="5"/>
  <c r="N28" i="5"/>
  <c r="C8" i="5"/>
  <c r="D70" i="4"/>
  <c r="T56" i="4"/>
  <c r="N32" i="4"/>
  <c r="D13" i="4"/>
  <c r="F52" i="3"/>
  <c r="H34" i="3"/>
  <c r="H13" i="3"/>
  <c r="J63" i="2"/>
  <c r="H51" i="2"/>
  <c r="S44" i="2"/>
  <c r="S39" i="2"/>
  <c r="E33" i="2"/>
  <c r="D28" i="2"/>
  <c r="B23" i="2"/>
  <c r="X15" i="2"/>
  <c r="B10" i="2"/>
  <c r="C3" i="2"/>
  <c r="J73" i="1"/>
  <c r="H68" i="1"/>
  <c r="F63" i="1"/>
  <c r="F56" i="1"/>
  <c r="O51" i="1"/>
  <c r="A47" i="1"/>
  <c r="C41" i="1"/>
  <c r="J37" i="1"/>
  <c r="J32" i="1"/>
  <c r="L25" i="1"/>
  <c r="B19" i="1"/>
  <c r="E14" i="1"/>
  <c r="H8" i="1"/>
  <c r="A3" i="1"/>
  <c r="A69" i="11"/>
  <c r="D42" i="11"/>
  <c r="J16" i="11"/>
  <c r="D126" i="10"/>
  <c r="D104" i="10"/>
  <c r="F68" i="10"/>
  <c r="C37" i="10"/>
  <c r="C7" i="10"/>
  <c r="X82" i="9"/>
  <c r="F48" i="9"/>
  <c r="H17" i="9"/>
  <c r="O89" i="8"/>
  <c r="A67" i="8"/>
  <c r="F38" i="8"/>
  <c r="N7" i="8"/>
  <c r="B85" i="7"/>
  <c r="L51" i="7"/>
  <c r="H32" i="7"/>
  <c r="F15" i="7"/>
  <c r="X6" i="7"/>
  <c r="N118" i="6"/>
  <c r="E112" i="6"/>
  <c r="A106" i="6"/>
  <c r="X97" i="6"/>
  <c r="V93" i="6"/>
  <c r="F85" i="6"/>
  <c r="A80" i="6"/>
  <c r="B70" i="6"/>
  <c r="F60" i="6"/>
  <c r="A55" i="6"/>
  <c r="J48" i="6"/>
  <c r="B42" i="6"/>
  <c r="J34" i="6"/>
  <c r="C29" i="6"/>
  <c r="L19" i="6"/>
  <c r="D14" i="6"/>
  <c r="X5" i="6"/>
  <c r="H91" i="5"/>
  <c r="F85" i="5"/>
  <c r="B79" i="5"/>
  <c r="J72" i="5"/>
  <c r="Q65" i="5"/>
  <c r="B60" i="5"/>
  <c r="J54" i="5"/>
  <c r="N47" i="5"/>
  <c r="A42" i="5"/>
  <c r="A35" i="5"/>
  <c r="E29" i="5"/>
  <c r="L23" i="5"/>
  <c r="N16" i="5"/>
  <c r="A11" i="5"/>
  <c r="V78" i="4"/>
  <c r="T69" i="4"/>
  <c r="D64" i="4"/>
  <c r="S59" i="4"/>
  <c r="S53" i="4"/>
  <c r="C48" i="4"/>
  <c r="E41" i="4"/>
  <c r="D33" i="4"/>
  <c r="F26" i="4"/>
  <c r="J19" i="4"/>
  <c r="J11" i="4"/>
  <c r="E60" i="3"/>
  <c r="H55" i="3"/>
  <c r="V47" i="3"/>
  <c r="B42" i="3"/>
  <c r="O35" i="3"/>
  <c r="Q27" i="3"/>
  <c r="H21" i="3"/>
  <c r="B16" i="3"/>
  <c r="E7" i="3"/>
  <c r="J66" i="2"/>
  <c r="J61" i="2"/>
  <c r="J54" i="2"/>
  <c r="B50" i="2"/>
  <c r="B47" i="2"/>
  <c r="S42" i="2"/>
  <c r="H40" i="2"/>
  <c r="N37" i="2"/>
  <c r="A35" i="2"/>
  <c r="A33" i="2"/>
  <c r="A31" i="2"/>
  <c r="B29" i="2"/>
  <c r="T27" i="2"/>
  <c r="T24" i="2"/>
  <c r="C22" i="2"/>
  <c r="T20" i="2"/>
  <c r="J18" i="2"/>
  <c r="T16" i="2"/>
  <c r="J15" i="2"/>
  <c r="D14" i="2"/>
  <c r="O12" i="2"/>
  <c r="J11" i="2"/>
  <c r="D10" i="2"/>
  <c r="T8" i="2"/>
  <c r="T7" i="2"/>
  <c r="A6" i="2"/>
  <c r="D5" i="2"/>
  <c r="V78" i="1"/>
  <c r="V77" i="1"/>
  <c r="A77" i="1"/>
  <c r="A76" i="1"/>
  <c r="E75" i="1"/>
  <c r="B73" i="1"/>
  <c r="X71" i="1"/>
  <c r="F70" i="1"/>
  <c r="B69" i="1"/>
  <c r="A68" i="1"/>
  <c r="A67" i="1"/>
  <c r="A66" i="1"/>
  <c r="E65" i="1"/>
  <c r="D64" i="1"/>
  <c r="D63" i="1"/>
  <c r="D62" i="1"/>
  <c r="D61" i="1"/>
  <c r="D60" i="1"/>
  <c r="D59" i="1"/>
  <c r="D58" i="1"/>
  <c r="D57" i="1"/>
  <c r="D56" i="1"/>
  <c r="D55" i="1"/>
  <c r="N53" i="1"/>
  <c r="B52" i="1"/>
  <c r="X50" i="1"/>
  <c r="L49" i="1"/>
  <c r="J48" i="1"/>
  <c r="C47" i="1"/>
  <c r="L45" i="1"/>
  <c r="J44" i="1"/>
  <c r="C43" i="1"/>
  <c r="L41" i="1"/>
  <c r="J40" i="1"/>
  <c r="C39" i="1"/>
  <c r="C38" i="1"/>
  <c r="Q36" i="1"/>
  <c r="L35" i="1"/>
  <c r="J34" i="1"/>
  <c r="C33" i="1"/>
  <c r="L31" i="1"/>
  <c r="J30" i="1"/>
  <c r="C29" i="1"/>
  <c r="L27" i="1"/>
  <c r="J26" i="1"/>
  <c r="C25" i="1"/>
  <c r="L23" i="1"/>
  <c r="H22" i="1"/>
  <c r="Q20" i="1"/>
  <c r="O19" i="1"/>
  <c r="H18" i="1"/>
  <c r="Q16" i="1"/>
  <c r="O15" i="1"/>
  <c r="H14" i="1"/>
  <c r="Q12" i="1"/>
  <c r="O11" i="1"/>
  <c r="H10" i="1"/>
  <c r="Q8" i="1"/>
  <c r="O7" i="1"/>
  <c r="N6" i="1"/>
  <c r="S4" i="1"/>
  <c r="J86" i="11"/>
  <c r="E57" i="11"/>
  <c r="B10" i="11"/>
  <c r="E89" i="10"/>
  <c r="B22" i="10"/>
  <c r="A65" i="9"/>
  <c r="O6" i="9"/>
  <c r="C69" i="8"/>
  <c r="E93" i="7"/>
  <c r="Q45" i="7"/>
  <c r="O8" i="7"/>
  <c r="N114" i="6"/>
  <c r="B99" i="6"/>
  <c r="F77" i="6"/>
  <c r="A63" i="6"/>
  <c r="N43" i="6"/>
  <c r="H25" i="6"/>
  <c r="T95" i="5"/>
  <c r="T74" i="5"/>
  <c r="L61" i="5"/>
  <c r="E48" i="5"/>
  <c r="H34" i="5"/>
  <c r="L19" i="5"/>
  <c r="C77" i="4"/>
  <c r="S62" i="4"/>
  <c r="O48" i="4"/>
  <c r="Q33" i="4"/>
  <c r="Q17" i="4"/>
  <c r="B44" i="3"/>
  <c r="D26" i="3"/>
  <c r="S41" i="2"/>
  <c r="L34" i="2"/>
  <c r="S17" i="2"/>
  <c r="F12" i="2"/>
  <c r="B8" i="2"/>
  <c r="X76" i="1"/>
  <c r="T72" i="1"/>
  <c r="T69" i="1"/>
  <c r="B64" i="1"/>
  <c r="X59" i="1"/>
  <c r="B56" i="1"/>
  <c r="J52" i="1"/>
  <c r="B48" i="1"/>
  <c r="E43" i="1"/>
  <c r="E39" i="1"/>
  <c r="H35" i="1"/>
  <c r="B30" i="1"/>
  <c r="B26" i="1"/>
  <c r="E22" i="1"/>
  <c r="A18" i="1"/>
  <c r="A14" i="1"/>
  <c r="L10" i="1"/>
  <c r="Q6" i="1"/>
  <c r="O89" i="11"/>
  <c r="N49" i="11"/>
  <c r="D28" i="11"/>
  <c r="L144" i="10"/>
  <c r="E125" i="10"/>
  <c r="E111" i="10"/>
  <c r="Q81" i="10"/>
  <c r="B58" i="10"/>
  <c r="N31" i="10"/>
  <c r="H5" i="10"/>
  <c r="Q88" i="9"/>
  <c r="F70" i="9"/>
  <c r="J52" i="9"/>
  <c r="C29" i="9"/>
  <c r="D3" i="9"/>
  <c r="D74" i="8"/>
  <c r="T57" i="8"/>
  <c r="L41" i="8"/>
  <c r="A24" i="8"/>
  <c r="B101" i="7"/>
  <c r="F84" i="7"/>
  <c r="D66" i="7"/>
  <c r="Q46" i="7"/>
  <c r="S23" i="7"/>
  <c r="V13" i="7"/>
  <c r="V8" i="7"/>
  <c r="E123" i="6"/>
  <c r="D118" i="6"/>
  <c r="S114" i="6"/>
  <c r="B111" i="6"/>
  <c r="Q107" i="6"/>
  <c r="A103" i="6"/>
  <c r="V96" i="6"/>
  <c r="Q93" i="6"/>
  <c r="E88" i="6"/>
  <c r="A84" i="6"/>
  <c r="L76" i="6"/>
  <c r="O68" i="6"/>
  <c r="E63" i="6"/>
  <c r="A59" i="6"/>
  <c r="J52" i="6"/>
  <c r="D48" i="6"/>
  <c r="Q41" i="6"/>
  <c r="J36" i="6"/>
  <c r="B32" i="6"/>
  <c r="N25" i="6"/>
  <c r="F20" i="6"/>
  <c r="B16" i="6"/>
  <c r="N9" i="6"/>
  <c r="A97" i="5"/>
  <c r="C91" i="5"/>
  <c r="D84" i="5"/>
  <c r="S79" i="5"/>
  <c r="D74" i="5"/>
  <c r="F70" i="5"/>
  <c r="L65" i="5"/>
  <c r="S59" i="5"/>
  <c r="B56" i="5"/>
  <c r="Q50" i="5"/>
  <c r="E46" i="5"/>
  <c r="N41" i="5"/>
  <c r="C37" i="5"/>
  <c r="H32" i="5"/>
  <c r="Q27" i="5"/>
  <c r="E23" i="5"/>
  <c r="N18" i="5"/>
  <c r="C14" i="5"/>
  <c r="L9" i="5"/>
  <c r="L79" i="4"/>
  <c r="Q75" i="4"/>
  <c r="L71" i="4"/>
  <c r="E67" i="4"/>
  <c r="D61" i="4"/>
  <c r="C56" i="4"/>
  <c r="H52" i="4"/>
  <c r="O46" i="4"/>
  <c r="C42" i="4"/>
  <c r="H36" i="4"/>
  <c r="N30" i="4"/>
  <c r="B26" i="4"/>
  <c r="F20" i="4"/>
  <c r="N14" i="4"/>
  <c r="B10" i="4"/>
  <c r="D58" i="3"/>
  <c r="F54" i="3"/>
  <c r="B50" i="3"/>
  <c r="B45" i="3"/>
  <c r="F40" i="3"/>
  <c r="J35" i="3"/>
  <c r="T31" i="3"/>
  <c r="J26" i="3"/>
  <c r="D22" i="3"/>
  <c r="Q15" i="3"/>
  <c r="H11" i="3"/>
  <c r="A7" i="3"/>
  <c r="Q69" i="2"/>
  <c r="O63" i="2"/>
  <c r="O57" i="2"/>
  <c r="E53" i="2"/>
  <c r="A49" i="2"/>
  <c r="H47" i="2"/>
  <c r="J44" i="2"/>
  <c r="D42" i="2"/>
  <c r="D40" i="2"/>
  <c r="D38" i="2"/>
  <c r="D36" i="2"/>
  <c r="F33" i="2"/>
  <c r="X30" i="2"/>
  <c r="F29" i="2"/>
  <c r="L27" i="2"/>
  <c r="D24" i="2"/>
  <c r="O22" i="2"/>
  <c r="N21" i="2"/>
  <c r="J19" i="2"/>
  <c r="H18" i="2"/>
  <c r="F17" i="2"/>
  <c r="N15" i="2"/>
  <c r="N14" i="2"/>
  <c r="N13" i="2"/>
  <c r="N12" i="2"/>
  <c r="N11" i="2"/>
  <c r="N10" i="2"/>
  <c r="N9" i="2"/>
  <c r="N8" i="2"/>
  <c r="N7" i="2"/>
  <c r="N5" i="2"/>
  <c r="T78" i="1"/>
  <c r="O77" i="1"/>
  <c r="N76" i="1"/>
  <c r="J75" i="1"/>
  <c r="Q73" i="1"/>
  <c r="V72" i="1"/>
  <c r="V71" i="1"/>
  <c r="A71" i="1"/>
  <c r="A70" i="1"/>
  <c r="A69" i="1"/>
  <c r="D68" i="1"/>
  <c r="S66" i="1"/>
  <c r="O65" i="1"/>
  <c r="N64" i="1"/>
  <c r="N63" i="1"/>
  <c r="N62" i="1"/>
  <c r="N61" i="1"/>
  <c r="N60" i="1"/>
  <c r="N59" i="1"/>
  <c r="N58" i="1"/>
  <c r="N57" i="1"/>
  <c r="N56" i="1"/>
  <c r="N55" i="1"/>
  <c r="F54" i="1"/>
  <c r="L52" i="1"/>
  <c r="Q51" i="1"/>
  <c r="V50" i="1"/>
  <c r="A50" i="1"/>
  <c r="N48" i="1"/>
  <c r="B47" i="1"/>
  <c r="A46" i="1"/>
  <c r="N44" i="1"/>
  <c r="B43" i="1"/>
  <c r="A42" i="1"/>
  <c r="N40" i="1"/>
  <c r="B39" i="1"/>
  <c r="Q37" i="1"/>
  <c r="T36" i="1"/>
  <c r="O35" i="1"/>
  <c r="H34" i="1"/>
  <c r="Q32" i="1"/>
  <c r="O31" i="1"/>
  <c r="H30" i="1"/>
  <c r="Q28" i="1"/>
  <c r="O27" i="1"/>
  <c r="H26" i="1"/>
  <c r="Q24" i="1"/>
  <c r="O23" i="1"/>
  <c r="F22" i="1"/>
  <c r="E21" i="1"/>
  <c r="D20" i="1"/>
  <c r="F18" i="1"/>
  <c r="E17" i="1"/>
  <c r="D16" i="1"/>
  <c r="F14" i="1"/>
  <c r="E13" i="1"/>
  <c r="D12" i="1"/>
  <c r="F10" i="1"/>
  <c r="E9" i="1"/>
  <c r="D8" i="1"/>
  <c r="X6" i="1"/>
  <c r="Q5" i="1"/>
  <c r="B3" i="1"/>
  <c r="L143" i="10"/>
  <c r="Q97" i="10"/>
  <c r="Q17" i="10"/>
  <c r="N45" i="9"/>
  <c r="A53" i="8"/>
  <c r="O5" i="8"/>
  <c r="V41" i="7"/>
  <c r="T9" i="7"/>
  <c r="B117" i="6"/>
  <c r="L106" i="6"/>
  <c r="V95" i="6"/>
  <c r="L80" i="6"/>
  <c r="C65" i="6"/>
  <c r="O44" i="6"/>
  <c r="O30" i="6"/>
  <c r="N13" i="6"/>
  <c r="X90" i="5"/>
  <c r="J80" i="5"/>
  <c r="D68" i="5"/>
  <c r="Q52" i="5"/>
  <c r="E40" i="5"/>
  <c r="H26" i="5"/>
  <c r="Q13" i="5"/>
  <c r="H76" i="4"/>
  <c r="T63" i="4"/>
  <c r="A51" i="4"/>
  <c r="E35" i="4"/>
  <c r="F22" i="4"/>
  <c r="F5" i="4"/>
  <c r="F43" i="3"/>
  <c r="O31" i="3"/>
  <c r="Q19" i="3"/>
  <c r="T5" i="3"/>
  <c r="D64" i="2"/>
  <c r="V53" i="2"/>
  <c r="A46" i="2"/>
  <c r="C40" i="2"/>
  <c r="Q33" i="2"/>
  <c r="L30" i="2"/>
  <c r="X27" i="2"/>
  <c r="X23" i="2"/>
  <c r="D21" i="2"/>
  <c r="D17" i="2"/>
  <c r="X13" i="2"/>
  <c r="X10" i="2"/>
  <c r="F7" i="2"/>
  <c r="S78" i="1"/>
  <c r="D73" i="1"/>
  <c r="J69" i="1"/>
  <c r="X66" i="1"/>
  <c r="F64" i="1"/>
  <c r="X60" i="1"/>
  <c r="B57" i="1"/>
  <c r="E54" i="1"/>
  <c r="J50" i="1"/>
  <c r="L47" i="1"/>
  <c r="F44" i="1"/>
  <c r="Q39" i="1"/>
  <c r="D37" i="1"/>
  <c r="A33" i="1"/>
  <c r="F30" i="1"/>
  <c r="F26" i="1"/>
  <c r="N23" i="1"/>
  <c r="N20" i="1"/>
  <c r="C16" i="1"/>
  <c r="C12" i="1"/>
  <c r="N8" i="1"/>
  <c r="E3" i="1"/>
  <c r="D12" i="19"/>
  <c r="F43" i="19"/>
  <c r="V45" i="16"/>
  <c r="E40" i="16"/>
  <c r="L25" i="17"/>
  <c r="A11" i="16"/>
  <c r="D71" i="15"/>
  <c r="E365" i="14"/>
  <c r="O18" i="17"/>
  <c r="L14" i="16"/>
  <c r="O73" i="15"/>
  <c r="J367" i="14"/>
  <c r="D240" i="14"/>
  <c r="D91" i="14"/>
  <c r="V111" i="13"/>
  <c r="E32" i="13"/>
  <c r="L73" i="12"/>
  <c r="E107" i="11"/>
  <c r="N302" i="14"/>
  <c r="A153" i="14"/>
  <c r="B3" i="14"/>
  <c r="C59" i="13"/>
  <c r="V100" i="12"/>
  <c r="H17" i="12"/>
  <c r="A245" i="14"/>
  <c r="Q94" i="14"/>
  <c r="N109" i="13"/>
  <c r="J25" i="13"/>
  <c r="E75" i="12"/>
  <c r="D47" i="12"/>
  <c r="J19" i="12"/>
  <c r="O110" i="11"/>
  <c r="H87" i="11"/>
  <c r="B360" i="14"/>
  <c r="S320" i="14"/>
  <c r="D273" i="14"/>
  <c r="A222" i="14"/>
  <c r="D172" i="14"/>
  <c r="D122" i="14"/>
  <c r="Q70" i="14"/>
  <c r="B33" i="14"/>
  <c r="O134" i="13"/>
  <c r="B113" i="13"/>
  <c r="E92" i="13"/>
  <c r="N71" i="13"/>
  <c r="E49" i="13"/>
  <c r="B28" i="13"/>
  <c r="A7" i="13"/>
  <c r="O109" i="12"/>
  <c r="F93" i="12"/>
  <c r="E72" i="12"/>
  <c r="C51" i="12"/>
  <c r="A29" i="12"/>
  <c r="H7" i="12"/>
  <c r="X105" i="11"/>
  <c r="A83" i="11"/>
  <c r="H71" i="11"/>
  <c r="J47" i="11"/>
  <c r="O25" i="11"/>
  <c r="D145" i="10"/>
  <c r="T124" i="10"/>
  <c r="N107" i="10"/>
  <c r="O85" i="10"/>
  <c r="D61" i="10"/>
  <c r="H38" i="10"/>
  <c r="N16" i="10"/>
  <c r="V93" i="9"/>
  <c r="E80" i="9"/>
  <c r="C60" i="9"/>
  <c r="J35" i="9"/>
  <c r="C14" i="9"/>
  <c r="S93" i="8"/>
  <c r="E76" i="8"/>
  <c r="H57" i="8"/>
  <c r="E38" i="8"/>
  <c r="D16" i="8"/>
  <c r="A102" i="7"/>
  <c r="E86" i="7"/>
  <c r="F69" i="7"/>
  <c r="N47" i="7"/>
  <c r="B30" i="7"/>
  <c r="Q113" i="11"/>
  <c r="J66" i="11"/>
  <c r="J44" i="11"/>
  <c r="E23" i="11"/>
  <c r="B143" i="10"/>
  <c r="J124" i="10"/>
  <c r="H105" i="10"/>
  <c r="Q83" i="10"/>
  <c r="A59" i="10"/>
  <c r="E37" i="10"/>
  <c r="B16" i="10"/>
  <c r="O93" i="9"/>
  <c r="E75" i="9"/>
  <c r="H53" i="9"/>
  <c r="B30" i="9"/>
  <c r="A9" i="9"/>
  <c r="E86" i="8"/>
  <c r="A69" i="8"/>
  <c r="O47" i="8"/>
  <c r="L26" i="8"/>
  <c r="A6" i="8"/>
  <c r="N92" i="7"/>
  <c r="Q76" i="7"/>
  <c r="E58" i="7"/>
  <c r="V42" i="7"/>
  <c r="D26" i="7"/>
  <c r="B102" i="11"/>
  <c r="N62" i="11"/>
  <c r="J41" i="11"/>
  <c r="A20" i="11"/>
  <c r="T138" i="10"/>
  <c r="X119" i="10"/>
  <c r="J99" i="10"/>
  <c r="C78" i="10"/>
  <c r="N54" i="10"/>
  <c r="L32" i="10"/>
  <c r="J11" i="10"/>
  <c r="H89" i="9"/>
  <c r="J71" i="9"/>
  <c r="C48" i="9"/>
  <c r="O25" i="9"/>
  <c r="E4" i="9"/>
  <c r="E87" i="8"/>
  <c r="O69" i="8"/>
  <c r="S50" i="8"/>
  <c r="O34" i="8"/>
  <c r="B24" i="8"/>
  <c r="Q12" i="8"/>
  <c r="A108" i="7"/>
  <c r="N101" i="7"/>
  <c r="F96" i="7"/>
  <c r="O89" i="7"/>
  <c r="C84" i="7"/>
  <c r="T78" i="7"/>
  <c r="C72" i="7"/>
  <c r="L66" i="7"/>
  <c r="J59" i="7"/>
  <c r="N53" i="7"/>
  <c r="A47" i="7"/>
  <c r="J41" i="7"/>
  <c r="O35" i="7"/>
  <c r="L29" i="7"/>
  <c r="O23" i="7"/>
  <c r="F17" i="7"/>
  <c r="B11" i="7"/>
  <c r="D6" i="7"/>
  <c r="F121" i="6"/>
  <c r="E113" i="11"/>
  <c r="J64" i="11"/>
  <c r="B44" i="11"/>
  <c r="J20" i="11"/>
  <c r="E142" i="10"/>
  <c r="V119" i="10"/>
  <c r="A105" i="10"/>
  <c r="L81" i="10"/>
  <c r="B62" i="10"/>
  <c r="A39" i="10"/>
  <c r="H15" i="10"/>
  <c r="F90" i="9"/>
  <c r="B70" i="9"/>
  <c r="B48" i="9"/>
  <c r="O26" i="9"/>
  <c r="N5" i="9"/>
  <c r="S84" i="8"/>
  <c r="O66" i="8"/>
  <c r="Q46" i="8"/>
  <c r="O23" i="8"/>
  <c r="D106" i="7"/>
  <c r="N90" i="7"/>
  <c r="F72" i="7"/>
  <c r="A55" i="7"/>
  <c r="O39" i="7"/>
  <c r="N23" i="7"/>
  <c r="T12" i="7"/>
  <c r="Q7" i="7"/>
  <c r="H121" i="6"/>
  <c r="V116" i="6"/>
  <c r="V112" i="6"/>
  <c r="X108" i="6"/>
  <c r="V104" i="6"/>
  <c r="V99" i="6"/>
  <c r="J96" i="6"/>
  <c r="H91" i="6"/>
  <c r="L85" i="6"/>
  <c r="J80" i="6"/>
  <c r="E74" i="6"/>
  <c r="N68" i="6"/>
  <c r="D63" i="6"/>
  <c r="F57" i="6"/>
  <c r="H52" i="6"/>
  <c r="Q46" i="6"/>
  <c r="O41" i="6"/>
  <c r="H36" i="6"/>
  <c r="D31" i="6"/>
  <c r="F25" i="6"/>
  <c r="E20" i="6"/>
  <c r="D15" i="6"/>
  <c r="F9" i="6"/>
  <c r="T97" i="5"/>
  <c r="F91" i="5"/>
  <c r="Q85" i="5"/>
  <c r="C82" i="5"/>
  <c r="N78" i="5"/>
  <c r="F73" i="5"/>
  <c r="B69" i="5"/>
  <c r="D65" i="5"/>
  <c r="V60" i="5"/>
  <c r="Q56" i="5"/>
  <c r="J50" i="5"/>
  <c r="D44" i="5"/>
  <c r="F37" i="5"/>
  <c r="J31" i="5"/>
  <c r="D25" i="5"/>
  <c r="F18" i="5"/>
  <c r="B12" i="5"/>
  <c r="Q5" i="5"/>
  <c r="O75" i="4"/>
  <c r="T70" i="4"/>
  <c r="V65" i="4"/>
  <c r="N60" i="4"/>
  <c r="N56" i="4"/>
  <c r="Q51" i="4"/>
  <c r="F46" i="4"/>
  <c r="D41" i="4"/>
  <c r="O35" i="4"/>
  <c r="E30" i="4"/>
  <c r="C25" i="4"/>
  <c r="O19" i="4"/>
  <c r="E14" i="4"/>
  <c r="C9" i="4"/>
  <c r="A3" i="4"/>
  <c r="C56" i="3"/>
  <c r="Q51" i="3"/>
  <c r="L48" i="3"/>
  <c r="A45" i="3"/>
  <c r="V41" i="3"/>
  <c r="Q38" i="3"/>
  <c r="C35" i="3"/>
  <c r="F29" i="3"/>
  <c r="E24" i="3"/>
  <c r="D19" i="3"/>
  <c r="F13" i="3"/>
  <c r="C8" i="3"/>
  <c r="X68" i="2"/>
  <c r="H63" i="2"/>
  <c r="O58" i="2"/>
  <c r="S54" i="2"/>
  <c r="Q50" i="2"/>
  <c r="O97" i="11"/>
  <c r="B62" i="11"/>
  <c r="J38" i="11"/>
  <c r="B18" i="11"/>
  <c r="T132" i="10"/>
  <c r="L116" i="10"/>
  <c r="H99" i="10"/>
  <c r="C79" i="10"/>
  <c r="F54" i="10"/>
  <c r="D32" i="10"/>
  <c r="Q9" i="10"/>
  <c r="B89" i="9"/>
  <c r="N67" i="9"/>
  <c r="C45" i="9"/>
  <c r="F24" i="9"/>
  <c r="S101" i="8"/>
  <c r="N84" i="8"/>
  <c r="L67" i="8"/>
  <c r="H45" i="8"/>
  <c r="J23" i="8"/>
  <c r="C109" i="7"/>
  <c r="E91" i="7"/>
  <c r="S75" i="7"/>
  <c r="C59" i="7"/>
  <c r="D44" i="7"/>
  <c r="B26" i="7"/>
  <c r="H14" i="7"/>
  <c r="S8" i="7"/>
  <c r="V122" i="6"/>
  <c r="Q117" i="6"/>
  <c r="L113" i="6"/>
  <c r="L109" i="6"/>
  <c r="L105" i="6"/>
  <c r="T100" i="6"/>
  <c r="N96" i="6"/>
  <c r="Q90" i="6"/>
  <c r="O85" i="6"/>
  <c r="H80" i="6"/>
  <c r="N73" i="6"/>
  <c r="B68" i="6"/>
  <c r="H63" i="6"/>
  <c r="Q57" i="6"/>
  <c r="Q51" i="6"/>
  <c r="O46" i="6"/>
  <c r="H41" i="6"/>
  <c r="H35" i="6"/>
  <c r="Q29" i="6"/>
  <c r="O24" i="6"/>
  <c r="H19" i="6"/>
  <c r="Q13" i="6"/>
  <c r="O8" i="6"/>
  <c r="X95" i="5"/>
  <c r="S89" i="5"/>
  <c r="B84" i="5"/>
  <c r="O79" i="5"/>
  <c r="L73" i="5"/>
  <c r="E69" i="5"/>
  <c r="T64" i="5"/>
  <c r="O60" i="5"/>
  <c r="J56" i="5"/>
  <c r="N50" i="5"/>
  <c r="C46" i="5"/>
  <c r="L41" i="5"/>
  <c r="A37" i="5"/>
  <c r="E32" i="5"/>
  <c r="N27" i="5"/>
  <c r="C23" i="5"/>
  <c r="L18" i="5"/>
  <c r="A14" i="5"/>
  <c r="H9" i="5"/>
  <c r="A3" i="5"/>
  <c r="F75" i="4"/>
  <c r="S70" i="4"/>
  <c r="H65" i="4"/>
  <c r="B61" i="4"/>
  <c r="B57" i="4"/>
  <c r="E53" i="4"/>
  <c r="O47" i="4"/>
  <c r="E42" i="4"/>
  <c r="C37" i="4"/>
  <c r="N31" i="4"/>
  <c r="J26" i="4"/>
  <c r="B21" i="4"/>
  <c r="N15" i="4"/>
  <c r="J10" i="4"/>
  <c r="J5" i="4"/>
  <c r="E57" i="3"/>
  <c r="A53" i="3"/>
  <c r="D49" i="3"/>
  <c r="T44" i="3"/>
  <c r="T40" i="3"/>
  <c r="T36" i="3"/>
  <c r="T32" i="3"/>
  <c r="H27" i="3"/>
  <c r="Q21" i="3"/>
  <c r="O16" i="3"/>
  <c r="L11" i="3"/>
  <c r="X5" i="3"/>
  <c r="X65" i="2"/>
  <c r="O59" i="2"/>
  <c r="H55" i="2"/>
  <c r="T50" i="2"/>
  <c r="T46" i="2"/>
  <c r="F40" i="2"/>
  <c r="D35" i="2"/>
  <c r="D31" i="2"/>
  <c r="O76" i="11"/>
  <c r="B52" i="11"/>
  <c r="J28" i="11"/>
  <c r="D8" i="11"/>
  <c r="Q131" i="10"/>
  <c r="L115" i="10"/>
  <c r="C99" i="10"/>
  <c r="A74" i="10"/>
  <c r="N49" i="10"/>
  <c r="O28" i="10"/>
  <c r="H7" i="10"/>
  <c r="X79" i="9"/>
  <c r="Q57" i="9"/>
  <c r="L31" i="9"/>
  <c r="E11" i="9"/>
  <c r="O90" i="8"/>
  <c r="L71" i="8"/>
  <c r="F52" i="8"/>
  <c r="C34" i="8"/>
  <c r="F14" i="8"/>
  <c r="O99" i="7"/>
  <c r="B81" i="7"/>
  <c r="D64" i="7"/>
  <c r="A43" i="7"/>
  <c r="T26" i="7"/>
  <c r="N14" i="7"/>
  <c r="J8" i="7"/>
  <c r="L121" i="6"/>
  <c r="S116" i="6"/>
  <c r="S112" i="6"/>
  <c r="T108" i="6"/>
  <c r="S104" i="6"/>
  <c r="N99" i="6"/>
  <c r="B95" i="6"/>
  <c r="F88" i="6"/>
  <c r="E83" i="6"/>
  <c r="D78" i="6"/>
  <c r="D71" i="6"/>
  <c r="O65" i="6"/>
  <c r="H60" i="6"/>
  <c r="Q54" i="6"/>
  <c r="B49" i="6"/>
  <c r="A44" i="6"/>
  <c r="N38" i="6"/>
  <c r="D33" i="6"/>
  <c r="F27" i="6"/>
  <c r="E22" i="6"/>
  <c r="D17" i="6"/>
  <c r="F11" i="6"/>
  <c r="H5" i="6"/>
  <c r="E92" i="5"/>
  <c r="J87" i="5"/>
  <c r="X82" i="5"/>
  <c r="H79" i="5"/>
  <c r="Q74" i="5"/>
  <c r="H70" i="5"/>
  <c r="A66" i="5"/>
  <c r="F61" i="5"/>
  <c r="B57" i="5"/>
  <c r="J51" i="5"/>
  <c r="D45" i="5"/>
  <c r="F38" i="5"/>
  <c r="F31" i="5"/>
  <c r="B25" i="5"/>
  <c r="O18" i="5"/>
  <c r="J12" i="5"/>
  <c r="N5" i="5"/>
  <c r="D76" i="4"/>
  <c r="B71" i="4"/>
  <c r="E66" i="4"/>
  <c r="L61" i="4"/>
  <c r="L57" i="4"/>
  <c r="J53" i="4"/>
  <c r="D48" i="4"/>
  <c r="Q42" i="4"/>
  <c r="F37" i="4"/>
  <c r="E31" i="4"/>
  <c r="C26" i="4"/>
  <c r="O20" i="4"/>
  <c r="E15" i="4"/>
  <c r="C10" i="4"/>
  <c r="N4" i="4"/>
  <c r="T57" i="3"/>
  <c r="J53" i="3"/>
  <c r="H49" i="3"/>
  <c r="S44" i="3"/>
  <c r="S40" i="3"/>
  <c r="S36" i="3"/>
  <c r="S32" i="3"/>
  <c r="C28" i="3"/>
  <c r="L22" i="3"/>
  <c r="J17" i="3"/>
  <c r="A12" i="3"/>
  <c r="V6" i="3"/>
  <c r="D68" i="2"/>
  <c r="V63" i="2"/>
  <c r="N59" i="2"/>
  <c r="V54" i="2"/>
  <c r="S50" i="2"/>
  <c r="S46" i="2"/>
  <c r="L42" i="2"/>
  <c r="E39" i="2"/>
  <c r="S35" i="2"/>
  <c r="S31" i="2"/>
  <c r="S27" i="2"/>
  <c r="L23" i="2"/>
  <c r="E20" i="2"/>
  <c r="A17" i="2"/>
  <c r="A39" i="11"/>
  <c r="A101" i="10"/>
  <c r="A21" i="10"/>
  <c r="A27" i="9"/>
  <c r="H39" i="8"/>
  <c r="O71" i="7"/>
  <c r="E13" i="7"/>
  <c r="L112" i="6"/>
  <c r="V94" i="6"/>
  <c r="H71" i="6"/>
  <c r="O48" i="6"/>
  <c r="H29" i="6"/>
  <c r="C9" i="6"/>
  <c r="D80" i="5"/>
  <c r="D62" i="5"/>
  <c r="H43" i="5"/>
  <c r="A25" i="5"/>
  <c r="S3" i="5"/>
  <c r="B59" i="4"/>
  <c r="E39" i="4"/>
  <c r="N18" i="4"/>
  <c r="T56" i="3"/>
  <c r="C34" i="3"/>
  <c r="D14" i="3"/>
  <c r="X59" i="2"/>
  <c r="F46" i="2"/>
  <c r="T36" i="2"/>
  <c r="B28" i="2"/>
  <c r="D22" i="2"/>
  <c r="H16" i="2"/>
  <c r="A13" i="2"/>
  <c r="V9" i="2"/>
  <c r="Q5" i="2"/>
  <c r="F75" i="1"/>
  <c r="S69" i="1"/>
  <c r="A65" i="1"/>
  <c r="V61" i="1"/>
  <c r="Q58" i="1"/>
  <c r="L55" i="1"/>
  <c r="C51" i="1"/>
  <c r="C46" i="1"/>
  <c r="L40" i="1"/>
  <c r="B35" i="1"/>
  <c r="A30" i="1"/>
  <c r="N24" i="1"/>
  <c r="A19" i="1"/>
  <c r="N13" i="1"/>
  <c r="B8" i="1"/>
  <c r="C138" i="10"/>
  <c r="F26" i="10"/>
  <c r="Q23" i="9"/>
  <c r="Q9" i="8"/>
  <c r="A38" i="7"/>
  <c r="F120" i="6"/>
  <c r="X99" i="6"/>
  <c r="Q84" i="6"/>
  <c r="J68" i="6"/>
  <c r="Q45" i="6"/>
  <c r="E23" i="6"/>
  <c r="E7" i="6"/>
  <c r="V76" i="5"/>
  <c r="J62" i="5"/>
  <c r="L42" i="5"/>
  <c r="Q21" i="5"/>
  <c r="F5" i="5"/>
  <c r="A67" i="4"/>
  <c r="H46" i="4"/>
  <c r="F30" i="4"/>
  <c r="Q9" i="4"/>
  <c r="L47" i="3"/>
  <c r="J30" i="3"/>
  <c r="B10" i="3"/>
  <c r="F59" i="2"/>
  <c r="Q49" i="2"/>
  <c r="S43" i="2"/>
  <c r="S37" i="2"/>
  <c r="A32" i="2"/>
  <c r="Q27" i="2"/>
  <c r="S21" i="2"/>
  <c r="F15" i="2"/>
  <c r="X8" i="2"/>
  <c r="S77" i="1"/>
  <c r="D72" i="1"/>
  <c r="C67" i="1"/>
  <c r="B60" i="1"/>
  <c r="B55" i="1"/>
  <c r="T50" i="1"/>
  <c r="H45" i="1"/>
  <c r="F40" i="1"/>
  <c r="N36" i="1"/>
  <c r="Q29" i="1"/>
  <c r="O24" i="1"/>
  <c r="E18" i="1"/>
  <c r="N12" i="1"/>
  <c r="B7" i="1"/>
  <c r="B3" i="12"/>
  <c r="H59" i="11"/>
  <c r="L33" i="11"/>
  <c r="D12" i="11"/>
  <c r="L118" i="10"/>
  <c r="N95" i="10"/>
  <c r="H63" i="10"/>
  <c r="J28" i="10"/>
  <c r="S100" i="9"/>
  <c r="N75" i="9"/>
  <c r="O38" i="9"/>
  <c r="C13" i="9"/>
  <c r="A85" i="8"/>
  <c r="O58" i="8"/>
  <c r="F29" i="8"/>
  <c r="J105" i="7"/>
  <c r="L74" i="7"/>
  <c r="O47" i="7"/>
  <c r="L28" i="7"/>
  <c r="Q11" i="7"/>
  <c r="S5" i="7"/>
  <c r="N117" i="6"/>
  <c r="J110" i="6"/>
  <c r="C105" i="6"/>
  <c r="A97" i="6"/>
  <c r="N90" i="6"/>
  <c r="E84" i="6"/>
  <c r="Q76" i="6"/>
  <c r="N65" i="6"/>
  <c r="E59" i="6"/>
  <c r="Q53" i="6"/>
  <c r="F46" i="6"/>
  <c r="A41" i="6"/>
  <c r="H33" i="6"/>
  <c r="A27" i="6"/>
  <c r="J18" i="6"/>
  <c r="C13" i="6"/>
  <c r="E97" i="5"/>
  <c r="F90" i="5"/>
  <c r="J84" i="5"/>
  <c r="F77" i="5"/>
  <c r="L71" i="5"/>
  <c r="S63" i="5"/>
  <c r="D58" i="5"/>
  <c r="E52" i="5"/>
  <c r="L46" i="5"/>
  <c r="N39" i="5"/>
  <c r="Q33" i="5"/>
  <c r="C28" i="5"/>
  <c r="E21" i="5"/>
  <c r="L15" i="5"/>
  <c r="Q9" i="5"/>
  <c r="S76" i="4"/>
  <c r="S68" i="4"/>
  <c r="C63" i="4"/>
  <c r="A58" i="4"/>
  <c r="O52" i="4"/>
  <c r="A47" i="4"/>
  <c r="A39" i="4"/>
  <c r="B32" i="4"/>
  <c r="D25" i="4"/>
  <c r="D17" i="4"/>
  <c r="F10" i="4"/>
  <c r="H59" i="3"/>
  <c r="S52" i="3"/>
  <c r="X46" i="3"/>
  <c r="F41" i="3"/>
  <c r="S33" i="3"/>
  <c r="O26" i="3"/>
  <c r="F20" i="3"/>
  <c r="Q12" i="3"/>
  <c r="J6" i="3"/>
  <c r="J65" i="2"/>
  <c r="T57" i="2"/>
  <c r="L53" i="2"/>
  <c r="E49" i="2"/>
  <c r="E46" i="2"/>
  <c r="H42" i="2"/>
  <c r="N39" i="2"/>
  <c r="S36" i="2"/>
  <c r="Q34" i="2"/>
  <c r="Q32" i="2"/>
  <c r="E30" i="2"/>
  <c r="V28" i="2"/>
  <c r="E27" i="2"/>
  <c r="F24" i="2"/>
  <c r="X21" i="2"/>
  <c r="N20" i="2"/>
  <c r="X17" i="2"/>
  <c r="N16" i="2"/>
  <c r="D15" i="2"/>
  <c r="O13" i="2"/>
  <c r="J12" i="2"/>
  <c r="D11" i="2"/>
  <c r="O9" i="2"/>
  <c r="O8" i="2"/>
  <c r="O7" i="2"/>
  <c r="T5" i="2"/>
  <c r="E4" i="2"/>
  <c r="L78" i="1"/>
  <c r="Q77" i="1"/>
  <c r="T76" i="1"/>
  <c r="V75" i="1"/>
  <c r="A75" i="1"/>
  <c r="X72" i="1"/>
  <c r="F71" i="1"/>
  <c r="B70" i="1"/>
  <c r="X68" i="1"/>
  <c r="V67" i="1"/>
  <c r="T66" i="1"/>
  <c r="V65" i="1"/>
  <c r="T64" i="1"/>
  <c r="T63" i="1"/>
  <c r="T62" i="1"/>
  <c r="T61" i="1"/>
  <c r="T60" i="1"/>
  <c r="T59" i="1"/>
  <c r="T58" i="1"/>
  <c r="T57" i="1"/>
  <c r="T56" i="1"/>
  <c r="T55" i="1"/>
  <c r="S54" i="1"/>
  <c r="H53" i="1"/>
  <c r="X51" i="1"/>
  <c r="F50" i="1"/>
  <c r="E49" i="1"/>
  <c r="D48" i="1"/>
  <c r="F46" i="1"/>
  <c r="E45" i="1"/>
  <c r="D44" i="1"/>
  <c r="F42" i="1"/>
  <c r="E41" i="1"/>
  <c r="D40" i="1"/>
  <c r="S38" i="1"/>
  <c r="F37" i="1"/>
  <c r="L36" i="1"/>
  <c r="E35" i="1"/>
  <c r="D34" i="1"/>
  <c r="F32" i="1"/>
  <c r="E31" i="1"/>
  <c r="D30" i="1"/>
  <c r="F28" i="1"/>
  <c r="E27" i="1"/>
  <c r="D26" i="1"/>
  <c r="F24" i="1"/>
  <c r="E23" i="1"/>
  <c r="C22" i="1"/>
  <c r="L20" i="1"/>
  <c r="J19" i="1"/>
  <c r="C18" i="1"/>
  <c r="L16" i="1"/>
  <c r="J15" i="1"/>
  <c r="C14" i="1"/>
  <c r="L12" i="1"/>
  <c r="J11" i="1"/>
  <c r="C10" i="1"/>
  <c r="L8" i="1"/>
  <c r="J7" i="1"/>
  <c r="F6" i="1"/>
  <c r="N4" i="1"/>
  <c r="Q77" i="11"/>
  <c r="F44" i="11"/>
  <c r="F124" i="10"/>
  <c r="J75" i="10"/>
  <c r="E9" i="10"/>
  <c r="E51" i="9"/>
  <c r="J94" i="8"/>
  <c r="L31" i="8"/>
  <c r="H76" i="7"/>
  <c r="H30" i="7"/>
  <c r="H6" i="7"/>
  <c r="F108" i="6"/>
  <c r="Q96" i="6"/>
  <c r="O72" i="6"/>
  <c r="N57" i="6"/>
  <c r="J40" i="6"/>
  <c r="D22" i="6"/>
  <c r="S87" i="5"/>
  <c r="V71" i="5"/>
  <c r="O58" i="5"/>
  <c r="Q44" i="5"/>
  <c r="A31" i="5"/>
  <c r="C16" i="5"/>
  <c r="F72" i="4"/>
  <c r="L58" i="4"/>
  <c r="C44" i="4"/>
  <c r="D29" i="4"/>
  <c r="F14" i="4"/>
  <c r="X40" i="3"/>
  <c r="O18" i="3"/>
  <c r="H39" i="2"/>
  <c r="J20" i="2"/>
  <c r="X14" i="2"/>
  <c r="B11" i="2"/>
  <c r="X5" i="2"/>
  <c r="F76" i="1"/>
  <c r="T71" i="1"/>
  <c r="O68" i="1"/>
  <c r="B63" i="1"/>
  <c r="B59" i="1"/>
  <c r="V54" i="1"/>
  <c r="T51" i="1"/>
  <c r="E47" i="1"/>
  <c r="J42" i="1"/>
  <c r="Q38" i="1"/>
  <c r="F34" i="1"/>
  <c r="E29" i="1"/>
  <c r="E25" i="1"/>
  <c r="D21" i="1"/>
  <c r="J17" i="1"/>
  <c r="D13" i="1"/>
  <c r="O9" i="1"/>
  <c r="T5" i="1"/>
  <c r="D79" i="11"/>
  <c r="H45" i="11"/>
  <c r="N19" i="11"/>
  <c r="S135" i="10"/>
  <c r="V120" i="10"/>
  <c r="C103" i="10"/>
  <c r="N76" i="10"/>
  <c r="N53" i="10"/>
  <c r="H27" i="10"/>
  <c r="S99" i="9"/>
  <c r="F85" i="9"/>
  <c r="B66" i="9"/>
  <c r="A47" i="9"/>
  <c r="F16" i="9"/>
  <c r="E95" i="8"/>
  <c r="D70" i="8"/>
  <c r="D54" i="8"/>
  <c r="D37" i="8"/>
  <c r="L19" i="8"/>
  <c r="N97" i="7"/>
  <c r="T80" i="7"/>
  <c r="Q61" i="7"/>
  <c r="S42" i="7"/>
  <c r="D20" i="7"/>
  <c r="O12" i="7"/>
  <c r="Q6" i="7"/>
  <c r="S121" i="6"/>
  <c r="F117" i="6"/>
  <c r="V113" i="6"/>
  <c r="D110" i="6"/>
  <c r="S106" i="6"/>
  <c r="B102" i="6"/>
  <c r="A96" i="6"/>
  <c r="O91" i="6"/>
  <c r="D87" i="6"/>
  <c r="Q80" i="6"/>
  <c r="F74" i="6"/>
  <c r="N67" i="6"/>
  <c r="D62" i="6"/>
  <c r="Q55" i="6"/>
  <c r="H51" i="6"/>
  <c r="C47" i="6"/>
  <c r="O40" i="6"/>
  <c r="E35" i="6"/>
  <c r="A31" i="6"/>
  <c r="L23" i="6"/>
  <c r="E19" i="6"/>
  <c r="A15" i="6"/>
  <c r="L7" i="6"/>
  <c r="D95" i="5"/>
  <c r="B90" i="5"/>
  <c r="F83" i="5"/>
  <c r="V78" i="5"/>
  <c r="C73" i="5"/>
  <c r="H69" i="5"/>
  <c r="N63" i="5"/>
  <c r="T58" i="5"/>
  <c r="C55" i="5"/>
  <c r="N49" i="5"/>
  <c r="C45" i="5"/>
  <c r="L40" i="5"/>
  <c r="Q35" i="5"/>
  <c r="E31" i="5"/>
  <c r="N26" i="5"/>
  <c r="C22" i="5"/>
  <c r="L17" i="5"/>
  <c r="A13" i="5"/>
  <c r="H8" i="5"/>
  <c r="J78" i="4"/>
  <c r="S74" i="4"/>
  <c r="J70" i="4"/>
  <c r="D66" i="4"/>
  <c r="H60" i="4"/>
  <c r="F55" i="4"/>
  <c r="E51" i="4"/>
  <c r="L45" i="4"/>
  <c r="A41" i="4"/>
  <c r="L35" i="4"/>
  <c r="J29" i="4"/>
  <c r="Q23" i="4"/>
  <c r="D19" i="4"/>
  <c r="J13" i="4"/>
  <c r="Q7" i="4"/>
  <c r="H57" i="3"/>
  <c r="H53" i="3"/>
  <c r="F49" i="3"/>
  <c r="F44" i="3"/>
  <c r="X37" i="3"/>
  <c r="N34" i="3"/>
  <c r="O30" i="3"/>
  <c r="H25" i="3"/>
  <c r="C21" i="3"/>
  <c r="O14" i="3"/>
  <c r="F10" i="3"/>
  <c r="A6" i="3"/>
  <c r="S68" i="2"/>
  <c r="T62" i="2"/>
  <c r="V55" i="2"/>
  <c r="J52" i="2"/>
  <c r="O48" i="2"/>
  <c r="X46" i="2"/>
  <c r="T43" i="2"/>
  <c r="T41" i="2"/>
  <c r="T39" i="2"/>
  <c r="T37" i="2"/>
  <c r="F35" i="2"/>
  <c r="X32" i="2"/>
  <c r="B30" i="2"/>
  <c r="A29" i="2"/>
  <c r="D27" i="2"/>
  <c r="J23" i="2"/>
  <c r="H22" i="2"/>
  <c r="F21" i="2"/>
  <c r="C19" i="2"/>
  <c r="B18" i="2"/>
  <c r="S16" i="2"/>
  <c r="H15" i="2"/>
  <c r="H14" i="2"/>
  <c r="H13" i="2"/>
  <c r="H12" i="2"/>
  <c r="H11" i="2"/>
  <c r="H10" i="2"/>
  <c r="H9" i="2"/>
  <c r="H8" i="2"/>
  <c r="H7" i="2"/>
  <c r="H5" i="2"/>
  <c r="J78" i="1"/>
  <c r="J77" i="1"/>
  <c r="H76" i="1"/>
  <c r="D75" i="1"/>
  <c r="L73" i="1"/>
  <c r="L72" i="1"/>
  <c r="Q71" i="1"/>
  <c r="V70" i="1"/>
  <c r="V69" i="1"/>
  <c r="V68" i="1"/>
  <c r="T67" i="1"/>
  <c r="N66" i="1"/>
  <c r="J65" i="1"/>
  <c r="H64" i="1"/>
  <c r="H63" i="1"/>
  <c r="H62" i="1"/>
  <c r="H61" i="1"/>
  <c r="H60" i="1"/>
  <c r="H59" i="1"/>
  <c r="H58" i="1"/>
  <c r="H57" i="1"/>
  <c r="H56" i="1"/>
  <c r="H55" i="1"/>
  <c r="F53" i="1"/>
  <c r="E52" i="1"/>
  <c r="L51" i="1"/>
  <c r="Q50" i="1"/>
  <c r="O49" i="1"/>
  <c r="H48" i="1"/>
  <c r="Q46" i="1"/>
  <c r="O45" i="1"/>
  <c r="H44" i="1"/>
  <c r="Q42" i="1"/>
  <c r="O41" i="1"/>
  <c r="H40" i="1"/>
  <c r="X38" i="1"/>
  <c r="L37" i="1"/>
  <c r="O36" i="1"/>
  <c r="J35" i="1"/>
  <c r="C34" i="1"/>
  <c r="L32" i="1"/>
  <c r="J31" i="1"/>
  <c r="C30" i="1"/>
  <c r="L28" i="1"/>
  <c r="J27" i="1"/>
  <c r="C26" i="1"/>
  <c r="L24" i="1"/>
  <c r="J23" i="1"/>
  <c r="B22" i="1"/>
  <c r="A21" i="1"/>
  <c r="N19" i="1"/>
  <c r="B18" i="1"/>
  <c r="A17" i="1"/>
  <c r="N15" i="1"/>
  <c r="B14" i="1"/>
  <c r="A13" i="1"/>
  <c r="N11" i="1"/>
  <c r="B10" i="1"/>
  <c r="A9" i="1"/>
  <c r="N7" i="1"/>
  <c r="L6" i="1"/>
  <c r="L5" i="1"/>
  <c r="A114" i="11"/>
  <c r="L131" i="10"/>
  <c r="A85" i="10"/>
  <c r="F91" i="9"/>
  <c r="B28" i="9"/>
  <c r="A36" i="8"/>
  <c r="D100" i="7"/>
  <c r="D34" i="7"/>
  <c r="L7" i="7"/>
  <c r="H115" i="6"/>
  <c r="S103" i="6"/>
  <c r="E94" i="6"/>
  <c r="H78" i="6"/>
  <c r="O58" i="6"/>
  <c r="L41" i="6"/>
  <c r="L27" i="6"/>
  <c r="L11" i="6"/>
  <c r="T88" i="5"/>
  <c r="S77" i="5"/>
  <c r="F66" i="5"/>
  <c r="L50" i="5"/>
  <c r="Q36" i="5"/>
  <c r="A23" i="5"/>
  <c r="H10" i="5"/>
  <c r="N74" i="4"/>
  <c r="C60" i="4"/>
  <c r="L47" i="4"/>
  <c r="J31" i="4"/>
  <c r="J15" i="4"/>
  <c r="T59" i="3"/>
  <c r="F39" i="3"/>
  <c r="F28" i="3"/>
  <c r="J14" i="3"/>
  <c r="E3" i="3"/>
  <c r="O62" i="2"/>
  <c r="D52" i="2"/>
  <c r="H44" i="2"/>
  <c r="C38" i="2"/>
  <c r="V32" i="2"/>
  <c r="T29" i="2"/>
  <c r="J27" i="2"/>
  <c r="H23" i="2"/>
  <c r="X19" i="2"/>
  <c r="J16" i="2"/>
  <c r="F13" i="2"/>
  <c r="F10" i="2"/>
  <c r="F5" i="2"/>
  <c r="H77" i="1"/>
  <c r="J72" i="1"/>
  <c r="T68" i="1"/>
  <c r="F66" i="1"/>
  <c r="X62" i="1"/>
  <c r="F60" i="1"/>
  <c r="X55" i="1"/>
  <c r="L53" i="1"/>
  <c r="N49" i="1"/>
  <c r="O46" i="1"/>
  <c r="L43" i="1"/>
  <c r="A39" i="1"/>
  <c r="S36" i="1"/>
  <c r="D32" i="1"/>
  <c r="L29" i="1"/>
  <c r="Q25" i="1"/>
  <c r="C23" i="1"/>
  <c r="F19" i="1"/>
  <c r="F15" i="1"/>
  <c r="Q10" i="1"/>
  <c r="V6" i="1"/>
  <c r="L101" i="15"/>
  <c r="V75" i="17"/>
  <c r="J344" i="14"/>
  <c r="D11" i="13"/>
  <c r="A115" i="14"/>
  <c r="F349" i="14"/>
  <c r="A3" i="13"/>
  <c r="F104" i="11"/>
  <c r="Q260" i="14"/>
  <c r="O61" i="14"/>
  <c r="C87" i="13"/>
  <c r="O122" i="12"/>
  <c r="O45" i="12"/>
  <c r="H111" i="11"/>
  <c r="F138" i="10"/>
  <c r="F55" i="10"/>
  <c r="C76" i="9"/>
  <c r="S89" i="8"/>
  <c r="L10" i="8"/>
  <c r="O43" i="7"/>
  <c r="C39" i="11"/>
  <c r="Q99" i="10"/>
  <c r="A11" i="10"/>
  <c r="A25" i="9"/>
  <c r="Q42" i="8"/>
  <c r="T72" i="7"/>
  <c r="T85" i="11"/>
  <c r="T134" i="10"/>
  <c r="J49" i="10"/>
  <c r="C66" i="9"/>
  <c r="C83" i="8"/>
  <c r="F21" i="8"/>
  <c r="F94" i="7"/>
  <c r="O70" i="7"/>
  <c r="S45" i="7"/>
  <c r="T21" i="7"/>
  <c r="E120" i="6"/>
  <c r="D16" i="11"/>
  <c r="H76" i="10"/>
  <c r="B85" i="9"/>
  <c r="O97" i="8"/>
  <c r="D18" i="8"/>
  <c r="E51" i="7"/>
  <c r="N6" i="7"/>
  <c r="T107" i="6"/>
  <c r="L89" i="6"/>
  <c r="B67" i="6"/>
  <c r="O45" i="6"/>
  <c r="E24" i="6"/>
  <c r="S95" i="5"/>
  <c r="Q77" i="5"/>
  <c r="A60" i="5"/>
  <c r="D36" i="5"/>
  <c r="F10" i="5"/>
  <c r="H64" i="4"/>
  <c r="D45" i="4"/>
  <c r="O23" i="4"/>
  <c r="D60" i="3"/>
  <c r="E44" i="3"/>
  <c r="E28" i="3"/>
  <c r="S6" i="3"/>
  <c r="T53" i="2"/>
  <c r="B34" i="11"/>
  <c r="C95" i="10"/>
  <c r="D3" i="10"/>
  <c r="B20" i="9"/>
  <c r="A41" i="8"/>
  <c r="C71" i="7"/>
  <c r="B13" i="7"/>
  <c r="O112" i="6"/>
  <c r="N95" i="6"/>
  <c r="B72" i="6"/>
  <c r="O50" i="6"/>
  <c r="O28" i="6"/>
  <c r="H7" i="6"/>
  <c r="F78" i="5"/>
  <c r="Q59" i="5"/>
  <c r="H40" i="5"/>
  <c r="A22" i="5"/>
  <c r="F78" i="4"/>
  <c r="A60" i="4"/>
  <c r="C41" i="4"/>
  <c r="N19" i="4"/>
  <c r="V55" i="3"/>
  <c r="T39" i="3"/>
  <c r="O20" i="3"/>
  <c r="F64" i="2"/>
  <c r="X44" i="2"/>
  <c r="F69" i="11"/>
  <c r="F128" i="10"/>
  <c r="F44" i="10"/>
  <c r="A53" i="9"/>
  <c r="E67" i="8"/>
  <c r="E95" i="7"/>
  <c r="C23" i="7"/>
  <c r="V115" i="6"/>
  <c r="N98" i="6"/>
  <c r="F76" i="6"/>
  <c r="B53" i="6"/>
  <c r="F31" i="6"/>
  <c r="E10" i="6"/>
  <c r="A82" i="5"/>
  <c r="N64" i="5"/>
  <c r="J43" i="5"/>
  <c r="B17" i="5"/>
  <c r="A70" i="4"/>
  <c r="D52" i="4"/>
  <c r="C30" i="4"/>
  <c r="O8" i="4"/>
  <c r="H48" i="3"/>
  <c r="Q31" i="3"/>
  <c r="N10" i="3"/>
  <c r="B58" i="2"/>
  <c r="Q41" i="2"/>
  <c r="A26" i="2"/>
  <c r="L17" i="11"/>
  <c r="H17" i="8"/>
  <c r="O87" i="6"/>
  <c r="L97" i="5"/>
  <c r="H20" i="5"/>
  <c r="B14" i="4"/>
  <c r="F56" i="2"/>
  <c r="O20" i="2"/>
  <c r="B3" i="2"/>
  <c r="A61" i="1"/>
  <c r="L44" i="1"/>
  <c r="B23" i="1"/>
  <c r="L93" i="10"/>
  <c r="N26" i="7"/>
  <c r="Q59" i="6"/>
  <c r="T72" i="5"/>
  <c r="E79" i="4"/>
  <c r="T58" i="3"/>
  <c r="H57" i="2"/>
  <c r="E31" i="2"/>
  <c r="B7" i="2"/>
  <c r="X58" i="1"/>
  <c r="L39" i="1"/>
  <c r="N16" i="1"/>
  <c r="C55" i="11"/>
  <c r="H91" i="10"/>
  <c r="C67" i="9"/>
  <c r="X50" i="8"/>
  <c r="Q43" i="7"/>
  <c r="B114" i="6"/>
  <c r="L88" i="6"/>
  <c r="D58" i="6"/>
  <c r="E31" i="6"/>
  <c r="J95" i="5"/>
  <c r="N69" i="5"/>
  <c r="E44" i="5"/>
  <c r="C20" i="5"/>
  <c r="L67" i="4"/>
  <c r="L43" i="4"/>
  <c r="B16" i="4"/>
  <c r="B46" i="3"/>
  <c r="D18" i="3"/>
  <c r="X56" i="2"/>
  <c r="N41" i="2"/>
  <c r="V31" i="2"/>
  <c r="S23" i="2"/>
  <c r="F16" i="2"/>
  <c r="O10" i="2"/>
  <c r="O5" i="2"/>
  <c r="O76" i="1"/>
  <c r="B71" i="1"/>
  <c r="O66" i="1"/>
  <c r="O62" i="1"/>
  <c r="O58" i="1"/>
  <c r="N54" i="1"/>
  <c r="A49" i="1"/>
  <c r="N43" i="1"/>
  <c r="N38" i="1"/>
  <c r="N33" i="1"/>
  <c r="B28" i="1"/>
  <c r="A23" i="1"/>
  <c r="F17" i="1"/>
  <c r="E12" i="1"/>
  <c r="D7" i="1"/>
  <c r="N35" i="11"/>
  <c r="F32" i="9"/>
  <c r="F19" i="7"/>
  <c r="L69" i="6"/>
  <c r="F81" i="5"/>
  <c r="L27" i="5"/>
  <c r="O40" i="4"/>
  <c r="L15" i="3"/>
  <c r="X9" i="2"/>
  <c r="S67" i="1"/>
  <c r="D51" i="1"/>
  <c r="L33" i="1"/>
  <c r="H16" i="1"/>
  <c r="E73" i="11"/>
  <c r="Q117" i="10"/>
  <c r="C23" i="10"/>
  <c r="N37" i="9"/>
  <c r="B50" i="8"/>
  <c r="E77" i="7"/>
  <c r="J11" i="7"/>
  <c r="X112" i="6"/>
  <c r="E95" i="6"/>
  <c r="A73" i="6"/>
  <c r="F50" i="6"/>
  <c r="Q27" i="6"/>
  <c r="S4" i="6"/>
  <c r="B77" i="5"/>
  <c r="V57" i="5"/>
  <c r="H39" i="5"/>
  <c r="A21" i="5"/>
  <c r="H77" i="4"/>
  <c r="N59" i="4"/>
  <c r="O38" i="4"/>
  <c r="B18" i="4"/>
  <c r="N52" i="3"/>
  <c r="N33" i="3"/>
  <c r="N13" i="3"/>
  <c r="D61" i="2"/>
  <c r="B46" i="2"/>
  <c r="J37" i="2"/>
  <c r="T28" i="2"/>
  <c r="S20" i="2"/>
  <c r="C15" i="2"/>
  <c r="C11" i="2"/>
  <c r="C7" i="2"/>
  <c r="T75" i="1"/>
  <c r="L71" i="1"/>
  <c r="J67" i="1"/>
  <c r="C63" i="1"/>
  <c r="C59" i="1"/>
  <c r="C55" i="1"/>
  <c r="L50" i="1"/>
  <c r="J45" i="1"/>
  <c r="C40" i="1"/>
  <c r="D35" i="1"/>
  <c r="F29" i="1"/>
  <c r="E24" i="1"/>
  <c r="H19" i="1"/>
  <c r="Q13" i="1"/>
  <c r="O8" i="1"/>
  <c r="B40" i="11"/>
  <c r="E15" i="9"/>
  <c r="Q122" i="6"/>
  <c r="Q73" i="6"/>
  <c r="F8" i="6"/>
  <c r="C47" i="5"/>
  <c r="E71" i="4"/>
  <c r="B12" i="4"/>
  <c r="C11" i="3"/>
  <c r="H43" i="2"/>
  <c r="J25" i="2"/>
  <c r="X12" i="2"/>
  <c r="J71" i="1"/>
  <c r="F59" i="1"/>
  <c r="J46" i="1"/>
  <c r="N31" i="1"/>
  <c r="L18" i="1"/>
  <c r="D92" i="18"/>
  <c r="F128" i="15"/>
  <c r="X130" i="15"/>
  <c r="C37" i="13"/>
  <c r="Q55" i="14"/>
  <c r="F40" i="12"/>
  <c r="A349" i="14"/>
  <c r="N159" i="14"/>
  <c r="B129" i="13"/>
  <c r="E119" i="11"/>
  <c r="C42" i="11"/>
  <c r="O101" i="10"/>
  <c r="X52" i="8"/>
  <c r="L137" i="10"/>
  <c r="D70" i="9"/>
  <c r="T38" i="7"/>
  <c r="C94" i="10"/>
  <c r="B46" i="8"/>
  <c r="D58" i="7"/>
  <c r="D60" i="11"/>
  <c r="Q116" i="10"/>
  <c r="C62" i="8"/>
  <c r="S115" i="6"/>
  <c r="E56" i="6"/>
  <c r="F13" i="6"/>
  <c r="O48" i="5"/>
  <c r="L74" i="4"/>
  <c r="H34" i="4"/>
  <c r="B96" i="18"/>
  <c r="A74" i="16"/>
  <c r="A75" i="16"/>
  <c r="C203" i="14"/>
  <c r="C52" i="12"/>
  <c r="O118" i="13"/>
  <c r="N207" i="14"/>
  <c r="J68" i="12"/>
  <c r="N80" i="11"/>
  <c r="O209" i="14"/>
  <c r="B23" i="14"/>
  <c r="C65" i="13"/>
  <c r="N105" i="12"/>
  <c r="L23" i="12"/>
  <c r="F63" i="11"/>
  <c r="O119" i="10"/>
  <c r="N32" i="10"/>
  <c r="J54" i="9"/>
  <c r="J72" i="8"/>
  <c r="E98" i="7"/>
  <c r="A26" i="7"/>
  <c r="D18" i="11"/>
  <c r="O78" i="10"/>
  <c r="S88" i="9"/>
  <c r="O101" i="8"/>
  <c r="C21" i="8"/>
  <c r="Q54" i="7"/>
  <c r="B57" i="11"/>
  <c r="F114" i="10"/>
  <c r="J27" i="10"/>
  <c r="O41" i="9"/>
  <c r="H64" i="8"/>
  <c r="H10" i="8"/>
  <c r="C88" i="7"/>
  <c r="L64" i="7"/>
  <c r="Q39" i="7"/>
  <c r="T15" i="7"/>
  <c r="J98" i="11"/>
  <c r="N135" i="10"/>
  <c r="N55" i="10"/>
  <c r="N63" i="9"/>
  <c r="L81" i="8"/>
  <c r="O102" i="7"/>
  <c r="S35" i="7"/>
  <c r="D120" i="6"/>
  <c r="X103" i="6"/>
  <c r="J84" i="6"/>
  <c r="F61" i="6"/>
  <c r="H40" i="6"/>
  <c r="D19" i="6"/>
  <c r="E90" i="5"/>
  <c r="H72" i="5"/>
  <c r="F55" i="5"/>
  <c r="O29" i="5"/>
  <c r="B3" i="5"/>
  <c r="L59" i="4"/>
  <c r="Q39" i="4"/>
  <c r="E18" i="4"/>
  <c r="V54" i="3"/>
  <c r="A41" i="3"/>
  <c r="D23" i="3"/>
  <c r="N66" i="2"/>
  <c r="T49" i="2"/>
  <c r="N11" i="11"/>
  <c r="C72" i="10"/>
  <c r="B84" i="9"/>
  <c r="J97" i="8"/>
  <c r="A19" i="8"/>
  <c r="Q55" i="7"/>
  <c r="N7" i="7"/>
  <c r="Q108" i="6"/>
  <c r="O89" i="6"/>
  <c r="A67" i="6"/>
  <c r="H45" i="6"/>
  <c r="H23" i="6"/>
  <c r="H93" i="5"/>
  <c r="B72" i="5"/>
  <c r="L55" i="5"/>
  <c r="N35" i="5"/>
  <c r="H17" i="5"/>
  <c r="J74" i="4"/>
  <c r="A56" i="4"/>
  <c r="N35" i="4"/>
  <c r="J14" i="4"/>
  <c r="D52" i="3"/>
  <c r="X35" i="3"/>
  <c r="H15" i="3"/>
  <c r="H58" i="2"/>
  <c r="B39" i="2"/>
  <c r="N45" i="11"/>
  <c r="E112" i="10"/>
  <c r="H23" i="10"/>
  <c r="E27" i="9"/>
  <c r="H48" i="8"/>
  <c r="L77" i="7"/>
  <c r="A13" i="7"/>
  <c r="V111" i="6"/>
  <c r="X93" i="6"/>
  <c r="F69" i="6"/>
  <c r="A48" i="6"/>
  <c r="E26" i="6"/>
  <c r="F97" i="5"/>
  <c r="L78" i="5"/>
  <c r="H60" i="5"/>
  <c r="D37" i="5"/>
  <c r="O10" i="5"/>
  <c r="X64" i="4"/>
  <c r="Q46" i="4"/>
  <c r="O24" i="4"/>
  <c r="N60" i="3"/>
  <c r="S43" i="3"/>
  <c r="L26" i="3"/>
  <c r="V5" i="3"/>
  <c r="X53" i="2"/>
  <c r="L38" i="2"/>
  <c r="Q22" i="2"/>
  <c r="N79" i="10"/>
  <c r="H52" i="7"/>
  <c r="C67" i="6"/>
  <c r="O74" i="5"/>
  <c r="F74" i="4"/>
  <c r="F51" i="3"/>
  <c r="T42" i="2"/>
  <c r="L15" i="2"/>
  <c r="H73" i="1"/>
  <c r="V57" i="1"/>
  <c r="J39" i="1"/>
  <c r="N17" i="1"/>
  <c r="L13" i="10"/>
  <c r="O113" i="6"/>
  <c r="H39" i="6"/>
  <c r="Q57" i="5"/>
  <c r="V61" i="4"/>
  <c r="X44" i="3"/>
  <c r="C48" i="2"/>
  <c r="C24" i="2"/>
  <c r="C77" i="1"/>
  <c r="Q53" i="1"/>
  <c r="B34" i="1"/>
  <c r="B11" i="1"/>
  <c r="E29" i="11"/>
  <c r="J50" i="10"/>
  <c r="J34" i="9"/>
  <c r="B25" i="8"/>
  <c r="C21" i="7"/>
  <c r="O109" i="6"/>
  <c r="D83" i="6"/>
  <c r="N51" i="6"/>
  <c r="Q23" i="6"/>
  <c r="E89" i="5"/>
  <c r="V61" i="5"/>
  <c r="L38" i="5"/>
  <c r="H14" i="5"/>
  <c r="J61" i="4"/>
  <c r="O36" i="4"/>
  <c r="D9" i="4"/>
  <c r="B38" i="3"/>
  <c r="N11" i="3"/>
  <c r="O52" i="2"/>
  <c r="S38" i="2"/>
  <c r="X29" i="2"/>
  <c r="O21" i="2"/>
  <c r="O14" i="2"/>
  <c r="J9" i="2"/>
  <c r="E3" i="2"/>
  <c r="Q75" i="1"/>
  <c r="X69" i="1"/>
  <c r="Q65" i="1"/>
  <c r="O61" i="1"/>
  <c r="O57" i="1"/>
  <c r="C53" i="1"/>
  <c r="N47" i="1"/>
  <c r="B42" i="1"/>
  <c r="B37" i="1"/>
  <c r="B32" i="1"/>
  <c r="A27" i="1"/>
  <c r="F21" i="1"/>
  <c r="E16" i="1"/>
  <c r="D11" i="1"/>
  <c r="X5" i="1"/>
  <c r="Q113" i="10"/>
  <c r="F83" i="8"/>
  <c r="D3" i="7"/>
  <c r="L55" i="6"/>
  <c r="C69" i="5"/>
  <c r="N12" i="5"/>
  <c r="Q25" i="4"/>
  <c r="H37" i="2"/>
  <c r="C78" i="1"/>
  <c r="X61" i="1"/>
  <c r="C45" i="1"/>
  <c r="J28" i="1"/>
  <c r="H12" i="1"/>
  <c r="C41" i="11"/>
  <c r="F90" i="10"/>
  <c r="X95" i="9"/>
  <c r="B12" i="9"/>
  <c r="O32" i="8"/>
  <c r="H54" i="7"/>
  <c r="L5" i="7"/>
  <c r="H109" i="6"/>
  <c r="H90" i="6"/>
  <c r="H65" i="6"/>
  <c r="B46" i="6"/>
  <c r="J22" i="6"/>
  <c r="E93" i="5"/>
  <c r="D72" i="5"/>
  <c r="D54" i="5"/>
  <c r="N34" i="5"/>
  <c r="H16" i="5"/>
  <c r="T73" i="4"/>
  <c r="L54" i="4"/>
  <c r="D34" i="4"/>
  <c r="F12" i="4"/>
  <c r="Q47" i="3"/>
  <c r="N29" i="3"/>
  <c r="E9" i="3"/>
  <c r="A55" i="2"/>
  <c r="J43" i="2"/>
  <c r="X34" i="2"/>
  <c r="S25" i="2"/>
  <c r="X18" i="2"/>
  <c r="C14" i="2"/>
  <c r="C10" i="2"/>
  <c r="A5" i="2"/>
  <c r="A74" i="1"/>
  <c r="L70" i="1"/>
  <c r="H66" i="1"/>
  <c r="C62" i="1"/>
  <c r="C58" i="1"/>
  <c r="B53" i="1"/>
  <c r="J49" i="1"/>
  <c r="C44" i="1"/>
  <c r="F38" i="1"/>
  <c r="F33" i="1"/>
  <c r="E28" i="1"/>
  <c r="D23" i="1"/>
  <c r="Q17" i="1"/>
  <c r="O12" i="1"/>
  <c r="H7" i="1"/>
  <c r="A120" i="10"/>
  <c r="D27" i="8"/>
  <c r="T111" i="6"/>
  <c r="J54" i="6"/>
  <c r="V84" i="5"/>
  <c r="E33" i="5"/>
  <c r="Q57" i="4"/>
  <c r="C53" i="3"/>
  <c r="N68" i="2"/>
  <c r="A36" i="2"/>
  <c r="T22" i="2"/>
  <c r="B9" i="2"/>
  <c r="C68" i="1"/>
  <c r="F55" i="1"/>
  <c r="O42" i="1"/>
  <c r="O28" i="1"/>
  <c r="L14" i="1"/>
  <c r="V91" i="11"/>
  <c r="B88" i="12"/>
  <c r="B11" i="10"/>
  <c r="O95" i="11"/>
  <c r="J82" i="8"/>
  <c r="A36" i="11"/>
  <c r="H20" i="9"/>
  <c r="S82" i="7"/>
  <c r="A34" i="7"/>
  <c r="H31" i="10"/>
  <c r="X84" i="7"/>
  <c r="A99" i="6"/>
  <c r="D35" i="6"/>
  <c r="C68" i="5"/>
  <c r="L55" i="4"/>
  <c r="C105" i="15"/>
  <c r="J49" i="15"/>
  <c r="A52" i="15"/>
  <c r="E97" i="13"/>
  <c r="C266" i="14"/>
  <c r="N80" i="12"/>
  <c r="J90" i="13"/>
  <c r="H12" i="12"/>
  <c r="V309" i="14"/>
  <c r="B110" i="14"/>
  <c r="X107" i="13"/>
  <c r="A23" i="13"/>
  <c r="O66" i="12"/>
  <c r="X100" i="11"/>
  <c r="H20" i="11"/>
  <c r="H80" i="10"/>
  <c r="E90" i="9"/>
  <c r="L8" i="9"/>
  <c r="H32" i="8"/>
  <c r="H64" i="7"/>
  <c r="Q59" i="11"/>
  <c r="H119" i="10"/>
  <c r="B32" i="10"/>
  <c r="F46" i="9"/>
  <c r="L62" i="8"/>
  <c r="V88" i="7"/>
  <c r="C22" i="7"/>
  <c r="N14" i="11"/>
  <c r="D72" i="10"/>
  <c r="S84" i="9"/>
  <c r="N98" i="8"/>
  <c r="E32" i="8"/>
  <c r="E100" i="7"/>
  <c r="B77" i="7"/>
  <c r="D52" i="7"/>
  <c r="B28" i="7"/>
  <c r="N4" i="7"/>
  <c r="N37" i="11"/>
  <c r="L97" i="10"/>
  <c r="C11" i="10"/>
  <c r="H21" i="9"/>
  <c r="E41" i="8"/>
  <c r="O67" i="7"/>
  <c r="O11" i="7"/>
  <c r="S111" i="6"/>
  <c r="J95" i="6"/>
  <c r="N72" i="6"/>
  <c r="Q50" i="6"/>
  <c r="F29" i="6"/>
  <c r="E8" i="6"/>
  <c r="E81" i="5"/>
  <c r="E64" i="5"/>
  <c r="J42" i="5"/>
  <c r="D17" i="5"/>
  <c r="F69" i="4"/>
  <c r="F50" i="4"/>
  <c r="C29" i="4"/>
  <c r="O7" i="4"/>
  <c r="O47" i="3"/>
  <c r="F33" i="3"/>
  <c r="C12" i="3"/>
  <c r="N57" i="2"/>
  <c r="N55" i="11"/>
  <c r="E113" i="10"/>
  <c r="Q25" i="10"/>
  <c r="F40" i="9"/>
  <c r="C61" i="8"/>
  <c r="X87" i="7"/>
  <c r="L22" i="7"/>
  <c r="O116" i="6"/>
  <c r="O99" i="6"/>
  <c r="Q78" i="6"/>
  <c r="O56" i="6"/>
  <c r="Q33" i="6"/>
  <c r="O12" i="6"/>
  <c r="D83" i="5"/>
  <c r="V63" i="5"/>
  <c r="A45" i="5"/>
  <c r="L26" i="5"/>
  <c r="E8" i="5"/>
  <c r="B64" i="4"/>
  <c r="E46" i="4"/>
  <c r="B25" i="4"/>
  <c r="O60" i="3"/>
  <c r="T43" i="3"/>
  <c r="Q25" i="3"/>
  <c r="S3" i="3"/>
  <c r="S49" i="2"/>
  <c r="D30" i="2"/>
  <c r="T144" i="10"/>
  <c r="Q65" i="10"/>
  <c r="Q73" i="9"/>
  <c r="C86" i="8"/>
  <c r="B10" i="8"/>
  <c r="D39" i="7"/>
  <c r="B120" i="6"/>
  <c r="T103" i="6"/>
  <c r="D82" i="6"/>
  <c r="Q58" i="6"/>
  <c r="B37" i="6"/>
  <c r="F15" i="6"/>
  <c r="N85" i="5"/>
  <c r="J69" i="5"/>
  <c r="O49" i="5"/>
  <c r="F23" i="5"/>
  <c r="T74" i="4"/>
  <c r="Q56" i="4"/>
  <c r="D36" i="4"/>
  <c r="C14" i="4"/>
  <c r="H52" i="3"/>
  <c r="V35" i="3"/>
  <c r="C16" i="3"/>
  <c r="A63" i="2"/>
  <c r="A45" i="2"/>
  <c r="S30" i="2"/>
  <c r="E16" i="2"/>
  <c r="S5" i="9"/>
  <c r="B108" i="6"/>
  <c r="C25" i="6"/>
  <c r="Q38" i="5"/>
  <c r="Q34" i="4"/>
  <c r="L7" i="3"/>
  <c r="A27" i="2"/>
  <c r="A9" i="2"/>
  <c r="E64" i="1"/>
  <c r="C50" i="1"/>
  <c r="N28" i="1"/>
  <c r="A7" i="1"/>
  <c r="F107" i="7"/>
  <c r="N82" i="6"/>
  <c r="A93" i="5"/>
  <c r="H18" i="5"/>
  <c r="J23" i="4"/>
  <c r="L69" i="2"/>
  <c r="N36" i="2"/>
  <c r="B14" i="2"/>
  <c r="X64" i="1"/>
  <c r="Q43" i="1"/>
  <c r="A22" i="1"/>
  <c r="T92" i="11"/>
  <c r="E115" i="10"/>
  <c r="V96" i="9"/>
  <c r="H78" i="8"/>
  <c r="S70" i="7"/>
  <c r="N123" i="6"/>
  <c r="L95" i="6"/>
  <c r="L63" i="6"/>
  <c r="Q37" i="6"/>
  <c r="A11" i="6"/>
  <c r="J76" i="5"/>
  <c r="C51" i="5"/>
  <c r="Q25" i="5"/>
  <c r="V75" i="4"/>
  <c r="L51" i="4"/>
  <c r="Q21" i="4"/>
  <c r="X51" i="3"/>
  <c r="N25" i="3"/>
  <c r="T63" i="2"/>
  <c r="N44" i="2"/>
  <c r="E34" i="2"/>
  <c r="N25" i="2"/>
  <c r="O17" i="2"/>
  <c r="D12" i="2"/>
  <c r="J7" i="2"/>
  <c r="L77" i="1"/>
  <c r="F72" i="1"/>
  <c r="L67" i="1"/>
  <c r="O63" i="1"/>
  <c r="O59" i="1"/>
  <c r="O55" i="1"/>
  <c r="B50" i="1"/>
  <c r="A45" i="1"/>
  <c r="N39" i="1"/>
  <c r="A35" i="1"/>
  <c r="N29" i="1"/>
  <c r="B24" i="1"/>
  <c r="D19" i="1"/>
  <c r="F13" i="1"/>
  <c r="E8" i="1"/>
  <c r="Q71" i="11"/>
  <c r="X94" i="9"/>
  <c r="C69" i="7"/>
  <c r="L93" i="6"/>
  <c r="O14" i="6"/>
  <c r="H41" i="5"/>
  <c r="B55" i="4"/>
  <c r="L32" i="3"/>
  <c r="F14" i="2"/>
  <c r="D71" i="1"/>
  <c r="L54" i="1"/>
  <c r="O37" i="1"/>
  <c r="H20" i="1"/>
  <c r="D5" i="1"/>
  <c r="E132" i="10"/>
  <c r="H49" i="10"/>
  <c r="Q61" i="9"/>
  <c r="O65" i="8"/>
  <c r="A94" i="7"/>
  <c r="L16" i="7"/>
  <c r="L116" i="6"/>
  <c r="F100" i="6"/>
  <c r="O79" i="6"/>
  <c r="O54" i="6"/>
  <c r="D34" i="6"/>
  <c r="Q11" i="6"/>
  <c r="J82" i="5"/>
  <c r="O62" i="5"/>
  <c r="A44" i="5"/>
  <c r="L25" i="5"/>
  <c r="F7" i="5"/>
  <c r="A65" i="4"/>
  <c r="H44" i="4"/>
  <c r="N22" i="4"/>
  <c r="D56" i="3"/>
  <c r="B37" i="3"/>
  <c r="B20" i="3"/>
  <c r="D65" i="2"/>
  <c r="D48" i="2"/>
  <c r="J39" i="2"/>
  <c r="V29" i="2"/>
  <c r="B22" i="2"/>
  <c r="D16" i="2"/>
  <c r="C12" i="2"/>
  <c r="C8" i="2"/>
  <c r="D77" i="1"/>
  <c r="E72" i="1"/>
  <c r="Q68" i="1"/>
  <c r="C64" i="1"/>
  <c r="C60" i="1"/>
  <c r="C56" i="1"/>
  <c r="E51" i="1"/>
  <c r="L46" i="1"/>
  <c r="J41" i="1"/>
  <c r="J36" i="1"/>
  <c r="D31" i="1"/>
  <c r="F25" i="1"/>
  <c r="O20" i="1"/>
  <c r="H15" i="1"/>
  <c r="Q9" i="1"/>
  <c r="E5" i="1"/>
  <c r="L73" i="9"/>
  <c r="V22" i="7"/>
  <c r="C90" i="6"/>
  <c r="F24" i="6"/>
  <c r="H63" i="5"/>
  <c r="B7" i="5"/>
  <c r="B28" i="4"/>
  <c r="C25" i="3"/>
  <c r="N48" i="2"/>
  <c r="E29" i="2"/>
  <c r="C16" i="2"/>
  <c r="H75" i="1"/>
  <c r="F62" i="1"/>
  <c r="C49" i="1"/>
  <c r="C35" i="1"/>
  <c r="L22" i="1"/>
  <c r="J6" i="1"/>
  <c r="C53" i="14"/>
  <c r="D44" i="13"/>
  <c r="C30" i="9"/>
  <c r="A83" i="7"/>
  <c r="Q53" i="10"/>
  <c r="F106" i="7"/>
  <c r="O5" i="10"/>
  <c r="S105" i="7"/>
  <c r="V9" i="7"/>
  <c r="A43" i="9"/>
  <c r="B19" i="7"/>
  <c r="C79" i="6"/>
  <c r="T84" i="5"/>
  <c r="J23" i="5"/>
  <c r="F17" i="3"/>
  <c r="Q47" i="10"/>
  <c r="H40" i="7"/>
  <c r="Q61" i="6"/>
  <c r="S67" i="5"/>
  <c r="L69" i="4"/>
  <c r="D48" i="3"/>
  <c r="D34" i="2"/>
  <c r="A7" i="9"/>
  <c r="X107" i="6"/>
  <c r="D21" i="6"/>
  <c r="D30" i="5"/>
  <c r="E19" i="4"/>
  <c r="L66" i="2"/>
  <c r="S101" i="9"/>
  <c r="S55" i="4"/>
  <c r="N68" i="1"/>
  <c r="F101" i="8"/>
  <c r="A43" i="4"/>
  <c r="O71" i="1"/>
  <c r="N136" i="10"/>
  <c r="L10" i="7"/>
  <c r="H17" i="6"/>
  <c r="S4" i="5"/>
  <c r="X32" i="3"/>
  <c r="O28" i="2"/>
  <c r="E78" i="1"/>
  <c r="O60" i="1"/>
  <c r="A41" i="1"/>
  <c r="E20" i="1"/>
  <c r="E61" i="10"/>
  <c r="S55" i="5"/>
  <c r="N75" i="1"/>
  <c r="C8" i="1"/>
  <c r="B84" i="8"/>
  <c r="T105" i="6"/>
  <c r="D18" i="6"/>
  <c r="C30" i="5"/>
  <c r="F28" i="4"/>
  <c r="D5" i="3"/>
  <c r="C23" i="2"/>
  <c r="D78" i="1"/>
  <c r="C61" i="1"/>
  <c r="L42" i="1"/>
  <c r="Q21" i="1"/>
  <c r="L70" i="10"/>
  <c r="S73" i="5"/>
  <c r="E58" i="2"/>
  <c r="S65" i="1"/>
  <c r="A10" i="1"/>
  <c r="V50" i="3"/>
  <c r="F81" i="11"/>
  <c r="L80" i="8"/>
  <c r="N104" i="6"/>
  <c r="Q17" i="6"/>
  <c r="C31" i="5"/>
  <c r="J30" i="4"/>
  <c r="J10" i="3"/>
  <c r="O92" i="10"/>
  <c r="C58" i="7"/>
  <c r="H64" i="6"/>
  <c r="O73" i="5"/>
  <c r="Q60" i="4"/>
  <c r="S39" i="3"/>
  <c r="S34" i="2"/>
  <c r="H43" i="6"/>
  <c r="F34" i="2"/>
  <c r="A34" i="1"/>
  <c r="C21" i="6"/>
  <c r="H41" i="2"/>
  <c r="A29" i="1"/>
  <c r="N99" i="8"/>
  <c r="D72" i="6"/>
  <c r="E57" i="5"/>
  <c r="Q29" i="4"/>
  <c r="H48" i="2"/>
  <c r="J13" i="2"/>
  <c r="L68" i="1"/>
  <c r="F51" i="1"/>
  <c r="A31" i="1"/>
  <c r="F9" i="1"/>
  <c r="O105" i="6"/>
  <c r="J7" i="4"/>
  <c r="N41" i="1"/>
  <c r="E67" i="10"/>
  <c r="C35" i="7"/>
  <c r="C61" i="6"/>
  <c r="J68" i="5"/>
  <c r="H69" i="4"/>
  <c r="X41" i="3"/>
  <c r="J41" i="2"/>
  <c r="C13" i="2"/>
  <c r="L69" i="1"/>
  <c r="A52" i="1"/>
  <c r="E32" i="1"/>
  <c r="H11" i="1"/>
  <c r="X100" i="6"/>
  <c r="E45" i="4"/>
  <c r="B19" i="2"/>
  <c r="L38" i="1"/>
  <c r="V37" i="3"/>
  <c r="F129" i="10"/>
  <c r="D103" i="7"/>
  <c r="H84" i="6"/>
  <c r="F88" i="5"/>
  <c r="Q12" i="5"/>
  <c r="B9" i="4"/>
  <c r="S53" i="2"/>
  <c r="B97" i="9"/>
  <c r="L6" i="7"/>
  <c r="N42" i="6"/>
  <c r="C56" i="5"/>
  <c r="F41" i="4"/>
  <c r="J21" i="3"/>
  <c r="L19" i="2"/>
  <c r="J58" i="5"/>
  <c r="B12" i="1"/>
  <c r="L35" i="5"/>
  <c r="C20" i="2"/>
  <c r="A6" i="1"/>
  <c r="Q91" i="7"/>
  <c r="E45" i="6"/>
  <c r="N32" i="5"/>
  <c r="N57" i="3"/>
  <c r="H36" i="2"/>
  <c r="J8" i="2"/>
  <c r="O64" i="1"/>
  <c r="B46" i="1"/>
  <c r="S3" i="1"/>
  <c r="A35" i="6"/>
  <c r="D24" i="1"/>
  <c r="O120" i="6"/>
  <c r="L48" i="5"/>
  <c r="F24" i="3"/>
  <c r="B32" i="2"/>
  <c r="D65" i="1"/>
  <c r="C48" i="1"/>
  <c r="E6" i="1"/>
  <c r="F38" i="6"/>
  <c r="S4" i="2"/>
  <c r="C13" i="4"/>
  <c r="H62" i="2"/>
  <c r="F62" i="9"/>
  <c r="O121" i="6"/>
  <c r="Q39" i="6"/>
  <c r="L49" i="5"/>
  <c r="O51" i="4"/>
  <c r="X31" i="3"/>
  <c r="D24" i="11"/>
  <c r="J27" i="8"/>
  <c r="E87" i="6"/>
  <c r="D91" i="5"/>
  <c r="F79" i="4"/>
  <c r="V56" i="3"/>
  <c r="X49" i="2"/>
  <c r="H8" i="7"/>
  <c r="D30" i="3"/>
  <c r="O54" i="1"/>
  <c r="L97" i="6"/>
  <c r="E27" i="3"/>
  <c r="H49" i="1"/>
  <c r="D24" i="10"/>
  <c r="D104" i="6"/>
  <c r="S81" i="5"/>
  <c r="D57" i="4"/>
  <c r="J5" i="3"/>
  <c r="S19" i="2"/>
  <c r="X73" i="1"/>
  <c r="O56" i="1"/>
  <c r="E36" i="1"/>
  <c r="D15" i="1"/>
  <c r="B14" i="8"/>
  <c r="C69" i="4"/>
  <c r="X57" i="1"/>
  <c r="H15" i="11"/>
  <c r="C15" i="8"/>
  <c r="C86" i="6"/>
  <c r="A89" i="5"/>
  <c r="Q11" i="5"/>
  <c r="X60" i="3"/>
  <c r="N51" i="2"/>
  <c r="T17" i="2"/>
  <c r="E73" i="1"/>
  <c r="C57" i="1"/>
  <c r="E37" i="1"/>
  <c r="O16" i="1"/>
  <c r="A65" i="7"/>
  <c r="N20" i="5"/>
  <c r="L32" i="2"/>
  <c r="O52" i="1"/>
  <c r="E12" i="2"/>
  <c r="N25" i="1"/>
  <c r="H19" i="2"/>
  <c r="B82" i="9"/>
  <c r="N39" i="6"/>
  <c r="C50" i="4"/>
  <c r="C9" i="2"/>
  <c r="D27" i="1"/>
  <c r="D35" i="3"/>
  <c r="A25" i="1"/>
  <c r="I19" i="2" l="1"/>
  <c r="P52" i="1"/>
  <c r="M32" i="2"/>
  <c r="P16" i="1"/>
  <c r="U17" i="2"/>
  <c r="Y60" i="3"/>
  <c r="R11" i="5"/>
  <c r="I15" i="11"/>
  <c r="Y57" i="1"/>
  <c r="P56" i="1"/>
  <c r="Y73" i="1"/>
  <c r="K5" i="3"/>
  <c r="I49" i="1"/>
  <c r="P54" i="1"/>
  <c r="I8" i="7"/>
  <c r="Y49" i="2"/>
  <c r="W56" i="3"/>
  <c r="K27" i="8"/>
  <c r="Y31" i="3"/>
  <c r="P51" i="4"/>
  <c r="M49" i="5"/>
  <c r="R39" i="6"/>
  <c r="G62" i="9"/>
  <c r="I62" i="2"/>
  <c r="G38" i="6"/>
  <c r="G24" i="3"/>
  <c r="M48" i="5"/>
  <c r="P64" i="1"/>
  <c r="K8" i="2"/>
  <c r="I36" i="2"/>
  <c r="M35" i="5"/>
  <c r="K58" i="5"/>
  <c r="M19" i="2"/>
  <c r="K21" i="3"/>
  <c r="G41" i="4"/>
  <c r="M6" i="7"/>
  <c r="R12" i="5"/>
  <c r="W37" i="3"/>
  <c r="M38" i="1"/>
  <c r="I11" i="1"/>
  <c r="M69" i="1"/>
  <c r="K41" i="2"/>
  <c r="Y41" i="3"/>
  <c r="I69" i="4"/>
  <c r="K68" i="5"/>
  <c r="K7" i="4"/>
  <c r="G9" i="1"/>
  <c r="G51" i="1"/>
  <c r="M68" i="1"/>
  <c r="K13" i="2"/>
  <c r="I48" i="2"/>
  <c r="R29" i="4"/>
  <c r="I41" i="2"/>
  <c r="G34" i="2"/>
  <c r="I43" i="6"/>
  <c r="R60" i="4"/>
  <c r="P73" i="5"/>
  <c r="I64" i="6"/>
  <c r="K10" i="3"/>
  <c r="K30" i="4"/>
  <c r="R17" i="6"/>
  <c r="W50" i="3"/>
  <c r="Y73" i="5"/>
  <c r="M70" i="10"/>
  <c r="R21" i="1"/>
  <c r="M42" i="1"/>
  <c r="G28" i="4"/>
  <c r="Y55" i="5"/>
  <c r="P60" i="1"/>
  <c r="P28" i="2"/>
  <c r="Y32" i="3"/>
  <c r="I17" i="6"/>
  <c r="M10" i="7"/>
  <c r="P71" i="1"/>
  <c r="M66" i="2"/>
  <c r="M69" i="4"/>
  <c r="Y67" i="5"/>
  <c r="R61" i="6"/>
  <c r="I40" i="7"/>
  <c r="R47" i="10"/>
  <c r="G17" i="3"/>
  <c r="K23" i="5"/>
  <c r="W9" i="7"/>
  <c r="P5" i="10"/>
  <c r="R53" i="10"/>
  <c r="K6" i="1"/>
  <c r="M22" i="1"/>
  <c r="G62" i="1"/>
  <c r="I75" i="1"/>
  <c r="I63" i="5"/>
  <c r="G24" i="6"/>
  <c r="W22" i="7"/>
  <c r="M73" i="9"/>
  <c r="R9" i="1"/>
  <c r="I15" i="1"/>
  <c r="P20" i="1"/>
  <c r="G25" i="1"/>
  <c r="K36" i="1"/>
  <c r="K41" i="1"/>
  <c r="M46" i="1"/>
  <c r="R68" i="1"/>
  <c r="W29" i="2"/>
  <c r="K39" i="2"/>
  <c r="I44" i="4"/>
  <c r="G7" i="5"/>
  <c r="M25" i="5"/>
  <c r="P62" i="5"/>
  <c r="R11" i="6"/>
  <c r="P54" i="6"/>
  <c r="M16" i="7"/>
  <c r="P65" i="8"/>
  <c r="R61" i="9"/>
  <c r="I49" i="10"/>
  <c r="I20" i="1"/>
  <c r="P37" i="1"/>
  <c r="M54" i="1"/>
  <c r="G14" i="2"/>
  <c r="M32" i="3"/>
  <c r="I41" i="5"/>
  <c r="P14" i="6"/>
  <c r="R71" i="11"/>
  <c r="G13" i="1"/>
  <c r="P55" i="1"/>
  <c r="P59" i="1"/>
  <c r="P63" i="1"/>
  <c r="M67" i="1"/>
  <c r="G72" i="1"/>
  <c r="M77" i="1"/>
  <c r="K7" i="2"/>
  <c r="P17" i="2"/>
  <c r="U63" i="2"/>
  <c r="Y51" i="3"/>
  <c r="R21" i="4"/>
  <c r="M51" i="4"/>
  <c r="W75" i="4"/>
  <c r="R25" i="5"/>
  <c r="K76" i="5"/>
  <c r="R37" i="6"/>
  <c r="M63" i="6"/>
  <c r="I78" i="8"/>
  <c r="R43" i="1"/>
  <c r="Y64" i="1"/>
  <c r="M69" i="2"/>
  <c r="K23" i="4"/>
  <c r="I18" i="5"/>
  <c r="M7" i="3"/>
  <c r="R34" i="4"/>
  <c r="R38" i="5"/>
  <c r="W35" i="3"/>
  <c r="I52" i="3"/>
  <c r="R56" i="4"/>
  <c r="U74" i="4"/>
  <c r="G23" i="5"/>
  <c r="P49" i="5"/>
  <c r="K69" i="5"/>
  <c r="G15" i="6"/>
  <c r="R58" i="6"/>
  <c r="R73" i="9"/>
  <c r="R65" i="10"/>
  <c r="R25" i="3"/>
  <c r="U43" i="3"/>
  <c r="P60" i="3"/>
  <c r="M26" i="5"/>
  <c r="W63" i="5"/>
  <c r="P12" i="6"/>
  <c r="R33" i="6"/>
  <c r="P56" i="6"/>
  <c r="R78" i="6"/>
  <c r="M22" i="7"/>
  <c r="G40" i="9"/>
  <c r="R25" i="10"/>
  <c r="G33" i="3"/>
  <c r="P47" i="3"/>
  <c r="P7" i="4"/>
  <c r="G50" i="4"/>
  <c r="G69" i="4"/>
  <c r="K42" i="5"/>
  <c r="G29" i="6"/>
  <c r="R50" i="6"/>
  <c r="P11" i="7"/>
  <c r="P67" i="7"/>
  <c r="I21" i="9"/>
  <c r="M62" i="8"/>
  <c r="G46" i="9"/>
  <c r="R59" i="11"/>
  <c r="I64" i="7"/>
  <c r="I32" i="8"/>
  <c r="M8" i="9"/>
  <c r="I20" i="11"/>
  <c r="P66" i="12"/>
  <c r="I12" i="12"/>
  <c r="K49" i="15"/>
  <c r="M55" i="4"/>
  <c r="I31" i="10"/>
  <c r="I20" i="9"/>
  <c r="M14" i="1"/>
  <c r="P28" i="1"/>
  <c r="P42" i="1"/>
  <c r="G55" i="1"/>
  <c r="U22" i="2"/>
  <c r="R57" i="4"/>
  <c r="K54" i="6"/>
  <c r="I7" i="1"/>
  <c r="P12" i="1"/>
  <c r="R17" i="1"/>
  <c r="G33" i="1"/>
  <c r="G38" i="1"/>
  <c r="K49" i="1"/>
  <c r="I66" i="1"/>
  <c r="M70" i="1"/>
  <c r="Y18" i="2"/>
  <c r="Y34" i="2"/>
  <c r="K43" i="2"/>
  <c r="R47" i="3"/>
  <c r="G12" i="4"/>
  <c r="M54" i="4"/>
  <c r="U73" i="4"/>
  <c r="I16" i="5"/>
  <c r="K22" i="6"/>
  <c r="I65" i="6"/>
  <c r="M5" i="7"/>
  <c r="I54" i="7"/>
  <c r="P32" i="8"/>
  <c r="I12" i="1"/>
  <c r="K28" i="1"/>
  <c r="Y61" i="1"/>
  <c r="I37" i="2"/>
  <c r="R25" i="4"/>
  <c r="M55" i="6"/>
  <c r="Y5" i="1"/>
  <c r="G21" i="1"/>
  <c r="P57" i="1"/>
  <c r="P61" i="1"/>
  <c r="R65" i="1"/>
  <c r="Y69" i="1"/>
  <c r="R75" i="1"/>
  <c r="K9" i="2"/>
  <c r="P14" i="2"/>
  <c r="P21" i="2"/>
  <c r="Y29" i="2"/>
  <c r="P52" i="2"/>
  <c r="P36" i="4"/>
  <c r="K61" i="4"/>
  <c r="I14" i="5"/>
  <c r="M38" i="5"/>
  <c r="W61" i="5"/>
  <c r="R23" i="6"/>
  <c r="K34" i="9"/>
  <c r="K50" i="10"/>
  <c r="R53" i="1"/>
  <c r="Y44" i="3"/>
  <c r="W61" i="4"/>
  <c r="R57" i="5"/>
  <c r="I39" i="6"/>
  <c r="M13" i="10"/>
  <c r="K39" i="1"/>
  <c r="W57" i="1"/>
  <c r="I73" i="1"/>
  <c r="M15" i="2"/>
  <c r="U42" i="2"/>
  <c r="G51" i="3"/>
  <c r="G74" i="4"/>
  <c r="P74" i="5"/>
  <c r="I52" i="7"/>
  <c r="R22" i="2"/>
  <c r="M38" i="2"/>
  <c r="Y53" i="2"/>
  <c r="W5" i="3"/>
  <c r="M26" i="3"/>
  <c r="P24" i="4"/>
  <c r="R46" i="4"/>
  <c r="Y64" i="4"/>
  <c r="P10" i="5"/>
  <c r="I60" i="5"/>
  <c r="M78" i="5"/>
  <c r="G69" i="6"/>
  <c r="M77" i="7"/>
  <c r="I48" i="8"/>
  <c r="I23" i="10"/>
  <c r="I58" i="2"/>
  <c r="I15" i="3"/>
  <c r="Y35" i="3"/>
  <c r="K14" i="4"/>
  <c r="K74" i="4"/>
  <c r="I17" i="5"/>
  <c r="M55" i="5"/>
  <c r="I23" i="6"/>
  <c r="I45" i="6"/>
  <c r="R55" i="7"/>
  <c r="U49" i="2"/>
  <c r="W54" i="3"/>
  <c r="R39" i="4"/>
  <c r="M59" i="4"/>
  <c r="P29" i="5"/>
  <c r="G55" i="5"/>
  <c r="I72" i="5"/>
  <c r="I40" i="6"/>
  <c r="G61" i="6"/>
  <c r="Y35" i="7"/>
  <c r="U15" i="7"/>
  <c r="R39" i="7"/>
  <c r="M64" i="7"/>
  <c r="I10" i="8"/>
  <c r="I64" i="8"/>
  <c r="P41" i="9"/>
  <c r="K27" i="10"/>
  <c r="R54" i="7"/>
  <c r="P78" i="10"/>
  <c r="K72" i="8"/>
  <c r="K54" i="9"/>
  <c r="G63" i="11"/>
  <c r="M23" i="12"/>
  <c r="K68" i="12"/>
  <c r="I34" i="4"/>
  <c r="M74" i="4"/>
  <c r="P48" i="5"/>
  <c r="G13" i="6"/>
  <c r="U38" i="7"/>
  <c r="Y52" i="8"/>
  <c r="G40" i="12"/>
  <c r="R55" i="14"/>
  <c r="M18" i="1"/>
  <c r="K46" i="1"/>
  <c r="G59" i="1"/>
  <c r="K71" i="1"/>
  <c r="Y12" i="2"/>
  <c r="K25" i="2"/>
  <c r="I43" i="2"/>
  <c r="G8" i="6"/>
  <c r="R73" i="6"/>
  <c r="P8" i="1"/>
  <c r="R13" i="1"/>
  <c r="I19" i="1"/>
  <c r="G29" i="1"/>
  <c r="K45" i="1"/>
  <c r="M50" i="1"/>
  <c r="K67" i="1"/>
  <c r="M71" i="1"/>
  <c r="U75" i="1"/>
  <c r="U28" i="2"/>
  <c r="K37" i="2"/>
  <c r="P38" i="4"/>
  <c r="I77" i="4"/>
  <c r="I39" i="5"/>
  <c r="W57" i="5"/>
  <c r="R27" i="6"/>
  <c r="G50" i="6"/>
  <c r="K11" i="7"/>
  <c r="I16" i="1"/>
  <c r="M33" i="1"/>
  <c r="Y9" i="2"/>
  <c r="M15" i="3"/>
  <c r="P40" i="4"/>
  <c r="M27" i="5"/>
  <c r="M69" i="6"/>
  <c r="G19" i="7"/>
  <c r="G32" i="9"/>
  <c r="G17" i="1"/>
  <c r="P58" i="1"/>
  <c r="P62" i="1"/>
  <c r="P66" i="1"/>
  <c r="P76" i="1"/>
  <c r="P5" i="2"/>
  <c r="P10" i="2"/>
  <c r="G16" i="2"/>
  <c r="W31" i="2"/>
  <c r="Y56" i="2"/>
  <c r="M43" i="4"/>
  <c r="M67" i="4"/>
  <c r="R43" i="7"/>
  <c r="Y50" i="8"/>
  <c r="M39" i="1"/>
  <c r="Y58" i="1"/>
  <c r="I57" i="2"/>
  <c r="U58" i="3"/>
  <c r="U72" i="5"/>
  <c r="R59" i="6"/>
  <c r="M44" i="1"/>
  <c r="P20" i="2"/>
  <c r="G56" i="2"/>
  <c r="I20" i="5"/>
  <c r="I17" i="8"/>
  <c r="M17" i="11"/>
  <c r="R41" i="2"/>
  <c r="R31" i="3"/>
  <c r="I48" i="3"/>
  <c r="P8" i="4"/>
  <c r="K43" i="5"/>
  <c r="G31" i="6"/>
  <c r="G76" i="6"/>
  <c r="G44" i="10"/>
  <c r="G69" i="11"/>
  <c r="Y44" i="2"/>
  <c r="G64" i="2"/>
  <c r="P20" i="3"/>
  <c r="U39" i="3"/>
  <c r="W55" i="3"/>
  <c r="G78" i="4"/>
  <c r="I40" i="5"/>
  <c r="R59" i="5"/>
  <c r="G78" i="5"/>
  <c r="I7" i="6"/>
  <c r="P28" i="6"/>
  <c r="P50" i="6"/>
  <c r="U53" i="2"/>
  <c r="P23" i="4"/>
  <c r="I64" i="4"/>
  <c r="G10" i="5"/>
  <c r="R77" i="5"/>
  <c r="P45" i="6"/>
  <c r="I76" i="10"/>
  <c r="U21" i="7"/>
  <c r="Y45" i="7"/>
  <c r="P70" i="7"/>
  <c r="G21" i="8"/>
  <c r="K49" i="10"/>
  <c r="U72" i="7"/>
  <c r="R42" i="8"/>
  <c r="P43" i="7"/>
  <c r="M10" i="8"/>
  <c r="G55" i="10"/>
  <c r="P45" i="12"/>
  <c r="P61" i="14"/>
  <c r="W75" i="17"/>
  <c r="W6" i="1"/>
  <c r="R10" i="1"/>
  <c r="G15" i="1"/>
  <c r="G19" i="1"/>
  <c r="R25" i="1"/>
  <c r="M29" i="1"/>
  <c r="M43" i="1"/>
  <c r="P46" i="1"/>
  <c r="M53" i="1"/>
  <c r="Y55" i="1"/>
  <c r="G60" i="1"/>
  <c r="Y62" i="1"/>
  <c r="G66" i="1"/>
  <c r="U68" i="1"/>
  <c r="K72" i="1"/>
  <c r="I77" i="1"/>
  <c r="G5" i="2"/>
  <c r="G10" i="2"/>
  <c r="G13" i="2"/>
  <c r="K16" i="2"/>
  <c r="Y19" i="2"/>
  <c r="I23" i="2"/>
  <c r="K27" i="2"/>
  <c r="U29" i="2"/>
  <c r="W32" i="2"/>
  <c r="I44" i="2"/>
  <c r="P62" i="2"/>
  <c r="K14" i="3"/>
  <c r="G28" i="3"/>
  <c r="G39" i="3"/>
  <c r="U59" i="3"/>
  <c r="K15" i="4"/>
  <c r="K31" i="4"/>
  <c r="M47" i="4"/>
  <c r="I10" i="5"/>
  <c r="R36" i="5"/>
  <c r="M50" i="5"/>
  <c r="G66" i="5"/>
  <c r="M11" i="6"/>
  <c r="M27" i="6"/>
  <c r="M41" i="6"/>
  <c r="P58" i="6"/>
  <c r="I78" i="6"/>
  <c r="M7" i="7"/>
  <c r="M5" i="1"/>
  <c r="M6" i="1"/>
  <c r="K23" i="1"/>
  <c r="M24" i="1"/>
  <c r="K27" i="1"/>
  <c r="M28" i="1"/>
  <c r="K31" i="1"/>
  <c r="M32" i="1"/>
  <c r="K35" i="1"/>
  <c r="P36" i="1"/>
  <c r="M37" i="1"/>
  <c r="Y38" i="1"/>
  <c r="I40" i="1"/>
  <c r="P41" i="1"/>
  <c r="R42" i="1"/>
  <c r="I44" i="1"/>
  <c r="P45" i="1"/>
  <c r="R46" i="1"/>
  <c r="I48" i="1"/>
  <c r="P49" i="1"/>
  <c r="R50" i="1"/>
  <c r="M51" i="1"/>
  <c r="G53" i="1"/>
  <c r="I55" i="1"/>
  <c r="I56" i="1"/>
  <c r="I57" i="1"/>
  <c r="I58" i="1"/>
  <c r="I59" i="1"/>
  <c r="I60" i="1"/>
  <c r="I61" i="1"/>
  <c r="I62" i="1"/>
  <c r="I63" i="1"/>
  <c r="I64" i="1"/>
  <c r="K65" i="1"/>
  <c r="U67" i="1"/>
  <c r="W68" i="1"/>
  <c r="W69" i="1"/>
  <c r="W70" i="1"/>
  <c r="R71" i="1"/>
  <c r="M72" i="1"/>
  <c r="M73" i="1"/>
  <c r="I76" i="1"/>
  <c r="K77" i="1"/>
  <c r="K78" i="1"/>
  <c r="I5" i="2"/>
  <c r="I7" i="2"/>
  <c r="I8" i="2"/>
  <c r="I9" i="2"/>
  <c r="I10" i="2"/>
  <c r="I11" i="2"/>
  <c r="I12" i="2"/>
  <c r="I13" i="2"/>
  <c r="I14" i="2"/>
  <c r="I15" i="2"/>
  <c r="G21" i="2"/>
  <c r="I22" i="2"/>
  <c r="K23" i="2"/>
  <c r="Y32" i="2"/>
  <c r="G35" i="2"/>
  <c r="U37" i="2"/>
  <c r="U39" i="2"/>
  <c r="U41" i="2"/>
  <c r="U43" i="2"/>
  <c r="Y46" i="2"/>
  <c r="P48" i="2"/>
  <c r="K52" i="2"/>
  <c r="W55" i="2"/>
  <c r="U62" i="2"/>
  <c r="G10" i="3"/>
  <c r="P14" i="3"/>
  <c r="I25" i="3"/>
  <c r="P30" i="3"/>
  <c r="Y37" i="3"/>
  <c r="G44" i="3"/>
  <c r="G49" i="3"/>
  <c r="I53" i="3"/>
  <c r="I57" i="3"/>
  <c r="R7" i="4"/>
  <c r="K13" i="4"/>
  <c r="R23" i="4"/>
  <c r="K29" i="4"/>
  <c r="M35" i="4"/>
  <c r="M45" i="4"/>
  <c r="G55" i="4"/>
  <c r="I60" i="4"/>
  <c r="K70" i="4"/>
  <c r="K78" i="4"/>
  <c r="I8" i="5"/>
  <c r="M17" i="5"/>
  <c r="R35" i="5"/>
  <c r="M40" i="5"/>
  <c r="U58" i="5"/>
  <c r="I69" i="5"/>
  <c r="W78" i="5"/>
  <c r="M7" i="6"/>
  <c r="M23" i="6"/>
  <c r="P40" i="6"/>
  <c r="I51" i="6"/>
  <c r="R55" i="6"/>
  <c r="G74" i="6"/>
  <c r="R6" i="7"/>
  <c r="P12" i="7"/>
  <c r="Y42" i="7"/>
  <c r="R61" i="7"/>
  <c r="M19" i="8"/>
  <c r="G16" i="9"/>
  <c r="I27" i="10"/>
  <c r="I45" i="11"/>
  <c r="U5" i="1"/>
  <c r="P9" i="1"/>
  <c r="K17" i="1"/>
  <c r="G34" i="1"/>
  <c r="R38" i="1"/>
  <c r="K42" i="1"/>
  <c r="U51" i="1"/>
  <c r="W54" i="1"/>
  <c r="P68" i="1"/>
  <c r="U71" i="1"/>
  <c r="G76" i="1"/>
  <c r="Y5" i="2"/>
  <c r="Y14" i="2"/>
  <c r="K20" i="2"/>
  <c r="I39" i="2"/>
  <c r="P18" i="3"/>
  <c r="Y40" i="3"/>
  <c r="G14" i="4"/>
  <c r="M58" i="4"/>
  <c r="G72" i="4"/>
  <c r="R44" i="5"/>
  <c r="P58" i="5"/>
  <c r="W71" i="5"/>
  <c r="K40" i="6"/>
  <c r="P72" i="6"/>
  <c r="I6" i="7"/>
  <c r="I30" i="7"/>
  <c r="I76" i="7"/>
  <c r="M31" i="8"/>
  <c r="K75" i="10"/>
  <c r="G44" i="11"/>
  <c r="R77" i="11"/>
  <c r="G6" i="1"/>
  <c r="K7" i="1"/>
  <c r="M8" i="1"/>
  <c r="K11" i="1"/>
  <c r="M12" i="1"/>
  <c r="K15" i="1"/>
  <c r="M16" i="1"/>
  <c r="K19" i="1"/>
  <c r="M20" i="1"/>
  <c r="G24" i="1"/>
  <c r="G28" i="1"/>
  <c r="G32" i="1"/>
  <c r="M36" i="1"/>
  <c r="G37" i="1"/>
  <c r="G42" i="1"/>
  <c r="G46" i="1"/>
  <c r="G50" i="1"/>
  <c r="Y51" i="1"/>
  <c r="I53" i="1"/>
  <c r="U55" i="1"/>
  <c r="U56" i="1"/>
  <c r="U57" i="1"/>
  <c r="U58" i="1"/>
  <c r="U59" i="1"/>
  <c r="U60" i="1"/>
  <c r="U61" i="1"/>
  <c r="U62" i="1"/>
  <c r="U63" i="1"/>
  <c r="U64" i="1"/>
  <c r="W65" i="1"/>
  <c r="U66" i="1"/>
  <c r="W67" i="1"/>
  <c r="Y68" i="1"/>
  <c r="G71" i="1"/>
  <c r="Y72" i="1"/>
  <c r="W75" i="1"/>
  <c r="U76" i="1"/>
  <c r="R77" i="1"/>
  <c r="M78" i="1"/>
  <c r="U5" i="2"/>
  <c r="P7" i="2"/>
  <c r="P8" i="2"/>
  <c r="P9" i="2"/>
  <c r="K12" i="2"/>
  <c r="P13" i="2"/>
  <c r="Y17" i="2"/>
  <c r="Y21" i="2"/>
  <c r="G24" i="2"/>
  <c r="W28" i="2"/>
  <c r="R32" i="2"/>
  <c r="R34" i="2"/>
  <c r="I42" i="2"/>
  <c r="M53" i="2"/>
  <c r="U57" i="2"/>
  <c r="K65" i="2"/>
  <c r="K6" i="3"/>
  <c r="R12" i="3"/>
  <c r="G20" i="3"/>
  <c r="P26" i="3"/>
  <c r="Y33" i="3"/>
  <c r="U33" i="3"/>
  <c r="W33" i="3"/>
  <c r="G41" i="3"/>
  <c r="Y46" i="3"/>
  <c r="I59" i="3"/>
  <c r="G10" i="4"/>
  <c r="P52" i="4"/>
  <c r="R9" i="5"/>
  <c r="M15" i="5"/>
  <c r="R33" i="5"/>
  <c r="M46" i="5"/>
  <c r="Y63" i="5"/>
  <c r="M71" i="5"/>
  <c r="G77" i="5"/>
  <c r="K18" i="6"/>
  <c r="I33" i="6"/>
  <c r="G46" i="6"/>
  <c r="R53" i="6"/>
  <c r="R76" i="6"/>
  <c r="R11" i="7"/>
  <c r="M28" i="7"/>
  <c r="P47" i="7"/>
  <c r="M74" i="7"/>
  <c r="G29" i="8"/>
  <c r="P58" i="8"/>
  <c r="P38" i="9"/>
  <c r="K28" i="10"/>
  <c r="I63" i="10"/>
  <c r="M33" i="11"/>
  <c r="I59" i="11"/>
  <c r="P24" i="1"/>
  <c r="R29" i="1"/>
  <c r="G40" i="1"/>
  <c r="I45" i="1"/>
  <c r="U50" i="1"/>
  <c r="Y8" i="2"/>
  <c r="G15" i="2"/>
  <c r="R27" i="2"/>
  <c r="R49" i="2"/>
  <c r="G59" i="2"/>
  <c r="K30" i="3"/>
  <c r="M47" i="3"/>
  <c r="R9" i="4"/>
  <c r="G30" i="4"/>
  <c r="I46" i="4"/>
  <c r="G5" i="5"/>
  <c r="R21" i="5"/>
  <c r="M42" i="5"/>
  <c r="K62" i="5"/>
  <c r="W76" i="5"/>
  <c r="R45" i="6"/>
  <c r="K68" i="6"/>
  <c r="R9" i="8"/>
  <c r="R23" i="9"/>
  <c r="G26" i="10"/>
  <c r="M40" i="1"/>
  <c r="M55" i="1"/>
  <c r="R58" i="1"/>
  <c r="W61" i="1"/>
  <c r="G75" i="1"/>
  <c r="R5" i="2"/>
  <c r="W9" i="2"/>
  <c r="I16" i="2"/>
  <c r="U36" i="2"/>
  <c r="G46" i="2"/>
  <c r="Y59" i="2"/>
  <c r="U56" i="3"/>
  <c r="I43" i="5"/>
  <c r="I29" i="6"/>
  <c r="P48" i="6"/>
  <c r="I71" i="6"/>
  <c r="P71" i="7"/>
  <c r="I39" i="8"/>
  <c r="M23" i="2"/>
  <c r="M42" i="2"/>
  <c r="W54" i="2"/>
  <c r="W63" i="2"/>
  <c r="W6" i="3"/>
  <c r="K17" i="3"/>
  <c r="M22" i="3"/>
  <c r="I49" i="3"/>
  <c r="K53" i="3"/>
  <c r="U57" i="3"/>
  <c r="P20" i="4"/>
  <c r="G37" i="4"/>
  <c r="R42" i="4"/>
  <c r="K53" i="4"/>
  <c r="M57" i="4"/>
  <c r="M61" i="4"/>
  <c r="K12" i="5"/>
  <c r="P18" i="5"/>
  <c r="G31" i="5"/>
  <c r="G38" i="5"/>
  <c r="K51" i="5"/>
  <c r="G61" i="5"/>
  <c r="I70" i="5"/>
  <c r="R74" i="5"/>
  <c r="I5" i="6"/>
  <c r="G11" i="6"/>
  <c r="G27" i="6"/>
  <c r="R54" i="6"/>
  <c r="I60" i="6"/>
  <c r="P65" i="6"/>
  <c r="K8" i="7"/>
  <c r="U26" i="7"/>
  <c r="G14" i="8"/>
  <c r="G52" i="8"/>
  <c r="M71" i="8"/>
  <c r="M31" i="9"/>
  <c r="R57" i="9"/>
  <c r="I7" i="10"/>
  <c r="P28" i="10"/>
  <c r="K28" i="11"/>
  <c r="P76" i="11"/>
  <c r="G40" i="2"/>
  <c r="U46" i="2"/>
  <c r="U50" i="2"/>
  <c r="I55" i="2"/>
  <c r="P59" i="2"/>
  <c r="Y65" i="2"/>
  <c r="Y5" i="3"/>
  <c r="M11" i="3"/>
  <c r="P16" i="3"/>
  <c r="R21" i="3"/>
  <c r="I27" i="3"/>
  <c r="U32" i="3"/>
  <c r="U36" i="3"/>
  <c r="U40" i="3"/>
  <c r="U44" i="3"/>
  <c r="K5" i="4"/>
  <c r="K10" i="4"/>
  <c r="K26" i="4"/>
  <c r="P47" i="4"/>
  <c r="I65" i="4"/>
  <c r="G75" i="4"/>
  <c r="I9" i="5"/>
  <c r="M18" i="5"/>
  <c r="M41" i="5"/>
  <c r="K56" i="5"/>
  <c r="P60" i="5"/>
  <c r="U64" i="5"/>
  <c r="M73" i="5"/>
  <c r="P8" i="6"/>
  <c r="R13" i="6"/>
  <c r="I19" i="6"/>
  <c r="P24" i="6"/>
  <c r="R29" i="6"/>
  <c r="I35" i="6"/>
  <c r="I41" i="6"/>
  <c r="P46" i="6"/>
  <c r="R51" i="6"/>
  <c r="R57" i="6"/>
  <c r="I63" i="6"/>
  <c r="Y8" i="7"/>
  <c r="I14" i="7"/>
  <c r="Y75" i="7"/>
  <c r="K23" i="8"/>
  <c r="I45" i="8"/>
  <c r="M67" i="8"/>
  <c r="G24" i="9"/>
  <c r="R9" i="10"/>
  <c r="G54" i="10"/>
  <c r="K38" i="11"/>
  <c r="R50" i="2"/>
  <c r="P58" i="2"/>
  <c r="I63" i="2"/>
  <c r="Y68" i="2"/>
  <c r="G13" i="3"/>
  <c r="G29" i="3"/>
  <c r="R38" i="3"/>
  <c r="W41" i="3"/>
  <c r="M48" i="3"/>
  <c r="R51" i="3"/>
  <c r="P19" i="4"/>
  <c r="P35" i="4"/>
  <c r="G46" i="4"/>
  <c r="R51" i="4"/>
  <c r="W65" i="4"/>
  <c r="U70" i="4"/>
  <c r="P75" i="4"/>
  <c r="R5" i="5"/>
  <c r="G18" i="5"/>
  <c r="K31" i="5"/>
  <c r="G37" i="5"/>
  <c r="K50" i="5"/>
  <c r="R56" i="5"/>
  <c r="W60" i="5"/>
  <c r="G73" i="5"/>
  <c r="G9" i="6"/>
  <c r="G25" i="6"/>
  <c r="I36" i="6"/>
  <c r="P41" i="6"/>
  <c r="R46" i="6"/>
  <c r="I52" i="6"/>
  <c r="G57" i="6"/>
  <c r="R7" i="7"/>
  <c r="U12" i="7"/>
  <c r="P39" i="7"/>
  <c r="G72" i="7"/>
  <c r="P23" i="8"/>
  <c r="R46" i="8"/>
  <c r="P66" i="8"/>
  <c r="P26" i="9"/>
  <c r="I15" i="10"/>
  <c r="K20" i="11"/>
  <c r="K64" i="11"/>
  <c r="G17" i="7"/>
  <c r="P23" i="7"/>
  <c r="M29" i="7"/>
  <c r="P35" i="7"/>
  <c r="K41" i="7"/>
  <c r="K59" i="7"/>
  <c r="M66" i="7"/>
  <c r="U78" i="7"/>
  <c r="R12" i="8"/>
  <c r="P34" i="8"/>
  <c r="P69" i="8"/>
  <c r="P25" i="9"/>
  <c r="K71" i="9"/>
  <c r="K11" i="10"/>
  <c r="M32" i="10"/>
  <c r="K41" i="11"/>
  <c r="W42" i="7"/>
  <c r="R76" i="7"/>
  <c r="M26" i="8"/>
  <c r="P47" i="8"/>
  <c r="I53" i="9"/>
  <c r="K44" i="11"/>
  <c r="K66" i="11"/>
  <c r="G69" i="7"/>
  <c r="I57" i="8"/>
  <c r="K35" i="9"/>
  <c r="I38" i="10"/>
  <c r="P25" i="11"/>
  <c r="K47" i="11"/>
  <c r="I71" i="11"/>
  <c r="I7" i="12"/>
  <c r="R70" i="14"/>
  <c r="K19" i="12"/>
  <c r="K25" i="13"/>
  <c r="I17" i="12"/>
  <c r="M73" i="12"/>
  <c r="P73" i="15"/>
  <c r="M14" i="16"/>
  <c r="P18" i="17"/>
  <c r="M25" i="17"/>
  <c r="W45" i="16"/>
  <c r="G43" i="19"/>
  <c r="G26" i="1"/>
  <c r="G30" i="1"/>
  <c r="R39" i="1"/>
  <c r="G44" i="1"/>
  <c r="M47" i="1"/>
  <c r="K50" i="1"/>
  <c r="Y60" i="1"/>
  <c r="G64" i="1"/>
  <c r="Y66" i="1"/>
  <c r="K69" i="1"/>
  <c r="G7" i="2"/>
  <c r="Y10" i="2"/>
  <c r="Y13" i="2"/>
  <c r="Y23" i="2"/>
  <c r="Y27" i="2"/>
  <c r="M30" i="2"/>
  <c r="R33" i="2"/>
  <c r="W53" i="2"/>
  <c r="U5" i="3"/>
  <c r="R19" i="3"/>
  <c r="P31" i="3"/>
  <c r="G43" i="3"/>
  <c r="G5" i="4"/>
  <c r="G22" i="4"/>
  <c r="U63" i="4"/>
  <c r="I76" i="4"/>
  <c r="R13" i="5"/>
  <c r="I26" i="5"/>
  <c r="R52" i="5"/>
  <c r="P30" i="6"/>
  <c r="P44" i="6"/>
  <c r="U9" i="7"/>
  <c r="W41" i="7"/>
  <c r="P5" i="8"/>
  <c r="R17" i="10"/>
  <c r="R5" i="1"/>
  <c r="Y6" i="1"/>
  <c r="G10" i="1"/>
  <c r="G14" i="1"/>
  <c r="G18" i="1"/>
  <c r="G22" i="1"/>
  <c r="P23" i="1"/>
  <c r="R24" i="1"/>
  <c r="I26" i="1"/>
  <c r="P27" i="1"/>
  <c r="R28" i="1"/>
  <c r="I30" i="1"/>
  <c r="P31" i="1"/>
  <c r="R32" i="1"/>
  <c r="I34" i="1"/>
  <c r="P35" i="1"/>
  <c r="U36" i="1"/>
  <c r="R37" i="1"/>
  <c r="W50" i="1"/>
  <c r="R51" i="1"/>
  <c r="M52" i="1"/>
  <c r="G54" i="1"/>
  <c r="P65" i="1"/>
  <c r="W71" i="1"/>
  <c r="W72" i="1"/>
  <c r="R73" i="1"/>
  <c r="K75" i="1"/>
  <c r="P77" i="1"/>
  <c r="U78" i="1"/>
  <c r="G17" i="2"/>
  <c r="I18" i="2"/>
  <c r="K19" i="2"/>
  <c r="P22" i="2"/>
  <c r="M27" i="2"/>
  <c r="G29" i="2"/>
  <c r="Y30" i="2"/>
  <c r="G33" i="2"/>
  <c r="K44" i="2"/>
  <c r="I47" i="2"/>
  <c r="P57" i="2"/>
  <c r="P63" i="2"/>
  <c r="R69" i="2"/>
  <c r="I11" i="3"/>
  <c r="R15" i="3"/>
  <c r="K26" i="3"/>
  <c r="U31" i="3"/>
  <c r="K35" i="3"/>
  <c r="G40" i="3"/>
  <c r="G54" i="3"/>
  <c r="G20" i="4"/>
  <c r="I36" i="4"/>
  <c r="P46" i="4"/>
  <c r="I52" i="4"/>
  <c r="M71" i="4"/>
  <c r="R75" i="4"/>
  <c r="M9" i="5"/>
  <c r="R27" i="5"/>
  <c r="I32" i="5"/>
  <c r="R50" i="5"/>
  <c r="Y59" i="5"/>
  <c r="M65" i="5"/>
  <c r="G70" i="5"/>
  <c r="G20" i="6"/>
  <c r="K36" i="6"/>
  <c r="R41" i="6"/>
  <c r="K52" i="6"/>
  <c r="P68" i="6"/>
  <c r="M76" i="6"/>
  <c r="W8" i="7"/>
  <c r="W13" i="7"/>
  <c r="Y23" i="7"/>
  <c r="R46" i="7"/>
  <c r="M41" i="8"/>
  <c r="U57" i="8"/>
  <c r="K52" i="9"/>
  <c r="G70" i="9"/>
  <c r="I5" i="10"/>
  <c r="R6" i="1"/>
  <c r="M10" i="1"/>
  <c r="I35" i="1"/>
  <c r="K52" i="1"/>
  <c r="Y59" i="1"/>
  <c r="U69" i="1"/>
  <c r="U72" i="1"/>
  <c r="Y76" i="1"/>
  <c r="G12" i="2"/>
  <c r="M34" i="2"/>
  <c r="R17" i="4"/>
  <c r="R33" i="4"/>
  <c r="P48" i="4"/>
  <c r="M19" i="5"/>
  <c r="I34" i="5"/>
  <c r="M61" i="5"/>
  <c r="U74" i="5"/>
  <c r="I25" i="6"/>
  <c r="G77" i="6"/>
  <c r="P8" i="7"/>
  <c r="R45" i="7"/>
  <c r="P6" i="9"/>
  <c r="P7" i="1"/>
  <c r="R8" i="1"/>
  <c r="I10" i="1"/>
  <c r="P11" i="1"/>
  <c r="R12" i="1"/>
  <c r="I14" i="1"/>
  <c r="P15" i="1"/>
  <c r="R16" i="1"/>
  <c r="I18" i="1"/>
  <c r="P19" i="1"/>
  <c r="R20" i="1"/>
  <c r="I22" i="1"/>
  <c r="M23" i="1"/>
  <c r="K26" i="1"/>
  <c r="M27" i="1"/>
  <c r="K30" i="1"/>
  <c r="M31" i="1"/>
  <c r="K34" i="1"/>
  <c r="M35" i="1"/>
  <c r="R36" i="1"/>
  <c r="K40" i="1"/>
  <c r="M41" i="1"/>
  <c r="K44" i="1"/>
  <c r="M45" i="1"/>
  <c r="K48" i="1"/>
  <c r="M49" i="1"/>
  <c r="Y50" i="1"/>
  <c r="G70" i="1"/>
  <c r="Y71" i="1"/>
  <c r="W77" i="1"/>
  <c r="W78" i="1"/>
  <c r="U7" i="2"/>
  <c r="U8" i="2"/>
  <c r="K11" i="2"/>
  <c r="P12" i="2"/>
  <c r="K15" i="2"/>
  <c r="U16" i="2"/>
  <c r="K18" i="2"/>
  <c r="U20" i="2"/>
  <c r="U24" i="2"/>
  <c r="U27" i="2"/>
  <c r="I40" i="2"/>
  <c r="K54" i="2"/>
  <c r="K61" i="2"/>
  <c r="K66" i="2"/>
  <c r="I21" i="3"/>
  <c r="R27" i="3"/>
  <c r="P35" i="3"/>
  <c r="W47" i="3"/>
  <c r="I55" i="3"/>
  <c r="K11" i="4"/>
  <c r="K19" i="4"/>
  <c r="G26" i="4"/>
  <c r="U69" i="4"/>
  <c r="W78" i="4"/>
  <c r="M23" i="5"/>
  <c r="K54" i="5"/>
  <c r="R65" i="5"/>
  <c r="K72" i="5"/>
  <c r="Y5" i="6"/>
  <c r="M19" i="6"/>
  <c r="K34" i="6"/>
  <c r="K48" i="6"/>
  <c r="G60" i="6"/>
  <c r="Y6" i="7"/>
  <c r="G15" i="7"/>
  <c r="I32" i="7"/>
  <c r="M51" i="7"/>
  <c r="G38" i="8"/>
  <c r="I17" i="9"/>
  <c r="G48" i="9"/>
  <c r="G68" i="10"/>
  <c r="K16" i="11"/>
  <c r="I8" i="1"/>
  <c r="M25" i="1"/>
  <c r="K32" i="1"/>
  <c r="K37" i="1"/>
  <c r="P51" i="1"/>
  <c r="G56" i="1"/>
  <c r="G63" i="1"/>
  <c r="I68" i="1"/>
  <c r="K73" i="1"/>
  <c r="Y15" i="2"/>
  <c r="I51" i="2"/>
  <c r="K63" i="2"/>
  <c r="I13" i="3"/>
  <c r="I34" i="3"/>
  <c r="G52" i="3"/>
  <c r="U56" i="4"/>
  <c r="G64" i="5"/>
  <c r="I9" i="6"/>
  <c r="K26" i="6"/>
  <c r="P49" i="7"/>
  <c r="K56" i="9"/>
  <c r="K47" i="1"/>
  <c r="M59" i="1"/>
  <c r="R62" i="1"/>
  <c r="M66" i="1"/>
  <c r="R76" i="1"/>
  <c r="M7" i="2"/>
  <c r="R10" i="2"/>
  <c r="W13" i="2"/>
  <c r="K17" i="2"/>
  <c r="U23" i="2"/>
  <c r="U38" i="2"/>
  <c r="U48" i="2"/>
  <c r="U64" i="2"/>
  <c r="K18" i="3"/>
  <c r="Y39" i="3"/>
  <c r="M60" i="3"/>
  <c r="G24" i="4"/>
  <c r="I63" i="4"/>
  <c r="M29" i="5"/>
  <c r="W65" i="5"/>
  <c r="I13" i="6"/>
  <c r="P34" i="6"/>
  <c r="K59" i="8"/>
  <c r="G44" i="9"/>
  <c r="W17" i="2"/>
  <c r="W36" i="2"/>
  <c r="U47" i="2"/>
  <c r="U51" i="2"/>
  <c r="M61" i="2"/>
  <c r="R64" i="2"/>
  <c r="K13" i="3"/>
  <c r="M18" i="3"/>
  <c r="K29" i="3"/>
  <c r="I50" i="3"/>
  <c r="R58" i="3"/>
  <c r="P16" i="4"/>
  <c r="P32" i="4"/>
  <c r="R38" i="4"/>
  <c r="G49" i="4"/>
  <c r="P62" i="4"/>
  <c r="G67" i="4"/>
  <c r="I72" i="4"/>
  <c r="K20" i="5"/>
  <c r="P26" i="5"/>
  <c r="G46" i="5"/>
  <c r="M58" i="5"/>
  <c r="R62" i="5"/>
  <c r="G71" i="5"/>
  <c r="R76" i="5"/>
  <c r="G7" i="6"/>
  <c r="G23" i="6"/>
  <c r="I56" i="6"/>
  <c r="P61" i="6"/>
  <c r="P9" i="7"/>
  <c r="R15" i="7"/>
  <c r="P30" i="7"/>
  <c r="Y50" i="7"/>
  <c r="P18" i="8"/>
  <c r="Y76" i="8"/>
  <c r="M15" i="9"/>
  <c r="P12" i="10"/>
  <c r="K12" i="11"/>
  <c r="R33" i="11"/>
  <c r="K56" i="11"/>
  <c r="G36" i="2"/>
  <c r="Y41" i="2"/>
  <c r="R47" i="2"/>
  <c r="R51" i="2"/>
  <c r="K56" i="2"/>
  <c r="Y61" i="2"/>
  <c r="M68" i="2"/>
  <c r="I7" i="3"/>
  <c r="R17" i="3"/>
  <c r="I23" i="3"/>
  <c r="P28" i="3"/>
  <c r="R33" i="3"/>
  <c r="U37" i="3"/>
  <c r="U41" i="3"/>
  <c r="U45" i="3"/>
  <c r="W53" i="3"/>
  <c r="K6" i="4"/>
  <c r="K22" i="4"/>
  <c r="P43" i="4"/>
  <c r="M76" i="4"/>
  <c r="K5" i="5"/>
  <c r="M10" i="5"/>
  <c r="R28" i="5"/>
  <c r="I33" i="5"/>
  <c r="R51" i="5"/>
  <c r="I57" i="5"/>
  <c r="Y65" i="5"/>
  <c r="R9" i="6"/>
  <c r="I15" i="6"/>
  <c r="P20" i="6"/>
  <c r="R25" i="6"/>
  <c r="I31" i="6"/>
  <c r="I37" i="6"/>
  <c r="P42" i="6"/>
  <c r="R47" i="6"/>
  <c r="I53" i="6"/>
  <c r="I59" i="6"/>
  <c r="P64" i="6"/>
  <c r="I76" i="6"/>
  <c r="G10" i="7"/>
  <c r="M15" i="7"/>
  <c r="W30" i="7"/>
  <c r="I63" i="7"/>
  <c r="R28" i="8"/>
  <c r="G51" i="8"/>
  <c r="W72" i="8"/>
  <c r="G8" i="9"/>
  <c r="K50" i="9"/>
  <c r="G22" i="11"/>
  <c r="R43" i="11"/>
  <c r="I67" i="11"/>
  <c r="Y51" i="2"/>
  <c r="U55" i="2"/>
  <c r="R59" i="2"/>
  <c r="I64" i="2"/>
  <c r="U69" i="2"/>
  <c r="K9" i="3"/>
  <c r="G25" i="3"/>
  <c r="I31" i="3"/>
  <c r="M39" i="3"/>
  <c r="R42" i="3"/>
  <c r="W45" i="3"/>
  <c r="M52" i="3"/>
  <c r="Y57" i="3"/>
  <c r="M5" i="4"/>
  <c r="P15" i="4"/>
  <c r="P31" i="4"/>
  <c r="G42" i="4"/>
  <c r="R47" i="4"/>
  <c r="G53" i="4"/>
  <c r="P57" i="4"/>
  <c r="P61" i="4"/>
  <c r="M7" i="5"/>
  <c r="P13" i="5"/>
  <c r="G26" i="5"/>
  <c r="G45" i="5"/>
  <c r="P57" i="5"/>
  <c r="U61" i="5"/>
  <c r="M70" i="5"/>
  <c r="Y74" i="5"/>
  <c r="M5" i="6"/>
  <c r="G21" i="6"/>
  <c r="P37" i="6"/>
  <c r="R42" i="6"/>
  <c r="I48" i="6"/>
  <c r="P53" i="6"/>
  <c r="K76" i="6"/>
  <c r="G27" i="7"/>
  <c r="M43" i="7"/>
  <c r="I7" i="8"/>
  <c r="U54" i="8"/>
  <c r="P10" i="9"/>
  <c r="M53" i="9"/>
  <c r="G74" i="9"/>
  <c r="P20" i="10"/>
  <c r="R43" i="10"/>
  <c r="R25" i="11"/>
  <c r="G48" i="11"/>
  <c r="K71" i="11"/>
  <c r="K25" i="7"/>
  <c r="K31" i="7"/>
  <c r="W36" i="7"/>
  <c r="U42" i="7"/>
  <c r="R48" i="7"/>
  <c r="U54" i="7"/>
  <c r="R60" i="7"/>
  <c r="R67" i="7"/>
  <c r="K5" i="8"/>
  <c r="P15" i="8"/>
  <c r="R55" i="8"/>
  <c r="W74" i="8"/>
  <c r="P9" i="9"/>
  <c r="R30" i="9"/>
  <c r="K55" i="9"/>
  <c r="M76" i="9"/>
  <c r="M16" i="10"/>
  <c r="M46" i="11"/>
  <c r="M68" i="11"/>
  <c r="M30" i="7"/>
  <c r="U46" i="7"/>
  <c r="P31" i="8"/>
  <c r="K52" i="8"/>
  <c r="G74" i="8"/>
  <c r="I43" i="10"/>
  <c r="G28" i="11"/>
  <c r="M49" i="11"/>
  <c r="P73" i="7"/>
  <c r="P43" i="8"/>
  <c r="Y61" i="8"/>
  <c r="K19" i="9"/>
  <c r="M40" i="9"/>
  <c r="K65" i="9"/>
  <c r="M44" i="10"/>
  <c r="P9" i="11"/>
  <c r="R30" i="11"/>
  <c r="M52" i="11"/>
  <c r="I13" i="12"/>
  <c r="K56" i="12"/>
  <c r="G77" i="12"/>
  <c r="K54" i="13"/>
  <c r="K76" i="13"/>
  <c r="P26" i="12"/>
  <c r="I54" i="12"/>
  <c r="W37" i="12"/>
  <c r="R8" i="12"/>
  <c r="P53" i="13"/>
  <c r="K6" i="15"/>
  <c r="I32" i="16"/>
  <c r="R50" i="17"/>
  <c r="K5" i="1"/>
  <c r="K9" i="1"/>
  <c r="P13" i="1"/>
  <c r="P17" i="1"/>
  <c r="K21" i="1"/>
  <c r="K24" i="1"/>
  <c r="R33" i="1"/>
  <c r="I41" i="1"/>
  <c r="G48" i="1"/>
  <c r="K51" i="1"/>
  <c r="R54" i="1"/>
  <c r="G58" i="1"/>
  <c r="I67" i="1"/>
  <c r="U70" i="1"/>
  <c r="U73" i="1"/>
  <c r="Y7" i="2"/>
  <c r="Y11" i="2"/>
  <c r="G18" i="2"/>
  <c r="K24" i="2"/>
  <c r="M28" i="2"/>
  <c r="R31" i="2"/>
  <c r="W34" i="2"/>
  <c r="W46" i="2"/>
  <c r="R55" i="2"/>
  <c r="U65" i="2"/>
  <c r="I33" i="3"/>
  <c r="G48" i="3"/>
  <c r="I38" i="4"/>
  <c r="I53" i="4"/>
  <c r="R29" i="5"/>
  <c r="I67" i="6"/>
  <c r="U14" i="7"/>
  <c r="K18" i="8"/>
  <c r="P60" i="9"/>
  <c r="G14" i="11"/>
  <c r="W5" i="1"/>
  <c r="K8" i="1"/>
  <c r="M9" i="1"/>
  <c r="K12" i="1"/>
  <c r="M13" i="1"/>
  <c r="K16" i="1"/>
  <c r="M17" i="1"/>
  <c r="K20" i="1"/>
  <c r="M21" i="1"/>
  <c r="G39" i="1"/>
  <c r="G43" i="1"/>
  <c r="G47" i="1"/>
  <c r="W51" i="1"/>
  <c r="R52" i="1"/>
  <c r="Y54" i="1"/>
  <c r="U65" i="1"/>
  <c r="K68" i="1"/>
  <c r="W73" i="1"/>
  <c r="P75" i="1"/>
  <c r="U77" i="1"/>
  <c r="P18" i="2"/>
  <c r="U21" i="2"/>
  <c r="Y22" i="2"/>
  <c r="P29" i="2"/>
  <c r="G31" i="2"/>
  <c r="P36" i="2"/>
  <c r="P38" i="2"/>
  <c r="P40" i="2"/>
  <c r="P42" i="2"/>
  <c r="U44" i="2"/>
  <c r="W49" i="2"/>
  <c r="M58" i="2"/>
  <c r="K64" i="2"/>
  <c r="K12" i="3"/>
  <c r="M27" i="3"/>
  <c r="R32" i="3"/>
  <c r="G36" i="3"/>
  <c r="Y45" i="3"/>
  <c r="Y50" i="3"/>
  <c r="R15" i="4"/>
  <c r="K21" i="4"/>
  <c r="R31" i="4"/>
  <c r="M37" i="4"/>
  <c r="W57" i="4"/>
  <c r="G68" i="4"/>
  <c r="R19" i="5"/>
  <c r="I24" i="5"/>
  <c r="M33" i="5"/>
  <c r="R42" i="5"/>
  <c r="I47" i="5"/>
  <c r="R61" i="5"/>
  <c r="M67" i="5"/>
  <c r="P10" i="6"/>
  <c r="I21" i="6"/>
  <c r="P26" i="6"/>
  <c r="M37" i="6"/>
  <c r="M53" i="6"/>
  <c r="G64" i="6"/>
  <c r="R69" i="6"/>
  <c r="I31" i="7"/>
  <c r="K73" i="7"/>
  <c r="R7" i="9"/>
  <c r="I33" i="9"/>
  <c r="M57" i="9"/>
  <c r="Y78" i="9"/>
  <c r="G10" i="10"/>
  <c r="G62" i="10"/>
  <c r="K32" i="11"/>
  <c r="G58" i="11"/>
  <c r="G7" i="1"/>
  <c r="G11" i="1"/>
  <c r="R14" i="1"/>
  <c r="R18" i="1"/>
  <c r="I23" i="1"/>
  <c r="P32" i="1"/>
  <c r="I36" i="1"/>
  <c r="P50" i="1"/>
  <c r="G57" i="1"/>
  <c r="G61" i="1"/>
  <c r="I65" i="1"/>
  <c r="K70" i="1"/>
  <c r="P73" i="1"/>
  <c r="G9" i="2"/>
  <c r="R35" i="2"/>
  <c r="I29" i="3"/>
  <c r="Y65" i="4"/>
  <c r="P78" i="5"/>
  <c r="K10" i="6"/>
  <c r="R31" i="6"/>
  <c r="G66" i="6"/>
  <c r="G12" i="7"/>
  <c r="G73" i="8"/>
  <c r="M19" i="9"/>
  <c r="G48" i="10"/>
  <c r="M61" i="11"/>
  <c r="G5" i="1"/>
  <c r="P22" i="1"/>
  <c r="R23" i="1"/>
  <c r="I25" i="1"/>
  <c r="P26" i="1"/>
  <c r="R27" i="1"/>
  <c r="I29" i="1"/>
  <c r="P30" i="1"/>
  <c r="R31" i="1"/>
  <c r="I33" i="1"/>
  <c r="P34" i="1"/>
  <c r="R35" i="1"/>
  <c r="W36" i="1"/>
  <c r="I38" i="1"/>
  <c r="I39" i="1"/>
  <c r="P40" i="1"/>
  <c r="R41" i="1"/>
  <c r="I43" i="1"/>
  <c r="P44" i="1"/>
  <c r="R45" i="1"/>
  <c r="I47" i="1"/>
  <c r="P48" i="1"/>
  <c r="R49" i="1"/>
  <c r="G52" i="1"/>
  <c r="I54" i="1"/>
  <c r="K55" i="1"/>
  <c r="K56" i="1"/>
  <c r="K57" i="1"/>
  <c r="K58" i="1"/>
  <c r="K59" i="1"/>
  <c r="K60" i="1"/>
  <c r="K61" i="1"/>
  <c r="K62" i="1"/>
  <c r="K63" i="1"/>
  <c r="K64" i="1"/>
  <c r="M65" i="1"/>
  <c r="K66" i="1"/>
  <c r="G69" i="1"/>
  <c r="Y70" i="1"/>
  <c r="G73" i="1"/>
  <c r="M75" i="1"/>
  <c r="K76" i="1"/>
  <c r="K5" i="2"/>
  <c r="K10" i="2"/>
  <c r="P11" i="2"/>
  <c r="K14" i="2"/>
  <c r="P15" i="2"/>
  <c r="I17" i="2"/>
  <c r="G25" i="2"/>
  <c r="R29" i="2"/>
  <c r="M31" i="2"/>
  <c r="M33" i="2"/>
  <c r="W35" i="2"/>
  <c r="I38" i="2"/>
  <c r="Y47" i="2"/>
  <c r="Y50" i="2"/>
  <c r="M9" i="3"/>
  <c r="K22" i="3"/>
  <c r="G37" i="3"/>
  <c r="Y42" i="3"/>
  <c r="K56" i="3"/>
  <c r="R13" i="4"/>
  <c r="K27" i="4"/>
  <c r="R35" i="4"/>
  <c r="I42" i="4"/>
  <c r="I56" i="4"/>
  <c r="P60" i="4"/>
  <c r="Y71" i="4"/>
  <c r="I30" i="5"/>
  <c r="I37" i="5"/>
  <c r="R48" i="5"/>
  <c r="G56" i="5"/>
  <c r="R67" i="5"/>
  <c r="K74" i="5"/>
  <c r="R7" i="6"/>
  <c r="P22" i="6"/>
  <c r="M35" i="6"/>
  <c r="M49" i="6"/>
  <c r="K62" i="6"/>
  <c r="M17" i="7"/>
  <c r="P20" i="11"/>
  <c r="P50" i="11"/>
  <c r="R74" i="11"/>
  <c r="R47" i="1"/>
  <c r="Y63" i="1"/>
  <c r="G11" i="2"/>
  <c r="P19" i="2"/>
  <c r="P23" i="2"/>
  <c r="M46" i="2"/>
  <c r="U54" i="2"/>
  <c r="U66" i="2"/>
  <c r="Y54" i="3"/>
  <c r="M39" i="4"/>
  <c r="G59" i="4"/>
  <c r="I73" i="4"/>
  <c r="I49" i="5"/>
  <c r="R15" i="6"/>
  <c r="M65" i="10"/>
  <c r="K38" i="1"/>
  <c r="K43" i="1"/>
  <c r="M48" i="1"/>
  <c r="K53" i="1"/>
  <c r="M63" i="1"/>
  <c r="G67" i="1"/>
  <c r="Y77" i="1"/>
  <c r="M11" i="2"/>
  <c r="R14" i="2"/>
  <c r="Y24" i="2"/>
  <c r="Y31" i="2"/>
  <c r="U40" i="2"/>
  <c r="U52" i="2"/>
  <c r="R23" i="3"/>
  <c r="G46" i="3"/>
  <c r="G8" i="4"/>
  <c r="M49" i="4"/>
  <c r="Y67" i="4"/>
  <c r="R15" i="5"/>
  <c r="M52" i="5"/>
  <c r="Y69" i="5"/>
  <c r="P18" i="6"/>
  <c r="M59" i="6"/>
  <c r="U75" i="8"/>
  <c r="K72" i="9"/>
  <c r="G76" i="11"/>
  <c r="R18" i="2"/>
  <c r="W21" i="2"/>
  <c r="R37" i="2"/>
  <c r="W40" i="2"/>
  <c r="R48" i="2"/>
  <c r="R52" i="2"/>
  <c r="M65" i="2"/>
  <c r="M14" i="3"/>
  <c r="K25" i="3"/>
  <c r="M30" i="3"/>
  <c r="I51" i="3"/>
  <c r="U55" i="3"/>
  <c r="R59" i="3"/>
  <c r="P12" i="4"/>
  <c r="P28" i="4"/>
  <c r="G45" i="4"/>
  <c r="R50" i="4"/>
  <c r="P55" i="4"/>
  <c r="P59" i="4"/>
  <c r="W63" i="4"/>
  <c r="U68" i="4"/>
  <c r="W73" i="4"/>
  <c r="G15" i="5"/>
  <c r="K28" i="5"/>
  <c r="P34" i="5"/>
  <c r="P41" i="5"/>
  <c r="K59" i="5"/>
  <c r="P63" i="5"/>
  <c r="M68" i="5"/>
  <c r="R72" i="5"/>
  <c r="G19" i="6"/>
  <c r="G35" i="6"/>
  <c r="P57" i="6"/>
  <c r="R62" i="6"/>
  <c r="G73" i="6"/>
  <c r="M11" i="7"/>
  <c r="I35" i="7"/>
  <c r="R73" i="7"/>
  <c r="M43" i="9"/>
  <c r="K68" i="9"/>
  <c r="M39" i="10"/>
  <c r="K60" i="10"/>
  <c r="R17" i="11"/>
  <c r="G40" i="11"/>
  <c r="R61" i="11"/>
  <c r="Y37" i="2"/>
  <c r="Y48" i="2"/>
  <c r="Y52" i="2"/>
  <c r="I69" i="2"/>
  <c r="R13" i="3"/>
  <c r="I19" i="3"/>
  <c r="P24" i="3"/>
  <c r="R29" i="3"/>
  <c r="R34" i="3"/>
  <c r="U38" i="3"/>
  <c r="U42" i="3"/>
  <c r="U46" i="3"/>
  <c r="U54" i="3"/>
  <c r="M59" i="3"/>
  <c r="K18" i="4"/>
  <c r="G34" i="4"/>
  <c r="P39" i="4"/>
  <c r="K68" i="4"/>
  <c r="R20" i="5"/>
  <c r="I25" i="5"/>
  <c r="M34" i="5"/>
  <c r="R43" i="5"/>
  <c r="I48" i="5"/>
  <c r="G58" i="5"/>
  <c r="U66" i="5"/>
  <c r="K77" i="5"/>
  <c r="K5" i="6"/>
  <c r="I11" i="6"/>
  <c r="P16" i="6"/>
  <c r="R21" i="6"/>
  <c r="I27" i="6"/>
  <c r="P32" i="6"/>
  <c r="P38" i="6"/>
  <c r="R43" i="6"/>
  <c r="I49" i="6"/>
  <c r="I55" i="6"/>
  <c r="P60" i="6"/>
  <c r="R65" i="6"/>
  <c r="P77" i="6"/>
  <c r="U11" i="7"/>
  <c r="W17" i="7"/>
  <c r="W51" i="7"/>
  <c r="K67" i="7"/>
  <c r="K12" i="8"/>
  <c r="I34" i="8"/>
  <c r="M56" i="8"/>
  <c r="K20" i="10"/>
  <c r="K42" i="10"/>
  <c r="M72" i="11"/>
  <c r="R56" i="2"/>
  <c r="I61" i="2"/>
  <c r="I65" i="2"/>
  <c r="M10" i="3"/>
  <c r="G21" i="3"/>
  <c r="K32" i="3"/>
  <c r="M43" i="3"/>
  <c r="R46" i="3"/>
  <c r="Y53" i="3"/>
  <c r="M6" i="4"/>
  <c r="P11" i="4"/>
  <c r="P27" i="4"/>
  <c r="G38" i="4"/>
  <c r="R43" i="4"/>
  <c r="R54" i="4"/>
  <c r="R58" i="4"/>
  <c r="I78" i="4"/>
  <c r="K15" i="5"/>
  <c r="P21" i="5"/>
  <c r="G34" i="5"/>
  <c r="P40" i="5"/>
  <c r="I54" i="5"/>
  <c r="Y62" i="5"/>
  <c r="K71" i="5"/>
  <c r="U76" i="5"/>
  <c r="G17" i="6"/>
  <c r="G33" i="6"/>
  <c r="R38" i="6"/>
  <c r="I44" i="6"/>
  <c r="P49" i="6"/>
  <c r="G65" i="6"/>
  <c r="M77" i="6"/>
  <c r="K10" i="7"/>
  <c r="W15" i="7"/>
  <c r="K47" i="7"/>
  <c r="P12" i="8"/>
  <c r="P35" i="8"/>
  <c r="K58" i="8"/>
  <c r="G77" i="8"/>
  <c r="I37" i="9"/>
  <c r="G58" i="9"/>
  <c r="G71" i="10"/>
  <c r="R9" i="11"/>
  <c r="G14" i="7"/>
  <c r="W26" i="7"/>
  <c r="W32" i="7"/>
  <c r="M44" i="7"/>
  <c r="K50" i="7"/>
  <c r="P56" i="7"/>
  <c r="K69" i="7"/>
  <c r="P75" i="7"/>
  <c r="P7" i="8"/>
  <c r="M18" i="8"/>
  <c r="R59" i="8"/>
  <c r="P78" i="8"/>
  <c r="R14" i="9"/>
  <c r="I36" i="9"/>
  <c r="M60" i="9"/>
  <c r="K76" i="11"/>
  <c r="Y34" i="7"/>
  <c r="W50" i="7"/>
  <c r="G37" i="8"/>
  <c r="Y57" i="8"/>
  <c r="R78" i="8"/>
  <c r="G64" i="9"/>
  <c r="P48" i="10"/>
  <c r="G12" i="11"/>
  <c r="P54" i="11"/>
  <c r="Y58" i="7"/>
  <c r="Y48" i="8"/>
  <c r="M24" i="9"/>
  <c r="M70" i="9"/>
  <c r="R14" i="11"/>
  <c r="M36" i="11"/>
  <c r="G18" i="12"/>
  <c r="K61" i="12"/>
  <c r="G38" i="13"/>
  <c r="M59" i="13"/>
  <c r="P73" i="11"/>
  <c r="K5" i="12"/>
  <c r="M68" i="13"/>
  <c r="I59" i="12"/>
  <c r="G30" i="12"/>
  <c r="P75" i="13"/>
  <c r="K30" i="15"/>
  <c r="M12" i="18"/>
  <c r="K19" i="15"/>
  <c r="U9" i="2"/>
  <c r="U10" i="2"/>
  <c r="U11" i="2"/>
  <c r="U12" i="2"/>
  <c r="U13" i="2"/>
  <c r="U14" i="2"/>
  <c r="U15" i="2"/>
  <c r="G20" i="2"/>
  <c r="I21" i="2"/>
  <c r="K22" i="2"/>
  <c r="U25" i="2"/>
  <c r="G28" i="2"/>
  <c r="K29" i="2"/>
  <c r="R30" i="2"/>
  <c r="W33" i="2"/>
  <c r="M35" i="2"/>
  <c r="R46" i="2"/>
  <c r="R58" i="2"/>
  <c r="P64" i="2"/>
  <c r="W69" i="2"/>
  <c r="K8" i="3"/>
  <c r="M23" i="3"/>
  <c r="Y38" i="3"/>
  <c r="G45" i="3"/>
  <c r="G50" i="3"/>
  <c r="K58" i="3"/>
  <c r="G18" i="4"/>
  <c r="K34" i="4"/>
  <c r="P44" i="4"/>
  <c r="I50" i="4"/>
  <c r="Y58" i="4"/>
  <c r="I62" i="4"/>
  <c r="K66" i="4"/>
  <c r="W70" i="4"/>
  <c r="U77" i="4"/>
  <c r="R17" i="5"/>
  <c r="I22" i="5"/>
  <c r="M31" i="5"/>
  <c r="R40" i="5"/>
  <c r="I45" i="5"/>
  <c r="I55" i="5"/>
  <c r="U62" i="5"/>
  <c r="P68" i="5"/>
  <c r="I73" i="5"/>
  <c r="G16" i="6"/>
  <c r="G32" i="6"/>
  <c r="P36" i="6"/>
  <c r="I47" i="6"/>
  <c r="P52" i="6"/>
  <c r="I61" i="6"/>
  <c r="R24" i="7"/>
  <c r="W39" i="7"/>
  <c r="I62" i="8"/>
  <c r="I71" i="9"/>
  <c r="I11" i="10"/>
  <c r="P32" i="10"/>
  <c r="K46" i="11"/>
  <c r="P5" i="1"/>
  <c r="K13" i="1"/>
  <c r="P21" i="1"/>
  <c r="I27" i="1"/>
  <c r="I31" i="1"/>
  <c r="W38" i="1"/>
  <c r="Y56" i="1"/>
  <c r="I78" i="1"/>
  <c r="G8" i="2"/>
  <c r="U18" i="2"/>
  <c r="G22" i="2"/>
  <c r="W30" i="2"/>
  <c r="G47" i="2"/>
  <c r="U61" i="2"/>
  <c r="U6" i="3"/>
  <c r="Y36" i="3"/>
  <c r="Y49" i="3"/>
  <c r="G6" i="4"/>
  <c r="W64" i="4"/>
  <c r="K75" i="4"/>
  <c r="M11" i="5"/>
  <c r="U54" i="5"/>
  <c r="P60" i="7"/>
  <c r="K40" i="8"/>
  <c r="I6" i="1"/>
  <c r="G8" i="1"/>
  <c r="G12" i="1"/>
  <c r="G16" i="1"/>
  <c r="G20" i="1"/>
  <c r="G23" i="1"/>
  <c r="G27" i="1"/>
  <c r="G31" i="1"/>
  <c r="G35" i="1"/>
  <c r="I37" i="1"/>
  <c r="P38" i="1"/>
  <c r="P39" i="1"/>
  <c r="R40" i="1"/>
  <c r="I42" i="1"/>
  <c r="P43" i="1"/>
  <c r="R44" i="1"/>
  <c r="I46" i="1"/>
  <c r="P47" i="1"/>
  <c r="R48" i="1"/>
  <c r="I50" i="1"/>
  <c r="I51" i="1"/>
  <c r="I52" i="1"/>
  <c r="P53" i="1"/>
  <c r="U54" i="1"/>
  <c r="R55" i="1"/>
  <c r="M56" i="1"/>
  <c r="W58" i="1"/>
  <c r="R59" i="1"/>
  <c r="M60" i="1"/>
  <c r="W62" i="1"/>
  <c r="R63" i="1"/>
  <c r="M64" i="1"/>
  <c r="G65" i="1"/>
  <c r="R66" i="1"/>
  <c r="Y67" i="1"/>
  <c r="I71" i="1"/>
  <c r="I72" i="1"/>
  <c r="Y75" i="1"/>
  <c r="W76" i="1"/>
  <c r="W5" i="2"/>
  <c r="R7" i="2"/>
  <c r="M8" i="2"/>
  <c r="W10" i="2"/>
  <c r="R11" i="2"/>
  <c r="M12" i="2"/>
  <c r="W14" i="2"/>
  <c r="R15" i="2"/>
  <c r="P16" i="2"/>
  <c r="U19" i="2"/>
  <c r="Y20" i="2"/>
  <c r="I25" i="2"/>
  <c r="G27" i="2"/>
  <c r="K28" i="2"/>
  <c r="M29" i="2"/>
  <c r="G32" i="2"/>
  <c r="M49" i="2"/>
  <c r="R53" i="2"/>
  <c r="P61" i="2"/>
  <c r="P65" i="2"/>
  <c r="P8" i="3"/>
  <c r="M19" i="3"/>
  <c r="K31" i="3"/>
  <c r="U35" i="3"/>
  <c r="G42" i="3"/>
  <c r="K9" i="4"/>
  <c r="R19" i="4"/>
  <c r="K25" i="4"/>
  <c r="W35" i="4"/>
  <c r="I40" i="4"/>
  <c r="P50" i="4"/>
  <c r="P56" i="4"/>
  <c r="U60" i="4"/>
  <c r="K64" i="4"/>
  <c r="Y5" i="5"/>
  <c r="I12" i="5"/>
  <c r="M21" i="5"/>
  <c r="M44" i="5"/>
  <c r="P54" i="5"/>
  <c r="I59" i="5"/>
  <c r="R71" i="5"/>
  <c r="P76" i="5"/>
  <c r="G5" i="6"/>
  <c r="K14" i="6"/>
  <c r="R19" i="6"/>
  <c r="K30" i="6"/>
  <c r="R35" i="6"/>
  <c r="K44" i="6"/>
  <c r="R49" i="6"/>
  <c r="G56" i="6"/>
  <c r="K72" i="6"/>
  <c r="M14" i="7"/>
  <c r="P25" i="7"/>
  <c r="W40" i="7"/>
  <c r="I75" i="7"/>
  <c r="R21" i="8"/>
  <c r="R43" i="8"/>
  <c r="K63" i="8"/>
  <c r="I55" i="9"/>
  <c r="P76" i="9"/>
  <c r="K64" i="10"/>
  <c r="R21" i="11"/>
  <c r="K60" i="11"/>
  <c r="M16" i="2"/>
  <c r="W18" i="2"/>
  <c r="R19" i="2"/>
  <c r="M20" i="2"/>
  <c r="W22" i="2"/>
  <c r="R23" i="2"/>
  <c r="M24" i="2"/>
  <c r="M25" i="2"/>
  <c r="W37" i="2"/>
  <c r="R38" i="2"/>
  <c r="M39" i="2"/>
  <c r="W41" i="2"/>
  <c r="R42" i="2"/>
  <c r="M43" i="2"/>
  <c r="M44" i="2"/>
  <c r="W48" i="2"/>
  <c r="W52" i="2"/>
  <c r="I56" i="2"/>
  <c r="K57" i="2"/>
  <c r="G58" i="2"/>
  <c r="R61" i="2"/>
  <c r="M62" i="2"/>
  <c r="W64" i="2"/>
  <c r="R65" i="2"/>
  <c r="R66" i="2"/>
  <c r="K68" i="2"/>
  <c r="G69" i="2"/>
  <c r="G9" i="3"/>
  <c r="P13" i="3"/>
  <c r="R14" i="3"/>
  <c r="I16" i="3"/>
  <c r="P17" i="3"/>
  <c r="R18" i="3"/>
  <c r="I20" i="3"/>
  <c r="P21" i="3"/>
  <c r="R22" i="3"/>
  <c r="I24" i="3"/>
  <c r="P25" i="3"/>
  <c r="R26" i="3"/>
  <c r="I28" i="3"/>
  <c r="P29" i="3"/>
  <c r="R30" i="3"/>
  <c r="W31" i="3"/>
  <c r="K34" i="3"/>
  <c r="G47" i="3"/>
  <c r="P52" i="3"/>
  <c r="P53" i="3"/>
  <c r="W58" i="3"/>
  <c r="W59" i="3"/>
  <c r="I6" i="4"/>
  <c r="M7" i="4"/>
  <c r="I10" i="4"/>
  <c r="M11" i="4"/>
  <c r="I14" i="4"/>
  <c r="M15" i="4"/>
  <c r="I18" i="4"/>
  <c r="M19" i="4"/>
  <c r="I22" i="4"/>
  <c r="M23" i="4"/>
  <c r="I26" i="4"/>
  <c r="M27" i="4"/>
  <c r="I30" i="4"/>
  <c r="M31" i="4"/>
  <c r="M34" i="4"/>
  <c r="K36" i="4"/>
  <c r="K40" i="4"/>
  <c r="K44" i="4"/>
  <c r="K48" i="4"/>
  <c r="K52" i="4"/>
  <c r="P53" i="4"/>
  <c r="U55" i="4"/>
  <c r="W56" i="4"/>
  <c r="Y57" i="4"/>
  <c r="U59" i="4"/>
  <c r="W60" i="4"/>
  <c r="Y61" i="4"/>
  <c r="U62" i="4"/>
  <c r="M66" i="4"/>
  <c r="G71" i="4"/>
  <c r="U72" i="4"/>
  <c r="K76" i="4"/>
  <c r="K77" i="4"/>
  <c r="M78" i="4"/>
  <c r="G9" i="5"/>
  <c r="P12" i="5"/>
  <c r="K14" i="5"/>
  <c r="G17" i="5"/>
  <c r="P20" i="5"/>
  <c r="K22" i="5"/>
  <c r="G25" i="5"/>
  <c r="P28" i="5"/>
  <c r="K30" i="5"/>
  <c r="G33" i="5"/>
  <c r="K37" i="5"/>
  <c r="G40" i="5"/>
  <c r="P43" i="5"/>
  <c r="K45" i="5"/>
  <c r="G48" i="5"/>
  <c r="P51" i="5"/>
  <c r="M54" i="5"/>
  <c r="K55" i="5"/>
  <c r="I56" i="5"/>
  <c r="G57" i="5"/>
  <c r="R58" i="5"/>
  <c r="P59" i="5"/>
  <c r="W62" i="5"/>
  <c r="U63" i="5"/>
  <c r="Y64" i="5"/>
  <c r="I66" i="5"/>
  <c r="G67" i="5"/>
  <c r="R68" i="5"/>
  <c r="P69" i="5"/>
  <c r="W72" i="5"/>
  <c r="U73" i="5"/>
  <c r="W74" i="5"/>
  <c r="Y76" i="5"/>
  <c r="U77" i="5"/>
  <c r="R78" i="5"/>
  <c r="K9" i="6"/>
  <c r="M10" i="6"/>
  <c r="K13" i="6"/>
  <c r="M14" i="6"/>
  <c r="K17" i="6"/>
  <c r="M18" i="6"/>
  <c r="K21" i="6"/>
  <c r="M22" i="6"/>
  <c r="K25" i="6"/>
  <c r="M26" i="6"/>
  <c r="K29" i="6"/>
  <c r="M30" i="6"/>
  <c r="K33" i="6"/>
  <c r="M34" i="6"/>
  <c r="G37" i="6"/>
  <c r="G41" i="6"/>
  <c r="G45" i="6"/>
  <c r="G49" i="6"/>
  <c r="G53" i="6"/>
  <c r="K67" i="6"/>
  <c r="M68" i="6"/>
  <c r="K71" i="6"/>
  <c r="M72" i="6"/>
  <c r="I74" i="6"/>
  <c r="K78" i="6"/>
  <c r="R8" i="7"/>
  <c r="Y11" i="7"/>
  <c r="G13" i="7"/>
  <c r="W14" i="7"/>
  <c r="K20" i="7"/>
  <c r="Y27" i="7"/>
  <c r="P31" i="7"/>
  <c r="I36" i="7"/>
  <c r="W47" i="7"/>
  <c r="R51" i="7"/>
  <c r="M55" i="7"/>
  <c r="I69" i="7"/>
  <c r="R74" i="7"/>
  <c r="I78" i="7"/>
  <c r="W5" i="8"/>
  <c r="I15" i="8"/>
  <c r="R19" i="8"/>
  <c r="M28" i="8"/>
  <c r="P40" i="8"/>
  <c r="G68" i="8"/>
  <c r="R72" i="8"/>
  <c r="G12" i="9"/>
  <c r="G28" i="9"/>
  <c r="M54" i="9"/>
  <c r="M69" i="9"/>
  <c r="K8" i="10"/>
  <c r="R13" i="10"/>
  <c r="K24" i="10"/>
  <c r="R29" i="10"/>
  <c r="G36" i="10"/>
  <c r="I45" i="10"/>
  <c r="P50" i="10"/>
  <c r="M61" i="10"/>
  <c r="M67" i="10"/>
  <c r="P75" i="10"/>
  <c r="M13" i="11"/>
  <c r="M29" i="11"/>
  <c r="I41" i="11"/>
  <c r="P46" i="11"/>
  <c r="M57" i="11"/>
  <c r="P70" i="11"/>
  <c r="K30" i="2"/>
  <c r="K31" i="2"/>
  <c r="K32" i="2"/>
  <c r="K33" i="2"/>
  <c r="K34" i="2"/>
  <c r="K35" i="2"/>
  <c r="Y36" i="2"/>
  <c r="G39" i="2"/>
  <c r="Y40" i="2"/>
  <c r="G43" i="2"/>
  <c r="W47" i="2"/>
  <c r="W51" i="2"/>
  <c r="G54" i="2"/>
  <c r="P56" i="2"/>
  <c r="M57" i="2"/>
  <c r="U59" i="2"/>
  <c r="G63" i="2"/>
  <c r="Y64" i="2"/>
  <c r="G66" i="2"/>
  <c r="R68" i="2"/>
  <c r="G6" i="3"/>
  <c r="P7" i="3"/>
  <c r="I9" i="3"/>
  <c r="P10" i="3"/>
  <c r="R11" i="3"/>
  <c r="W34" i="3"/>
  <c r="I47" i="3"/>
  <c r="K48" i="3"/>
  <c r="K49" i="3"/>
  <c r="K50" i="3"/>
  <c r="K51" i="3"/>
  <c r="K52" i="3"/>
  <c r="M57" i="3"/>
  <c r="G58" i="3"/>
  <c r="Y59" i="3"/>
  <c r="U60" i="3"/>
  <c r="P5" i="4"/>
  <c r="P6" i="4"/>
  <c r="G9" i="4"/>
  <c r="R10" i="4"/>
  <c r="G13" i="4"/>
  <c r="R14" i="4"/>
  <c r="G17" i="4"/>
  <c r="R18" i="4"/>
  <c r="G21" i="4"/>
  <c r="R22" i="4"/>
  <c r="G25" i="4"/>
  <c r="R26" i="4"/>
  <c r="G29" i="4"/>
  <c r="R30" i="4"/>
  <c r="G33" i="4"/>
  <c r="I37" i="4"/>
  <c r="M38" i="4"/>
  <c r="I41" i="4"/>
  <c r="M42" i="4"/>
  <c r="I45" i="4"/>
  <c r="M46" i="4"/>
  <c r="I49" i="4"/>
  <c r="M50" i="4"/>
  <c r="M53" i="4"/>
  <c r="I54" i="4"/>
  <c r="K55" i="4"/>
  <c r="G57" i="4"/>
  <c r="I58" i="4"/>
  <c r="K59" i="4"/>
  <c r="G61" i="4"/>
  <c r="M62" i="4"/>
  <c r="G64" i="4"/>
  <c r="U65" i="4"/>
  <c r="I67" i="4"/>
  <c r="W68" i="4"/>
  <c r="Y69" i="4"/>
  <c r="K72" i="4"/>
  <c r="M73" i="4"/>
  <c r="R74" i="4"/>
  <c r="R76" i="4"/>
  <c r="M77" i="4"/>
  <c r="P5" i="5"/>
  <c r="K7" i="5"/>
  <c r="M8" i="5"/>
  <c r="R10" i="5"/>
  <c r="I15" i="5"/>
  <c r="M16" i="5"/>
  <c r="R18" i="5"/>
  <c r="I23" i="5"/>
  <c r="M24" i="5"/>
  <c r="R26" i="5"/>
  <c r="I31" i="5"/>
  <c r="M32" i="5"/>
  <c r="R34" i="5"/>
  <c r="I38" i="5"/>
  <c r="M39" i="5"/>
  <c r="R41" i="5"/>
  <c r="I46" i="5"/>
  <c r="M47" i="5"/>
  <c r="R49" i="5"/>
  <c r="G54" i="5"/>
  <c r="R55" i="5"/>
  <c r="P56" i="5"/>
  <c r="W59" i="5"/>
  <c r="U60" i="5"/>
  <c r="Y61" i="5"/>
  <c r="M69" i="5"/>
  <c r="K70" i="5"/>
  <c r="I71" i="5"/>
  <c r="G72" i="5"/>
  <c r="R73" i="5"/>
  <c r="G76" i="5"/>
  <c r="P77" i="5"/>
  <c r="P5" i="6"/>
  <c r="G68" i="6"/>
  <c r="G72" i="6"/>
  <c r="K74" i="6"/>
  <c r="I5" i="7"/>
  <c r="W7" i="7"/>
  <c r="P10" i="7"/>
  <c r="K13" i="7"/>
  <c r="P14" i="7"/>
  <c r="Y15" i="7"/>
  <c r="U18" i="7"/>
  <c r="I23" i="7"/>
  <c r="W31" i="7"/>
  <c r="I41" i="7"/>
  <c r="Y52" i="7"/>
  <c r="K64" i="7"/>
  <c r="M68" i="7"/>
  <c r="Y76" i="7"/>
  <c r="M13" i="8"/>
  <c r="M24" i="8"/>
  <c r="K35" i="8"/>
  <c r="M46" i="8"/>
  <c r="M53" i="8"/>
  <c r="K57" i="8"/>
  <c r="P74" i="8"/>
  <c r="Y77" i="8"/>
  <c r="I5" i="9"/>
  <c r="I9" i="9"/>
  <c r="P14" i="9"/>
  <c r="I25" i="9"/>
  <c r="P30" i="9"/>
  <c r="I41" i="9"/>
  <c r="I63" i="9"/>
  <c r="P68" i="9"/>
  <c r="M21" i="10"/>
  <c r="P38" i="10"/>
  <c r="M43" i="10"/>
  <c r="I55" i="10"/>
  <c r="P60" i="10"/>
  <c r="R67" i="10"/>
  <c r="I7" i="11"/>
  <c r="P12" i="11"/>
  <c r="I23" i="11"/>
  <c r="P28" i="11"/>
  <c r="M39" i="11"/>
  <c r="P56" i="11"/>
  <c r="K68" i="11"/>
  <c r="M75" i="11"/>
  <c r="W50" i="2"/>
  <c r="W56" i="2"/>
  <c r="U58" i="2"/>
  <c r="W59" i="2"/>
  <c r="I8" i="3"/>
  <c r="P9" i="3"/>
  <c r="R10" i="3"/>
  <c r="I12" i="3"/>
  <c r="K15" i="3"/>
  <c r="M16" i="3"/>
  <c r="K19" i="3"/>
  <c r="M20" i="3"/>
  <c r="K23" i="3"/>
  <c r="M24" i="3"/>
  <c r="K27" i="3"/>
  <c r="M28" i="3"/>
  <c r="P32" i="3"/>
  <c r="I35" i="3"/>
  <c r="M36" i="3"/>
  <c r="W38" i="3"/>
  <c r="R39" i="3"/>
  <c r="M40" i="3"/>
  <c r="W42" i="3"/>
  <c r="R43" i="3"/>
  <c r="M44" i="3"/>
  <c r="W46" i="3"/>
  <c r="U47" i="3"/>
  <c r="R48" i="3"/>
  <c r="M49" i="3"/>
  <c r="W51" i="3"/>
  <c r="Y52" i="3"/>
  <c r="I56" i="3"/>
  <c r="G59" i="3"/>
  <c r="K60" i="3"/>
  <c r="R5" i="4"/>
  <c r="R6" i="4"/>
  <c r="I9" i="4"/>
  <c r="M10" i="4"/>
  <c r="I13" i="4"/>
  <c r="M14" i="4"/>
  <c r="I17" i="4"/>
  <c r="M18" i="4"/>
  <c r="I21" i="4"/>
  <c r="M22" i="4"/>
  <c r="I25" i="4"/>
  <c r="M26" i="4"/>
  <c r="I29" i="4"/>
  <c r="M30" i="4"/>
  <c r="I33" i="4"/>
  <c r="P34" i="4"/>
  <c r="U35" i="4"/>
  <c r="K37" i="4"/>
  <c r="K41" i="4"/>
  <c r="K45" i="4"/>
  <c r="K49" i="4"/>
  <c r="Y53" i="4"/>
  <c r="W54" i="4"/>
  <c r="Y55" i="4"/>
  <c r="U57" i="4"/>
  <c r="W58" i="4"/>
  <c r="Y59" i="4"/>
  <c r="U61" i="4"/>
  <c r="G63" i="4"/>
  <c r="U64" i="4"/>
  <c r="K67" i="4"/>
  <c r="M68" i="4"/>
  <c r="G73" i="4"/>
  <c r="Y74" i="4"/>
  <c r="U75" i="4"/>
  <c r="G77" i="4"/>
  <c r="U78" i="4"/>
  <c r="W5" i="5"/>
  <c r="R7" i="5"/>
  <c r="K9" i="5"/>
  <c r="G12" i="5"/>
  <c r="P15" i="5"/>
  <c r="K17" i="5"/>
  <c r="G20" i="5"/>
  <c r="P23" i="5"/>
  <c r="K25" i="5"/>
  <c r="G28" i="5"/>
  <c r="P31" i="5"/>
  <c r="K33" i="5"/>
  <c r="K36" i="5"/>
  <c r="G39" i="5"/>
  <c r="P42" i="5"/>
  <c r="K44" i="5"/>
  <c r="G47" i="5"/>
  <c r="P50" i="5"/>
  <c r="K52" i="5"/>
  <c r="W56" i="5"/>
  <c r="U57" i="5"/>
  <c r="Y58" i="5"/>
  <c r="M64" i="5"/>
  <c r="K65" i="5"/>
  <c r="M66" i="5"/>
  <c r="K67" i="5"/>
  <c r="I68" i="5"/>
  <c r="G69" i="5"/>
  <c r="R70" i="5"/>
  <c r="P71" i="5"/>
  <c r="Y77" i="5"/>
  <c r="U78" i="5"/>
  <c r="R5" i="6"/>
  <c r="K7" i="6"/>
  <c r="M8" i="6"/>
  <c r="K11" i="6"/>
  <c r="M12" i="6"/>
  <c r="K15" i="6"/>
  <c r="M16" i="6"/>
  <c r="K19" i="6"/>
  <c r="M20" i="6"/>
  <c r="K23" i="6"/>
  <c r="M24" i="6"/>
  <c r="K27" i="6"/>
  <c r="M28" i="6"/>
  <c r="K31" i="6"/>
  <c r="M32" i="6"/>
  <c r="K35" i="6"/>
  <c r="K55" i="6"/>
  <c r="M56" i="6"/>
  <c r="K59" i="6"/>
  <c r="M60" i="6"/>
  <c r="K63" i="6"/>
  <c r="M64" i="6"/>
  <c r="G67" i="6"/>
  <c r="G71" i="6"/>
  <c r="M74" i="6"/>
  <c r="P76" i="6"/>
  <c r="R77" i="6"/>
  <c r="K5" i="7"/>
  <c r="W6" i="7"/>
  <c r="M9" i="7"/>
  <c r="R10" i="7"/>
  <c r="W11" i="7"/>
  <c r="K14" i="7"/>
  <c r="I16" i="7"/>
  <c r="W20" i="7"/>
  <c r="M24" i="7"/>
  <c r="U36" i="7"/>
  <c r="P40" i="7"/>
  <c r="K44" i="7"/>
  <c r="I48" i="7"/>
  <c r="W55" i="7"/>
  <c r="I59" i="7"/>
  <c r="P64" i="7"/>
  <c r="K8" i="8"/>
  <c r="R13" i="8"/>
  <c r="R24" i="8"/>
  <c r="G42" i="8"/>
  <c r="P55" i="8"/>
  <c r="R67" i="8"/>
  <c r="Y73" i="8"/>
  <c r="K6" i="9"/>
  <c r="R11" i="9"/>
  <c r="K22" i="9"/>
  <c r="R27" i="9"/>
  <c r="K38" i="9"/>
  <c r="I49" i="9"/>
  <c r="I59" i="9"/>
  <c r="P64" i="9"/>
  <c r="I75" i="9"/>
  <c r="K16" i="10"/>
  <c r="R21" i="10"/>
  <c r="K32" i="10"/>
  <c r="P56" i="10"/>
  <c r="I72" i="10"/>
  <c r="G78" i="10"/>
  <c r="M21" i="11"/>
  <c r="P38" i="11"/>
  <c r="I49" i="11"/>
  <c r="K74" i="11"/>
  <c r="K6" i="7"/>
  <c r="K7" i="7"/>
  <c r="G8" i="7"/>
  <c r="I13" i="7"/>
  <c r="G16" i="7"/>
  <c r="I19" i="7"/>
  <c r="R20" i="7"/>
  <c r="U23" i="7"/>
  <c r="W25" i="7"/>
  <c r="G28" i="7"/>
  <c r="R31" i="7"/>
  <c r="M34" i="7"/>
  <c r="U35" i="7"/>
  <c r="Y38" i="7"/>
  <c r="R41" i="7"/>
  <c r="G43" i="7"/>
  <c r="Y44" i="7"/>
  <c r="M47" i="7"/>
  <c r="P50" i="7"/>
  <c r="P52" i="7"/>
  <c r="U53" i="7"/>
  <c r="K58" i="7"/>
  <c r="P59" i="7"/>
  <c r="G61" i="7"/>
  <c r="K63" i="7"/>
  <c r="R64" i="7"/>
  <c r="W66" i="7"/>
  <c r="P69" i="7"/>
  <c r="I72" i="7"/>
  <c r="M73" i="7"/>
  <c r="G77" i="7"/>
  <c r="Y5" i="8"/>
  <c r="G13" i="8"/>
  <c r="G16" i="8"/>
  <c r="I22" i="8"/>
  <c r="M27" i="8"/>
  <c r="K30" i="8"/>
  <c r="R32" i="8"/>
  <c r="M37" i="8"/>
  <c r="G41" i="8"/>
  <c r="I52" i="8"/>
  <c r="M65" i="8"/>
  <c r="R70" i="8"/>
  <c r="R75" i="8"/>
  <c r="U5" i="9"/>
  <c r="R10" i="9"/>
  <c r="I16" i="9"/>
  <c r="P21" i="9"/>
  <c r="R26" i="9"/>
  <c r="I32" i="9"/>
  <c r="P37" i="9"/>
  <c r="M56" i="9"/>
  <c r="K67" i="9"/>
  <c r="M72" i="9"/>
  <c r="R77" i="9"/>
  <c r="K7" i="10"/>
  <c r="M12" i="10"/>
  <c r="K23" i="10"/>
  <c r="M28" i="10"/>
  <c r="K45" i="10"/>
  <c r="M50" i="10"/>
  <c r="K37" i="11"/>
  <c r="M42" i="11"/>
  <c r="K53" i="11"/>
  <c r="R69" i="11"/>
  <c r="W5" i="12"/>
  <c r="K27" i="7"/>
  <c r="M31" i="7"/>
  <c r="R35" i="7"/>
  <c r="U43" i="7"/>
  <c r="Y51" i="7"/>
  <c r="W69" i="7"/>
  <c r="Y73" i="7"/>
  <c r="K22" i="8"/>
  <c r="K33" i="8"/>
  <c r="P38" i="8"/>
  <c r="R48" i="8"/>
  <c r="I53" i="8"/>
  <c r="Y75" i="8"/>
  <c r="K48" i="9"/>
  <c r="G60" i="9"/>
  <c r="G76" i="9"/>
  <c r="G38" i="10"/>
  <c r="P44" i="10"/>
  <c r="R49" i="10"/>
  <c r="G8" i="11"/>
  <c r="G24" i="11"/>
  <c r="K40" i="11"/>
  <c r="M45" i="11"/>
  <c r="R55" i="11"/>
  <c r="I61" i="11"/>
  <c r="M67" i="11"/>
  <c r="P22" i="7"/>
  <c r="P44" i="7"/>
  <c r="R53" i="7"/>
  <c r="I60" i="7"/>
  <c r="P65" i="7"/>
  <c r="Y70" i="7"/>
  <c r="P74" i="7"/>
  <c r="R6" i="8"/>
  <c r="G17" i="8"/>
  <c r="K28" i="8"/>
  <c r="M33" i="8"/>
  <c r="G39" i="8"/>
  <c r="R44" i="8"/>
  <c r="I58" i="8"/>
  <c r="I63" i="8"/>
  <c r="K15" i="9"/>
  <c r="M20" i="9"/>
  <c r="K31" i="9"/>
  <c r="M36" i="9"/>
  <c r="M48" i="9"/>
  <c r="K61" i="9"/>
  <c r="M66" i="9"/>
  <c r="P39" i="10"/>
  <c r="K51" i="10"/>
  <c r="R10" i="11"/>
  <c r="I16" i="11"/>
  <c r="P21" i="11"/>
  <c r="R26" i="11"/>
  <c r="I32" i="11"/>
  <c r="K43" i="11"/>
  <c r="M48" i="11"/>
  <c r="G59" i="11"/>
  <c r="R72" i="11"/>
  <c r="R14" i="12"/>
  <c r="I30" i="12"/>
  <c r="P41" i="12"/>
  <c r="K52" i="12"/>
  <c r="M57" i="12"/>
  <c r="M62" i="12"/>
  <c r="I68" i="12"/>
  <c r="G73" i="12"/>
  <c r="G50" i="13"/>
  <c r="M55" i="13"/>
  <c r="M77" i="13"/>
  <c r="K75" i="11"/>
  <c r="R20" i="12"/>
  <c r="R28" i="12"/>
  <c r="M35" i="12"/>
  <c r="R41" i="12"/>
  <c r="R48" i="12"/>
  <c r="K9" i="13"/>
  <c r="M30" i="13"/>
  <c r="R22" i="12"/>
  <c r="K43" i="12"/>
  <c r="M64" i="12"/>
  <c r="K20" i="13"/>
  <c r="K42" i="13"/>
  <c r="K64" i="13"/>
  <c r="R12" i="14"/>
  <c r="I14" i="12"/>
  <c r="K57" i="12"/>
  <c r="P37" i="13"/>
  <c r="K14" i="15"/>
  <c r="P19" i="16"/>
  <c r="Y61" i="16"/>
  <c r="G45" i="17"/>
  <c r="I33" i="15"/>
  <c r="R54" i="15"/>
  <c r="G16" i="16"/>
  <c r="I59" i="17"/>
  <c r="U60" i="16"/>
  <c r="I41" i="15"/>
  <c r="P65" i="16"/>
  <c r="I67" i="17"/>
  <c r="I38" i="18"/>
  <c r="I31" i="11"/>
  <c r="I5" i="1"/>
  <c r="P6" i="1"/>
  <c r="M7" i="1"/>
  <c r="K10" i="1"/>
  <c r="M11" i="1"/>
  <c r="K14" i="1"/>
  <c r="M15" i="1"/>
  <c r="K18" i="1"/>
  <c r="M19" i="1"/>
  <c r="K22" i="1"/>
  <c r="K25" i="1"/>
  <c r="M26" i="1"/>
  <c r="K29" i="1"/>
  <c r="M30" i="1"/>
  <c r="K33" i="1"/>
  <c r="M34" i="1"/>
  <c r="G36" i="1"/>
  <c r="U38" i="1"/>
  <c r="W55" i="1"/>
  <c r="R56" i="1"/>
  <c r="M57" i="1"/>
  <c r="W59" i="1"/>
  <c r="R60" i="1"/>
  <c r="M61" i="1"/>
  <c r="W63" i="1"/>
  <c r="R64" i="1"/>
  <c r="Y65" i="1"/>
  <c r="W66" i="1"/>
  <c r="I70" i="1"/>
  <c r="G78" i="1"/>
  <c r="W7" i="2"/>
  <c r="R8" i="2"/>
  <c r="M9" i="2"/>
  <c r="W11" i="2"/>
  <c r="R12" i="2"/>
  <c r="M13" i="2"/>
  <c r="W15" i="2"/>
  <c r="Y16" i="2"/>
  <c r="G23" i="2"/>
  <c r="I24" i="2"/>
  <c r="P25" i="2"/>
  <c r="P27" i="2"/>
  <c r="R28" i="2"/>
  <c r="G30" i="2"/>
  <c r="Y35" i="2"/>
  <c r="P37" i="2"/>
  <c r="P39" i="2"/>
  <c r="P41" i="2"/>
  <c r="P43" i="2"/>
  <c r="G50" i="2"/>
  <c r="P54" i="2"/>
  <c r="K62" i="2"/>
  <c r="P66" i="2"/>
  <c r="P5" i="3"/>
  <c r="R9" i="3"/>
  <c r="G16" i="3"/>
  <c r="G38" i="3"/>
  <c r="P58" i="3"/>
  <c r="Y5" i="4"/>
  <c r="G16" i="4"/>
  <c r="G32" i="4"/>
  <c r="M41" i="4"/>
  <c r="K57" i="4"/>
  <c r="R61" i="4"/>
  <c r="M65" i="4"/>
  <c r="M13" i="5"/>
  <c r="R31" i="5"/>
  <c r="M36" i="5"/>
  <c r="G60" i="5"/>
  <c r="W67" i="5"/>
  <c r="P72" i="5"/>
  <c r="K78" i="5"/>
  <c r="M15" i="6"/>
  <c r="M31" i="6"/>
  <c r="M45" i="6"/>
  <c r="I57" i="6"/>
  <c r="P62" i="6"/>
  <c r="M73" i="6"/>
  <c r="Y10" i="7"/>
  <c r="P15" i="7"/>
  <c r="K29" i="7"/>
  <c r="R44" i="7"/>
  <c r="P8" i="8"/>
  <c r="K18" i="9"/>
  <c r="M35" i="9"/>
  <c r="K12" i="10"/>
  <c r="M29" i="10"/>
  <c r="K69" i="10"/>
  <c r="M47" i="11"/>
  <c r="P64" i="11"/>
  <c r="R16" i="2"/>
  <c r="M17" i="2"/>
  <c r="W19" i="2"/>
  <c r="R20" i="2"/>
  <c r="M21" i="2"/>
  <c r="W23" i="2"/>
  <c r="R24" i="2"/>
  <c r="R25" i="2"/>
  <c r="I27" i="2"/>
  <c r="I28" i="2"/>
  <c r="I29" i="2"/>
  <c r="I30" i="2"/>
  <c r="I31" i="2"/>
  <c r="I32" i="2"/>
  <c r="I33" i="2"/>
  <c r="I34" i="2"/>
  <c r="I35" i="2"/>
  <c r="M36" i="2"/>
  <c r="W38" i="2"/>
  <c r="R39" i="2"/>
  <c r="M40" i="2"/>
  <c r="W42" i="2"/>
  <c r="R43" i="2"/>
  <c r="R44" i="2"/>
  <c r="I46" i="2"/>
  <c r="K47" i="2"/>
  <c r="I50" i="2"/>
  <c r="K51" i="2"/>
  <c r="M54" i="2"/>
  <c r="G55" i="2"/>
  <c r="R57" i="2"/>
  <c r="Y58" i="2"/>
  <c r="W61" i="2"/>
  <c r="R62" i="2"/>
  <c r="M63" i="2"/>
  <c r="W65" i="2"/>
  <c r="W66" i="2"/>
  <c r="P68" i="2"/>
  <c r="Y69" i="2"/>
  <c r="M5" i="3"/>
  <c r="M6" i="3"/>
  <c r="G7" i="3"/>
  <c r="M8" i="3"/>
  <c r="K11" i="3"/>
  <c r="M12" i="3"/>
  <c r="K33" i="3"/>
  <c r="P34" i="3"/>
  <c r="M35" i="3"/>
  <c r="I36" i="3"/>
  <c r="I37" i="3"/>
  <c r="I38" i="3"/>
  <c r="I39" i="3"/>
  <c r="I40" i="3"/>
  <c r="I41" i="3"/>
  <c r="I42" i="3"/>
  <c r="I43" i="3"/>
  <c r="I44" i="3"/>
  <c r="I45" i="3"/>
  <c r="I46" i="3"/>
  <c r="Y47" i="3"/>
  <c r="U52" i="3"/>
  <c r="U53" i="3"/>
  <c r="K57" i="3"/>
  <c r="I5" i="4"/>
  <c r="P10" i="4"/>
  <c r="P14" i="4"/>
  <c r="P18" i="4"/>
  <c r="P22" i="4"/>
  <c r="P26" i="4"/>
  <c r="P30" i="4"/>
  <c r="G35" i="4"/>
  <c r="R36" i="4"/>
  <c r="G39" i="4"/>
  <c r="R40" i="4"/>
  <c r="G43" i="4"/>
  <c r="R44" i="4"/>
  <c r="G47" i="4"/>
  <c r="R48" i="4"/>
  <c r="G51" i="4"/>
  <c r="R52" i="4"/>
  <c r="U53" i="4"/>
  <c r="G65" i="4"/>
  <c r="Y66" i="4"/>
  <c r="K69" i="4"/>
  <c r="M70" i="4"/>
  <c r="I74" i="4"/>
  <c r="M75" i="4"/>
  <c r="P76" i="4"/>
  <c r="W77" i="4"/>
  <c r="Y78" i="4"/>
  <c r="K8" i="5"/>
  <c r="G11" i="5"/>
  <c r="P14" i="5"/>
  <c r="K16" i="5"/>
  <c r="G19" i="5"/>
  <c r="P22" i="5"/>
  <c r="K24" i="5"/>
  <c r="G27" i="5"/>
  <c r="P30" i="5"/>
  <c r="K32" i="5"/>
  <c r="G35" i="5"/>
  <c r="P37" i="5"/>
  <c r="K39" i="5"/>
  <c r="G42" i="5"/>
  <c r="P45" i="5"/>
  <c r="K47" i="5"/>
  <c r="G50" i="5"/>
  <c r="R54" i="5"/>
  <c r="P55" i="5"/>
  <c r="W58" i="5"/>
  <c r="U59" i="5"/>
  <c r="Y60" i="5"/>
  <c r="W68" i="5"/>
  <c r="U69" i="5"/>
  <c r="Y70" i="5"/>
  <c r="Y78" i="5"/>
  <c r="I8" i="6"/>
  <c r="P9" i="6"/>
  <c r="R10" i="6"/>
  <c r="I12" i="6"/>
  <c r="P13" i="6"/>
  <c r="R14" i="6"/>
  <c r="I16" i="6"/>
  <c r="P17" i="6"/>
  <c r="R18" i="6"/>
  <c r="I20" i="6"/>
  <c r="P21" i="6"/>
  <c r="R22" i="6"/>
  <c r="I24" i="6"/>
  <c r="P25" i="6"/>
  <c r="R26" i="6"/>
  <c r="I28" i="6"/>
  <c r="P29" i="6"/>
  <c r="R30" i="6"/>
  <c r="I32" i="6"/>
  <c r="P33" i="6"/>
  <c r="R34" i="6"/>
  <c r="M36" i="6"/>
  <c r="K39" i="6"/>
  <c r="M40" i="6"/>
  <c r="K43" i="6"/>
  <c r="M44" i="6"/>
  <c r="K47" i="6"/>
  <c r="M48" i="6"/>
  <c r="K51" i="6"/>
  <c r="M52" i="6"/>
  <c r="G55" i="6"/>
  <c r="G59" i="6"/>
  <c r="G63" i="6"/>
  <c r="I66" i="6"/>
  <c r="P67" i="6"/>
  <c r="R68" i="6"/>
  <c r="I70" i="6"/>
  <c r="P71" i="6"/>
  <c r="R72" i="6"/>
  <c r="I77" i="6"/>
  <c r="P78" i="6"/>
  <c r="U5" i="7"/>
  <c r="Y7" i="7"/>
  <c r="W10" i="7"/>
  <c r="P13" i="7"/>
  <c r="Y16" i="7"/>
  <c r="I21" i="7"/>
  <c r="W24" i="7"/>
  <c r="R28" i="7"/>
  <c r="G37" i="7"/>
  <c r="W48" i="7"/>
  <c r="I56" i="7"/>
  <c r="K66" i="7"/>
  <c r="Y6" i="8"/>
  <c r="M16" i="8"/>
  <c r="G25" i="8"/>
  <c r="I36" i="8"/>
  <c r="R41" i="8"/>
  <c r="G50" i="8"/>
  <c r="K54" i="8"/>
  <c r="U58" i="8"/>
  <c r="P63" i="8"/>
  <c r="I69" i="8"/>
  <c r="K74" i="8"/>
  <c r="I13" i="9"/>
  <c r="P18" i="9"/>
  <c r="I29" i="9"/>
  <c r="P34" i="9"/>
  <c r="G66" i="9"/>
  <c r="G78" i="9"/>
  <c r="M9" i="10"/>
  <c r="M25" i="10"/>
  <c r="I37" i="10"/>
  <c r="K46" i="10"/>
  <c r="R51" i="10"/>
  <c r="G58" i="10"/>
  <c r="P69" i="10"/>
  <c r="I5" i="11"/>
  <c r="G10" i="11"/>
  <c r="G26" i="11"/>
  <c r="K42" i="11"/>
  <c r="R47" i="11"/>
  <c r="G54" i="11"/>
  <c r="P30" i="2"/>
  <c r="P31" i="2"/>
  <c r="P32" i="2"/>
  <c r="P33" i="2"/>
  <c r="P34" i="2"/>
  <c r="P35" i="2"/>
  <c r="G38" i="2"/>
  <c r="Y39" i="2"/>
  <c r="G42" i="2"/>
  <c r="Y43" i="2"/>
  <c r="K46" i="2"/>
  <c r="I49" i="2"/>
  <c r="K50" i="2"/>
  <c r="I53" i="2"/>
  <c r="Y54" i="2"/>
  <c r="U56" i="2"/>
  <c r="Y57" i="2"/>
  <c r="G62" i="2"/>
  <c r="Y63" i="2"/>
  <c r="Y66" i="2"/>
  <c r="W68" i="2"/>
  <c r="Y6" i="3"/>
  <c r="G14" i="3"/>
  <c r="G18" i="3"/>
  <c r="G22" i="3"/>
  <c r="G26" i="3"/>
  <c r="G30" i="3"/>
  <c r="I32" i="3"/>
  <c r="K36" i="3"/>
  <c r="K37" i="3"/>
  <c r="K38" i="3"/>
  <c r="K39" i="3"/>
  <c r="K40" i="3"/>
  <c r="K41" i="3"/>
  <c r="K42" i="3"/>
  <c r="K43" i="3"/>
  <c r="K44" i="3"/>
  <c r="K45" i="3"/>
  <c r="K46" i="3"/>
  <c r="P48" i="3"/>
  <c r="P49" i="3"/>
  <c r="P50" i="3"/>
  <c r="P51" i="3"/>
  <c r="R52" i="3"/>
  <c r="M53" i="3"/>
  <c r="K54" i="3"/>
  <c r="G56" i="3"/>
  <c r="R57" i="3"/>
  <c r="Y58" i="3"/>
  <c r="U5" i="4"/>
  <c r="K8" i="4"/>
  <c r="K12" i="4"/>
  <c r="K16" i="4"/>
  <c r="K20" i="4"/>
  <c r="K24" i="4"/>
  <c r="K28" i="4"/>
  <c r="K32" i="4"/>
  <c r="P37" i="4"/>
  <c r="P41" i="4"/>
  <c r="P45" i="4"/>
  <c r="P49" i="4"/>
  <c r="R53" i="4"/>
  <c r="P54" i="4"/>
  <c r="R55" i="4"/>
  <c r="M56" i="4"/>
  <c r="P58" i="4"/>
  <c r="R59" i="4"/>
  <c r="M60" i="4"/>
  <c r="R62" i="4"/>
  <c r="M63" i="4"/>
  <c r="G66" i="4"/>
  <c r="U67" i="4"/>
  <c r="I71" i="4"/>
  <c r="W72" i="4"/>
  <c r="Y73" i="4"/>
  <c r="W74" i="4"/>
  <c r="W76" i="4"/>
  <c r="Y77" i="4"/>
  <c r="U5" i="5"/>
  <c r="P7" i="5"/>
  <c r="R8" i="5"/>
  <c r="I13" i="5"/>
  <c r="M14" i="5"/>
  <c r="R16" i="5"/>
  <c r="I21" i="5"/>
  <c r="M22" i="5"/>
  <c r="R24" i="5"/>
  <c r="I29" i="5"/>
  <c r="M30" i="5"/>
  <c r="R32" i="5"/>
  <c r="I36" i="5"/>
  <c r="M37" i="5"/>
  <c r="R39" i="5"/>
  <c r="I44" i="5"/>
  <c r="M45" i="5"/>
  <c r="R47" i="5"/>
  <c r="I52" i="5"/>
  <c r="W55" i="5"/>
  <c r="U56" i="5"/>
  <c r="Y57" i="5"/>
  <c r="M63" i="5"/>
  <c r="K64" i="5"/>
  <c r="I65" i="5"/>
  <c r="K66" i="5"/>
  <c r="I67" i="5"/>
  <c r="G68" i="5"/>
  <c r="R69" i="5"/>
  <c r="P70" i="5"/>
  <c r="W73" i="5"/>
  <c r="W77" i="5"/>
  <c r="U5" i="6"/>
  <c r="G10" i="6"/>
  <c r="G14" i="6"/>
  <c r="G18" i="6"/>
  <c r="G22" i="6"/>
  <c r="G26" i="6"/>
  <c r="G30" i="6"/>
  <c r="G34" i="6"/>
  <c r="G36" i="6"/>
  <c r="G40" i="6"/>
  <c r="G44" i="6"/>
  <c r="G48" i="6"/>
  <c r="G52" i="6"/>
  <c r="G54" i="6"/>
  <c r="G58" i="6"/>
  <c r="G62" i="6"/>
  <c r="K66" i="6"/>
  <c r="M67" i="6"/>
  <c r="K70" i="6"/>
  <c r="M71" i="6"/>
  <c r="P74" i="6"/>
  <c r="P5" i="7"/>
  <c r="I9" i="7"/>
  <c r="M12" i="7"/>
  <c r="R13" i="7"/>
  <c r="Y14" i="7"/>
  <c r="P20" i="7"/>
  <c r="U32" i="7"/>
  <c r="M38" i="7"/>
  <c r="I42" i="7"/>
  <c r="Y53" i="7"/>
  <c r="M65" i="7"/>
  <c r="W73" i="7"/>
  <c r="R77" i="7"/>
  <c r="G6" i="8"/>
  <c r="G10" i="8"/>
  <c r="P54" i="8"/>
  <c r="P70" i="8"/>
  <c r="K75" i="8"/>
  <c r="K10" i="9"/>
  <c r="R15" i="9"/>
  <c r="K26" i="9"/>
  <c r="R31" i="9"/>
  <c r="K42" i="9"/>
  <c r="M47" i="9"/>
  <c r="R54" i="9"/>
  <c r="K64" i="9"/>
  <c r="R69" i="9"/>
  <c r="G18" i="10"/>
  <c r="G34" i="10"/>
  <c r="R39" i="10"/>
  <c r="K56" i="10"/>
  <c r="R61" i="10"/>
  <c r="K8" i="11"/>
  <c r="R13" i="11"/>
  <c r="K24" i="11"/>
  <c r="R29" i="11"/>
  <c r="G36" i="11"/>
  <c r="G52" i="11"/>
  <c r="R57" i="11"/>
  <c r="K49" i="2"/>
  <c r="I52" i="2"/>
  <c r="K53" i="2"/>
  <c r="I54" i="2"/>
  <c r="K55" i="2"/>
  <c r="K69" i="2"/>
  <c r="I6" i="3"/>
  <c r="K7" i="3"/>
  <c r="P12" i="3"/>
  <c r="I14" i="3"/>
  <c r="P15" i="3"/>
  <c r="R16" i="3"/>
  <c r="I18" i="3"/>
  <c r="P19" i="3"/>
  <c r="R20" i="3"/>
  <c r="I22" i="3"/>
  <c r="P23" i="3"/>
  <c r="R24" i="3"/>
  <c r="I26" i="3"/>
  <c r="P27" i="3"/>
  <c r="R28" i="3"/>
  <c r="I30" i="3"/>
  <c r="W32" i="3"/>
  <c r="G34" i="3"/>
  <c r="R36" i="3"/>
  <c r="M37" i="3"/>
  <c r="W39" i="3"/>
  <c r="R40" i="3"/>
  <c r="M41" i="3"/>
  <c r="W43" i="3"/>
  <c r="R44" i="3"/>
  <c r="M45" i="3"/>
  <c r="W48" i="3"/>
  <c r="R49" i="3"/>
  <c r="M50" i="3"/>
  <c r="M54" i="3"/>
  <c r="G55" i="3"/>
  <c r="I58" i="3"/>
  <c r="R60" i="3"/>
  <c r="W5" i="4"/>
  <c r="P9" i="4"/>
  <c r="P13" i="4"/>
  <c r="P17" i="4"/>
  <c r="P21" i="4"/>
  <c r="P25" i="4"/>
  <c r="P29" i="4"/>
  <c r="P33" i="4"/>
  <c r="G36" i="4"/>
  <c r="R37" i="4"/>
  <c r="G40" i="4"/>
  <c r="R41" i="4"/>
  <c r="G44" i="4"/>
  <c r="R45" i="4"/>
  <c r="G48" i="4"/>
  <c r="R49" i="4"/>
  <c r="G52" i="4"/>
  <c r="G62" i="4"/>
  <c r="I66" i="4"/>
  <c r="W67" i="4"/>
  <c r="Y68" i="4"/>
  <c r="K71" i="4"/>
  <c r="M72" i="4"/>
  <c r="G76" i="4"/>
  <c r="P9" i="5"/>
  <c r="K11" i="5"/>
  <c r="G14" i="5"/>
  <c r="P17" i="5"/>
  <c r="K19" i="5"/>
  <c r="G22" i="5"/>
  <c r="P25" i="5"/>
  <c r="K27" i="5"/>
  <c r="G30" i="5"/>
  <c r="P33" i="5"/>
  <c r="K35" i="5"/>
  <c r="P36" i="5"/>
  <c r="K38" i="5"/>
  <c r="G41" i="5"/>
  <c r="P44" i="5"/>
  <c r="K46" i="5"/>
  <c r="G49" i="5"/>
  <c r="P52" i="5"/>
  <c r="Y54" i="5"/>
  <c r="M60" i="5"/>
  <c r="K61" i="5"/>
  <c r="I62" i="5"/>
  <c r="G63" i="5"/>
  <c r="R64" i="5"/>
  <c r="P65" i="5"/>
  <c r="R66" i="5"/>
  <c r="P67" i="5"/>
  <c r="W70" i="5"/>
  <c r="U71" i="5"/>
  <c r="Y72" i="5"/>
  <c r="I74" i="5"/>
  <c r="I76" i="5"/>
  <c r="W5" i="6"/>
  <c r="P7" i="6"/>
  <c r="R8" i="6"/>
  <c r="I10" i="6"/>
  <c r="P11" i="6"/>
  <c r="R12" i="6"/>
  <c r="I14" i="6"/>
  <c r="P15" i="6"/>
  <c r="R16" i="6"/>
  <c r="I18" i="6"/>
  <c r="P19" i="6"/>
  <c r="R20" i="6"/>
  <c r="I22" i="6"/>
  <c r="P23" i="6"/>
  <c r="R24" i="6"/>
  <c r="I26" i="6"/>
  <c r="P27" i="6"/>
  <c r="R28" i="6"/>
  <c r="I30" i="6"/>
  <c r="P31" i="6"/>
  <c r="R32" i="6"/>
  <c r="I34" i="6"/>
  <c r="P35" i="6"/>
  <c r="G39" i="6"/>
  <c r="G43" i="6"/>
  <c r="G47" i="6"/>
  <c r="G51" i="6"/>
  <c r="I54" i="6"/>
  <c r="P55" i="6"/>
  <c r="R56" i="6"/>
  <c r="I58" i="6"/>
  <c r="P59" i="6"/>
  <c r="R60" i="6"/>
  <c r="I62" i="6"/>
  <c r="P63" i="6"/>
  <c r="R64" i="6"/>
  <c r="M66" i="6"/>
  <c r="K69" i="6"/>
  <c r="M70" i="6"/>
  <c r="K73" i="6"/>
  <c r="R74" i="6"/>
  <c r="R5" i="7"/>
  <c r="Y9" i="7"/>
  <c r="M13" i="7"/>
  <c r="R14" i="7"/>
  <c r="Y21" i="7"/>
  <c r="I25" i="7"/>
  <c r="Y37" i="7"/>
  <c r="P41" i="7"/>
  <c r="K45" i="7"/>
  <c r="I49" i="7"/>
  <c r="Y56" i="7"/>
  <c r="K60" i="7"/>
  <c r="R65" i="7"/>
  <c r="W77" i="7"/>
  <c r="M9" i="8"/>
  <c r="I20" i="8"/>
  <c r="K32" i="8"/>
  <c r="M43" i="8"/>
  <c r="P49" i="8"/>
  <c r="R56" i="8"/>
  <c r="G60" i="8"/>
  <c r="G64" i="8"/>
  <c r="U74" i="8"/>
  <c r="M7" i="9"/>
  <c r="M23" i="9"/>
  <c r="M39" i="9"/>
  <c r="I45" i="9"/>
  <c r="K60" i="9"/>
  <c r="R65" i="9"/>
  <c r="K76" i="9"/>
  <c r="M17" i="10"/>
  <c r="M33" i="10"/>
  <c r="G52" i="10"/>
  <c r="R57" i="10"/>
  <c r="K73" i="10"/>
  <c r="G18" i="11"/>
  <c r="G34" i="11"/>
  <c r="R39" i="11"/>
  <c r="K50" i="11"/>
  <c r="G62" i="11"/>
  <c r="P68" i="11"/>
  <c r="I77" i="11"/>
  <c r="G5" i="7"/>
  <c r="P6" i="7"/>
  <c r="P7" i="7"/>
  <c r="K12" i="7"/>
  <c r="I15" i="7"/>
  <c r="K18" i="7"/>
  <c r="Y19" i="7"/>
  <c r="G22" i="7"/>
  <c r="G24" i="7"/>
  <c r="I27" i="7"/>
  <c r="K30" i="7"/>
  <c r="R34" i="7"/>
  <c r="K40" i="7"/>
  <c r="K42" i="7"/>
  <c r="Y43" i="7"/>
  <c r="M46" i="7"/>
  <c r="R47" i="7"/>
  <c r="K49" i="7"/>
  <c r="U52" i="7"/>
  <c r="K57" i="7"/>
  <c r="P58" i="7"/>
  <c r="P63" i="7"/>
  <c r="G65" i="7"/>
  <c r="G68" i="7"/>
  <c r="K71" i="7"/>
  <c r="K76" i="7"/>
  <c r="R8" i="8"/>
  <c r="P11" i="8"/>
  <c r="I14" i="8"/>
  <c r="K17" i="8"/>
  <c r="I33" i="8"/>
  <c r="R35" i="8"/>
  <c r="I38" i="8"/>
  <c r="U48" i="8"/>
  <c r="G53" i="8"/>
  <c r="R66" i="8"/>
  <c r="Y72" i="8"/>
  <c r="R6" i="9"/>
  <c r="I12" i="9"/>
  <c r="P17" i="9"/>
  <c r="R22" i="9"/>
  <c r="I28" i="9"/>
  <c r="P33" i="9"/>
  <c r="R38" i="9"/>
  <c r="G51" i="9"/>
  <c r="K63" i="9"/>
  <c r="M68" i="9"/>
  <c r="M8" i="10"/>
  <c r="K19" i="10"/>
  <c r="M24" i="10"/>
  <c r="K35" i="10"/>
  <c r="K41" i="10"/>
  <c r="M46" i="10"/>
  <c r="M38" i="11"/>
  <c r="K49" i="11"/>
  <c r="M71" i="11"/>
  <c r="G10" i="12"/>
  <c r="W23" i="7"/>
  <c r="I28" i="7"/>
  <c r="M32" i="7"/>
  <c r="R36" i="7"/>
  <c r="U44" i="7"/>
  <c r="R52" i="7"/>
  <c r="M56" i="7"/>
  <c r="R70" i="7"/>
  <c r="Y74" i="7"/>
  <c r="M78" i="7"/>
  <c r="G18" i="8"/>
  <c r="K29" i="8"/>
  <c r="M34" i="8"/>
  <c r="R39" i="8"/>
  <c r="P60" i="8"/>
  <c r="G65" i="8"/>
  <c r="U76" i="8"/>
  <c r="G56" i="9"/>
  <c r="G72" i="9"/>
  <c r="P78" i="9"/>
  <c r="R45" i="10"/>
  <c r="I51" i="10"/>
  <c r="G73" i="10"/>
  <c r="G20" i="11"/>
  <c r="K36" i="11"/>
  <c r="M41" i="11"/>
  <c r="K52" i="11"/>
  <c r="I57" i="11"/>
  <c r="P62" i="11"/>
  <c r="M76" i="11"/>
  <c r="P45" i="7"/>
  <c r="P55" i="7"/>
  <c r="P61" i="7"/>
  <c r="Y71" i="7"/>
  <c r="G76" i="7"/>
  <c r="K13" i="8"/>
  <c r="K24" i="8"/>
  <c r="M29" i="8"/>
  <c r="K46" i="8"/>
  <c r="W50" i="8"/>
  <c r="I59" i="8"/>
  <c r="M64" i="8"/>
  <c r="G69" i="8"/>
  <c r="W77" i="8"/>
  <c r="K11" i="9"/>
  <c r="M16" i="9"/>
  <c r="K27" i="9"/>
  <c r="M32" i="9"/>
  <c r="P43" i="9"/>
  <c r="I50" i="9"/>
  <c r="K57" i="9"/>
  <c r="M62" i="9"/>
  <c r="K73" i="9"/>
  <c r="R78" i="9"/>
  <c r="K47" i="10"/>
  <c r="M52" i="10"/>
  <c r="G63" i="10"/>
  <c r="G76" i="10"/>
  <c r="Y5" i="11"/>
  <c r="I12" i="11"/>
  <c r="P17" i="11"/>
  <c r="R22" i="11"/>
  <c r="I28" i="11"/>
  <c r="P33" i="11"/>
  <c r="K39" i="11"/>
  <c r="M44" i="11"/>
  <c r="G55" i="11"/>
  <c r="G67" i="11"/>
  <c r="P74" i="11"/>
  <c r="M5" i="12"/>
  <c r="K10" i="12"/>
  <c r="G26" i="12"/>
  <c r="G37" i="12"/>
  <c r="R42" i="12"/>
  <c r="K48" i="12"/>
  <c r="M53" i="12"/>
  <c r="P69" i="12"/>
  <c r="G46" i="13"/>
  <c r="K62" i="13"/>
  <c r="K68" i="13"/>
  <c r="R18" i="14"/>
  <c r="R28" i="14"/>
  <c r="R38" i="14"/>
  <c r="P47" i="14"/>
  <c r="P15" i="12"/>
  <c r="K30" i="12"/>
  <c r="I37" i="12"/>
  <c r="G57" i="12"/>
  <c r="M71" i="12"/>
  <c r="M14" i="13"/>
  <c r="P74" i="14"/>
  <c r="G48" i="12"/>
  <c r="G69" i="12"/>
  <c r="M25" i="13"/>
  <c r="M47" i="13"/>
  <c r="I69" i="13"/>
  <c r="P21" i="14"/>
  <c r="R58" i="14"/>
  <c r="G21" i="13"/>
  <c r="R42" i="13"/>
  <c r="R19" i="15"/>
  <c r="K41" i="15"/>
  <c r="P62" i="15"/>
  <c r="P46" i="16"/>
  <c r="Y65" i="16"/>
  <c r="K29" i="17"/>
  <c r="M50" i="17"/>
  <c r="K67" i="17"/>
  <c r="G17" i="15"/>
  <c r="P38" i="15"/>
  <c r="K43" i="16"/>
  <c r="P11" i="17"/>
  <c r="M58" i="15"/>
  <c r="M7" i="17"/>
  <c r="M59" i="18"/>
  <c r="U6" i="1"/>
  <c r="R7" i="1"/>
  <c r="I9" i="1"/>
  <c r="P10" i="1"/>
  <c r="R11" i="1"/>
  <c r="I13" i="1"/>
  <c r="P14" i="1"/>
  <c r="R15" i="1"/>
  <c r="I17" i="1"/>
  <c r="P18" i="1"/>
  <c r="R19" i="1"/>
  <c r="I21" i="1"/>
  <c r="R22" i="1"/>
  <c r="I24" i="1"/>
  <c r="P25" i="1"/>
  <c r="R26" i="1"/>
  <c r="I28" i="1"/>
  <c r="P29" i="1"/>
  <c r="R30" i="1"/>
  <c r="I32" i="1"/>
  <c r="P33" i="1"/>
  <c r="R34" i="1"/>
  <c r="Y36" i="1"/>
  <c r="G41" i="1"/>
  <c r="G45" i="1"/>
  <c r="G49" i="1"/>
  <c r="K54" i="1"/>
  <c r="W56" i="1"/>
  <c r="R57" i="1"/>
  <c r="M58" i="1"/>
  <c r="W60" i="1"/>
  <c r="R61" i="1"/>
  <c r="M62" i="1"/>
  <c r="W64" i="1"/>
  <c r="G68" i="1"/>
  <c r="I69" i="1"/>
  <c r="M76" i="1"/>
  <c r="G77" i="1"/>
  <c r="Y78" i="1"/>
  <c r="M5" i="2"/>
  <c r="W8" i="2"/>
  <c r="R9" i="2"/>
  <c r="M10" i="2"/>
  <c r="W12" i="2"/>
  <c r="R13" i="2"/>
  <c r="M14" i="2"/>
  <c r="G19" i="2"/>
  <c r="I20" i="2"/>
  <c r="K21" i="2"/>
  <c r="P24" i="2"/>
  <c r="Y25" i="2"/>
  <c r="W27" i="2"/>
  <c r="Y28" i="2"/>
  <c r="Y33" i="2"/>
  <c r="K36" i="2"/>
  <c r="K38" i="2"/>
  <c r="K40" i="2"/>
  <c r="K42" i="2"/>
  <c r="P44" i="2"/>
  <c r="K48" i="2"/>
  <c r="M55" i="2"/>
  <c r="W58" i="2"/>
  <c r="I68" i="2"/>
  <c r="P6" i="3"/>
  <c r="I17" i="3"/>
  <c r="P22" i="3"/>
  <c r="Y43" i="3"/>
  <c r="Y48" i="3"/>
  <c r="P59" i="3"/>
  <c r="R11" i="4"/>
  <c r="K17" i="4"/>
  <c r="R27" i="4"/>
  <c r="K33" i="4"/>
  <c r="P42" i="4"/>
  <c r="I48" i="4"/>
  <c r="Y54" i="4"/>
  <c r="W66" i="4"/>
  <c r="R23" i="5"/>
  <c r="I28" i="5"/>
  <c r="R46" i="5"/>
  <c r="I51" i="5"/>
  <c r="M57" i="5"/>
  <c r="U68" i="5"/>
  <c r="G12" i="6"/>
  <c r="G28" i="6"/>
  <c r="G42" i="6"/>
  <c r="K58" i="6"/>
  <c r="R63" i="6"/>
  <c r="G70" i="6"/>
  <c r="I18" i="7"/>
  <c r="G33" i="7"/>
  <c r="P48" i="7"/>
  <c r="I30" i="8"/>
  <c r="M72" i="8"/>
  <c r="P22" i="9"/>
  <c r="R39" i="9"/>
  <c r="P16" i="10"/>
  <c r="R33" i="10"/>
  <c r="M51" i="10"/>
  <c r="P73" i="10"/>
  <c r="G30" i="11"/>
  <c r="R51" i="11"/>
  <c r="I70" i="11"/>
  <c r="W16" i="2"/>
  <c r="R17" i="2"/>
  <c r="M18" i="2"/>
  <c r="W20" i="2"/>
  <c r="R21" i="2"/>
  <c r="M22" i="2"/>
  <c r="W24" i="2"/>
  <c r="W25" i="2"/>
  <c r="R36" i="2"/>
  <c r="M37" i="2"/>
  <c r="W39" i="2"/>
  <c r="R40" i="2"/>
  <c r="M41" i="2"/>
  <c r="W43" i="2"/>
  <c r="W44" i="2"/>
  <c r="P47" i="2"/>
  <c r="M48" i="2"/>
  <c r="G49" i="2"/>
  <c r="P51" i="2"/>
  <c r="M52" i="2"/>
  <c r="G53" i="2"/>
  <c r="R54" i="2"/>
  <c r="Y55" i="2"/>
  <c r="W57" i="2"/>
  <c r="I59" i="2"/>
  <c r="W62" i="2"/>
  <c r="R63" i="2"/>
  <c r="M64" i="2"/>
  <c r="U68" i="2"/>
  <c r="R5" i="3"/>
  <c r="R6" i="3"/>
  <c r="R8" i="3"/>
  <c r="I10" i="3"/>
  <c r="P11" i="3"/>
  <c r="G15" i="3"/>
  <c r="G19" i="3"/>
  <c r="G23" i="3"/>
  <c r="G27" i="3"/>
  <c r="M31" i="3"/>
  <c r="G32" i="3"/>
  <c r="P33" i="3"/>
  <c r="U34" i="3"/>
  <c r="R35" i="3"/>
  <c r="I54" i="3"/>
  <c r="K55" i="3"/>
  <c r="M56" i="3"/>
  <c r="P57" i="3"/>
  <c r="M58" i="3"/>
  <c r="K59" i="3"/>
  <c r="G60" i="3"/>
  <c r="I8" i="4"/>
  <c r="M9" i="4"/>
  <c r="I12" i="4"/>
  <c r="M13" i="4"/>
  <c r="I16" i="4"/>
  <c r="M17" i="4"/>
  <c r="I20" i="4"/>
  <c r="M21" i="4"/>
  <c r="I24" i="4"/>
  <c r="M25" i="4"/>
  <c r="I28" i="4"/>
  <c r="M29" i="4"/>
  <c r="I32" i="4"/>
  <c r="M33" i="4"/>
  <c r="Y35" i="4"/>
  <c r="K38" i="4"/>
  <c r="K42" i="4"/>
  <c r="K46" i="4"/>
  <c r="K50" i="4"/>
  <c r="G54" i="4"/>
  <c r="I55" i="4"/>
  <c r="K56" i="4"/>
  <c r="G58" i="4"/>
  <c r="I59" i="4"/>
  <c r="K60" i="4"/>
  <c r="K62" i="4"/>
  <c r="K63" i="4"/>
  <c r="M64" i="4"/>
  <c r="I68" i="4"/>
  <c r="W69" i="4"/>
  <c r="Y70" i="4"/>
  <c r="K73" i="4"/>
  <c r="P74" i="4"/>
  <c r="Y75" i="4"/>
  <c r="U76" i="4"/>
  <c r="I5" i="5"/>
  <c r="I7" i="5"/>
  <c r="P8" i="5"/>
  <c r="K10" i="5"/>
  <c r="G13" i="5"/>
  <c r="P16" i="5"/>
  <c r="K18" i="5"/>
  <c r="G21" i="5"/>
  <c r="P24" i="5"/>
  <c r="K26" i="5"/>
  <c r="G29" i="5"/>
  <c r="P32" i="5"/>
  <c r="K34" i="5"/>
  <c r="G36" i="5"/>
  <c r="P39" i="5"/>
  <c r="K41" i="5"/>
  <c r="G44" i="5"/>
  <c r="P47" i="5"/>
  <c r="K49" i="5"/>
  <c r="G52" i="5"/>
  <c r="W54" i="5"/>
  <c r="U55" i="5"/>
  <c r="Y56" i="5"/>
  <c r="M62" i="5"/>
  <c r="K63" i="5"/>
  <c r="I64" i="5"/>
  <c r="G65" i="5"/>
  <c r="Y66" i="5"/>
  <c r="M72" i="5"/>
  <c r="K73" i="5"/>
  <c r="M74" i="5"/>
  <c r="M76" i="5"/>
  <c r="I77" i="5"/>
  <c r="R36" i="6"/>
  <c r="I38" i="6"/>
  <c r="P39" i="6"/>
  <c r="R40" i="6"/>
  <c r="I42" i="6"/>
  <c r="P43" i="6"/>
  <c r="R44" i="6"/>
  <c r="I46" i="6"/>
  <c r="P47" i="6"/>
  <c r="R48" i="6"/>
  <c r="I50" i="6"/>
  <c r="P51" i="6"/>
  <c r="R52" i="6"/>
  <c r="M54" i="6"/>
  <c r="K57" i="6"/>
  <c r="M58" i="6"/>
  <c r="K61" i="6"/>
  <c r="M62" i="6"/>
  <c r="K65" i="6"/>
  <c r="G9" i="7"/>
  <c r="I12" i="7"/>
  <c r="K15" i="7"/>
  <c r="R17" i="7"/>
  <c r="U25" i="7"/>
  <c r="P29" i="7"/>
  <c r="K34" i="7"/>
  <c r="W49" i="7"/>
  <c r="M53" i="7"/>
  <c r="I57" i="7"/>
  <c r="U71" i="7"/>
  <c r="I26" i="8"/>
  <c r="K37" i="8"/>
  <c r="G47" i="8"/>
  <c r="P59" i="8"/>
  <c r="K70" i="8"/>
  <c r="K14" i="9"/>
  <c r="R19" i="9"/>
  <c r="K30" i="9"/>
  <c r="R35" i="9"/>
  <c r="M51" i="9"/>
  <c r="P56" i="9"/>
  <c r="I67" i="9"/>
  <c r="P72" i="9"/>
  <c r="G22" i="10"/>
  <c r="K38" i="10"/>
  <c r="M47" i="10"/>
  <c r="I59" i="10"/>
  <c r="P64" i="10"/>
  <c r="R70" i="10"/>
  <c r="I11" i="11"/>
  <c r="P16" i="11"/>
  <c r="I27" i="11"/>
  <c r="P32" i="11"/>
  <c r="M43" i="11"/>
  <c r="I55" i="11"/>
  <c r="P60" i="11"/>
  <c r="U30" i="2"/>
  <c r="U31" i="2"/>
  <c r="U32" i="2"/>
  <c r="U33" i="2"/>
  <c r="U34" i="2"/>
  <c r="U35" i="2"/>
  <c r="G37" i="2"/>
  <c r="Y38" i="2"/>
  <c r="G41" i="2"/>
  <c r="Y42" i="2"/>
  <c r="G44" i="2"/>
  <c r="P46" i="2"/>
  <c r="M47" i="2"/>
  <c r="G48" i="2"/>
  <c r="P50" i="2"/>
  <c r="M51" i="2"/>
  <c r="G52" i="2"/>
  <c r="K59" i="2"/>
  <c r="G61" i="2"/>
  <c r="Y62" i="2"/>
  <c r="G65" i="2"/>
  <c r="G5" i="3"/>
  <c r="G8" i="3"/>
  <c r="G12" i="3"/>
  <c r="M13" i="3"/>
  <c r="K16" i="3"/>
  <c r="M17" i="3"/>
  <c r="K20" i="3"/>
  <c r="M21" i="3"/>
  <c r="K24" i="3"/>
  <c r="M25" i="3"/>
  <c r="K28" i="3"/>
  <c r="M29" i="3"/>
  <c r="G31" i="3"/>
  <c r="M33" i="3"/>
  <c r="M34" i="3"/>
  <c r="G35" i="3"/>
  <c r="P36" i="3"/>
  <c r="P37" i="3"/>
  <c r="P38" i="3"/>
  <c r="P39" i="3"/>
  <c r="P40" i="3"/>
  <c r="P41" i="3"/>
  <c r="P42" i="3"/>
  <c r="P43" i="3"/>
  <c r="P44" i="3"/>
  <c r="P45" i="3"/>
  <c r="P46" i="3"/>
  <c r="U48" i="3"/>
  <c r="U49" i="3"/>
  <c r="U50" i="3"/>
  <c r="U51" i="3"/>
  <c r="W52" i="3"/>
  <c r="R53" i="3"/>
  <c r="P54" i="3"/>
  <c r="M55" i="3"/>
  <c r="Y56" i="3"/>
  <c r="W57" i="3"/>
  <c r="I60" i="3"/>
  <c r="G7" i="4"/>
  <c r="R8" i="4"/>
  <c r="G11" i="4"/>
  <c r="R12" i="4"/>
  <c r="G15" i="4"/>
  <c r="R16" i="4"/>
  <c r="G19" i="4"/>
  <c r="R20" i="4"/>
  <c r="G23" i="4"/>
  <c r="R24" i="4"/>
  <c r="G27" i="4"/>
  <c r="R28" i="4"/>
  <c r="G31" i="4"/>
  <c r="R32" i="4"/>
  <c r="I35" i="4"/>
  <c r="M36" i="4"/>
  <c r="I39" i="4"/>
  <c r="M40" i="4"/>
  <c r="I43" i="4"/>
  <c r="M44" i="4"/>
  <c r="I47" i="4"/>
  <c r="M48" i="4"/>
  <c r="I51" i="4"/>
  <c r="M52" i="4"/>
  <c r="W53" i="4"/>
  <c r="U54" i="4"/>
  <c r="W55" i="4"/>
  <c r="Y56" i="4"/>
  <c r="U58" i="4"/>
  <c r="W59" i="4"/>
  <c r="Y60" i="4"/>
  <c r="W62" i="4"/>
  <c r="Y63" i="4"/>
  <c r="G70" i="4"/>
  <c r="U71" i="4"/>
  <c r="I11" i="5"/>
  <c r="M12" i="5"/>
  <c r="R14" i="5"/>
  <c r="I19" i="5"/>
  <c r="M20" i="5"/>
  <c r="R22" i="5"/>
  <c r="I27" i="5"/>
  <c r="M28" i="5"/>
  <c r="R30" i="5"/>
  <c r="I35" i="5"/>
  <c r="R37" i="5"/>
  <c r="I42" i="5"/>
  <c r="M43" i="5"/>
  <c r="R45" i="5"/>
  <c r="I50" i="5"/>
  <c r="M51" i="5"/>
  <c r="M59" i="5"/>
  <c r="K60" i="5"/>
  <c r="I61" i="5"/>
  <c r="G62" i="5"/>
  <c r="R63" i="5"/>
  <c r="P64" i="5"/>
  <c r="P66" i="5"/>
  <c r="W69" i="5"/>
  <c r="U70" i="5"/>
  <c r="Y71" i="5"/>
  <c r="G74" i="5"/>
  <c r="K8" i="6"/>
  <c r="M9" i="6"/>
  <c r="K12" i="6"/>
  <c r="M13" i="6"/>
  <c r="K16" i="6"/>
  <c r="M17" i="6"/>
  <c r="K20" i="6"/>
  <c r="M21" i="6"/>
  <c r="K24" i="6"/>
  <c r="M25" i="6"/>
  <c r="K28" i="6"/>
  <c r="M29" i="6"/>
  <c r="K32" i="6"/>
  <c r="M33" i="6"/>
  <c r="K38" i="6"/>
  <c r="M39" i="6"/>
  <c r="K42" i="6"/>
  <c r="M43" i="6"/>
  <c r="K46" i="6"/>
  <c r="M47" i="6"/>
  <c r="K50" i="6"/>
  <c r="M51" i="6"/>
  <c r="K56" i="6"/>
  <c r="M57" i="6"/>
  <c r="K60" i="6"/>
  <c r="M61" i="6"/>
  <c r="K64" i="6"/>
  <c r="M65" i="6"/>
  <c r="P66" i="6"/>
  <c r="R67" i="6"/>
  <c r="I69" i="6"/>
  <c r="P70" i="6"/>
  <c r="R71" i="6"/>
  <c r="I73" i="6"/>
  <c r="K77" i="6"/>
  <c r="M78" i="6"/>
  <c r="W5" i="7"/>
  <c r="G7" i="7"/>
  <c r="M8" i="7"/>
  <c r="Y12" i="7"/>
  <c r="W29" i="7"/>
  <c r="P34" i="7"/>
  <c r="K39" i="7"/>
  <c r="Y54" i="7"/>
  <c r="I58" i="7"/>
  <c r="G62" i="7"/>
  <c r="P66" i="7"/>
  <c r="I70" i="7"/>
  <c r="W74" i="7"/>
  <c r="I11" i="8"/>
  <c r="R16" i="8"/>
  <c r="G22" i="8"/>
  <c r="P27" i="8"/>
  <c r="G33" i="8"/>
  <c r="R37" i="8"/>
  <c r="G44" i="8"/>
  <c r="K49" i="8"/>
  <c r="K55" i="8"/>
  <c r="K66" i="8"/>
  <c r="R71" i="8"/>
  <c r="G76" i="8"/>
  <c r="M11" i="9"/>
  <c r="M27" i="9"/>
  <c r="R43" i="9"/>
  <c r="M65" i="9"/>
  <c r="K77" i="9"/>
  <c r="P8" i="10"/>
  <c r="I19" i="10"/>
  <c r="P24" i="10"/>
  <c r="I35" i="10"/>
  <c r="I41" i="10"/>
  <c r="P46" i="10"/>
  <c r="M57" i="10"/>
  <c r="M9" i="11"/>
  <c r="M25" i="11"/>
  <c r="I37" i="11"/>
  <c r="P42" i="11"/>
  <c r="I53" i="11"/>
  <c r="G66" i="11"/>
  <c r="K78" i="11"/>
  <c r="R5" i="12"/>
  <c r="P49" i="2"/>
  <c r="M50" i="2"/>
  <c r="G51" i="2"/>
  <c r="P53" i="2"/>
  <c r="P55" i="2"/>
  <c r="M56" i="2"/>
  <c r="G57" i="2"/>
  <c r="K58" i="2"/>
  <c r="M59" i="2"/>
  <c r="I66" i="2"/>
  <c r="G68" i="2"/>
  <c r="P69" i="2"/>
  <c r="I5" i="3"/>
  <c r="R7" i="3"/>
  <c r="G11" i="3"/>
  <c r="Y34" i="3"/>
  <c r="W36" i="3"/>
  <c r="R37" i="3"/>
  <c r="M38" i="3"/>
  <c r="W40" i="3"/>
  <c r="R41" i="3"/>
  <c r="M42" i="3"/>
  <c r="W44" i="3"/>
  <c r="R45" i="3"/>
  <c r="M46" i="3"/>
  <c r="K47" i="3"/>
  <c r="W49" i="3"/>
  <c r="R50" i="3"/>
  <c r="M51" i="3"/>
  <c r="G53" i="3"/>
  <c r="R54" i="3"/>
  <c r="Y55" i="3"/>
  <c r="G57" i="3"/>
  <c r="W60" i="3"/>
  <c r="I7" i="4"/>
  <c r="M8" i="4"/>
  <c r="I11" i="4"/>
  <c r="M12" i="4"/>
  <c r="I15" i="4"/>
  <c r="M16" i="4"/>
  <c r="I19" i="4"/>
  <c r="M20" i="4"/>
  <c r="I23" i="4"/>
  <c r="M24" i="4"/>
  <c r="I27" i="4"/>
  <c r="M28" i="4"/>
  <c r="I31" i="4"/>
  <c r="M32" i="4"/>
  <c r="K35" i="4"/>
  <c r="K39" i="4"/>
  <c r="K43" i="4"/>
  <c r="K47" i="4"/>
  <c r="K51" i="4"/>
  <c r="K54" i="4"/>
  <c r="G56" i="4"/>
  <c r="I57" i="4"/>
  <c r="K58" i="4"/>
  <c r="G60" i="4"/>
  <c r="I61" i="4"/>
  <c r="Y62" i="4"/>
  <c r="K65" i="4"/>
  <c r="U66" i="4"/>
  <c r="I70" i="4"/>
  <c r="W71" i="4"/>
  <c r="Y72" i="4"/>
  <c r="I75" i="4"/>
  <c r="Y76" i="4"/>
  <c r="M5" i="5"/>
  <c r="G8" i="5"/>
  <c r="P11" i="5"/>
  <c r="K13" i="5"/>
  <c r="G16" i="5"/>
  <c r="P19" i="5"/>
  <c r="K21" i="5"/>
  <c r="G24" i="5"/>
  <c r="P27" i="5"/>
  <c r="K29" i="5"/>
  <c r="G32" i="5"/>
  <c r="P35" i="5"/>
  <c r="P38" i="5"/>
  <c r="K40" i="5"/>
  <c r="G43" i="5"/>
  <c r="P46" i="5"/>
  <c r="K48" i="5"/>
  <c r="G51" i="5"/>
  <c r="M56" i="5"/>
  <c r="K57" i="5"/>
  <c r="I58" i="5"/>
  <c r="G59" i="5"/>
  <c r="R60" i="5"/>
  <c r="P61" i="5"/>
  <c r="W64" i="5"/>
  <c r="U65" i="5"/>
  <c r="W66" i="5"/>
  <c r="U67" i="5"/>
  <c r="Y68" i="5"/>
  <c r="M77" i="5"/>
  <c r="I78" i="5"/>
  <c r="K37" i="6"/>
  <c r="M38" i="6"/>
  <c r="K41" i="6"/>
  <c r="M42" i="6"/>
  <c r="K45" i="6"/>
  <c r="M46" i="6"/>
  <c r="K49" i="6"/>
  <c r="M50" i="6"/>
  <c r="K53" i="6"/>
  <c r="R66" i="6"/>
  <c r="I68" i="6"/>
  <c r="P69" i="6"/>
  <c r="R70" i="6"/>
  <c r="I72" i="6"/>
  <c r="P73" i="6"/>
  <c r="G78" i="6"/>
  <c r="G6" i="7"/>
  <c r="I7" i="7"/>
  <c r="U8" i="7"/>
  <c r="I11" i="7"/>
  <c r="Y13" i="7"/>
  <c r="R22" i="7"/>
  <c r="G26" i="7"/>
  <c r="W34" i="7"/>
  <c r="R38" i="7"/>
  <c r="K46" i="7"/>
  <c r="I50" i="7"/>
  <c r="M61" i="7"/>
  <c r="U66" i="7"/>
  <c r="I71" i="7"/>
  <c r="Y78" i="7"/>
  <c r="I5" i="8"/>
  <c r="M21" i="8"/>
  <c r="R53" i="8"/>
  <c r="P57" i="8"/>
  <c r="I61" i="8"/>
  <c r="K65" i="8"/>
  <c r="P75" i="8"/>
  <c r="G20" i="9"/>
  <c r="G36" i="9"/>
  <c r="K46" i="9"/>
  <c r="M61" i="9"/>
  <c r="P77" i="9"/>
  <c r="G14" i="10"/>
  <c r="G30" i="10"/>
  <c r="P42" i="10"/>
  <c r="I53" i="10"/>
  <c r="P8" i="11"/>
  <c r="I19" i="11"/>
  <c r="P24" i="11"/>
  <c r="I35" i="11"/>
  <c r="M51" i="11"/>
  <c r="I63" i="11"/>
  <c r="Y5" i="7"/>
  <c r="U6" i="7"/>
  <c r="U7" i="7"/>
  <c r="R9" i="7"/>
  <c r="U10" i="7"/>
  <c r="R12" i="7"/>
  <c r="U16" i="7"/>
  <c r="W18" i="7"/>
  <c r="K21" i="7"/>
  <c r="K23" i="7"/>
  <c r="I26" i="7"/>
  <c r="U27" i="7"/>
  <c r="R30" i="7"/>
  <c r="P32" i="7"/>
  <c r="Y33" i="7"/>
  <c r="P36" i="7"/>
  <c r="U37" i="7"/>
  <c r="P42" i="7"/>
  <c r="M45" i="7"/>
  <c r="Y46" i="7"/>
  <c r="G51" i="7"/>
  <c r="P54" i="7"/>
  <c r="K56" i="7"/>
  <c r="P57" i="7"/>
  <c r="M60" i="7"/>
  <c r="I62" i="7"/>
  <c r="K70" i="7"/>
  <c r="R71" i="7"/>
  <c r="K75" i="7"/>
  <c r="P76" i="7"/>
  <c r="P78" i="7"/>
  <c r="G9" i="8"/>
  <c r="P20" i="8"/>
  <c r="M23" i="8"/>
  <c r="K26" i="8"/>
  <c r="K36" i="8"/>
  <c r="R49" i="8"/>
  <c r="W54" i="8"/>
  <c r="W58" i="8"/>
  <c r="I68" i="8"/>
  <c r="I8" i="9"/>
  <c r="P13" i="9"/>
  <c r="R18" i="9"/>
  <c r="I24" i="9"/>
  <c r="P29" i="9"/>
  <c r="R34" i="9"/>
  <c r="I40" i="9"/>
  <c r="K59" i="9"/>
  <c r="M64" i="9"/>
  <c r="K75" i="9"/>
  <c r="K15" i="10"/>
  <c r="M20" i="10"/>
  <c r="K31" i="10"/>
  <c r="M42" i="10"/>
  <c r="K53" i="10"/>
  <c r="G70" i="10"/>
  <c r="K45" i="11"/>
  <c r="M50" i="11"/>
  <c r="K67" i="11"/>
  <c r="Y24" i="7"/>
  <c r="G29" i="7"/>
  <c r="P33" i="7"/>
  <c r="W37" i="7"/>
  <c r="U45" i="7"/>
  <c r="P53" i="7"/>
  <c r="M57" i="7"/>
  <c r="G67" i="7"/>
  <c r="M71" i="7"/>
  <c r="R75" i="7"/>
  <c r="K25" i="8"/>
  <c r="M30" i="8"/>
  <c r="I41" i="8"/>
  <c r="I46" i="8"/>
  <c r="R61" i="8"/>
  <c r="U77" i="8"/>
  <c r="R51" i="9"/>
  <c r="P51" i="9"/>
  <c r="G68" i="9"/>
  <c r="R41" i="10"/>
  <c r="I47" i="10"/>
  <c r="P52" i="10"/>
  <c r="G69" i="10"/>
  <c r="M76" i="10"/>
  <c r="M5" i="11"/>
  <c r="G16" i="11"/>
  <c r="G32" i="11"/>
  <c r="M37" i="11"/>
  <c r="K48" i="11"/>
  <c r="M53" i="11"/>
  <c r="P58" i="11"/>
  <c r="R63" i="11"/>
  <c r="P46" i="7"/>
  <c r="G57" i="7"/>
  <c r="R62" i="7"/>
  <c r="R72" i="7"/>
  <c r="U77" i="7"/>
  <c r="K9" i="8"/>
  <c r="M14" i="8"/>
  <c r="G20" i="8"/>
  <c r="M25" i="8"/>
  <c r="M47" i="8"/>
  <c r="R51" i="8"/>
  <c r="K56" i="8"/>
  <c r="M60" i="8"/>
  <c r="K7" i="9"/>
  <c r="M12" i="9"/>
  <c r="K23" i="9"/>
  <c r="M28" i="9"/>
  <c r="K39" i="9"/>
  <c r="I52" i="9"/>
  <c r="M58" i="9"/>
  <c r="K69" i="9"/>
  <c r="M74" i="9"/>
  <c r="R36" i="10"/>
  <c r="K43" i="10"/>
  <c r="M48" i="10"/>
  <c r="G59" i="10"/>
  <c r="R78" i="10"/>
  <c r="I8" i="11"/>
  <c r="P13" i="11"/>
  <c r="R18" i="11"/>
  <c r="I24" i="11"/>
  <c r="P29" i="11"/>
  <c r="R34" i="11"/>
  <c r="M40" i="11"/>
  <c r="K51" i="11"/>
  <c r="R9" i="12"/>
  <c r="P11" i="12"/>
  <c r="G22" i="12"/>
  <c r="M27" i="12"/>
  <c r="K33" i="12"/>
  <c r="I44" i="12"/>
  <c r="M49" i="12"/>
  <c r="G42" i="13"/>
  <c r="K58" i="13"/>
  <c r="M63" i="13"/>
  <c r="M69" i="13"/>
  <c r="P11" i="14"/>
  <c r="G71" i="11"/>
  <c r="R78" i="11"/>
  <c r="G17" i="12"/>
  <c r="M45" i="12"/>
  <c r="R66" i="12"/>
  <c r="I73" i="12"/>
  <c r="G41" i="13"/>
  <c r="K12" i="12"/>
  <c r="M9" i="13"/>
  <c r="I75" i="13"/>
  <c r="R68" i="14"/>
  <c r="K46" i="12"/>
  <c r="I48" i="13"/>
  <c r="G5" i="14"/>
  <c r="Y5" i="15"/>
  <c r="M46" i="15"/>
  <c r="K9" i="16"/>
  <c r="G70" i="16"/>
  <c r="K13" i="17"/>
  <c r="P34" i="17"/>
  <c r="G65" i="15"/>
  <c r="R18" i="17"/>
  <c r="P70" i="17"/>
  <c r="I24" i="17"/>
  <c r="G75" i="18"/>
  <c r="P23" i="19"/>
  <c r="I75" i="18"/>
  <c r="K9" i="7"/>
  <c r="I10" i="7"/>
  <c r="G11" i="7"/>
  <c r="W12" i="7"/>
  <c r="U13" i="7"/>
  <c r="P18" i="7"/>
  <c r="M20" i="7"/>
  <c r="P21" i="7"/>
  <c r="R25" i="7"/>
  <c r="P26" i="7"/>
  <c r="Y28" i="7"/>
  <c r="R29" i="7"/>
  <c r="K32" i="7"/>
  <c r="I33" i="7"/>
  <c r="K35" i="7"/>
  <c r="K36" i="7"/>
  <c r="I37" i="7"/>
  <c r="G38" i="7"/>
  <c r="M39" i="7"/>
  <c r="R40" i="7"/>
  <c r="K48" i="7"/>
  <c r="R49" i="7"/>
  <c r="U50" i="7"/>
  <c r="K52" i="7"/>
  <c r="G53" i="7"/>
  <c r="K54" i="7"/>
  <c r="G55" i="7"/>
  <c r="U56" i="7"/>
  <c r="U57" i="7"/>
  <c r="U58" i="7"/>
  <c r="R66" i="7"/>
  <c r="M67" i="7"/>
  <c r="U69" i="7"/>
  <c r="U70" i="7"/>
  <c r="W71" i="7"/>
  <c r="Y72" i="7"/>
  <c r="G74" i="7"/>
  <c r="U75" i="7"/>
  <c r="U76" i="7"/>
  <c r="K78" i="7"/>
  <c r="I6" i="8"/>
  <c r="K7" i="8"/>
  <c r="M8" i="8"/>
  <c r="K11" i="8"/>
  <c r="M12" i="8"/>
  <c r="K15" i="8"/>
  <c r="G19" i="8"/>
  <c r="R23" i="8"/>
  <c r="I25" i="8"/>
  <c r="P26" i="8"/>
  <c r="R27" i="8"/>
  <c r="I29" i="8"/>
  <c r="P30" i="8"/>
  <c r="K34" i="8"/>
  <c r="M35" i="8"/>
  <c r="P36" i="8"/>
  <c r="K39" i="8"/>
  <c r="M40" i="8"/>
  <c r="G43" i="8"/>
  <c r="G46" i="8"/>
  <c r="M57" i="8"/>
  <c r="K61" i="8"/>
  <c r="K62" i="8"/>
  <c r="M63" i="8"/>
  <c r="R65" i="8"/>
  <c r="W75" i="8"/>
  <c r="U78" i="8"/>
  <c r="G43" i="9"/>
  <c r="K45" i="9"/>
  <c r="M46" i="9"/>
  <c r="I48" i="9"/>
  <c r="G53" i="9"/>
  <c r="P55" i="9"/>
  <c r="R56" i="9"/>
  <c r="I58" i="9"/>
  <c r="P59" i="9"/>
  <c r="R60" i="9"/>
  <c r="I62" i="9"/>
  <c r="P63" i="9"/>
  <c r="R64" i="9"/>
  <c r="I66" i="9"/>
  <c r="P67" i="9"/>
  <c r="R68" i="9"/>
  <c r="I70" i="9"/>
  <c r="P71" i="9"/>
  <c r="R72" i="9"/>
  <c r="I74" i="9"/>
  <c r="P75" i="9"/>
  <c r="R76" i="9"/>
  <c r="U5" i="10"/>
  <c r="P7" i="10"/>
  <c r="R8" i="10"/>
  <c r="I10" i="10"/>
  <c r="P11" i="10"/>
  <c r="R12" i="10"/>
  <c r="I14" i="10"/>
  <c r="P15" i="10"/>
  <c r="R16" i="10"/>
  <c r="I18" i="10"/>
  <c r="P19" i="10"/>
  <c r="R20" i="10"/>
  <c r="I22" i="10"/>
  <c r="P23" i="10"/>
  <c r="R24" i="10"/>
  <c r="I26" i="10"/>
  <c r="P27" i="10"/>
  <c r="R28" i="10"/>
  <c r="I30" i="10"/>
  <c r="P31" i="10"/>
  <c r="R32" i="10"/>
  <c r="I34" i="10"/>
  <c r="P35" i="10"/>
  <c r="G39" i="10"/>
  <c r="P41" i="10"/>
  <c r="R42" i="10"/>
  <c r="I44" i="10"/>
  <c r="P45" i="10"/>
  <c r="R46" i="10"/>
  <c r="I48" i="10"/>
  <c r="P49" i="10"/>
  <c r="R50" i="10"/>
  <c r="I52" i="10"/>
  <c r="P53" i="10"/>
  <c r="G57" i="10"/>
  <c r="G61" i="10"/>
  <c r="G65" i="10"/>
  <c r="I68" i="10"/>
  <c r="M69" i="10"/>
  <c r="K72" i="10"/>
  <c r="M73" i="10"/>
  <c r="K76" i="10"/>
  <c r="I78" i="10"/>
  <c r="K5" i="11"/>
  <c r="G9" i="11"/>
  <c r="G13" i="11"/>
  <c r="G17" i="11"/>
  <c r="G21" i="11"/>
  <c r="G25" i="11"/>
  <c r="G29" i="11"/>
  <c r="G33" i="11"/>
  <c r="I36" i="11"/>
  <c r="P37" i="11"/>
  <c r="R38" i="11"/>
  <c r="I40" i="11"/>
  <c r="P41" i="11"/>
  <c r="R42" i="11"/>
  <c r="I44" i="11"/>
  <c r="P45" i="11"/>
  <c r="R46" i="11"/>
  <c r="I48" i="11"/>
  <c r="P49" i="11"/>
  <c r="R50" i="11"/>
  <c r="I52" i="11"/>
  <c r="P53" i="11"/>
  <c r="G57" i="11"/>
  <c r="G61" i="11"/>
  <c r="I66" i="11"/>
  <c r="P67" i="11"/>
  <c r="R68" i="11"/>
  <c r="R76" i="11"/>
  <c r="M11" i="12"/>
  <c r="I17" i="7"/>
  <c r="K19" i="7"/>
  <c r="G20" i="7"/>
  <c r="M21" i="7"/>
  <c r="I22" i="7"/>
  <c r="K26" i="7"/>
  <c r="P27" i="7"/>
  <c r="Y29" i="7"/>
  <c r="Y30" i="7"/>
  <c r="Y31" i="7"/>
  <c r="R32" i="7"/>
  <c r="U33" i="7"/>
  <c r="W35" i="7"/>
  <c r="W52" i="7"/>
  <c r="W53" i="7"/>
  <c r="W54" i="7"/>
  <c r="Y55" i="7"/>
  <c r="R56" i="7"/>
  <c r="R57" i="7"/>
  <c r="M58" i="7"/>
  <c r="G60" i="7"/>
  <c r="G64" i="7"/>
  <c r="G66" i="7"/>
  <c r="W70" i="7"/>
  <c r="W75" i="7"/>
  <c r="W76" i="7"/>
  <c r="Y77" i="7"/>
  <c r="R78" i="7"/>
  <c r="K6" i="8"/>
  <c r="G8" i="8"/>
  <c r="G12" i="8"/>
  <c r="I16" i="8"/>
  <c r="M17" i="8"/>
  <c r="I21" i="8"/>
  <c r="P22" i="8"/>
  <c r="I24" i="8"/>
  <c r="P25" i="8"/>
  <c r="R26" i="8"/>
  <c r="I28" i="8"/>
  <c r="P29" i="8"/>
  <c r="R30" i="8"/>
  <c r="P33" i="8"/>
  <c r="R34" i="8"/>
  <c r="M36" i="8"/>
  <c r="K44" i="8"/>
  <c r="M45" i="8"/>
  <c r="W48" i="8"/>
  <c r="K50" i="8"/>
  <c r="K51" i="8"/>
  <c r="P52" i="8"/>
  <c r="G55" i="8"/>
  <c r="W56" i="8"/>
  <c r="Y56" i="8"/>
  <c r="G59" i="8"/>
  <c r="W61" i="8"/>
  <c r="R62" i="8"/>
  <c r="K64" i="8"/>
  <c r="G66" i="8"/>
  <c r="G70" i="8"/>
  <c r="I72" i="8"/>
  <c r="K73" i="8"/>
  <c r="Y74" i="8"/>
  <c r="W78" i="8"/>
  <c r="M5" i="9"/>
  <c r="G6" i="9"/>
  <c r="G10" i="9"/>
  <c r="G14" i="9"/>
  <c r="G18" i="9"/>
  <c r="G22" i="9"/>
  <c r="G26" i="9"/>
  <c r="G30" i="9"/>
  <c r="G34" i="9"/>
  <c r="G38" i="9"/>
  <c r="G42" i="9"/>
  <c r="M45" i="9"/>
  <c r="G50" i="9"/>
  <c r="I54" i="9"/>
  <c r="M55" i="9"/>
  <c r="K58" i="9"/>
  <c r="M59" i="9"/>
  <c r="K62" i="9"/>
  <c r="M63" i="9"/>
  <c r="K66" i="9"/>
  <c r="M67" i="9"/>
  <c r="K70" i="9"/>
  <c r="M71" i="9"/>
  <c r="K74" i="9"/>
  <c r="M75" i="9"/>
  <c r="G77" i="9"/>
  <c r="U78" i="9"/>
  <c r="M5" i="10"/>
  <c r="G8" i="10"/>
  <c r="G12" i="10"/>
  <c r="G16" i="10"/>
  <c r="G20" i="10"/>
  <c r="G24" i="10"/>
  <c r="G28" i="10"/>
  <c r="G32" i="10"/>
  <c r="K36" i="10"/>
  <c r="M37" i="10"/>
  <c r="G56" i="10"/>
  <c r="G60" i="10"/>
  <c r="G64" i="10"/>
  <c r="K68" i="10"/>
  <c r="K71" i="10"/>
  <c r="M72" i="10"/>
  <c r="R76" i="10"/>
  <c r="R5" i="11"/>
  <c r="M7" i="11"/>
  <c r="K10" i="11"/>
  <c r="M11" i="11"/>
  <c r="K14" i="11"/>
  <c r="M15" i="11"/>
  <c r="K18" i="11"/>
  <c r="M19" i="11"/>
  <c r="K22" i="11"/>
  <c r="M23" i="11"/>
  <c r="K26" i="11"/>
  <c r="M27" i="11"/>
  <c r="K30" i="11"/>
  <c r="M31" i="11"/>
  <c r="K34" i="11"/>
  <c r="M35" i="11"/>
  <c r="P36" i="11"/>
  <c r="R37" i="11"/>
  <c r="I39" i="11"/>
  <c r="P40" i="11"/>
  <c r="R41" i="11"/>
  <c r="I43" i="11"/>
  <c r="P44" i="11"/>
  <c r="R45" i="11"/>
  <c r="I47" i="11"/>
  <c r="P48" i="11"/>
  <c r="R49" i="11"/>
  <c r="I51" i="11"/>
  <c r="P52" i="11"/>
  <c r="R53" i="11"/>
  <c r="P66" i="11"/>
  <c r="R67" i="11"/>
  <c r="M69" i="11"/>
  <c r="I73" i="11"/>
  <c r="G75" i="11"/>
  <c r="K17" i="7"/>
  <c r="G18" i="7"/>
  <c r="M19" i="7"/>
  <c r="I20" i="7"/>
  <c r="G21" i="7"/>
  <c r="U22" i="7"/>
  <c r="K24" i="7"/>
  <c r="G25" i="7"/>
  <c r="K28" i="7"/>
  <c r="I29" i="7"/>
  <c r="G30" i="7"/>
  <c r="G31" i="7"/>
  <c r="G32" i="7"/>
  <c r="M33" i="7"/>
  <c r="I34" i="7"/>
  <c r="G35" i="7"/>
  <c r="K38" i="7"/>
  <c r="I39" i="7"/>
  <c r="G40" i="7"/>
  <c r="G41" i="7"/>
  <c r="G42" i="7"/>
  <c r="W43" i="7"/>
  <c r="W44" i="7"/>
  <c r="W45" i="7"/>
  <c r="W46" i="7"/>
  <c r="U47" i="7"/>
  <c r="U48" i="7"/>
  <c r="U49" i="7"/>
  <c r="K51" i="7"/>
  <c r="G52" i="7"/>
  <c r="G54" i="7"/>
  <c r="U55" i="7"/>
  <c r="Y57" i="7"/>
  <c r="K68" i="7"/>
  <c r="Y69" i="7"/>
  <c r="W72" i="7"/>
  <c r="U73" i="7"/>
  <c r="U74" i="7"/>
  <c r="U5" i="8"/>
  <c r="W6" i="8"/>
  <c r="I8" i="8"/>
  <c r="P9" i="8"/>
  <c r="R10" i="8"/>
  <c r="I12" i="8"/>
  <c r="P13" i="8"/>
  <c r="R14" i="8"/>
  <c r="K16" i="8"/>
  <c r="K19" i="8"/>
  <c r="I23" i="8"/>
  <c r="P24" i="8"/>
  <c r="R25" i="8"/>
  <c r="I27" i="8"/>
  <c r="P28" i="8"/>
  <c r="R29" i="8"/>
  <c r="K31" i="8"/>
  <c r="R33" i="8"/>
  <c r="I35" i="8"/>
  <c r="I37" i="8"/>
  <c r="M38" i="8"/>
  <c r="K41" i="8"/>
  <c r="M42" i="8"/>
  <c r="P46" i="8"/>
  <c r="R47" i="8"/>
  <c r="I54" i="8"/>
  <c r="I55" i="8"/>
  <c r="P56" i="8"/>
  <c r="R60" i="8"/>
  <c r="R64" i="8"/>
  <c r="K67" i="8"/>
  <c r="M68" i="8"/>
  <c r="K71" i="8"/>
  <c r="P72" i="8"/>
  <c r="M73" i="8"/>
  <c r="I74" i="8"/>
  <c r="I75" i="8"/>
  <c r="M76" i="8"/>
  <c r="I6" i="9"/>
  <c r="P7" i="9"/>
  <c r="R8" i="9"/>
  <c r="I10" i="9"/>
  <c r="P11" i="9"/>
  <c r="R12" i="9"/>
  <c r="I14" i="9"/>
  <c r="P15" i="9"/>
  <c r="R16" i="9"/>
  <c r="I18" i="9"/>
  <c r="P19" i="9"/>
  <c r="R20" i="9"/>
  <c r="I22" i="9"/>
  <c r="P23" i="9"/>
  <c r="R24" i="9"/>
  <c r="I26" i="9"/>
  <c r="P27" i="9"/>
  <c r="R28" i="9"/>
  <c r="I30" i="9"/>
  <c r="P31" i="9"/>
  <c r="R32" i="9"/>
  <c r="I34" i="9"/>
  <c r="P35" i="9"/>
  <c r="R36" i="9"/>
  <c r="I38" i="9"/>
  <c r="P39" i="9"/>
  <c r="R40" i="9"/>
  <c r="I42" i="9"/>
  <c r="G45" i="9"/>
  <c r="K47" i="9"/>
  <c r="P54" i="9"/>
  <c r="I56" i="9"/>
  <c r="P57" i="9"/>
  <c r="R58" i="9"/>
  <c r="I60" i="9"/>
  <c r="P61" i="9"/>
  <c r="R62" i="9"/>
  <c r="I64" i="9"/>
  <c r="P65" i="9"/>
  <c r="R66" i="9"/>
  <c r="I68" i="9"/>
  <c r="P69" i="9"/>
  <c r="R70" i="9"/>
  <c r="I72" i="9"/>
  <c r="P73" i="9"/>
  <c r="R74" i="9"/>
  <c r="I76" i="9"/>
  <c r="W78" i="9"/>
  <c r="G7" i="10"/>
  <c r="G11" i="10"/>
  <c r="G15" i="10"/>
  <c r="G19" i="10"/>
  <c r="G23" i="10"/>
  <c r="G27" i="10"/>
  <c r="G31" i="10"/>
  <c r="G35" i="10"/>
  <c r="I42" i="10"/>
  <c r="P43" i="10"/>
  <c r="R44" i="10"/>
  <c r="I46" i="10"/>
  <c r="P47" i="10"/>
  <c r="R48" i="10"/>
  <c r="I50" i="10"/>
  <c r="P51" i="10"/>
  <c r="R52" i="10"/>
  <c r="M54" i="10"/>
  <c r="K57" i="10"/>
  <c r="M58" i="10"/>
  <c r="K61" i="10"/>
  <c r="M62" i="10"/>
  <c r="K65" i="10"/>
  <c r="K67" i="10"/>
  <c r="M68" i="10"/>
  <c r="G72" i="10"/>
  <c r="R36" i="11"/>
  <c r="I38" i="11"/>
  <c r="P39" i="11"/>
  <c r="R40" i="11"/>
  <c r="I42" i="11"/>
  <c r="P43" i="11"/>
  <c r="R44" i="11"/>
  <c r="I46" i="11"/>
  <c r="P47" i="11"/>
  <c r="R48" i="11"/>
  <c r="I50" i="11"/>
  <c r="P51" i="11"/>
  <c r="R52" i="11"/>
  <c r="M54" i="11"/>
  <c r="K57" i="11"/>
  <c r="M58" i="11"/>
  <c r="K61" i="11"/>
  <c r="M62" i="11"/>
  <c r="M66" i="11"/>
  <c r="G70" i="11"/>
  <c r="P71" i="11"/>
  <c r="I78" i="11"/>
  <c r="G6" i="12"/>
  <c r="I5" i="12"/>
  <c r="K6" i="12"/>
  <c r="P7" i="12"/>
  <c r="I9" i="12"/>
  <c r="R10" i="12"/>
  <c r="K16" i="12"/>
  <c r="M17" i="12"/>
  <c r="K20" i="12"/>
  <c r="M21" i="12"/>
  <c r="R23" i="12"/>
  <c r="K25" i="12"/>
  <c r="P30" i="12"/>
  <c r="I32" i="12"/>
  <c r="R33" i="12"/>
  <c r="I36" i="12"/>
  <c r="K39" i="12"/>
  <c r="M40" i="12"/>
  <c r="I47" i="12"/>
  <c r="P48" i="12"/>
  <c r="R49" i="12"/>
  <c r="I51" i="12"/>
  <c r="P52" i="12"/>
  <c r="R53" i="12"/>
  <c r="I55" i="12"/>
  <c r="P56" i="12"/>
  <c r="R57" i="12"/>
  <c r="I60" i="12"/>
  <c r="P61" i="12"/>
  <c r="R62" i="12"/>
  <c r="I64" i="12"/>
  <c r="M65" i="12"/>
  <c r="K71" i="12"/>
  <c r="M72" i="12"/>
  <c r="K75" i="12"/>
  <c r="M76" i="12"/>
  <c r="G8" i="13"/>
  <c r="G12" i="13"/>
  <c r="G16" i="13"/>
  <c r="G20" i="13"/>
  <c r="G24" i="13"/>
  <c r="G28" i="13"/>
  <c r="G32" i="13"/>
  <c r="K36" i="13"/>
  <c r="M37" i="13"/>
  <c r="K40" i="13"/>
  <c r="M41" i="13"/>
  <c r="K44" i="13"/>
  <c r="M45" i="13"/>
  <c r="K48" i="13"/>
  <c r="M49" i="13"/>
  <c r="K52" i="13"/>
  <c r="M53" i="13"/>
  <c r="P54" i="13"/>
  <c r="R55" i="13"/>
  <c r="I57" i="13"/>
  <c r="P58" i="13"/>
  <c r="R59" i="13"/>
  <c r="I61" i="13"/>
  <c r="P62" i="13"/>
  <c r="R63" i="13"/>
  <c r="I65" i="13"/>
  <c r="I67" i="13"/>
  <c r="P68" i="13"/>
  <c r="G70" i="13"/>
  <c r="K74" i="13"/>
  <c r="M75" i="13"/>
  <c r="P76" i="13"/>
  <c r="R77" i="13"/>
  <c r="I5" i="14"/>
  <c r="P7" i="14"/>
  <c r="R14" i="14"/>
  <c r="P23" i="14"/>
  <c r="P33" i="14"/>
  <c r="P43" i="14"/>
  <c r="R50" i="14"/>
  <c r="P55" i="14"/>
  <c r="P57" i="14"/>
  <c r="R64" i="14"/>
  <c r="R66" i="14"/>
  <c r="K8" i="15"/>
  <c r="I72" i="11"/>
  <c r="P75" i="11"/>
  <c r="P77" i="11"/>
  <c r="U5" i="12"/>
  <c r="K7" i="12"/>
  <c r="P19" i="12"/>
  <c r="G21" i="12"/>
  <c r="G23" i="12"/>
  <c r="G27" i="12"/>
  <c r="R30" i="12"/>
  <c r="P32" i="12"/>
  <c r="K34" i="12"/>
  <c r="U37" i="12"/>
  <c r="G42" i="12"/>
  <c r="K44" i="12"/>
  <c r="R45" i="12"/>
  <c r="P47" i="12"/>
  <c r="R52" i="12"/>
  <c r="I58" i="12"/>
  <c r="M61" i="12"/>
  <c r="G65" i="12"/>
  <c r="G70" i="12"/>
  <c r="R71" i="12"/>
  <c r="M75" i="12"/>
  <c r="I77" i="12"/>
  <c r="K5" i="13"/>
  <c r="M10" i="13"/>
  <c r="K21" i="13"/>
  <c r="M26" i="13"/>
  <c r="G37" i="13"/>
  <c r="G53" i="13"/>
  <c r="G75" i="13"/>
  <c r="R11" i="14"/>
  <c r="P20" i="14"/>
  <c r="R39" i="14"/>
  <c r="P48" i="14"/>
  <c r="R67" i="14"/>
  <c r="M13" i="12"/>
  <c r="P18" i="12"/>
  <c r="I29" i="12"/>
  <c r="R38" i="12"/>
  <c r="M44" i="12"/>
  <c r="M60" i="12"/>
  <c r="P65" i="12"/>
  <c r="W5" i="13"/>
  <c r="K16" i="13"/>
  <c r="M21" i="13"/>
  <c r="K32" i="13"/>
  <c r="K38" i="13"/>
  <c r="M43" i="13"/>
  <c r="K60" i="13"/>
  <c r="M65" i="13"/>
  <c r="P70" i="13"/>
  <c r="I77" i="13"/>
  <c r="R5" i="14"/>
  <c r="K13" i="15"/>
  <c r="I10" i="12"/>
  <c r="K21" i="12"/>
  <c r="M31" i="12"/>
  <c r="K42" i="12"/>
  <c r="K53" i="12"/>
  <c r="M58" i="12"/>
  <c r="G17" i="13"/>
  <c r="G33" i="13"/>
  <c r="R38" i="13"/>
  <c r="I44" i="13"/>
  <c r="P49" i="13"/>
  <c r="G65" i="13"/>
  <c r="G71" i="13"/>
  <c r="R17" i="14"/>
  <c r="R27" i="14"/>
  <c r="P64" i="14"/>
  <c r="G10" i="15"/>
  <c r="K5" i="15"/>
  <c r="K10" i="15"/>
  <c r="K37" i="15"/>
  <c r="P42" i="15"/>
  <c r="I53" i="15"/>
  <c r="P58" i="15"/>
  <c r="P69" i="15"/>
  <c r="R10" i="16"/>
  <c r="P15" i="16"/>
  <c r="I26" i="16"/>
  <c r="I42" i="16"/>
  <c r="G53" i="16"/>
  <c r="W62" i="16"/>
  <c r="M71" i="16"/>
  <c r="I76" i="16"/>
  <c r="K9" i="17"/>
  <c r="P14" i="17"/>
  <c r="K25" i="17"/>
  <c r="P30" i="17"/>
  <c r="G41" i="17"/>
  <c r="M46" i="17"/>
  <c r="Y68" i="17"/>
  <c r="Y72" i="17"/>
  <c r="Y76" i="17"/>
  <c r="I13" i="15"/>
  <c r="R18" i="15"/>
  <c r="I24" i="15"/>
  <c r="I29" i="15"/>
  <c r="M34" i="15"/>
  <c r="I45" i="15"/>
  <c r="G61" i="15"/>
  <c r="G72" i="15"/>
  <c r="K12" i="16"/>
  <c r="G28" i="16"/>
  <c r="R33" i="16"/>
  <c r="K39" i="16"/>
  <c r="R44" i="16"/>
  <c r="I55" i="16"/>
  <c r="G6" i="17"/>
  <c r="G20" i="17"/>
  <c r="P27" i="17"/>
  <c r="R34" i="17"/>
  <c r="P41" i="17"/>
  <c r="I55" i="17"/>
  <c r="G66" i="17"/>
  <c r="P45" i="16"/>
  <c r="U64" i="16"/>
  <c r="I8" i="17"/>
  <c r="G51" i="17"/>
  <c r="M8" i="18"/>
  <c r="M24" i="15"/>
  <c r="R46" i="15"/>
  <c r="K68" i="15"/>
  <c r="K29" i="16"/>
  <c r="U69" i="16"/>
  <c r="G34" i="17"/>
  <c r="K71" i="17"/>
  <c r="P9" i="18"/>
  <c r="U25" i="18"/>
  <c r="G63" i="18"/>
  <c r="R8" i="19"/>
  <c r="M28" i="19"/>
  <c r="P8" i="18"/>
  <c r="I64" i="19"/>
  <c r="W31" i="19"/>
  <c r="U31" i="19"/>
  <c r="Y31" i="19"/>
  <c r="P39" i="8"/>
  <c r="R40" i="8"/>
  <c r="I42" i="8"/>
  <c r="K45" i="8"/>
  <c r="K48" i="8"/>
  <c r="I50" i="8"/>
  <c r="I51" i="8"/>
  <c r="W52" i="8"/>
  <c r="M54" i="8"/>
  <c r="G56" i="8"/>
  <c r="R57" i="8"/>
  <c r="M58" i="8"/>
  <c r="I60" i="8"/>
  <c r="P61" i="8"/>
  <c r="P62" i="8"/>
  <c r="R63" i="8"/>
  <c r="G67" i="8"/>
  <c r="G71" i="8"/>
  <c r="I73" i="8"/>
  <c r="M74" i="8"/>
  <c r="K5" i="9"/>
  <c r="G7" i="9"/>
  <c r="G11" i="9"/>
  <c r="G15" i="9"/>
  <c r="G19" i="9"/>
  <c r="G23" i="9"/>
  <c r="G27" i="9"/>
  <c r="G31" i="9"/>
  <c r="G35" i="9"/>
  <c r="G39" i="9"/>
  <c r="P45" i="9"/>
  <c r="M50" i="9"/>
  <c r="G54" i="9"/>
  <c r="I78" i="9"/>
  <c r="K37" i="10"/>
  <c r="M38" i="10"/>
  <c r="K55" i="10"/>
  <c r="M56" i="10"/>
  <c r="K59" i="10"/>
  <c r="M60" i="10"/>
  <c r="K63" i="10"/>
  <c r="M64" i="10"/>
  <c r="P68" i="10"/>
  <c r="R69" i="10"/>
  <c r="I71" i="10"/>
  <c r="P72" i="10"/>
  <c r="R73" i="10"/>
  <c r="M75" i="10"/>
  <c r="P76" i="10"/>
  <c r="P5" i="11"/>
  <c r="K7" i="11"/>
  <c r="M8" i="11"/>
  <c r="K11" i="11"/>
  <c r="M12" i="11"/>
  <c r="K15" i="11"/>
  <c r="M16" i="11"/>
  <c r="K19" i="11"/>
  <c r="M20" i="11"/>
  <c r="K23" i="11"/>
  <c r="M24" i="11"/>
  <c r="K27" i="11"/>
  <c r="M28" i="11"/>
  <c r="K31" i="11"/>
  <c r="M32" i="11"/>
  <c r="K35" i="11"/>
  <c r="K55" i="11"/>
  <c r="M56" i="11"/>
  <c r="K59" i="11"/>
  <c r="M60" i="11"/>
  <c r="K63" i="11"/>
  <c r="M64" i="11"/>
  <c r="K70" i="11"/>
  <c r="M74" i="11"/>
  <c r="P16" i="7"/>
  <c r="M18" i="7"/>
  <c r="P19" i="7"/>
  <c r="Y20" i="7"/>
  <c r="R21" i="7"/>
  <c r="M23" i="7"/>
  <c r="I24" i="7"/>
  <c r="R26" i="7"/>
  <c r="W27" i="7"/>
  <c r="U28" i="7"/>
  <c r="K37" i="7"/>
  <c r="I38" i="7"/>
  <c r="G39" i="7"/>
  <c r="M40" i="7"/>
  <c r="M41" i="7"/>
  <c r="M42" i="7"/>
  <c r="I43" i="7"/>
  <c r="G44" i="7"/>
  <c r="G45" i="7"/>
  <c r="G46" i="7"/>
  <c r="G47" i="7"/>
  <c r="M48" i="7"/>
  <c r="M49" i="7"/>
  <c r="M50" i="7"/>
  <c r="I51" i="7"/>
  <c r="W56" i="7"/>
  <c r="W57" i="7"/>
  <c r="R58" i="7"/>
  <c r="M59" i="7"/>
  <c r="K62" i="7"/>
  <c r="M63" i="7"/>
  <c r="Y66" i="7"/>
  <c r="I68" i="7"/>
  <c r="M69" i="7"/>
  <c r="K72" i="7"/>
  <c r="G73" i="7"/>
  <c r="I74" i="7"/>
  <c r="W78" i="7"/>
  <c r="M5" i="8"/>
  <c r="P6" i="8"/>
  <c r="M7" i="8"/>
  <c r="K10" i="8"/>
  <c r="M11" i="8"/>
  <c r="K14" i="8"/>
  <c r="M15" i="8"/>
  <c r="R17" i="8"/>
  <c r="I19" i="8"/>
  <c r="M20" i="8"/>
  <c r="G32" i="8"/>
  <c r="R36" i="8"/>
  <c r="G40" i="8"/>
  <c r="I43" i="8"/>
  <c r="P44" i="8"/>
  <c r="R45" i="8"/>
  <c r="P50" i="8"/>
  <c r="P51" i="8"/>
  <c r="U52" i="8"/>
  <c r="G54" i="8"/>
  <c r="G58" i="8"/>
  <c r="P64" i="8"/>
  <c r="K68" i="8"/>
  <c r="M69" i="8"/>
  <c r="P73" i="8"/>
  <c r="K76" i="8"/>
  <c r="K77" i="8"/>
  <c r="R5" i="9"/>
  <c r="K8" i="9"/>
  <c r="M9" i="9"/>
  <c r="K12" i="9"/>
  <c r="M13" i="9"/>
  <c r="K16" i="9"/>
  <c r="M17" i="9"/>
  <c r="K20" i="9"/>
  <c r="M21" i="9"/>
  <c r="K24" i="9"/>
  <c r="M25" i="9"/>
  <c r="K28" i="9"/>
  <c r="M29" i="9"/>
  <c r="K32" i="9"/>
  <c r="M33" i="9"/>
  <c r="K36" i="9"/>
  <c r="M37" i="9"/>
  <c r="K40" i="9"/>
  <c r="M41" i="9"/>
  <c r="K44" i="9"/>
  <c r="R45" i="9"/>
  <c r="I47" i="9"/>
  <c r="G52" i="9"/>
  <c r="R55" i="9"/>
  <c r="I57" i="9"/>
  <c r="P58" i="9"/>
  <c r="R59" i="9"/>
  <c r="I61" i="9"/>
  <c r="P62" i="9"/>
  <c r="R63" i="9"/>
  <c r="I65" i="9"/>
  <c r="P66" i="9"/>
  <c r="R67" i="9"/>
  <c r="I69" i="9"/>
  <c r="P70" i="9"/>
  <c r="R71" i="9"/>
  <c r="I73" i="9"/>
  <c r="P74" i="9"/>
  <c r="R75" i="9"/>
  <c r="R5" i="10"/>
  <c r="M7" i="10"/>
  <c r="K10" i="10"/>
  <c r="M11" i="10"/>
  <c r="K14" i="10"/>
  <c r="M15" i="10"/>
  <c r="K18" i="10"/>
  <c r="M19" i="10"/>
  <c r="K22" i="10"/>
  <c r="M23" i="10"/>
  <c r="K26" i="10"/>
  <c r="M27" i="10"/>
  <c r="K30" i="10"/>
  <c r="M31" i="10"/>
  <c r="K34" i="10"/>
  <c r="M35" i="10"/>
  <c r="P36" i="10"/>
  <c r="R37" i="10"/>
  <c r="I39" i="10"/>
  <c r="G42" i="10"/>
  <c r="G46" i="10"/>
  <c r="G50" i="10"/>
  <c r="K54" i="10"/>
  <c r="M55" i="10"/>
  <c r="K58" i="10"/>
  <c r="M59" i="10"/>
  <c r="K62" i="10"/>
  <c r="M63" i="10"/>
  <c r="I67" i="10"/>
  <c r="R68" i="10"/>
  <c r="I70" i="10"/>
  <c r="P71" i="10"/>
  <c r="R72" i="10"/>
  <c r="G75" i="10"/>
  <c r="W5" i="11"/>
  <c r="R7" i="11"/>
  <c r="I9" i="11"/>
  <c r="P10" i="11"/>
  <c r="R11" i="11"/>
  <c r="I13" i="11"/>
  <c r="P14" i="11"/>
  <c r="R15" i="11"/>
  <c r="I17" i="11"/>
  <c r="P18" i="11"/>
  <c r="R19" i="11"/>
  <c r="I21" i="11"/>
  <c r="P22" i="11"/>
  <c r="R23" i="11"/>
  <c r="I25" i="11"/>
  <c r="P26" i="11"/>
  <c r="R27" i="11"/>
  <c r="I29" i="11"/>
  <c r="P30" i="11"/>
  <c r="R31" i="11"/>
  <c r="I33" i="11"/>
  <c r="P34" i="11"/>
  <c r="R35" i="11"/>
  <c r="G56" i="11"/>
  <c r="G60" i="11"/>
  <c r="G64" i="11"/>
  <c r="G72" i="11"/>
  <c r="R73" i="11"/>
  <c r="G78" i="11"/>
  <c r="K8" i="12"/>
  <c r="K16" i="7"/>
  <c r="P17" i="7"/>
  <c r="Y18" i="7"/>
  <c r="R19" i="7"/>
  <c r="P24" i="7"/>
  <c r="M26" i="7"/>
  <c r="M27" i="7"/>
  <c r="P28" i="7"/>
  <c r="Y32" i="7"/>
  <c r="R33" i="7"/>
  <c r="G36" i="7"/>
  <c r="M37" i="7"/>
  <c r="P38" i="7"/>
  <c r="P51" i="7"/>
  <c r="G59" i="7"/>
  <c r="G63" i="7"/>
  <c r="I66" i="7"/>
  <c r="I67" i="7"/>
  <c r="R68" i="7"/>
  <c r="G71" i="7"/>
  <c r="K77" i="7"/>
  <c r="G78" i="7"/>
  <c r="P16" i="8"/>
  <c r="I18" i="8"/>
  <c r="P19" i="8"/>
  <c r="K21" i="8"/>
  <c r="M22" i="8"/>
  <c r="R31" i="8"/>
  <c r="P37" i="8"/>
  <c r="R38" i="8"/>
  <c r="I40" i="8"/>
  <c r="P41" i="8"/>
  <c r="G45" i="8"/>
  <c r="I49" i="8"/>
  <c r="M50" i="8"/>
  <c r="M52" i="8"/>
  <c r="K53" i="8"/>
  <c r="U56" i="8"/>
  <c r="G62" i="8"/>
  <c r="I66" i="8"/>
  <c r="P67" i="8"/>
  <c r="R68" i="8"/>
  <c r="I70" i="8"/>
  <c r="P71" i="8"/>
  <c r="U72" i="8"/>
  <c r="R73" i="8"/>
  <c r="R76" i="8"/>
  <c r="M77" i="8"/>
  <c r="G78" i="8"/>
  <c r="G5" i="9"/>
  <c r="G49" i="9"/>
  <c r="K51" i="9"/>
  <c r="K53" i="9"/>
  <c r="G5" i="10"/>
  <c r="K9" i="10"/>
  <c r="M10" i="10"/>
  <c r="K13" i="10"/>
  <c r="M14" i="10"/>
  <c r="K17" i="10"/>
  <c r="M18" i="10"/>
  <c r="K21" i="10"/>
  <c r="M22" i="10"/>
  <c r="K25" i="10"/>
  <c r="M26" i="10"/>
  <c r="K29" i="10"/>
  <c r="M30" i="10"/>
  <c r="K33" i="10"/>
  <c r="M34" i="10"/>
  <c r="G37" i="10"/>
  <c r="R54" i="10"/>
  <c r="I56" i="10"/>
  <c r="P57" i="10"/>
  <c r="R58" i="10"/>
  <c r="I60" i="10"/>
  <c r="P61" i="10"/>
  <c r="R62" i="10"/>
  <c r="I64" i="10"/>
  <c r="P65" i="10"/>
  <c r="P67" i="10"/>
  <c r="K70" i="10"/>
  <c r="M71" i="10"/>
  <c r="I75" i="10"/>
  <c r="G7" i="11"/>
  <c r="G11" i="11"/>
  <c r="G15" i="11"/>
  <c r="G19" i="11"/>
  <c r="G23" i="11"/>
  <c r="G27" i="11"/>
  <c r="G31" i="11"/>
  <c r="G35" i="11"/>
  <c r="R54" i="11"/>
  <c r="I56" i="11"/>
  <c r="P57" i="11"/>
  <c r="R58" i="11"/>
  <c r="I60" i="11"/>
  <c r="P61" i="11"/>
  <c r="R62" i="11"/>
  <c r="I64" i="11"/>
  <c r="R66" i="11"/>
  <c r="I68" i="11"/>
  <c r="M73" i="11"/>
  <c r="I75" i="11"/>
  <c r="G77" i="11"/>
  <c r="P78" i="11"/>
  <c r="M7" i="12"/>
  <c r="R6" i="12"/>
  <c r="G12" i="12"/>
  <c r="I15" i="12"/>
  <c r="P16" i="12"/>
  <c r="R17" i="12"/>
  <c r="I19" i="12"/>
  <c r="P20" i="12"/>
  <c r="R21" i="12"/>
  <c r="R25" i="12"/>
  <c r="I28" i="12"/>
  <c r="M29" i="12"/>
  <c r="K35" i="12"/>
  <c r="P36" i="12"/>
  <c r="I38" i="12"/>
  <c r="P39" i="12"/>
  <c r="G43" i="12"/>
  <c r="G67" i="12"/>
  <c r="P71" i="12"/>
  <c r="R72" i="12"/>
  <c r="I74" i="12"/>
  <c r="P75" i="12"/>
  <c r="R76" i="12"/>
  <c r="I78" i="12"/>
  <c r="I6" i="13"/>
  <c r="M7" i="13"/>
  <c r="K10" i="13"/>
  <c r="M11" i="13"/>
  <c r="K14" i="13"/>
  <c r="M15" i="13"/>
  <c r="K18" i="13"/>
  <c r="M19" i="13"/>
  <c r="K22" i="13"/>
  <c r="M23" i="13"/>
  <c r="K26" i="13"/>
  <c r="M27" i="13"/>
  <c r="K30" i="13"/>
  <c r="M31" i="13"/>
  <c r="K34" i="13"/>
  <c r="M35" i="13"/>
  <c r="P36" i="13"/>
  <c r="R37" i="13"/>
  <c r="I39" i="13"/>
  <c r="P40" i="13"/>
  <c r="R41" i="13"/>
  <c r="I43" i="13"/>
  <c r="P44" i="13"/>
  <c r="R45" i="13"/>
  <c r="I47" i="13"/>
  <c r="P48" i="13"/>
  <c r="R49" i="13"/>
  <c r="I51" i="13"/>
  <c r="P52" i="13"/>
  <c r="R53" i="13"/>
  <c r="K72" i="13"/>
  <c r="M73" i="13"/>
  <c r="P74" i="13"/>
  <c r="R75" i="13"/>
  <c r="R10" i="14"/>
  <c r="P19" i="14"/>
  <c r="P29" i="14"/>
  <c r="P39" i="14"/>
  <c r="R46" i="14"/>
  <c r="R60" i="14"/>
  <c r="P71" i="14"/>
  <c r="M9" i="15"/>
  <c r="R70" i="11"/>
  <c r="I74" i="11"/>
  <c r="I76" i="11"/>
  <c r="R7" i="12"/>
  <c r="P9" i="12"/>
  <c r="K11" i="12"/>
  <c r="M16" i="12"/>
  <c r="I18" i="12"/>
  <c r="G29" i="12"/>
  <c r="I31" i="12"/>
  <c r="P34" i="12"/>
  <c r="R36" i="12"/>
  <c r="M39" i="12"/>
  <c r="P44" i="12"/>
  <c r="G46" i="12"/>
  <c r="G49" i="12"/>
  <c r="P51" i="12"/>
  <c r="R56" i="12"/>
  <c r="P58" i="12"/>
  <c r="K60" i="12"/>
  <c r="G72" i="12"/>
  <c r="K74" i="12"/>
  <c r="R75" i="12"/>
  <c r="K6" i="13"/>
  <c r="K17" i="13"/>
  <c r="M22" i="13"/>
  <c r="K33" i="13"/>
  <c r="G49" i="13"/>
  <c r="K71" i="13"/>
  <c r="M6" i="15"/>
  <c r="R19" i="12"/>
  <c r="G25" i="12"/>
  <c r="M30" i="12"/>
  <c r="G35" i="12"/>
  <c r="I40" i="12"/>
  <c r="G56" i="12"/>
  <c r="K12" i="13"/>
  <c r="M17" i="13"/>
  <c r="K28" i="13"/>
  <c r="M33" i="13"/>
  <c r="M39" i="13"/>
  <c r="K50" i="13"/>
  <c r="K56" i="13"/>
  <c r="M61" i="13"/>
  <c r="P66" i="13"/>
  <c r="R71" i="13"/>
  <c r="P78" i="13"/>
  <c r="R26" i="14"/>
  <c r="P35" i="14"/>
  <c r="R44" i="14"/>
  <c r="P53" i="14"/>
  <c r="I6" i="12"/>
  <c r="K17" i="12"/>
  <c r="M22" i="12"/>
  <c r="R27" i="12"/>
  <c r="M43" i="12"/>
  <c r="K49" i="12"/>
  <c r="M54" i="12"/>
  <c r="R65" i="12"/>
  <c r="K76" i="12"/>
  <c r="G13" i="13"/>
  <c r="G29" i="13"/>
  <c r="I40" i="13"/>
  <c r="P45" i="13"/>
  <c r="R50" i="13"/>
  <c r="G61" i="13"/>
  <c r="P10" i="14"/>
  <c r="I6" i="15"/>
  <c r="G22" i="15"/>
  <c r="I49" i="15"/>
  <c r="P54" i="15"/>
  <c r="M76" i="15"/>
  <c r="Y6" i="16"/>
  <c r="K22" i="16"/>
  <c r="K38" i="16"/>
  <c r="P43" i="16"/>
  <c r="K49" i="16"/>
  <c r="P54" i="16"/>
  <c r="Y59" i="16"/>
  <c r="G72" i="16"/>
  <c r="W5" i="17"/>
  <c r="P10" i="17"/>
  <c r="K21" i="17"/>
  <c r="P26" i="17"/>
  <c r="G37" i="17"/>
  <c r="M42" i="17"/>
  <c r="W69" i="17"/>
  <c r="W73" i="17"/>
  <c r="I78" i="17"/>
  <c r="K9" i="15"/>
  <c r="M14" i="15"/>
  <c r="I20" i="15"/>
  <c r="M25" i="15"/>
  <c r="M30" i="15"/>
  <c r="G57" i="15"/>
  <c r="R62" i="15"/>
  <c r="G68" i="15"/>
  <c r="R73" i="15"/>
  <c r="G8" i="16"/>
  <c r="P13" i="16"/>
  <c r="R40" i="16"/>
  <c r="K51" i="16"/>
  <c r="P56" i="16"/>
  <c r="I70" i="16"/>
  <c r="G77" i="16"/>
  <c r="K22" i="17"/>
  <c r="K36" i="17"/>
  <c r="M43" i="17"/>
  <c r="M67" i="17"/>
  <c r="P26" i="15"/>
  <c r="M47" i="15"/>
  <c r="M7" i="16"/>
  <c r="I29" i="16"/>
  <c r="M50" i="16"/>
  <c r="R8" i="15"/>
  <c r="I30" i="15"/>
  <c r="M56" i="16"/>
  <c r="G18" i="17"/>
  <c r="G75" i="17"/>
  <c r="P13" i="18"/>
  <c r="W48" i="18"/>
  <c r="G33" i="19"/>
  <c r="K53" i="19"/>
  <c r="K73" i="19"/>
  <c r="W13" i="18"/>
  <c r="P10" i="19"/>
  <c r="G47" i="22"/>
  <c r="R5" i="8"/>
  <c r="P17" i="8"/>
  <c r="R18" i="8"/>
  <c r="K20" i="8"/>
  <c r="G24" i="8"/>
  <c r="G28" i="8"/>
  <c r="G31" i="8"/>
  <c r="M32" i="8"/>
  <c r="P42" i="8"/>
  <c r="I44" i="8"/>
  <c r="P45" i="8"/>
  <c r="I47" i="8"/>
  <c r="P48" i="8"/>
  <c r="M49" i="8"/>
  <c r="R54" i="8"/>
  <c r="M55" i="8"/>
  <c r="W57" i="8"/>
  <c r="R58" i="8"/>
  <c r="M59" i="8"/>
  <c r="U61" i="8"/>
  <c r="M66" i="8"/>
  <c r="K69" i="8"/>
  <c r="M70" i="8"/>
  <c r="G72" i="8"/>
  <c r="R74" i="8"/>
  <c r="M75" i="8"/>
  <c r="I76" i="8"/>
  <c r="I77" i="8"/>
  <c r="K78" i="8"/>
  <c r="P5" i="9"/>
  <c r="M6" i="9"/>
  <c r="K9" i="9"/>
  <c r="M10" i="9"/>
  <c r="K13" i="9"/>
  <c r="M14" i="9"/>
  <c r="K17" i="9"/>
  <c r="M18" i="9"/>
  <c r="K21" i="9"/>
  <c r="M22" i="9"/>
  <c r="K25" i="9"/>
  <c r="M26" i="9"/>
  <c r="K29" i="9"/>
  <c r="M30" i="9"/>
  <c r="K33" i="9"/>
  <c r="M34" i="9"/>
  <c r="K37" i="9"/>
  <c r="M38" i="9"/>
  <c r="K41" i="9"/>
  <c r="M42" i="9"/>
  <c r="I44" i="9"/>
  <c r="G47" i="9"/>
  <c r="K49" i="9"/>
  <c r="M52" i="9"/>
  <c r="G57" i="9"/>
  <c r="G61" i="9"/>
  <c r="G65" i="9"/>
  <c r="G69" i="9"/>
  <c r="G73" i="9"/>
  <c r="M77" i="9"/>
  <c r="K5" i="10"/>
  <c r="G9" i="10"/>
  <c r="G13" i="10"/>
  <c r="G17" i="10"/>
  <c r="G21" i="10"/>
  <c r="G25" i="10"/>
  <c r="G29" i="10"/>
  <c r="G33" i="10"/>
  <c r="I36" i="10"/>
  <c r="P37" i="10"/>
  <c r="R38" i="10"/>
  <c r="G43" i="10"/>
  <c r="G47" i="10"/>
  <c r="G51" i="10"/>
  <c r="I54" i="10"/>
  <c r="P55" i="10"/>
  <c r="R56" i="10"/>
  <c r="I58" i="10"/>
  <c r="P59" i="10"/>
  <c r="R60" i="10"/>
  <c r="I62" i="10"/>
  <c r="P63" i="10"/>
  <c r="R64" i="10"/>
  <c r="G67" i="10"/>
  <c r="R75" i="10"/>
  <c r="U5" i="11"/>
  <c r="P7" i="11"/>
  <c r="R8" i="11"/>
  <c r="I10" i="11"/>
  <c r="P11" i="11"/>
  <c r="R12" i="11"/>
  <c r="I14" i="11"/>
  <c r="P15" i="11"/>
  <c r="R16" i="11"/>
  <c r="I18" i="11"/>
  <c r="P19" i="11"/>
  <c r="R20" i="11"/>
  <c r="I22" i="11"/>
  <c r="P23" i="11"/>
  <c r="R24" i="11"/>
  <c r="I26" i="11"/>
  <c r="P27" i="11"/>
  <c r="R28" i="11"/>
  <c r="I30" i="11"/>
  <c r="P31" i="11"/>
  <c r="R32" i="11"/>
  <c r="I34" i="11"/>
  <c r="P35" i="11"/>
  <c r="G39" i="11"/>
  <c r="G43" i="11"/>
  <c r="G47" i="11"/>
  <c r="G51" i="11"/>
  <c r="I54" i="11"/>
  <c r="P55" i="11"/>
  <c r="R56" i="11"/>
  <c r="I58" i="11"/>
  <c r="P59" i="11"/>
  <c r="R60" i="11"/>
  <c r="I62" i="11"/>
  <c r="P63" i="11"/>
  <c r="R64" i="11"/>
  <c r="I69" i="11"/>
  <c r="G73" i="11"/>
  <c r="M77" i="11"/>
  <c r="W16" i="7"/>
  <c r="Y17" i="7"/>
  <c r="R18" i="7"/>
  <c r="U19" i="7"/>
  <c r="W21" i="7"/>
  <c r="Y22" i="7"/>
  <c r="R23" i="7"/>
  <c r="M25" i="7"/>
  <c r="K33" i="7"/>
  <c r="G34" i="7"/>
  <c r="M35" i="7"/>
  <c r="M36" i="7"/>
  <c r="P37" i="7"/>
  <c r="Y39" i="7"/>
  <c r="Y40" i="7"/>
  <c r="Y41" i="7"/>
  <c r="R42" i="7"/>
  <c r="Y47" i="7"/>
  <c r="Y48" i="7"/>
  <c r="Y49" i="7"/>
  <c r="R50" i="7"/>
  <c r="M52" i="7"/>
  <c r="I53" i="7"/>
  <c r="M54" i="7"/>
  <c r="I55" i="7"/>
  <c r="W58" i="7"/>
  <c r="R59" i="7"/>
  <c r="I61" i="7"/>
  <c r="P62" i="7"/>
  <c r="R63" i="7"/>
  <c r="I65" i="7"/>
  <c r="P68" i="7"/>
  <c r="R69" i="7"/>
  <c r="M70" i="7"/>
  <c r="P72" i="7"/>
  <c r="M75" i="7"/>
  <c r="M76" i="7"/>
  <c r="I77" i="7"/>
  <c r="U6" i="8"/>
  <c r="R7" i="8"/>
  <c r="I9" i="8"/>
  <c r="P10" i="8"/>
  <c r="R11" i="8"/>
  <c r="I13" i="8"/>
  <c r="P14" i="8"/>
  <c r="R15" i="8"/>
  <c r="R20" i="8"/>
  <c r="G23" i="8"/>
  <c r="G27" i="8"/>
  <c r="I31" i="8"/>
  <c r="G35" i="8"/>
  <c r="K38" i="8"/>
  <c r="M39" i="8"/>
  <c r="K42" i="8"/>
  <c r="K47" i="8"/>
  <c r="M48" i="8"/>
  <c r="G49" i="8"/>
  <c r="U50" i="8"/>
  <c r="Y54" i="8"/>
  <c r="I56" i="8"/>
  <c r="G57" i="8"/>
  <c r="Y58" i="8"/>
  <c r="K60" i="8"/>
  <c r="M61" i="8"/>
  <c r="G63" i="8"/>
  <c r="I67" i="8"/>
  <c r="P68" i="8"/>
  <c r="R69" i="8"/>
  <c r="I71" i="8"/>
  <c r="U73" i="8"/>
  <c r="G75" i="8"/>
  <c r="P76" i="8"/>
  <c r="P77" i="8"/>
  <c r="M78" i="8"/>
  <c r="W5" i="9"/>
  <c r="I7" i="9"/>
  <c r="P8" i="9"/>
  <c r="R9" i="9"/>
  <c r="I11" i="9"/>
  <c r="P12" i="9"/>
  <c r="R13" i="9"/>
  <c r="I15" i="9"/>
  <c r="P16" i="9"/>
  <c r="R17" i="9"/>
  <c r="I19" i="9"/>
  <c r="P20" i="9"/>
  <c r="R21" i="9"/>
  <c r="I23" i="9"/>
  <c r="P24" i="9"/>
  <c r="R25" i="9"/>
  <c r="I27" i="9"/>
  <c r="P28" i="9"/>
  <c r="R29" i="9"/>
  <c r="I31" i="9"/>
  <c r="P32" i="9"/>
  <c r="R33" i="9"/>
  <c r="I35" i="9"/>
  <c r="P36" i="9"/>
  <c r="R37" i="9"/>
  <c r="I39" i="9"/>
  <c r="P40" i="9"/>
  <c r="R41" i="9"/>
  <c r="I43" i="9"/>
  <c r="M49" i="9"/>
  <c r="I51" i="9"/>
  <c r="K78" i="9"/>
  <c r="W5" i="10"/>
  <c r="R7" i="10"/>
  <c r="I9" i="10"/>
  <c r="P10" i="10"/>
  <c r="R11" i="10"/>
  <c r="I13" i="10"/>
  <c r="P14" i="10"/>
  <c r="R15" i="10"/>
  <c r="I17" i="10"/>
  <c r="P18" i="10"/>
  <c r="R19" i="10"/>
  <c r="I21" i="10"/>
  <c r="P22" i="10"/>
  <c r="R23" i="10"/>
  <c r="I25" i="10"/>
  <c r="P26" i="10"/>
  <c r="R27" i="10"/>
  <c r="I29" i="10"/>
  <c r="P30" i="10"/>
  <c r="R31" i="10"/>
  <c r="I33" i="10"/>
  <c r="P34" i="10"/>
  <c r="R35" i="10"/>
  <c r="M41" i="10"/>
  <c r="K44" i="10"/>
  <c r="M45" i="10"/>
  <c r="K48" i="10"/>
  <c r="M49" i="10"/>
  <c r="K52" i="10"/>
  <c r="M53" i="10"/>
  <c r="P54" i="10"/>
  <c r="R55" i="10"/>
  <c r="I57" i="10"/>
  <c r="P58" i="10"/>
  <c r="R59" i="10"/>
  <c r="I61" i="10"/>
  <c r="P62" i="10"/>
  <c r="R63" i="10"/>
  <c r="I65" i="10"/>
  <c r="K78" i="10"/>
  <c r="G38" i="11"/>
  <c r="G42" i="11"/>
  <c r="G46" i="11"/>
  <c r="G50" i="11"/>
  <c r="K54" i="11"/>
  <c r="M55" i="11"/>
  <c r="K58" i="11"/>
  <c r="M59" i="11"/>
  <c r="K62" i="11"/>
  <c r="M63" i="11"/>
  <c r="G68" i="11"/>
  <c r="P72" i="11"/>
  <c r="M9" i="12"/>
  <c r="R16" i="7"/>
  <c r="U17" i="7"/>
  <c r="W19" i="7"/>
  <c r="U20" i="7"/>
  <c r="K22" i="7"/>
  <c r="G23" i="7"/>
  <c r="U24" i="7"/>
  <c r="Y25" i="7"/>
  <c r="Y26" i="7"/>
  <c r="R27" i="7"/>
  <c r="W28" i="7"/>
  <c r="U29" i="7"/>
  <c r="U30" i="7"/>
  <c r="U31" i="7"/>
  <c r="W33" i="7"/>
  <c r="U34" i="7"/>
  <c r="Y36" i="7"/>
  <c r="R37" i="7"/>
  <c r="W38" i="7"/>
  <c r="U39" i="7"/>
  <c r="U40" i="7"/>
  <c r="U41" i="7"/>
  <c r="K43" i="7"/>
  <c r="I44" i="7"/>
  <c r="I45" i="7"/>
  <c r="I46" i="7"/>
  <c r="I47" i="7"/>
  <c r="G48" i="7"/>
  <c r="G49" i="7"/>
  <c r="G50" i="7"/>
  <c r="U51" i="7"/>
  <c r="K53" i="7"/>
  <c r="K55" i="7"/>
  <c r="G56" i="7"/>
  <c r="G58" i="7"/>
  <c r="K61" i="7"/>
  <c r="M62" i="7"/>
  <c r="K65" i="7"/>
  <c r="G70" i="7"/>
  <c r="M72" i="7"/>
  <c r="I73" i="7"/>
  <c r="K74" i="7"/>
  <c r="G75" i="7"/>
  <c r="P77" i="7"/>
  <c r="G5" i="8"/>
  <c r="M6" i="8"/>
  <c r="G7" i="8"/>
  <c r="G11" i="8"/>
  <c r="G15" i="8"/>
  <c r="P21" i="8"/>
  <c r="R22" i="8"/>
  <c r="G26" i="8"/>
  <c r="G30" i="8"/>
  <c r="G34" i="8"/>
  <c r="G36" i="8"/>
  <c r="K43" i="8"/>
  <c r="M44" i="8"/>
  <c r="G48" i="8"/>
  <c r="R50" i="8"/>
  <c r="M51" i="8"/>
  <c r="R52" i="8"/>
  <c r="P53" i="8"/>
  <c r="G61" i="8"/>
  <c r="I65" i="8"/>
  <c r="W73" i="8"/>
  <c r="W76" i="8"/>
  <c r="R77" i="8"/>
  <c r="Y78" i="8"/>
  <c r="Y5" i="9"/>
  <c r="G9" i="9"/>
  <c r="G13" i="9"/>
  <c r="G17" i="9"/>
  <c r="G21" i="9"/>
  <c r="G25" i="9"/>
  <c r="G29" i="9"/>
  <c r="G33" i="9"/>
  <c r="G37" i="9"/>
  <c r="G41" i="9"/>
  <c r="K43" i="9"/>
  <c r="M44" i="9"/>
  <c r="I46" i="9"/>
  <c r="G55" i="9"/>
  <c r="G59" i="9"/>
  <c r="G63" i="9"/>
  <c r="G67" i="9"/>
  <c r="G71" i="9"/>
  <c r="G75" i="9"/>
  <c r="I77" i="9"/>
  <c r="M78" i="9"/>
  <c r="Y5" i="10"/>
  <c r="I8" i="10"/>
  <c r="P9" i="10"/>
  <c r="R10" i="10"/>
  <c r="I12" i="10"/>
  <c r="P13" i="10"/>
  <c r="R14" i="10"/>
  <c r="I16" i="10"/>
  <c r="P17" i="10"/>
  <c r="R18" i="10"/>
  <c r="I20" i="10"/>
  <c r="P21" i="10"/>
  <c r="R22" i="10"/>
  <c r="I24" i="10"/>
  <c r="P25" i="10"/>
  <c r="R26" i="10"/>
  <c r="I28" i="10"/>
  <c r="P29" i="10"/>
  <c r="R30" i="10"/>
  <c r="I32" i="10"/>
  <c r="P33" i="10"/>
  <c r="R34" i="10"/>
  <c r="M36" i="10"/>
  <c r="K39" i="10"/>
  <c r="G41" i="10"/>
  <c r="G45" i="10"/>
  <c r="G49" i="10"/>
  <c r="G53" i="10"/>
  <c r="I69" i="10"/>
  <c r="P70" i="10"/>
  <c r="R71" i="10"/>
  <c r="I73" i="10"/>
  <c r="M78" i="10"/>
  <c r="G5" i="11"/>
  <c r="K9" i="11"/>
  <c r="M10" i="11"/>
  <c r="K13" i="11"/>
  <c r="M14" i="11"/>
  <c r="K17" i="11"/>
  <c r="M18" i="11"/>
  <c r="K21" i="11"/>
  <c r="M22" i="11"/>
  <c r="K25" i="11"/>
  <c r="M26" i="11"/>
  <c r="K29" i="11"/>
  <c r="M30" i="11"/>
  <c r="K33" i="11"/>
  <c r="M34" i="11"/>
  <c r="G37" i="11"/>
  <c r="G41" i="11"/>
  <c r="G45" i="11"/>
  <c r="G49" i="11"/>
  <c r="G53" i="11"/>
  <c r="K72" i="11"/>
  <c r="G74" i="11"/>
  <c r="R75" i="11"/>
  <c r="P8" i="12"/>
  <c r="G8" i="12"/>
  <c r="I11" i="12"/>
  <c r="K14" i="12"/>
  <c r="G24" i="12"/>
  <c r="P28" i="12"/>
  <c r="G31" i="12"/>
  <c r="I34" i="12"/>
  <c r="R35" i="12"/>
  <c r="K41" i="12"/>
  <c r="M42" i="12"/>
  <c r="K45" i="12"/>
  <c r="M46" i="12"/>
  <c r="G50" i="12"/>
  <c r="G54" i="12"/>
  <c r="G58" i="12"/>
  <c r="M59" i="12"/>
  <c r="G63" i="12"/>
  <c r="I66" i="12"/>
  <c r="K69" i="12"/>
  <c r="M70" i="12"/>
  <c r="I5" i="13"/>
  <c r="R7" i="13"/>
  <c r="I9" i="13"/>
  <c r="P10" i="13"/>
  <c r="R11" i="13"/>
  <c r="I13" i="13"/>
  <c r="P14" i="13"/>
  <c r="R15" i="13"/>
  <c r="I17" i="13"/>
  <c r="P18" i="13"/>
  <c r="R19" i="13"/>
  <c r="I21" i="13"/>
  <c r="P22" i="13"/>
  <c r="R23" i="13"/>
  <c r="I25" i="13"/>
  <c r="P26" i="13"/>
  <c r="R27" i="13"/>
  <c r="I29" i="13"/>
  <c r="P30" i="13"/>
  <c r="R31" i="13"/>
  <c r="I33" i="13"/>
  <c r="P34" i="13"/>
  <c r="R35" i="13"/>
  <c r="G56" i="13"/>
  <c r="G60" i="13"/>
  <c r="G64" i="13"/>
  <c r="G66" i="13"/>
  <c r="I71" i="13"/>
  <c r="P72" i="13"/>
  <c r="R73" i="13"/>
  <c r="G78" i="13"/>
  <c r="P15" i="14"/>
  <c r="R22" i="14"/>
  <c r="R32" i="14"/>
  <c r="R42" i="14"/>
  <c r="P51" i="14"/>
  <c r="R56" i="14"/>
  <c r="P65" i="14"/>
  <c r="P67" i="14"/>
  <c r="G5" i="15"/>
  <c r="P69" i="11"/>
  <c r="I8" i="12"/>
  <c r="R11" i="12"/>
  <c r="P13" i="12"/>
  <c r="K15" i="12"/>
  <c r="R16" i="12"/>
  <c r="M20" i="12"/>
  <c r="I22" i="12"/>
  <c r="I26" i="12"/>
  <c r="K38" i="12"/>
  <c r="M41" i="12"/>
  <c r="I43" i="12"/>
  <c r="I50" i="12"/>
  <c r="G53" i="12"/>
  <c r="P55" i="12"/>
  <c r="G62" i="12"/>
  <c r="K64" i="12"/>
  <c r="K66" i="12"/>
  <c r="M69" i="12"/>
  <c r="P74" i="12"/>
  <c r="G76" i="12"/>
  <c r="P78" i="12"/>
  <c r="K13" i="13"/>
  <c r="M18" i="13"/>
  <c r="K29" i="13"/>
  <c r="M34" i="13"/>
  <c r="G45" i="13"/>
  <c r="K67" i="13"/>
  <c r="M72" i="13"/>
  <c r="P34" i="14"/>
  <c r="P62" i="14"/>
  <c r="R15" i="12"/>
  <c r="I21" i="12"/>
  <c r="R26" i="12"/>
  <c r="M36" i="12"/>
  <c r="G52" i="12"/>
  <c r="K63" i="12"/>
  <c r="K8" i="13"/>
  <c r="M13" i="13"/>
  <c r="K24" i="13"/>
  <c r="M29" i="13"/>
  <c r="K46" i="13"/>
  <c r="M51" i="13"/>
  <c r="M57" i="13"/>
  <c r="R67" i="13"/>
  <c r="I73" i="13"/>
  <c r="P37" i="14"/>
  <c r="R12" i="12"/>
  <c r="M18" i="12"/>
  <c r="G34" i="12"/>
  <c r="M50" i="12"/>
  <c r="K72" i="12"/>
  <c r="M77" i="12"/>
  <c r="G9" i="13"/>
  <c r="G25" i="13"/>
  <c r="I36" i="13"/>
  <c r="P41" i="13"/>
  <c r="R46" i="13"/>
  <c r="I52" i="13"/>
  <c r="G57" i="13"/>
  <c r="I74" i="13"/>
  <c r="R41" i="14"/>
  <c r="P50" i="14"/>
  <c r="R69" i="14"/>
  <c r="M7" i="15"/>
  <c r="P18" i="15"/>
  <c r="R23" i="15"/>
  <c r="K34" i="15"/>
  <c r="G45" i="15"/>
  <c r="M50" i="15"/>
  <c r="G13" i="16"/>
  <c r="K18" i="16"/>
  <c r="R23" i="16"/>
  <c r="I34" i="16"/>
  <c r="P39" i="16"/>
  <c r="G45" i="16"/>
  <c r="P50" i="16"/>
  <c r="Y60" i="16"/>
  <c r="Y64" i="16"/>
  <c r="K69" i="16"/>
  <c r="M73" i="16"/>
  <c r="K78" i="16"/>
  <c r="W6" i="17"/>
  <c r="K17" i="17"/>
  <c r="P22" i="17"/>
  <c r="K33" i="17"/>
  <c r="M38" i="17"/>
  <c r="G49" i="17"/>
  <c r="U70" i="17"/>
  <c r="Y74" i="17"/>
  <c r="M5" i="15"/>
  <c r="M10" i="15"/>
  <c r="M21" i="15"/>
  <c r="R42" i="15"/>
  <c r="K53" i="15"/>
  <c r="R58" i="15"/>
  <c r="R69" i="15"/>
  <c r="M9" i="16"/>
  <c r="I20" i="16"/>
  <c r="R25" i="16"/>
  <c r="M36" i="16"/>
  <c r="I47" i="16"/>
  <c r="R52" i="16"/>
  <c r="I66" i="16"/>
  <c r="I72" i="16"/>
  <c r="Y78" i="16"/>
  <c r="M9" i="17"/>
  <c r="G38" i="17"/>
  <c r="I45" i="17"/>
  <c r="G52" i="17"/>
  <c r="I63" i="17"/>
  <c r="R31" i="15"/>
  <c r="K56" i="16"/>
  <c r="M40" i="17"/>
  <c r="I14" i="15"/>
  <c r="M35" i="15"/>
  <c r="R57" i="15"/>
  <c r="P18" i="16"/>
  <c r="P61" i="16"/>
  <c r="M23" i="17"/>
  <c r="P17" i="18"/>
  <c r="K71" i="18"/>
  <c r="U18" i="19"/>
  <c r="Y18" i="19"/>
  <c r="W18" i="19"/>
  <c r="M38" i="19"/>
  <c r="I58" i="19"/>
  <c r="U69" i="18"/>
  <c r="K30" i="19"/>
  <c r="G23" i="19"/>
  <c r="I7" i="15"/>
  <c r="R11" i="15"/>
  <c r="K69" i="11"/>
  <c r="M70" i="11"/>
  <c r="K73" i="11"/>
  <c r="K77" i="11"/>
  <c r="M78" i="11"/>
  <c r="P5" i="12"/>
  <c r="M6" i="12"/>
  <c r="K9" i="12"/>
  <c r="M10" i="12"/>
  <c r="K13" i="12"/>
  <c r="M14" i="12"/>
  <c r="P22" i="12"/>
  <c r="I24" i="12"/>
  <c r="M25" i="12"/>
  <c r="K28" i="12"/>
  <c r="K32" i="12"/>
  <c r="M33" i="12"/>
  <c r="K36" i="12"/>
  <c r="P38" i="12"/>
  <c r="R39" i="12"/>
  <c r="K47" i="12"/>
  <c r="M48" i="12"/>
  <c r="K51" i="12"/>
  <c r="M52" i="12"/>
  <c r="K55" i="12"/>
  <c r="M56" i="12"/>
  <c r="G59" i="12"/>
  <c r="P60" i="12"/>
  <c r="R61" i="12"/>
  <c r="I63" i="12"/>
  <c r="P64" i="12"/>
  <c r="I67" i="12"/>
  <c r="P68" i="12"/>
  <c r="R69" i="12"/>
  <c r="P5" i="13"/>
  <c r="P6" i="13"/>
  <c r="I8" i="13"/>
  <c r="P9" i="13"/>
  <c r="R10" i="13"/>
  <c r="I12" i="13"/>
  <c r="P13" i="13"/>
  <c r="R14" i="13"/>
  <c r="I16" i="13"/>
  <c r="P17" i="13"/>
  <c r="R18" i="13"/>
  <c r="I20" i="13"/>
  <c r="P21" i="13"/>
  <c r="R22" i="13"/>
  <c r="I24" i="13"/>
  <c r="P25" i="13"/>
  <c r="R26" i="13"/>
  <c r="I28" i="13"/>
  <c r="P29" i="13"/>
  <c r="R30" i="13"/>
  <c r="I32" i="13"/>
  <c r="P33" i="13"/>
  <c r="R34" i="13"/>
  <c r="M36" i="13"/>
  <c r="K39" i="13"/>
  <c r="M40" i="13"/>
  <c r="K43" i="13"/>
  <c r="M44" i="13"/>
  <c r="K47" i="13"/>
  <c r="M48" i="13"/>
  <c r="K51" i="13"/>
  <c r="M52" i="13"/>
  <c r="G55" i="13"/>
  <c r="G59" i="13"/>
  <c r="G63" i="13"/>
  <c r="I66" i="13"/>
  <c r="P67" i="13"/>
  <c r="R68" i="13"/>
  <c r="I70" i="13"/>
  <c r="P71" i="13"/>
  <c r="R72" i="13"/>
  <c r="M74" i="13"/>
  <c r="G77" i="13"/>
  <c r="K5" i="14"/>
  <c r="R7" i="14"/>
  <c r="P16" i="14"/>
  <c r="R23" i="14"/>
  <c r="P30" i="14"/>
  <c r="P44" i="14"/>
  <c r="R51" i="14"/>
  <c r="P58" i="14"/>
  <c r="R65" i="14"/>
  <c r="P72" i="14"/>
  <c r="P12" i="12"/>
  <c r="R13" i="12"/>
  <c r="K24" i="12"/>
  <c r="P29" i="12"/>
  <c r="G33" i="12"/>
  <c r="M34" i="12"/>
  <c r="P40" i="12"/>
  <c r="I42" i="12"/>
  <c r="P43" i="12"/>
  <c r="R44" i="12"/>
  <c r="I46" i="12"/>
  <c r="M47" i="12"/>
  <c r="K50" i="12"/>
  <c r="M51" i="12"/>
  <c r="K54" i="12"/>
  <c r="M55" i="12"/>
  <c r="K58" i="12"/>
  <c r="P59" i="12"/>
  <c r="R60" i="12"/>
  <c r="I62" i="12"/>
  <c r="P63" i="12"/>
  <c r="R64" i="12"/>
  <c r="K67" i="12"/>
  <c r="M68" i="12"/>
  <c r="G71" i="12"/>
  <c r="G75" i="12"/>
  <c r="I7" i="13"/>
  <c r="P8" i="13"/>
  <c r="R9" i="13"/>
  <c r="I11" i="13"/>
  <c r="P12" i="13"/>
  <c r="R13" i="13"/>
  <c r="I15" i="13"/>
  <c r="P16" i="13"/>
  <c r="R17" i="13"/>
  <c r="I19" i="13"/>
  <c r="P20" i="13"/>
  <c r="R21" i="13"/>
  <c r="I23" i="13"/>
  <c r="P24" i="13"/>
  <c r="R25" i="13"/>
  <c r="I27" i="13"/>
  <c r="P28" i="13"/>
  <c r="R29" i="13"/>
  <c r="I31" i="13"/>
  <c r="P32" i="13"/>
  <c r="R33" i="13"/>
  <c r="I35" i="13"/>
  <c r="I37" i="13"/>
  <c r="P38" i="13"/>
  <c r="R39" i="13"/>
  <c r="I41" i="13"/>
  <c r="P42" i="13"/>
  <c r="R43" i="13"/>
  <c r="I45" i="13"/>
  <c r="P46" i="13"/>
  <c r="R47" i="13"/>
  <c r="I49" i="13"/>
  <c r="P50" i="13"/>
  <c r="R51" i="13"/>
  <c r="I53" i="13"/>
  <c r="I55" i="13"/>
  <c r="P56" i="13"/>
  <c r="R57" i="13"/>
  <c r="I59" i="13"/>
  <c r="P60" i="13"/>
  <c r="R61" i="13"/>
  <c r="I63" i="13"/>
  <c r="P64" i="13"/>
  <c r="R65" i="13"/>
  <c r="P69" i="13"/>
  <c r="W5" i="14"/>
  <c r="R8" i="14"/>
  <c r="P17" i="14"/>
  <c r="R24" i="14"/>
  <c r="P31" i="14"/>
  <c r="R40" i="14"/>
  <c r="P49" i="14"/>
  <c r="P63" i="14"/>
  <c r="P73" i="14"/>
  <c r="P75" i="14"/>
  <c r="P77" i="14"/>
  <c r="G5" i="12"/>
  <c r="P6" i="12"/>
  <c r="P10" i="12"/>
  <c r="P14" i="12"/>
  <c r="I16" i="12"/>
  <c r="P17" i="12"/>
  <c r="R18" i="12"/>
  <c r="I20" i="12"/>
  <c r="P21" i="12"/>
  <c r="I25" i="12"/>
  <c r="M26" i="12"/>
  <c r="K29" i="12"/>
  <c r="R31" i="12"/>
  <c r="I33" i="12"/>
  <c r="G36" i="12"/>
  <c r="M37" i="12"/>
  <c r="G38" i="12"/>
  <c r="I41" i="12"/>
  <c r="P42" i="12"/>
  <c r="R43" i="12"/>
  <c r="I45" i="12"/>
  <c r="R46" i="12"/>
  <c r="I48" i="12"/>
  <c r="P49" i="12"/>
  <c r="R50" i="12"/>
  <c r="I52" i="12"/>
  <c r="P53" i="12"/>
  <c r="R54" i="12"/>
  <c r="I56" i="12"/>
  <c r="P57" i="12"/>
  <c r="G60" i="12"/>
  <c r="G64" i="12"/>
  <c r="G68" i="12"/>
  <c r="I71" i="12"/>
  <c r="P72" i="12"/>
  <c r="R73" i="12"/>
  <c r="I75" i="12"/>
  <c r="P76" i="12"/>
  <c r="R77" i="12"/>
  <c r="G5" i="13"/>
  <c r="K7" i="13"/>
  <c r="M8" i="13"/>
  <c r="K11" i="13"/>
  <c r="M12" i="13"/>
  <c r="K15" i="13"/>
  <c r="M16" i="13"/>
  <c r="K19" i="13"/>
  <c r="M20" i="13"/>
  <c r="K23" i="13"/>
  <c r="M24" i="13"/>
  <c r="K27" i="13"/>
  <c r="M28" i="13"/>
  <c r="K31" i="13"/>
  <c r="M32" i="13"/>
  <c r="K35" i="13"/>
  <c r="K55" i="13"/>
  <c r="M56" i="13"/>
  <c r="K59" i="13"/>
  <c r="M60" i="13"/>
  <c r="K63" i="13"/>
  <c r="M64" i="13"/>
  <c r="G67" i="13"/>
  <c r="M70" i="13"/>
  <c r="K73" i="13"/>
  <c r="K77" i="13"/>
  <c r="M78" i="13"/>
  <c r="Y5" i="14"/>
  <c r="R13" i="14"/>
  <c r="P22" i="14"/>
  <c r="P32" i="14"/>
  <c r="R37" i="14"/>
  <c r="P46" i="14"/>
  <c r="R53" i="14"/>
  <c r="P60" i="14"/>
  <c r="R77" i="14"/>
  <c r="K11" i="15"/>
  <c r="P5" i="15"/>
  <c r="R7" i="15"/>
  <c r="I9" i="15"/>
  <c r="R10" i="15"/>
  <c r="G13" i="15"/>
  <c r="R14" i="15"/>
  <c r="I16" i="15"/>
  <c r="M17" i="15"/>
  <c r="K21" i="15"/>
  <c r="K25" i="15"/>
  <c r="M26" i="15"/>
  <c r="G29" i="15"/>
  <c r="R30" i="15"/>
  <c r="G33" i="15"/>
  <c r="R34" i="15"/>
  <c r="G36" i="15"/>
  <c r="R37" i="15"/>
  <c r="G40" i="15"/>
  <c r="R41" i="15"/>
  <c r="K44" i="15"/>
  <c r="P49" i="15"/>
  <c r="P53" i="15"/>
  <c r="I56" i="15"/>
  <c r="M57" i="15"/>
  <c r="I60" i="15"/>
  <c r="M61" i="15"/>
  <c r="I64" i="15"/>
  <c r="M65" i="15"/>
  <c r="I67" i="15"/>
  <c r="M68" i="15"/>
  <c r="I71" i="15"/>
  <c r="M72" i="15"/>
  <c r="G5" i="16"/>
  <c r="R9" i="16"/>
  <c r="I12" i="16"/>
  <c r="R14" i="16"/>
  <c r="R18" i="16"/>
  <c r="R22" i="16"/>
  <c r="I25" i="16"/>
  <c r="P26" i="16"/>
  <c r="M30" i="16"/>
  <c r="I33" i="16"/>
  <c r="P34" i="16"/>
  <c r="K37" i="16"/>
  <c r="R38" i="16"/>
  <c r="I41" i="16"/>
  <c r="P42" i="16"/>
  <c r="Y45" i="16"/>
  <c r="R49" i="16"/>
  <c r="I52" i="16"/>
  <c r="G56" i="16"/>
  <c r="M57" i="16"/>
  <c r="G66" i="16"/>
  <c r="G67" i="16"/>
  <c r="M68" i="16"/>
  <c r="P69" i="16"/>
  <c r="R71" i="16"/>
  <c r="Y73" i="16"/>
  <c r="P76" i="16"/>
  <c r="M77" i="16"/>
  <c r="R78" i="16"/>
  <c r="R9" i="17"/>
  <c r="R13" i="17"/>
  <c r="R17" i="17"/>
  <c r="R21" i="17"/>
  <c r="R25" i="17"/>
  <c r="R29" i="17"/>
  <c r="R33" i="17"/>
  <c r="I36" i="17"/>
  <c r="I40" i="17"/>
  <c r="I44" i="17"/>
  <c r="I48" i="17"/>
  <c r="M52" i="17"/>
  <c r="G53" i="17"/>
  <c r="I54" i="17"/>
  <c r="G55" i="17"/>
  <c r="K57" i="17"/>
  <c r="I58" i="17"/>
  <c r="G59" i="17"/>
  <c r="K61" i="17"/>
  <c r="I62" i="17"/>
  <c r="G63" i="17"/>
  <c r="K65" i="17"/>
  <c r="M66" i="17"/>
  <c r="R67" i="17"/>
  <c r="G77" i="17"/>
  <c r="R78" i="17"/>
  <c r="K11" i="18"/>
  <c r="R5" i="15"/>
  <c r="P6" i="15"/>
  <c r="I8" i="15"/>
  <c r="P9" i="15"/>
  <c r="P13" i="15"/>
  <c r="K16" i="15"/>
  <c r="P20" i="15"/>
  <c r="P24" i="15"/>
  <c r="R25" i="15"/>
  <c r="P29" i="15"/>
  <c r="P33" i="15"/>
  <c r="I36" i="15"/>
  <c r="M37" i="15"/>
  <c r="I40" i="15"/>
  <c r="M41" i="15"/>
  <c r="P45" i="15"/>
  <c r="G48" i="15"/>
  <c r="R49" i="15"/>
  <c r="G52" i="15"/>
  <c r="R53" i="15"/>
  <c r="K56" i="15"/>
  <c r="K60" i="15"/>
  <c r="K64" i="15"/>
  <c r="K67" i="15"/>
  <c r="K71" i="15"/>
  <c r="G75" i="15"/>
  <c r="G78" i="15"/>
  <c r="I6" i="16"/>
  <c r="K7" i="16"/>
  <c r="R12" i="16"/>
  <c r="M15" i="16"/>
  <c r="K19" i="16"/>
  <c r="P20" i="16"/>
  <c r="M24" i="16"/>
  <c r="I27" i="16"/>
  <c r="I31" i="16"/>
  <c r="R32" i="16"/>
  <c r="K35" i="16"/>
  <c r="R39" i="16"/>
  <c r="K42" i="16"/>
  <c r="R43" i="16"/>
  <c r="I45" i="16"/>
  <c r="K46" i="16"/>
  <c r="P47" i="16"/>
  <c r="K50" i="16"/>
  <c r="R51" i="16"/>
  <c r="K54" i="16"/>
  <c r="P55" i="16"/>
  <c r="K58" i="16"/>
  <c r="I63" i="16"/>
  <c r="W66" i="16"/>
  <c r="G68" i="16"/>
  <c r="M69" i="16"/>
  <c r="W70" i="16"/>
  <c r="U72" i="16"/>
  <c r="I74" i="16"/>
  <c r="K76" i="16"/>
  <c r="Y6" i="17"/>
  <c r="G8" i="17"/>
  <c r="K10" i="17"/>
  <c r="M13" i="17"/>
  <c r="P15" i="17"/>
  <c r="R22" i="17"/>
  <c r="G24" i="17"/>
  <c r="K26" i="17"/>
  <c r="M29" i="17"/>
  <c r="P31" i="17"/>
  <c r="K40" i="17"/>
  <c r="G42" i="17"/>
  <c r="P45" i="17"/>
  <c r="M47" i="17"/>
  <c r="I49" i="17"/>
  <c r="K54" i="17"/>
  <c r="P55" i="17"/>
  <c r="K58" i="17"/>
  <c r="P59" i="17"/>
  <c r="K62" i="17"/>
  <c r="P63" i="17"/>
  <c r="R69" i="17"/>
  <c r="W70" i="17"/>
  <c r="Y73" i="17"/>
  <c r="K22" i="15"/>
  <c r="R27" i="15"/>
  <c r="K38" i="15"/>
  <c r="R43" i="15"/>
  <c r="M54" i="15"/>
  <c r="I65" i="15"/>
  <c r="P70" i="15"/>
  <c r="I76" i="15"/>
  <c r="I14" i="16"/>
  <c r="P30" i="16"/>
  <c r="G36" i="16"/>
  <c r="M41" i="16"/>
  <c r="M46" i="16"/>
  <c r="P57" i="16"/>
  <c r="U61" i="16"/>
  <c r="U65" i="16"/>
  <c r="K70" i="16"/>
  <c r="I75" i="16"/>
  <c r="I20" i="17"/>
  <c r="M36" i="17"/>
  <c r="G47" i="17"/>
  <c r="P77" i="17"/>
  <c r="R12" i="18"/>
  <c r="I10" i="15"/>
  <c r="M15" i="15"/>
  <c r="M20" i="15"/>
  <c r="M31" i="15"/>
  <c r="I37" i="15"/>
  <c r="G53" i="15"/>
  <c r="G64" i="15"/>
  <c r="K75" i="15"/>
  <c r="I9" i="16"/>
  <c r="P14" i="16"/>
  <c r="G25" i="16"/>
  <c r="P36" i="16"/>
  <c r="G52" i="16"/>
  <c r="G58" i="16"/>
  <c r="P62" i="16"/>
  <c r="K75" i="16"/>
  <c r="G14" i="17"/>
  <c r="M19" i="17"/>
  <c r="G30" i="17"/>
  <c r="M35" i="17"/>
  <c r="R46" i="17"/>
  <c r="K56" i="17"/>
  <c r="K60" i="17"/>
  <c r="K64" i="17"/>
  <c r="M68" i="17"/>
  <c r="I72" i="17"/>
  <c r="I76" i="17"/>
  <c r="R8" i="18"/>
  <c r="K5" i="18"/>
  <c r="M10" i="18"/>
  <c r="M14" i="18"/>
  <c r="U18" i="18"/>
  <c r="G22" i="18"/>
  <c r="U26" i="18"/>
  <c r="M31" i="18"/>
  <c r="W34" i="18"/>
  <c r="I39" i="18"/>
  <c r="G44" i="18"/>
  <c r="U55" i="18"/>
  <c r="G60" i="18"/>
  <c r="U76" i="18"/>
  <c r="I5" i="19"/>
  <c r="I10" i="19"/>
  <c r="R24" i="19"/>
  <c r="U34" i="19"/>
  <c r="Y34" i="19"/>
  <c r="W34" i="19"/>
  <c r="Y44" i="19"/>
  <c r="W44" i="19"/>
  <c r="U44" i="19"/>
  <c r="P49" i="19"/>
  <c r="K59" i="19"/>
  <c r="P69" i="19"/>
  <c r="W9" i="18"/>
  <c r="I15" i="18"/>
  <c r="Y20" i="18"/>
  <c r="M26" i="18"/>
  <c r="Y31" i="18"/>
  <c r="K38" i="18"/>
  <c r="K52" i="18"/>
  <c r="G59" i="18"/>
  <c r="G65" i="18"/>
  <c r="W70" i="18"/>
  <c r="M15" i="19"/>
  <c r="Y29" i="18"/>
  <c r="K68" i="18"/>
  <c r="U8" i="19"/>
  <c r="Y8" i="19"/>
  <c r="W8" i="19"/>
  <c r="R48" i="19"/>
  <c r="R68" i="19"/>
  <c r="U59" i="18"/>
  <c r="M75" i="18"/>
  <c r="M57" i="19"/>
  <c r="K78" i="19"/>
  <c r="K20" i="20"/>
  <c r="G58" i="20"/>
  <c r="P42" i="20"/>
  <c r="G29" i="21"/>
  <c r="P38" i="22"/>
  <c r="U5" i="13"/>
  <c r="R36" i="13"/>
  <c r="I38" i="13"/>
  <c r="P39" i="13"/>
  <c r="R40" i="13"/>
  <c r="I42" i="13"/>
  <c r="P43" i="13"/>
  <c r="R44" i="13"/>
  <c r="I46" i="13"/>
  <c r="P47" i="13"/>
  <c r="R48" i="13"/>
  <c r="I50" i="13"/>
  <c r="P51" i="13"/>
  <c r="R52" i="13"/>
  <c r="M54" i="13"/>
  <c r="K57" i="13"/>
  <c r="M58" i="13"/>
  <c r="K61" i="13"/>
  <c r="M62" i="13"/>
  <c r="K65" i="13"/>
  <c r="R74" i="13"/>
  <c r="M76" i="13"/>
  <c r="P5" i="14"/>
  <c r="P12" i="14"/>
  <c r="R19" i="14"/>
  <c r="P26" i="14"/>
  <c r="R33" i="14"/>
  <c r="P40" i="14"/>
  <c r="R47" i="14"/>
  <c r="P54" i="14"/>
  <c r="R61" i="14"/>
  <c r="P68" i="14"/>
  <c r="P8" i="15"/>
  <c r="G14" i="15"/>
  <c r="G16" i="12"/>
  <c r="G20" i="12"/>
  <c r="I23" i="12"/>
  <c r="P24" i="12"/>
  <c r="I27" i="12"/>
  <c r="M28" i="12"/>
  <c r="K31" i="12"/>
  <c r="M32" i="12"/>
  <c r="R34" i="12"/>
  <c r="K37" i="12"/>
  <c r="G39" i="12"/>
  <c r="P46" i="12"/>
  <c r="R47" i="12"/>
  <c r="I49" i="12"/>
  <c r="P50" i="12"/>
  <c r="R51" i="12"/>
  <c r="I53" i="12"/>
  <c r="P54" i="12"/>
  <c r="R55" i="12"/>
  <c r="I57" i="12"/>
  <c r="R58" i="12"/>
  <c r="P67" i="12"/>
  <c r="R68" i="12"/>
  <c r="I70" i="12"/>
  <c r="K73" i="12"/>
  <c r="M74" i="12"/>
  <c r="K77" i="12"/>
  <c r="M78" i="12"/>
  <c r="M5" i="13"/>
  <c r="M6" i="13"/>
  <c r="G68" i="13"/>
  <c r="G72" i="13"/>
  <c r="G74" i="13"/>
  <c r="G76" i="13"/>
  <c r="P13" i="14"/>
  <c r="R20" i="14"/>
  <c r="P27" i="14"/>
  <c r="R34" i="14"/>
  <c r="R36" i="14"/>
  <c r="P45" i="14"/>
  <c r="R52" i="14"/>
  <c r="R54" i="14"/>
  <c r="P59" i="14"/>
  <c r="P69" i="14"/>
  <c r="P15" i="15"/>
  <c r="Y5" i="12"/>
  <c r="G9" i="12"/>
  <c r="G13" i="12"/>
  <c r="K23" i="12"/>
  <c r="M24" i="12"/>
  <c r="P25" i="12"/>
  <c r="G28" i="12"/>
  <c r="R29" i="12"/>
  <c r="P33" i="12"/>
  <c r="I35" i="12"/>
  <c r="R37" i="12"/>
  <c r="K40" i="12"/>
  <c r="K59" i="12"/>
  <c r="K62" i="12"/>
  <c r="M63" i="12"/>
  <c r="G66" i="12"/>
  <c r="M67" i="12"/>
  <c r="K70" i="12"/>
  <c r="Y5" i="13"/>
  <c r="P7" i="13"/>
  <c r="R8" i="13"/>
  <c r="I10" i="13"/>
  <c r="P11" i="13"/>
  <c r="R12" i="13"/>
  <c r="I14" i="13"/>
  <c r="P15" i="13"/>
  <c r="R16" i="13"/>
  <c r="I18" i="13"/>
  <c r="P19" i="13"/>
  <c r="R20" i="13"/>
  <c r="I22" i="13"/>
  <c r="P23" i="13"/>
  <c r="R24" i="13"/>
  <c r="I26" i="13"/>
  <c r="P27" i="13"/>
  <c r="R28" i="13"/>
  <c r="I30" i="13"/>
  <c r="P31" i="13"/>
  <c r="R32" i="13"/>
  <c r="I34" i="13"/>
  <c r="P35" i="13"/>
  <c r="G39" i="13"/>
  <c r="G43" i="13"/>
  <c r="G47" i="13"/>
  <c r="G51" i="13"/>
  <c r="I54" i="13"/>
  <c r="P55" i="13"/>
  <c r="R56" i="13"/>
  <c r="I58" i="13"/>
  <c r="P59" i="13"/>
  <c r="R60" i="13"/>
  <c r="I62" i="13"/>
  <c r="P63" i="13"/>
  <c r="R64" i="13"/>
  <c r="M66" i="13"/>
  <c r="K69" i="13"/>
  <c r="R70" i="13"/>
  <c r="I72" i="13"/>
  <c r="P73" i="13"/>
  <c r="I76" i="13"/>
  <c r="P77" i="13"/>
  <c r="R78" i="13"/>
  <c r="R9" i="14"/>
  <c r="P18" i="14"/>
  <c r="P28" i="14"/>
  <c r="R35" i="14"/>
  <c r="P42" i="14"/>
  <c r="R49" i="14"/>
  <c r="P56" i="14"/>
  <c r="R63" i="14"/>
  <c r="P70" i="14"/>
  <c r="R75" i="14"/>
  <c r="U5" i="15"/>
  <c r="K12" i="15"/>
  <c r="P16" i="15"/>
  <c r="G20" i="15"/>
  <c r="R21" i="15"/>
  <c r="G24" i="15"/>
  <c r="P25" i="15"/>
  <c r="K28" i="15"/>
  <c r="K32" i="15"/>
  <c r="K39" i="15"/>
  <c r="G43" i="15"/>
  <c r="R44" i="15"/>
  <c r="I47" i="15"/>
  <c r="M48" i="15"/>
  <c r="I51" i="15"/>
  <c r="M52" i="15"/>
  <c r="P56" i="15"/>
  <c r="P60" i="15"/>
  <c r="P64" i="15"/>
  <c r="P67" i="15"/>
  <c r="P71" i="15"/>
  <c r="I74" i="15"/>
  <c r="M75" i="15"/>
  <c r="I77" i="15"/>
  <c r="M78" i="15"/>
  <c r="Y5" i="16"/>
  <c r="I7" i="16"/>
  <c r="M8" i="16"/>
  <c r="K11" i="16"/>
  <c r="P12" i="16"/>
  <c r="M17" i="16"/>
  <c r="G20" i="16"/>
  <c r="M21" i="16"/>
  <c r="K24" i="16"/>
  <c r="P25" i="16"/>
  <c r="M29" i="16"/>
  <c r="G32" i="16"/>
  <c r="P33" i="16"/>
  <c r="K36" i="16"/>
  <c r="R37" i="16"/>
  <c r="I40" i="16"/>
  <c r="P41" i="16"/>
  <c r="I44" i="16"/>
  <c r="G47" i="16"/>
  <c r="M48" i="16"/>
  <c r="I51" i="16"/>
  <c r="P52" i="16"/>
  <c r="G55" i="16"/>
  <c r="I58" i="16"/>
  <c r="K59" i="16"/>
  <c r="K60" i="16"/>
  <c r="K61" i="16"/>
  <c r="K62" i="16"/>
  <c r="G63" i="16"/>
  <c r="K64" i="16"/>
  <c r="K65" i="16"/>
  <c r="Y68" i="16"/>
  <c r="W69" i="16"/>
  <c r="U70" i="16"/>
  <c r="W71" i="16"/>
  <c r="G74" i="16"/>
  <c r="M75" i="16"/>
  <c r="U76" i="16"/>
  <c r="W78" i="16"/>
  <c r="M5" i="17"/>
  <c r="M6" i="17"/>
  <c r="G7" i="17"/>
  <c r="M8" i="17"/>
  <c r="G11" i="17"/>
  <c r="M12" i="17"/>
  <c r="G15" i="17"/>
  <c r="M16" i="17"/>
  <c r="G19" i="17"/>
  <c r="M20" i="17"/>
  <c r="G23" i="17"/>
  <c r="M24" i="17"/>
  <c r="G27" i="17"/>
  <c r="M28" i="17"/>
  <c r="G31" i="17"/>
  <c r="M32" i="17"/>
  <c r="G35" i="17"/>
  <c r="P36" i="17"/>
  <c r="K39" i="17"/>
  <c r="P40" i="17"/>
  <c r="K43" i="17"/>
  <c r="P44" i="17"/>
  <c r="K47" i="17"/>
  <c r="P48" i="17"/>
  <c r="K51" i="17"/>
  <c r="R52" i="17"/>
  <c r="P54" i="17"/>
  <c r="M56" i="17"/>
  <c r="R57" i="17"/>
  <c r="P58" i="17"/>
  <c r="M60" i="17"/>
  <c r="R61" i="17"/>
  <c r="P62" i="17"/>
  <c r="M64" i="17"/>
  <c r="R65" i="17"/>
  <c r="Y67" i="17"/>
  <c r="I69" i="17"/>
  <c r="G70" i="17"/>
  <c r="K72" i="17"/>
  <c r="I73" i="17"/>
  <c r="K74" i="17"/>
  <c r="I75" i="17"/>
  <c r="K76" i="17"/>
  <c r="Y77" i="17"/>
  <c r="W5" i="15"/>
  <c r="I11" i="15"/>
  <c r="M12" i="15"/>
  <c r="I15" i="15"/>
  <c r="R16" i="15"/>
  <c r="G19" i="15"/>
  <c r="I22" i="15"/>
  <c r="M23" i="15"/>
  <c r="K27" i="15"/>
  <c r="M28" i="15"/>
  <c r="I31" i="15"/>
  <c r="M32" i="15"/>
  <c r="I35" i="15"/>
  <c r="P36" i="15"/>
  <c r="P40" i="15"/>
  <c r="I43" i="15"/>
  <c r="M44" i="15"/>
  <c r="K47" i="15"/>
  <c r="K51" i="15"/>
  <c r="G55" i="15"/>
  <c r="R56" i="15"/>
  <c r="G59" i="15"/>
  <c r="R60" i="15"/>
  <c r="G63" i="15"/>
  <c r="R64" i="15"/>
  <c r="G66" i="15"/>
  <c r="R67" i="15"/>
  <c r="G70" i="15"/>
  <c r="R71" i="15"/>
  <c r="K74" i="15"/>
  <c r="K77" i="15"/>
  <c r="I5" i="16"/>
  <c r="R7" i="16"/>
  <c r="M11" i="16"/>
  <c r="G14" i="16"/>
  <c r="R15" i="16"/>
  <c r="R19" i="16"/>
  <c r="M23" i="16"/>
  <c r="K26" i="16"/>
  <c r="P27" i="16"/>
  <c r="G30" i="16"/>
  <c r="P31" i="16"/>
  <c r="K34" i="16"/>
  <c r="P35" i="16"/>
  <c r="M38" i="16"/>
  <c r="K41" i="16"/>
  <c r="R42" i="16"/>
  <c r="R46" i="16"/>
  <c r="R50" i="16"/>
  <c r="I53" i="16"/>
  <c r="R54" i="16"/>
  <c r="G57" i="16"/>
  <c r="P58" i="16"/>
  <c r="M59" i="16"/>
  <c r="M60" i="16"/>
  <c r="M61" i="16"/>
  <c r="M62" i="16"/>
  <c r="P63" i="16"/>
  <c r="M64" i="16"/>
  <c r="Y69" i="16"/>
  <c r="G71" i="16"/>
  <c r="R76" i="16"/>
  <c r="U77" i="16"/>
  <c r="R10" i="17"/>
  <c r="G12" i="17"/>
  <c r="K14" i="17"/>
  <c r="M17" i="17"/>
  <c r="P19" i="17"/>
  <c r="R26" i="17"/>
  <c r="G28" i="17"/>
  <c r="K30" i="17"/>
  <c r="M33" i="17"/>
  <c r="P35" i="17"/>
  <c r="I37" i="17"/>
  <c r="K44" i="17"/>
  <c r="G46" i="17"/>
  <c r="P49" i="17"/>
  <c r="M51" i="17"/>
  <c r="I53" i="17"/>
  <c r="R54" i="17"/>
  <c r="R58" i="17"/>
  <c r="R62" i="17"/>
  <c r="U66" i="17"/>
  <c r="Y69" i="17"/>
  <c r="G34" i="15"/>
  <c r="I50" i="15"/>
  <c r="I61" i="15"/>
  <c r="P66" i="15"/>
  <c r="M77" i="15"/>
  <c r="P5" i="16"/>
  <c r="G10" i="16"/>
  <c r="I21" i="16"/>
  <c r="M26" i="16"/>
  <c r="K53" i="16"/>
  <c r="W58" i="16"/>
  <c r="Y66" i="16"/>
  <c r="Y76" i="16"/>
  <c r="I16" i="17"/>
  <c r="I32" i="17"/>
  <c r="G43" i="17"/>
  <c r="M48" i="17"/>
  <c r="Y53" i="17"/>
  <c r="G74" i="17"/>
  <c r="M78" i="17"/>
  <c r="M11" i="15"/>
  <c r="G27" i="15"/>
  <c r="M38" i="15"/>
  <c r="G49" i="15"/>
  <c r="G60" i="15"/>
  <c r="R65" i="15"/>
  <c r="R76" i="15"/>
  <c r="W5" i="16"/>
  <c r="P10" i="16"/>
  <c r="K21" i="16"/>
  <c r="G43" i="16"/>
  <c r="K48" i="16"/>
  <c r="M53" i="16"/>
  <c r="P59" i="16"/>
  <c r="M63" i="16"/>
  <c r="Y67" i="16"/>
  <c r="U71" i="16"/>
  <c r="K5" i="17"/>
  <c r="G10" i="17"/>
  <c r="M15" i="17"/>
  <c r="G26" i="17"/>
  <c r="M31" i="17"/>
  <c r="R42" i="17"/>
  <c r="I57" i="17"/>
  <c r="I61" i="17"/>
  <c r="I65" i="17"/>
  <c r="G69" i="17"/>
  <c r="G73" i="17"/>
  <c r="M77" i="17"/>
  <c r="W12" i="18"/>
  <c r="G7" i="18"/>
  <c r="G11" i="18"/>
  <c r="G15" i="18"/>
  <c r="R19" i="18"/>
  <c r="K40" i="18"/>
  <c r="M65" i="18"/>
  <c r="I69" i="18"/>
  <c r="R77" i="18"/>
  <c r="K11" i="19"/>
  <c r="I26" i="19"/>
  <c r="R50" i="19"/>
  <c r="P55" i="19"/>
  <c r="M60" i="19"/>
  <c r="G65" i="19"/>
  <c r="R70" i="19"/>
  <c r="W78" i="17"/>
  <c r="M5" i="18"/>
  <c r="I11" i="18"/>
  <c r="P16" i="18"/>
  <c r="M27" i="18"/>
  <c r="G33" i="18"/>
  <c r="U39" i="18"/>
  <c r="Y46" i="18"/>
  <c r="M54" i="18"/>
  <c r="W66" i="18"/>
  <c r="W71" i="18"/>
  <c r="G20" i="19"/>
  <c r="K40" i="19"/>
  <c r="R59" i="19"/>
  <c r="W16" i="18"/>
  <c r="K55" i="18"/>
  <c r="P13" i="19"/>
  <c r="K33" i="19"/>
  <c r="R43" i="18"/>
  <c r="R63" i="18"/>
  <c r="R21" i="19"/>
  <c r="K42" i="19"/>
  <c r="G62" i="19"/>
  <c r="G27" i="20"/>
  <c r="M20" i="20"/>
  <c r="Y74" i="20"/>
  <c r="K78" i="12"/>
  <c r="G7" i="13"/>
  <c r="G11" i="13"/>
  <c r="G15" i="13"/>
  <c r="G19" i="13"/>
  <c r="G23" i="13"/>
  <c r="G27" i="13"/>
  <c r="G31" i="13"/>
  <c r="G35" i="13"/>
  <c r="R54" i="13"/>
  <c r="I56" i="13"/>
  <c r="P57" i="13"/>
  <c r="R58" i="13"/>
  <c r="I60" i="13"/>
  <c r="P61" i="13"/>
  <c r="R62" i="13"/>
  <c r="I64" i="13"/>
  <c r="P65" i="13"/>
  <c r="G69" i="13"/>
  <c r="G73" i="13"/>
  <c r="R76" i="13"/>
  <c r="I78" i="13"/>
  <c r="U5" i="14"/>
  <c r="P8" i="14"/>
  <c r="R15" i="14"/>
  <c r="P24" i="14"/>
  <c r="R29" i="14"/>
  <c r="P36" i="14"/>
  <c r="R43" i="14"/>
  <c r="P52" i="14"/>
  <c r="R57" i="14"/>
  <c r="R71" i="14"/>
  <c r="P76" i="14"/>
  <c r="R9" i="15"/>
  <c r="K15" i="15"/>
  <c r="G14" i="12"/>
  <c r="M15" i="12"/>
  <c r="K18" i="12"/>
  <c r="M19" i="12"/>
  <c r="K22" i="12"/>
  <c r="K26" i="12"/>
  <c r="P27" i="12"/>
  <c r="P31" i="12"/>
  <c r="R32" i="12"/>
  <c r="P37" i="12"/>
  <c r="M38" i="12"/>
  <c r="G41" i="12"/>
  <c r="G45" i="12"/>
  <c r="G61" i="12"/>
  <c r="I65" i="12"/>
  <c r="M66" i="12"/>
  <c r="P70" i="12"/>
  <c r="I72" i="12"/>
  <c r="P73" i="12"/>
  <c r="R74" i="12"/>
  <c r="I76" i="12"/>
  <c r="P77" i="12"/>
  <c r="R78" i="12"/>
  <c r="R5" i="13"/>
  <c r="R6" i="13"/>
  <c r="G10" i="13"/>
  <c r="G14" i="13"/>
  <c r="G18" i="13"/>
  <c r="G22" i="13"/>
  <c r="G26" i="13"/>
  <c r="G30" i="13"/>
  <c r="G34" i="13"/>
  <c r="G36" i="13"/>
  <c r="G40" i="13"/>
  <c r="G44" i="13"/>
  <c r="G48" i="13"/>
  <c r="G52" i="13"/>
  <c r="G54" i="13"/>
  <c r="G58" i="13"/>
  <c r="G62" i="13"/>
  <c r="K66" i="13"/>
  <c r="M67" i="13"/>
  <c r="K70" i="13"/>
  <c r="M71" i="13"/>
  <c r="K78" i="13"/>
  <c r="M5" i="14"/>
  <c r="P9" i="14"/>
  <c r="R16" i="14"/>
  <c r="R30" i="14"/>
  <c r="P41" i="14"/>
  <c r="R48" i="14"/>
  <c r="R62" i="14"/>
  <c r="R72" i="14"/>
  <c r="R74" i="14"/>
  <c r="R76" i="14"/>
  <c r="R6" i="15"/>
  <c r="G12" i="15"/>
  <c r="G7" i="12"/>
  <c r="M8" i="12"/>
  <c r="G11" i="12"/>
  <c r="M12" i="12"/>
  <c r="G15" i="12"/>
  <c r="G19" i="12"/>
  <c r="P23" i="12"/>
  <c r="R24" i="12"/>
  <c r="K27" i="12"/>
  <c r="G32" i="12"/>
  <c r="P35" i="12"/>
  <c r="Y37" i="12"/>
  <c r="I39" i="12"/>
  <c r="R40" i="12"/>
  <c r="G44" i="12"/>
  <c r="G47" i="12"/>
  <c r="G51" i="12"/>
  <c r="G55" i="12"/>
  <c r="R59" i="12"/>
  <c r="I61" i="12"/>
  <c r="P62" i="12"/>
  <c r="R63" i="12"/>
  <c r="K65" i="12"/>
  <c r="R67" i="12"/>
  <c r="I69" i="12"/>
  <c r="R70" i="12"/>
  <c r="G74" i="12"/>
  <c r="G78" i="12"/>
  <c r="G6" i="13"/>
  <c r="K37" i="13"/>
  <c r="M38" i="13"/>
  <c r="K41" i="13"/>
  <c r="M42" i="13"/>
  <c r="K45" i="13"/>
  <c r="M46" i="13"/>
  <c r="K49" i="13"/>
  <c r="M50" i="13"/>
  <c r="K53" i="13"/>
  <c r="R66" i="13"/>
  <c r="I68" i="13"/>
  <c r="R69" i="13"/>
  <c r="K75" i="13"/>
  <c r="P14" i="14"/>
  <c r="R21" i="14"/>
  <c r="R31" i="14"/>
  <c r="P38" i="14"/>
  <c r="R45" i="14"/>
  <c r="R59" i="14"/>
  <c r="P66" i="14"/>
  <c r="R73" i="14"/>
  <c r="R13" i="15"/>
  <c r="G8" i="15"/>
  <c r="G11" i="15"/>
  <c r="R12" i="15"/>
  <c r="G15" i="15"/>
  <c r="I18" i="15"/>
  <c r="M19" i="15"/>
  <c r="K23" i="15"/>
  <c r="I27" i="15"/>
  <c r="R28" i="15"/>
  <c r="G31" i="15"/>
  <c r="R32" i="15"/>
  <c r="G35" i="15"/>
  <c r="G38" i="15"/>
  <c r="R39" i="15"/>
  <c r="I42" i="15"/>
  <c r="P47" i="15"/>
  <c r="P51" i="15"/>
  <c r="I54" i="15"/>
  <c r="M55" i="15"/>
  <c r="I58" i="15"/>
  <c r="M59" i="15"/>
  <c r="I62" i="15"/>
  <c r="M63" i="15"/>
  <c r="M66" i="15"/>
  <c r="I69" i="15"/>
  <c r="M70" i="15"/>
  <c r="I73" i="15"/>
  <c r="P74" i="15"/>
  <c r="P77" i="15"/>
  <c r="G6" i="16"/>
  <c r="P7" i="16"/>
  <c r="K10" i="16"/>
  <c r="R11" i="16"/>
  <c r="K15" i="16"/>
  <c r="M16" i="16"/>
  <c r="I19" i="16"/>
  <c r="K23" i="16"/>
  <c r="R24" i="16"/>
  <c r="G27" i="16"/>
  <c r="M28" i="16"/>
  <c r="G31" i="16"/>
  <c r="P32" i="16"/>
  <c r="I35" i="16"/>
  <c r="R36" i="16"/>
  <c r="I39" i="16"/>
  <c r="P40" i="16"/>
  <c r="I43" i="16"/>
  <c r="P44" i="16"/>
  <c r="I46" i="16"/>
  <c r="I50" i="16"/>
  <c r="P51" i="16"/>
  <c r="I54" i="16"/>
  <c r="R59" i="16"/>
  <c r="R60" i="16"/>
  <c r="R61" i="16"/>
  <c r="R62" i="16"/>
  <c r="R64" i="16"/>
  <c r="R65" i="16"/>
  <c r="U66" i="16"/>
  <c r="Y75" i="16"/>
  <c r="R5" i="17"/>
  <c r="R6" i="17"/>
  <c r="I10" i="17"/>
  <c r="I14" i="17"/>
  <c r="I18" i="17"/>
  <c r="I22" i="17"/>
  <c r="I26" i="17"/>
  <c r="I30" i="17"/>
  <c r="I34" i="17"/>
  <c r="R39" i="17"/>
  <c r="R43" i="17"/>
  <c r="R47" i="17"/>
  <c r="R51" i="17"/>
  <c r="W52" i="17"/>
  <c r="U53" i="17"/>
  <c r="W54" i="17"/>
  <c r="U55" i="17"/>
  <c r="Y57" i="17"/>
  <c r="W58" i="17"/>
  <c r="U59" i="17"/>
  <c r="Y61" i="17"/>
  <c r="W62" i="17"/>
  <c r="U63" i="17"/>
  <c r="Y65" i="17"/>
  <c r="G68" i="17"/>
  <c r="P69" i="17"/>
  <c r="M71" i="17"/>
  <c r="R72" i="17"/>
  <c r="P73" i="17"/>
  <c r="R74" i="17"/>
  <c r="P75" i="17"/>
  <c r="R76" i="17"/>
  <c r="W8" i="18"/>
  <c r="G7" i="15"/>
  <c r="P11" i="15"/>
  <c r="K18" i="15"/>
  <c r="P22" i="15"/>
  <c r="G26" i="15"/>
  <c r="P27" i="15"/>
  <c r="P31" i="15"/>
  <c r="P35" i="15"/>
  <c r="I38" i="15"/>
  <c r="M39" i="15"/>
  <c r="K42" i="15"/>
  <c r="P43" i="15"/>
  <c r="G46" i="15"/>
  <c r="R47" i="15"/>
  <c r="G50" i="15"/>
  <c r="R51" i="15"/>
  <c r="K54" i="15"/>
  <c r="K58" i="15"/>
  <c r="K62" i="15"/>
  <c r="K69" i="15"/>
  <c r="K73" i="15"/>
  <c r="R74" i="15"/>
  <c r="G76" i="15"/>
  <c r="R77" i="15"/>
  <c r="M10" i="16"/>
  <c r="I13" i="16"/>
  <c r="G17" i="16"/>
  <c r="M18" i="16"/>
  <c r="G21" i="16"/>
  <c r="M22" i="16"/>
  <c r="K25" i="16"/>
  <c r="R26" i="16"/>
  <c r="G29" i="16"/>
  <c r="R30" i="16"/>
  <c r="K33" i="16"/>
  <c r="R34" i="16"/>
  <c r="M37" i="16"/>
  <c r="K40" i="16"/>
  <c r="R41" i="16"/>
  <c r="K44" i="16"/>
  <c r="G48" i="16"/>
  <c r="M49" i="16"/>
  <c r="K52" i="16"/>
  <c r="P53" i="16"/>
  <c r="I56" i="16"/>
  <c r="U58" i="16"/>
  <c r="Y62" i="16"/>
  <c r="U63" i="16"/>
  <c r="I67" i="16"/>
  <c r="Y71" i="16"/>
  <c r="G75" i="16"/>
  <c r="W76" i="16"/>
  <c r="M78" i="16"/>
  <c r="G5" i="17"/>
  <c r="P7" i="17"/>
  <c r="R14" i="17"/>
  <c r="G16" i="17"/>
  <c r="K18" i="17"/>
  <c r="M21" i="17"/>
  <c r="P23" i="17"/>
  <c r="R30" i="17"/>
  <c r="G32" i="17"/>
  <c r="K34" i="17"/>
  <c r="P37" i="17"/>
  <c r="M39" i="17"/>
  <c r="I41" i="17"/>
  <c r="K48" i="17"/>
  <c r="G50" i="17"/>
  <c r="Y51" i="17"/>
  <c r="U51" i="17"/>
  <c r="W51" i="17"/>
  <c r="P53" i="17"/>
  <c r="G56" i="17"/>
  <c r="M57" i="17"/>
  <c r="G60" i="17"/>
  <c r="M61" i="17"/>
  <c r="G64" i="17"/>
  <c r="M65" i="17"/>
  <c r="U71" i="17"/>
  <c r="G30" i="15"/>
  <c r="R35" i="15"/>
  <c r="I46" i="15"/>
  <c r="M51" i="15"/>
  <c r="I57" i="15"/>
  <c r="M62" i="15"/>
  <c r="P6" i="16"/>
  <c r="I17" i="16"/>
  <c r="M33" i="16"/>
  <c r="G49" i="16"/>
  <c r="U59" i="16"/>
  <c r="W63" i="16"/>
  <c r="W72" i="16"/>
  <c r="W77" i="16"/>
  <c r="I12" i="17"/>
  <c r="I28" i="17"/>
  <c r="G39" i="17"/>
  <c r="M44" i="17"/>
  <c r="P7" i="15"/>
  <c r="I23" i="15"/>
  <c r="I34" i="15"/>
  <c r="R50" i="15"/>
  <c r="G56" i="15"/>
  <c r="R61" i="15"/>
  <c r="K72" i="15"/>
  <c r="W6" i="16"/>
  <c r="K17" i="16"/>
  <c r="P22" i="16"/>
  <c r="G39" i="16"/>
  <c r="P49" i="16"/>
  <c r="P60" i="16"/>
  <c r="P64" i="16"/>
  <c r="W68" i="16"/>
  <c r="Y72" i="16"/>
  <c r="Y77" i="16"/>
  <c r="P6" i="17"/>
  <c r="M11" i="17"/>
  <c r="G22" i="17"/>
  <c r="M27" i="17"/>
  <c r="R38" i="17"/>
  <c r="G54" i="17"/>
  <c r="G58" i="17"/>
  <c r="G62" i="17"/>
  <c r="K66" i="17"/>
  <c r="I74" i="17"/>
  <c r="G78" i="17"/>
  <c r="M20" i="18"/>
  <c r="M41" i="18"/>
  <c r="G47" i="18"/>
  <c r="P58" i="18"/>
  <c r="M62" i="18"/>
  <c r="K66" i="18"/>
  <c r="K70" i="18"/>
  <c r="M74" i="18"/>
  <c r="Y78" i="18"/>
  <c r="P7" i="19"/>
  <c r="M12" i="19"/>
  <c r="G17" i="19"/>
  <c r="K27" i="19"/>
  <c r="K37" i="19"/>
  <c r="I52" i="19"/>
  <c r="R56" i="19"/>
  <c r="I72" i="19"/>
  <c r="I7" i="18"/>
  <c r="P12" i="18"/>
  <c r="W17" i="18"/>
  <c r="U23" i="18"/>
  <c r="U28" i="18"/>
  <c r="I35" i="18"/>
  <c r="M48" i="18"/>
  <c r="G62" i="18"/>
  <c r="I68" i="18"/>
  <c r="P5" i="19"/>
  <c r="I21" i="18"/>
  <c r="M38" i="18"/>
  <c r="K60" i="18"/>
  <c r="P76" i="18"/>
  <c r="R76" i="18"/>
  <c r="M18" i="19"/>
  <c r="P48" i="18"/>
  <c r="U67" i="18"/>
  <c r="I7" i="19"/>
  <c r="M7" i="20"/>
  <c r="K34" i="20"/>
  <c r="K40" i="20"/>
  <c r="M23" i="20"/>
  <c r="P10" i="22"/>
  <c r="M72" i="17"/>
  <c r="R73" i="17"/>
  <c r="Y75" i="17"/>
  <c r="I77" i="17"/>
  <c r="K78" i="17"/>
  <c r="P11" i="18"/>
  <c r="M16" i="15"/>
  <c r="I19" i="15"/>
  <c r="R20" i="15"/>
  <c r="G23" i="15"/>
  <c r="R24" i="15"/>
  <c r="I26" i="15"/>
  <c r="M27" i="15"/>
  <c r="K31" i="15"/>
  <c r="K35" i="15"/>
  <c r="R36" i="15"/>
  <c r="G39" i="15"/>
  <c r="R40" i="15"/>
  <c r="K43" i="15"/>
  <c r="P48" i="15"/>
  <c r="P52" i="15"/>
  <c r="P55" i="15"/>
  <c r="P59" i="15"/>
  <c r="P63" i="15"/>
  <c r="I66" i="15"/>
  <c r="M67" i="15"/>
  <c r="I70" i="15"/>
  <c r="M71" i="15"/>
  <c r="M74" i="15"/>
  <c r="P78" i="15"/>
  <c r="K5" i="16"/>
  <c r="K6" i="16"/>
  <c r="P8" i="16"/>
  <c r="G11" i="16"/>
  <c r="M12" i="16"/>
  <c r="G15" i="16"/>
  <c r="G18" i="16"/>
  <c r="M19" i="16"/>
  <c r="G22" i="16"/>
  <c r="R27" i="16"/>
  <c r="I30" i="16"/>
  <c r="R31" i="16"/>
  <c r="M34" i="16"/>
  <c r="R35" i="16"/>
  <c r="G37" i="16"/>
  <c r="M42" i="16"/>
  <c r="K45" i="16"/>
  <c r="R47" i="16"/>
  <c r="M51" i="16"/>
  <c r="M54" i="16"/>
  <c r="I57" i="16"/>
  <c r="R58" i="16"/>
  <c r="R63" i="16"/>
  <c r="R66" i="16"/>
  <c r="W67" i="16"/>
  <c r="U68" i="16"/>
  <c r="I71" i="16"/>
  <c r="K72" i="16"/>
  <c r="U73" i="16"/>
  <c r="M76" i="16"/>
  <c r="P77" i="16"/>
  <c r="G9" i="17"/>
  <c r="M10" i="17"/>
  <c r="G13" i="17"/>
  <c r="M14" i="17"/>
  <c r="G17" i="17"/>
  <c r="M18" i="17"/>
  <c r="G21" i="17"/>
  <c r="M22" i="17"/>
  <c r="G25" i="17"/>
  <c r="M26" i="17"/>
  <c r="G29" i="17"/>
  <c r="M30" i="17"/>
  <c r="G33" i="17"/>
  <c r="M34" i="17"/>
  <c r="R37" i="17"/>
  <c r="R41" i="17"/>
  <c r="R45" i="17"/>
  <c r="R49" i="17"/>
  <c r="R53" i="17"/>
  <c r="Y55" i="17"/>
  <c r="W56" i="17"/>
  <c r="U57" i="17"/>
  <c r="Y59" i="17"/>
  <c r="W60" i="17"/>
  <c r="U61" i="17"/>
  <c r="Y63" i="17"/>
  <c r="W64" i="17"/>
  <c r="U65" i="17"/>
  <c r="W66" i="17"/>
  <c r="U67" i="17"/>
  <c r="U68" i="17"/>
  <c r="Y70" i="17"/>
  <c r="W71" i="17"/>
  <c r="U72" i="17"/>
  <c r="G76" i="17"/>
  <c r="K77" i="17"/>
  <c r="P7" i="18"/>
  <c r="U11" i="18"/>
  <c r="K7" i="15"/>
  <c r="M8" i="15"/>
  <c r="P12" i="15"/>
  <c r="G16" i="15"/>
  <c r="R17" i="15"/>
  <c r="P21" i="15"/>
  <c r="P28" i="15"/>
  <c r="P32" i="15"/>
  <c r="P39" i="15"/>
  <c r="G42" i="15"/>
  <c r="M43" i="15"/>
  <c r="K46" i="15"/>
  <c r="K50" i="15"/>
  <c r="K57" i="15"/>
  <c r="K61" i="15"/>
  <c r="K65" i="15"/>
  <c r="R66" i="15"/>
  <c r="G69" i="15"/>
  <c r="R70" i="15"/>
  <c r="G73" i="15"/>
  <c r="K76" i="15"/>
  <c r="R5" i="16"/>
  <c r="R6" i="16"/>
  <c r="I10" i="16"/>
  <c r="P11" i="16"/>
  <c r="K14" i="16"/>
  <c r="I18" i="16"/>
  <c r="I22" i="16"/>
  <c r="P23" i="16"/>
  <c r="G26" i="16"/>
  <c r="M27" i="16"/>
  <c r="K30" i="16"/>
  <c r="G33" i="16"/>
  <c r="I36" i="16"/>
  <c r="P37" i="16"/>
  <c r="G40" i="16"/>
  <c r="G44" i="16"/>
  <c r="R45" i="16"/>
  <c r="I49" i="16"/>
  <c r="R57" i="16"/>
  <c r="I59" i="16"/>
  <c r="I60" i="16"/>
  <c r="I61" i="16"/>
  <c r="I62" i="16"/>
  <c r="I64" i="16"/>
  <c r="I65" i="16"/>
  <c r="M66" i="16"/>
  <c r="M67" i="16"/>
  <c r="R68" i="16"/>
  <c r="M70" i="16"/>
  <c r="P71" i="16"/>
  <c r="M72" i="16"/>
  <c r="W73" i="16"/>
  <c r="R77" i="16"/>
  <c r="U78" i="16"/>
  <c r="K6" i="17"/>
  <c r="R8" i="17"/>
  <c r="R12" i="17"/>
  <c r="R16" i="17"/>
  <c r="R20" i="17"/>
  <c r="R24" i="17"/>
  <c r="R28" i="17"/>
  <c r="R32" i="17"/>
  <c r="K38" i="17"/>
  <c r="P39" i="17"/>
  <c r="K42" i="17"/>
  <c r="P43" i="17"/>
  <c r="K46" i="17"/>
  <c r="P47" i="17"/>
  <c r="K50" i="17"/>
  <c r="P51" i="17"/>
  <c r="U52" i="17"/>
  <c r="U7" i="18"/>
  <c r="I8" i="18"/>
  <c r="K9" i="18"/>
  <c r="I12" i="18"/>
  <c r="K13" i="18"/>
  <c r="I16" i="18"/>
  <c r="K17" i="18"/>
  <c r="K18" i="18"/>
  <c r="M19" i="18"/>
  <c r="I23" i="18"/>
  <c r="I24" i="18"/>
  <c r="K25" i="18"/>
  <c r="P26" i="18"/>
  <c r="U29" i="18"/>
  <c r="W32" i="18"/>
  <c r="W33" i="18"/>
  <c r="R34" i="18"/>
  <c r="Y35" i="18"/>
  <c r="W36" i="18"/>
  <c r="G42" i="18"/>
  <c r="R48" i="18"/>
  <c r="M49" i="18"/>
  <c r="I52" i="18"/>
  <c r="W53" i="18"/>
  <c r="G55" i="18"/>
  <c r="I57" i="18"/>
  <c r="K58" i="18"/>
  <c r="I61" i="18"/>
  <c r="I64" i="18"/>
  <c r="W67" i="18"/>
  <c r="W72" i="18"/>
  <c r="M76" i="18"/>
  <c r="M77" i="18"/>
  <c r="G78" i="18"/>
  <c r="I6" i="19"/>
  <c r="K7" i="19"/>
  <c r="M8" i="19"/>
  <c r="G13" i="19"/>
  <c r="Y14" i="19"/>
  <c r="W14" i="19"/>
  <c r="U14" i="19"/>
  <c r="P19" i="19"/>
  <c r="R20" i="19"/>
  <c r="I22" i="19"/>
  <c r="K23" i="19"/>
  <c r="M24" i="19"/>
  <c r="G29" i="19"/>
  <c r="Y30" i="19"/>
  <c r="W30" i="19"/>
  <c r="U30" i="19"/>
  <c r="P35" i="19"/>
  <c r="Y36" i="19"/>
  <c r="W36" i="19"/>
  <c r="U36" i="19"/>
  <c r="G39" i="19"/>
  <c r="Y40" i="19"/>
  <c r="W40" i="19"/>
  <c r="U40" i="19"/>
  <c r="P45" i="19"/>
  <c r="R46" i="19"/>
  <c r="I48" i="19"/>
  <c r="K49" i="19"/>
  <c r="M50" i="19"/>
  <c r="I54" i="19"/>
  <c r="K55" i="19"/>
  <c r="M56" i="19"/>
  <c r="G61" i="19"/>
  <c r="U62" i="19"/>
  <c r="W62" i="19"/>
  <c r="Y62" i="19"/>
  <c r="R66" i="19"/>
  <c r="I68" i="19"/>
  <c r="K69" i="19"/>
  <c r="M70" i="19"/>
  <c r="I74" i="19"/>
  <c r="P75" i="19"/>
  <c r="U76" i="19"/>
  <c r="Y76" i="19"/>
  <c r="W76" i="19"/>
  <c r="K8" i="18"/>
  <c r="M9" i="18"/>
  <c r="K12" i="18"/>
  <c r="M13" i="18"/>
  <c r="K16" i="18"/>
  <c r="M17" i="18"/>
  <c r="W18" i="18"/>
  <c r="G20" i="18"/>
  <c r="P23" i="18"/>
  <c r="U24" i="18"/>
  <c r="P28" i="18"/>
  <c r="R29" i="18"/>
  <c r="G31" i="18"/>
  <c r="Y34" i="18"/>
  <c r="Y36" i="18"/>
  <c r="K39" i="18"/>
  <c r="R40" i="18"/>
  <c r="P42" i="18"/>
  <c r="R42" i="18"/>
  <c r="G46" i="18"/>
  <c r="U49" i="18"/>
  <c r="W55" i="18"/>
  <c r="W64" i="18"/>
  <c r="R66" i="18"/>
  <c r="K69" i="18"/>
  <c r="R70" i="18"/>
  <c r="R71" i="18"/>
  <c r="W76" i="18"/>
  <c r="I78" i="18"/>
  <c r="K14" i="19"/>
  <c r="I29" i="19"/>
  <c r="I39" i="19"/>
  <c r="R53" i="19"/>
  <c r="P58" i="19"/>
  <c r="M63" i="19"/>
  <c r="R73" i="19"/>
  <c r="I20" i="18"/>
  <c r="R28" i="18"/>
  <c r="I33" i="18"/>
  <c r="P37" i="18"/>
  <c r="K47" i="18"/>
  <c r="I53" i="18"/>
  <c r="I59" i="18"/>
  <c r="I67" i="18"/>
  <c r="G71" i="18"/>
  <c r="P75" i="18"/>
  <c r="G7" i="19"/>
  <c r="K17" i="19"/>
  <c r="I32" i="19"/>
  <c r="U42" i="19"/>
  <c r="Y42" i="19"/>
  <c r="W42" i="19"/>
  <c r="P47" i="19"/>
  <c r="M52" i="19"/>
  <c r="R62" i="19"/>
  <c r="P67" i="19"/>
  <c r="M72" i="19"/>
  <c r="U78" i="19"/>
  <c r="Y78" i="19"/>
  <c r="W78" i="19"/>
  <c r="G8" i="18"/>
  <c r="G12" i="18"/>
  <c r="G16" i="18"/>
  <c r="U20" i="18"/>
  <c r="I25" i="18"/>
  <c r="K34" i="18"/>
  <c r="W37" i="18"/>
  <c r="M42" i="18"/>
  <c r="G52" i="18"/>
  <c r="U62" i="18"/>
  <c r="P74" i="18"/>
  <c r="M78" i="18"/>
  <c r="G5" i="19"/>
  <c r="W15" i="19"/>
  <c r="U15" i="19"/>
  <c r="Y15" i="19"/>
  <c r="P20" i="19"/>
  <c r="M25" i="19"/>
  <c r="G30" i="19"/>
  <c r="I41" i="19"/>
  <c r="K56" i="19"/>
  <c r="I77" i="19"/>
  <c r="R18" i="20"/>
  <c r="P25" i="20"/>
  <c r="M32" i="20"/>
  <c r="I38" i="20"/>
  <c r="W51" i="20"/>
  <c r="I18" i="20"/>
  <c r="K54" i="20"/>
  <c r="U70" i="20"/>
  <c r="M54" i="20"/>
  <c r="W70" i="20"/>
  <c r="K45" i="21"/>
  <c r="G40" i="22"/>
  <c r="M65" i="22"/>
  <c r="M55" i="22"/>
  <c r="K75" i="17"/>
  <c r="M76" i="17"/>
  <c r="Y9" i="18"/>
  <c r="G13" i="18"/>
  <c r="I17" i="15"/>
  <c r="M18" i="15"/>
  <c r="G21" i="15"/>
  <c r="R22" i="15"/>
  <c r="G25" i="15"/>
  <c r="K29" i="15"/>
  <c r="K33" i="15"/>
  <c r="G37" i="15"/>
  <c r="R38" i="15"/>
  <c r="G41" i="15"/>
  <c r="M42" i="15"/>
  <c r="K45" i="15"/>
  <c r="P46" i="15"/>
  <c r="P50" i="15"/>
  <c r="P57" i="15"/>
  <c r="P61" i="15"/>
  <c r="P65" i="15"/>
  <c r="I68" i="15"/>
  <c r="M69" i="15"/>
  <c r="I72" i="15"/>
  <c r="M73" i="15"/>
  <c r="I75" i="15"/>
  <c r="P76" i="15"/>
  <c r="U5" i="16"/>
  <c r="U6" i="16"/>
  <c r="G9" i="16"/>
  <c r="K13" i="16"/>
  <c r="I16" i="16"/>
  <c r="P17" i="16"/>
  <c r="K20" i="16"/>
  <c r="P21" i="16"/>
  <c r="G24" i="16"/>
  <c r="M25" i="16"/>
  <c r="I28" i="16"/>
  <c r="P29" i="16"/>
  <c r="K32" i="16"/>
  <c r="M40" i="16"/>
  <c r="M44" i="16"/>
  <c r="U45" i="16"/>
  <c r="I48" i="16"/>
  <c r="R53" i="16"/>
  <c r="K55" i="16"/>
  <c r="R56" i="16"/>
  <c r="I68" i="16"/>
  <c r="G69" i="16"/>
  <c r="R70" i="16"/>
  <c r="K74" i="16"/>
  <c r="U75" i="16"/>
  <c r="G78" i="16"/>
  <c r="I6" i="17"/>
  <c r="K7" i="17"/>
  <c r="P8" i="17"/>
  <c r="K11" i="17"/>
  <c r="P12" i="17"/>
  <c r="K15" i="17"/>
  <c r="P16" i="17"/>
  <c r="K19" i="17"/>
  <c r="P20" i="17"/>
  <c r="K23" i="17"/>
  <c r="P24" i="17"/>
  <c r="K27" i="17"/>
  <c r="P28" i="17"/>
  <c r="K31" i="17"/>
  <c r="P32" i="17"/>
  <c r="K35" i="17"/>
  <c r="I38" i="17"/>
  <c r="I42" i="17"/>
  <c r="I46" i="17"/>
  <c r="I50" i="17"/>
  <c r="K55" i="17"/>
  <c r="I56" i="17"/>
  <c r="G57" i="17"/>
  <c r="K59" i="17"/>
  <c r="I60" i="17"/>
  <c r="G61" i="17"/>
  <c r="K63" i="17"/>
  <c r="I64" i="17"/>
  <c r="G65" i="17"/>
  <c r="I66" i="17"/>
  <c r="G67" i="17"/>
  <c r="K68" i="17"/>
  <c r="K70" i="17"/>
  <c r="I71" i="17"/>
  <c r="G72" i="17"/>
  <c r="M75" i="17"/>
  <c r="U76" i="17"/>
  <c r="U77" i="17"/>
  <c r="U78" i="17"/>
  <c r="G9" i="18"/>
  <c r="G6" i="15"/>
  <c r="P10" i="15"/>
  <c r="P14" i="15"/>
  <c r="R15" i="15"/>
  <c r="G18" i="15"/>
  <c r="P19" i="15"/>
  <c r="P23" i="15"/>
  <c r="K26" i="15"/>
  <c r="P30" i="15"/>
  <c r="P34" i="15"/>
  <c r="P37" i="15"/>
  <c r="P41" i="15"/>
  <c r="I44" i="15"/>
  <c r="M45" i="15"/>
  <c r="K48" i="15"/>
  <c r="K52" i="15"/>
  <c r="K55" i="15"/>
  <c r="K59" i="15"/>
  <c r="K63" i="15"/>
  <c r="G67" i="15"/>
  <c r="R68" i="15"/>
  <c r="G71" i="15"/>
  <c r="R72" i="15"/>
  <c r="G74" i="15"/>
  <c r="R75" i="15"/>
  <c r="K78" i="15"/>
  <c r="K8" i="16"/>
  <c r="P9" i="16"/>
  <c r="G12" i="16"/>
  <c r="M13" i="16"/>
  <c r="K16" i="16"/>
  <c r="R17" i="16"/>
  <c r="R21" i="16"/>
  <c r="I24" i="16"/>
  <c r="K28" i="16"/>
  <c r="R29" i="16"/>
  <c r="M32" i="16"/>
  <c r="G35" i="16"/>
  <c r="I38" i="16"/>
  <c r="G42" i="16"/>
  <c r="R48" i="16"/>
  <c r="G51" i="16"/>
  <c r="G54" i="16"/>
  <c r="M55" i="16"/>
  <c r="Y58" i="16"/>
  <c r="W59" i="16"/>
  <c r="W60" i="16"/>
  <c r="W61" i="16"/>
  <c r="U62" i="16"/>
  <c r="Y63" i="16"/>
  <c r="W64" i="16"/>
  <c r="W65" i="16"/>
  <c r="M74" i="16"/>
  <c r="W75" i="16"/>
  <c r="I78" i="16"/>
  <c r="P5" i="17"/>
  <c r="U6" i="17"/>
  <c r="I9" i="17"/>
  <c r="I13" i="17"/>
  <c r="I17" i="17"/>
  <c r="I21" i="17"/>
  <c r="I25" i="17"/>
  <c r="I29" i="17"/>
  <c r="I33" i="17"/>
  <c r="G36" i="17"/>
  <c r="M37" i="17"/>
  <c r="G40" i="17"/>
  <c r="M41" i="17"/>
  <c r="G44" i="17"/>
  <c r="M45" i="17"/>
  <c r="G48" i="17"/>
  <c r="M49" i="17"/>
  <c r="K52" i="17"/>
  <c r="M55" i="17"/>
  <c r="R56" i="17"/>
  <c r="P57" i="17"/>
  <c r="M59" i="17"/>
  <c r="R60" i="17"/>
  <c r="P61" i="17"/>
  <c r="M63" i="17"/>
  <c r="R64" i="17"/>
  <c r="P65" i="17"/>
  <c r="R66" i="17"/>
  <c r="P67" i="17"/>
  <c r="R68" i="17"/>
  <c r="M70" i="17"/>
  <c r="R71" i="17"/>
  <c r="P72" i="17"/>
  <c r="P74" i="17"/>
  <c r="P76" i="17"/>
  <c r="R77" i="17"/>
  <c r="G5" i="18"/>
  <c r="I10" i="18"/>
  <c r="P5" i="18"/>
  <c r="Y7" i="18"/>
  <c r="U9" i="18"/>
  <c r="R10" i="18"/>
  <c r="Y11" i="18"/>
  <c r="U13" i="18"/>
  <c r="R14" i="18"/>
  <c r="Y15" i="18"/>
  <c r="U17" i="18"/>
  <c r="W19" i="18"/>
  <c r="R20" i="18"/>
  <c r="M21" i="18"/>
  <c r="Y22" i="18"/>
  <c r="I28" i="18"/>
  <c r="K29" i="18"/>
  <c r="K30" i="18"/>
  <c r="R31" i="18"/>
  <c r="M32" i="18"/>
  <c r="M36" i="18"/>
  <c r="G37" i="18"/>
  <c r="P40" i="18"/>
  <c r="R41" i="18"/>
  <c r="G43" i="18"/>
  <c r="M46" i="18"/>
  <c r="M51" i="18"/>
  <c r="K54" i="18"/>
  <c r="U58" i="18"/>
  <c r="R59" i="18"/>
  <c r="Y60" i="18"/>
  <c r="U61" i="18"/>
  <c r="R62" i="18"/>
  <c r="Y63" i="18"/>
  <c r="U64" i="18"/>
  <c r="R65" i="18"/>
  <c r="P66" i="18"/>
  <c r="M67" i="18"/>
  <c r="G68" i="18"/>
  <c r="P70" i="18"/>
  <c r="P71" i="18"/>
  <c r="M72" i="18"/>
  <c r="G73" i="18"/>
  <c r="R74" i="18"/>
  <c r="Y75" i="18"/>
  <c r="W77" i="18"/>
  <c r="Y6" i="19"/>
  <c r="W6" i="19"/>
  <c r="U6" i="19"/>
  <c r="P11" i="19"/>
  <c r="R12" i="19"/>
  <c r="I14" i="19"/>
  <c r="K15" i="19"/>
  <c r="M16" i="19"/>
  <c r="G21" i="19"/>
  <c r="Y22" i="19"/>
  <c r="W22" i="19"/>
  <c r="U22" i="19"/>
  <c r="P27" i="19"/>
  <c r="R28" i="19"/>
  <c r="I30" i="19"/>
  <c r="K31" i="19"/>
  <c r="M32" i="19"/>
  <c r="I36" i="19"/>
  <c r="P37" i="19"/>
  <c r="R38" i="19"/>
  <c r="I40" i="19"/>
  <c r="K41" i="19"/>
  <c r="M42" i="19"/>
  <c r="G47" i="19"/>
  <c r="U48" i="19"/>
  <c r="W48" i="19"/>
  <c r="Y48" i="19"/>
  <c r="P53" i="19"/>
  <c r="Y54" i="19"/>
  <c r="W54" i="19"/>
  <c r="U54" i="19"/>
  <c r="P59" i="19"/>
  <c r="R60" i="19"/>
  <c r="I62" i="19"/>
  <c r="K63" i="19"/>
  <c r="M64" i="19"/>
  <c r="G67" i="19"/>
  <c r="Y68" i="19"/>
  <c r="W68" i="19"/>
  <c r="U68" i="19"/>
  <c r="P73" i="19"/>
  <c r="Y74" i="19"/>
  <c r="W74" i="19"/>
  <c r="U74" i="19"/>
  <c r="I76" i="19"/>
  <c r="K77" i="19"/>
  <c r="M78" i="19"/>
  <c r="R5" i="18"/>
  <c r="G19" i="18"/>
  <c r="G21" i="18"/>
  <c r="M25" i="18"/>
  <c r="R26" i="18"/>
  <c r="U27" i="18"/>
  <c r="I37" i="18"/>
  <c r="U38" i="18"/>
  <c r="G41" i="18"/>
  <c r="M50" i="18"/>
  <c r="I55" i="18"/>
  <c r="K57" i="18"/>
  <c r="M58" i="18"/>
  <c r="K61" i="18"/>
  <c r="Y62" i="18"/>
  <c r="K64" i="18"/>
  <c r="Y65" i="18"/>
  <c r="G72" i="18"/>
  <c r="Y77" i="18"/>
  <c r="R11" i="19"/>
  <c r="U21" i="19"/>
  <c r="W21" i="19"/>
  <c r="Y21" i="19"/>
  <c r="P26" i="19"/>
  <c r="M31" i="19"/>
  <c r="K36" i="19"/>
  <c r="M41" i="19"/>
  <c r="G46" i="19"/>
  <c r="I61" i="19"/>
  <c r="G66" i="19"/>
  <c r="K76" i="19"/>
  <c r="P22" i="18"/>
  <c r="G26" i="18"/>
  <c r="I31" i="18"/>
  <c r="P35" i="18"/>
  <c r="Y64" i="18"/>
  <c r="P73" i="18"/>
  <c r="R14" i="19"/>
  <c r="U24" i="19"/>
  <c r="W24" i="19"/>
  <c r="Y24" i="19"/>
  <c r="P29" i="19"/>
  <c r="M34" i="19"/>
  <c r="I50" i="19"/>
  <c r="G55" i="19"/>
  <c r="K65" i="19"/>
  <c r="I70" i="19"/>
  <c r="P10" i="18"/>
  <c r="P14" i="18"/>
  <c r="P18" i="18"/>
  <c r="R18" i="18"/>
  <c r="W22" i="18"/>
  <c r="P27" i="18"/>
  <c r="R27" i="18"/>
  <c r="I40" i="18"/>
  <c r="M44" i="18"/>
  <c r="P49" i="18"/>
  <c r="M55" i="18"/>
  <c r="R60" i="18"/>
  <c r="R68" i="18"/>
  <c r="U72" i="18"/>
  <c r="K76" i="18"/>
  <c r="K8" i="19"/>
  <c r="I23" i="19"/>
  <c r="P38" i="19"/>
  <c r="M43" i="19"/>
  <c r="G48" i="19"/>
  <c r="Y63" i="19"/>
  <c r="W63" i="19"/>
  <c r="U63" i="19"/>
  <c r="G68" i="19"/>
  <c r="I9" i="20"/>
  <c r="M15" i="20"/>
  <c r="M35" i="20"/>
  <c r="K46" i="20"/>
  <c r="M55" i="20"/>
  <c r="Y59" i="20"/>
  <c r="I28" i="20"/>
  <c r="P62" i="20"/>
  <c r="K12" i="21"/>
  <c r="K28" i="22"/>
  <c r="K54" i="22"/>
  <c r="I25" i="22"/>
  <c r="M65" i="16"/>
  <c r="P66" i="16"/>
  <c r="U67" i="16"/>
  <c r="R69" i="16"/>
  <c r="P70" i="16"/>
  <c r="G73" i="16"/>
  <c r="U74" i="16"/>
  <c r="Y5" i="17"/>
  <c r="I7" i="17"/>
  <c r="I11" i="17"/>
  <c r="I15" i="17"/>
  <c r="I19" i="17"/>
  <c r="I23" i="17"/>
  <c r="I27" i="17"/>
  <c r="I31" i="17"/>
  <c r="I35" i="17"/>
  <c r="R36" i="17"/>
  <c r="R40" i="17"/>
  <c r="R44" i="17"/>
  <c r="R48" i="17"/>
  <c r="Y52" i="17"/>
  <c r="W53" i="17"/>
  <c r="Y54" i="17"/>
  <c r="W55" i="17"/>
  <c r="U56" i="17"/>
  <c r="Y58" i="17"/>
  <c r="W59" i="17"/>
  <c r="U60" i="17"/>
  <c r="Y62" i="17"/>
  <c r="W63" i="17"/>
  <c r="U64" i="17"/>
  <c r="I68" i="17"/>
  <c r="K69" i="17"/>
  <c r="I70" i="17"/>
  <c r="G71" i="17"/>
  <c r="K73" i="17"/>
  <c r="M74" i="17"/>
  <c r="R75" i="17"/>
  <c r="K7" i="18"/>
  <c r="P17" i="15"/>
  <c r="K20" i="15"/>
  <c r="K24" i="15"/>
  <c r="G28" i="15"/>
  <c r="R29" i="15"/>
  <c r="G32" i="15"/>
  <c r="R33" i="15"/>
  <c r="K36" i="15"/>
  <c r="K40" i="15"/>
  <c r="G44" i="15"/>
  <c r="R45" i="15"/>
  <c r="I48" i="15"/>
  <c r="M49" i="15"/>
  <c r="I52" i="15"/>
  <c r="M53" i="15"/>
  <c r="I55" i="15"/>
  <c r="M56" i="15"/>
  <c r="I59" i="15"/>
  <c r="M60" i="15"/>
  <c r="I63" i="15"/>
  <c r="M64" i="15"/>
  <c r="P68" i="15"/>
  <c r="P72" i="15"/>
  <c r="P75" i="15"/>
  <c r="I78" i="15"/>
  <c r="I8" i="16"/>
  <c r="R13" i="16"/>
  <c r="P16" i="16"/>
  <c r="R20" i="16"/>
  <c r="G23" i="16"/>
  <c r="K27" i="16"/>
  <c r="P28" i="16"/>
  <c r="K31" i="16"/>
  <c r="M35" i="16"/>
  <c r="G38" i="16"/>
  <c r="M39" i="16"/>
  <c r="M43" i="16"/>
  <c r="K47" i="16"/>
  <c r="P48" i="16"/>
  <c r="M52" i="16"/>
  <c r="R55" i="16"/>
  <c r="M58" i="16"/>
  <c r="G59" i="16"/>
  <c r="G60" i="16"/>
  <c r="G61" i="16"/>
  <c r="G62" i="16"/>
  <c r="K63" i="16"/>
  <c r="G64" i="16"/>
  <c r="G65" i="16"/>
  <c r="K66" i="16"/>
  <c r="K67" i="16"/>
  <c r="P68" i="16"/>
  <c r="Y70" i="16"/>
  <c r="I73" i="16"/>
  <c r="W74" i="16"/>
  <c r="I77" i="16"/>
  <c r="I5" i="17"/>
  <c r="R7" i="17"/>
  <c r="R11" i="17"/>
  <c r="R15" i="17"/>
  <c r="R19" i="17"/>
  <c r="R23" i="17"/>
  <c r="R27" i="17"/>
  <c r="R31" i="17"/>
  <c r="R35" i="17"/>
  <c r="K37" i="17"/>
  <c r="P38" i="17"/>
  <c r="K41" i="17"/>
  <c r="P42" i="17"/>
  <c r="K45" i="17"/>
  <c r="P46" i="17"/>
  <c r="K49" i="17"/>
  <c r="P50" i="17"/>
  <c r="I52" i="17"/>
  <c r="K53" i="17"/>
  <c r="M54" i="17"/>
  <c r="R55" i="17"/>
  <c r="P56" i="17"/>
  <c r="M58" i="17"/>
  <c r="R59" i="17"/>
  <c r="P60" i="17"/>
  <c r="M62" i="17"/>
  <c r="R63" i="17"/>
  <c r="P64" i="17"/>
  <c r="P66" i="17"/>
  <c r="P68" i="17"/>
  <c r="M69" i="17"/>
  <c r="R70" i="17"/>
  <c r="P71" i="17"/>
  <c r="M73" i="17"/>
  <c r="U74" i="17"/>
  <c r="Y5" i="18"/>
  <c r="I5" i="15"/>
  <c r="G9" i="15"/>
  <c r="I12" i="15"/>
  <c r="M13" i="15"/>
  <c r="K17" i="15"/>
  <c r="I21" i="15"/>
  <c r="M22" i="15"/>
  <c r="I25" i="15"/>
  <c r="R26" i="15"/>
  <c r="I28" i="15"/>
  <c r="M29" i="15"/>
  <c r="I32" i="15"/>
  <c r="M33" i="15"/>
  <c r="M36" i="15"/>
  <c r="I39" i="15"/>
  <c r="M40" i="15"/>
  <c r="P44" i="15"/>
  <c r="G47" i="15"/>
  <c r="R48" i="15"/>
  <c r="G51" i="15"/>
  <c r="R52" i="15"/>
  <c r="G54" i="15"/>
  <c r="R55" i="15"/>
  <c r="G58" i="15"/>
  <c r="R59" i="15"/>
  <c r="G62" i="15"/>
  <c r="R63" i="15"/>
  <c r="K66" i="15"/>
  <c r="K70" i="15"/>
  <c r="G77" i="15"/>
  <c r="R78" i="15"/>
  <c r="M5" i="16"/>
  <c r="M6" i="16"/>
  <c r="G7" i="16"/>
  <c r="R8" i="16"/>
  <c r="I11" i="16"/>
  <c r="I15" i="16"/>
  <c r="R16" i="16"/>
  <c r="G19" i="16"/>
  <c r="M20" i="16"/>
  <c r="I23" i="16"/>
  <c r="P24" i="16"/>
  <c r="R28" i="16"/>
  <c r="M31" i="16"/>
  <c r="G34" i="16"/>
  <c r="I37" i="16"/>
  <c r="P38" i="16"/>
  <c r="G41" i="16"/>
  <c r="M45" i="16"/>
  <c r="G46" i="16"/>
  <c r="M47" i="16"/>
  <c r="G50" i="16"/>
  <c r="K57" i="16"/>
  <c r="K68" i="16"/>
  <c r="I69" i="16"/>
  <c r="K71" i="16"/>
  <c r="K73" i="16"/>
  <c r="Y74" i="16"/>
  <c r="G76" i="16"/>
  <c r="K77" i="16"/>
  <c r="P78" i="16"/>
  <c r="U5" i="17"/>
  <c r="K8" i="17"/>
  <c r="P9" i="17"/>
  <c r="K12" i="17"/>
  <c r="P13" i="17"/>
  <c r="K16" i="17"/>
  <c r="P17" i="17"/>
  <c r="K20" i="17"/>
  <c r="P21" i="17"/>
  <c r="K24" i="17"/>
  <c r="P25" i="17"/>
  <c r="K28" i="17"/>
  <c r="P29" i="17"/>
  <c r="K32" i="17"/>
  <c r="P33" i="17"/>
  <c r="I39" i="17"/>
  <c r="I43" i="17"/>
  <c r="I47" i="17"/>
  <c r="I51" i="17"/>
  <c r="P52" i="17"/>
  <c r="M53" i="17"/>
  <c r="U54" i="17"/>
  <c r="Y56" i="17"/>
  <c r="W57" i="17"/>
  <c r="U58" i="17"/>
  <c r="Y60" i="17"/>
  <c r="W61" i="17"/>
  <c r="U62" i="17"/>
  <c r="Y64" i="17"/>
  <c r="W65" i="17"/>
  <c r="Y66" i="17"/>
  <c r="W67" i="17"/>
  <c r="W68" i="17"/>
  <c r="U69" i="17"/>
  <c r="Y71" i="17"/>
  <c r="W72" i="17"/>
  <c r="U73" i="17"/>
  <c r="W74" i="17"/>
  <c r="U75" i="17"/>
  <c r="W76" i="17"/>
  <c r="W77" i="17"/>
  <c r="Y78" i="17"/>
  <c r="U5" i="18"/>
  <c r="W10" i="18"/>
  <c r="W14" i="18"/>
  <c r="W20" i="18"/>
  <c r="W21" i="18"/>
  <c r="K26" i="18"/>
  <c r="K27" i="18"/>
  <c r="P29" i="18"/>
  <c r="W31" i="18"/>
  <c r="R32" i="18"/>
  <c r="M33" i="18"/>
  <c r="M34" i="18"/>
  <c r="G35" i="18"/>
  <c r="R36" i="18"/>
  <c r="Y37" i="18"/>
  <c r="Y43" i="18"/>
  <c r="K45" i="18"/>
  <c r="W46" i="18"/>
  <c r="K48" i="18"/>
  <c r="K50" i="18"/>
  <c r="M53" i="18"/>
  <c r="W59" i="18"/>
  <c r="W62" i="18"/>
  <c r="W65" i="18"/>
  <c r="U66" i="18"/>
  <c r="R67" i="18"/>
  <c r="Y68" i="18"/>
  <c r="U70" i="18"/>
  <c r="U71" i="18"/>
  <c r="R72" i="18"/>
  <c r="Y73" i="18"/>
  <c r="W74" i="18"/>
  <c r="G9" i="19"/>
  <c r="Y10" i="19"/>
  <c r="W10" i="19"/>
  <c r="U10" i="19"/>
  <c r="P15" i="19"/>
  <c r="R16" i="19"/>
  <c r="I18" i="19"/>
  <c r="K19" i="19"/>
  <c r="M20" i="19"/>
  <c r="G25" i="19"/>
  <c r="Y26" i="19"/>
  <c r="W26" i="19"/>
  <c r="U26" i="19"/>
  <c r="P31" i="19"/>
  <c r="R32" i="19"/>
  <c r="I34" i="19"/>
  <c r="K35" i="19"/>
  <c r="P41" i="19"/>
  <c r="R42" i="19"/>
  <c r="I44" i="19"/>
  <c r="K45" i="19"/>
  <c r="M46" i="19"/>
  <c r="G51" i="19"/>
  <c r="Y52" i="19"/>
  <c r="W52" i="19"/>
  <c r="U52" i="19"/>
  <c r="G57" i="19"/>
  <c r="Y58" i="19"/>
  <c r="W58" i="19"/>
  <c r="U58" i="19"/>
  <c r="P63" i="19"/>
  <c r="R64" i="19"/>
  <c r="M66" i="19"/>
  <c r="G71" i="19"/>
  <c r="Y72" i="19"/>
  <c r="W72" i="19"/>
  <c r="U72" i="19"/>
  <c r="K75" i="19"/>
  <c r="P77" i="19"/>
  <c r="R78" i="19"/>
  <c r="W5" i="18"/>
  <c r="G10" i="18"/>
  <c r="G14" i="18"/>
  <c r="Y21" i="18"/>
  <c r="P24" i="18"/>
  <c r="W25" i="18"/>
  <c r="W26" i="18"/>
  <c r="K28" i="18"/>
  <c r="M29" i="18"/>
  <c r="M30" i="18"/>
  <c r="Y32" i="18"/>
  <c r="G34" i="18"/>
  <c r="I42" i="18"/>
  <c r="M45" i="18"/>
  <c r="G49" i="18"/>
  <c r="Y53" i="18"/>
  <c r="P57" i="18"/>
  <c r="W58" i="18"/>
  <c r="I60" i="18"/>
  <c r="P61" i="18"/>
  <c r="I63" i="18"/>
  <c r="P64" i="18"/>
  <c r="Y67" i="18"/>
  <c r="M71" i="18"/>
  <c r="Y72" i="18"/>
  <c r="G74" i="18"/>
  <c r="G76" i="18"/>
  <c r="I13" i="19"/>
  <c r="R27" i="19"/>
  <c r="R37" i="19"/>
  <c r="Y47" i="19"/>
  <c r="W47" i="19"/>
  <c r="U47" i="19"/>
  <c r="P52" i="19"/>
  <c r="K62" i="19"/>
  <c r="Y67" i="19"/>
  <c r="W67" i="19"/>
  <c r="U67" i="19"/>
  <c r="P72" i="19"/>
  <c r="M77" i="19"/>
  <c r="I19" i="18"/>
  <c r="M23" i="18"/>
  <c r="W27" i="18"/>
  <c r="I32" i="18"/>
  <c r="P78" i="18"/>
  <c r="I16" i="19"/>
  <c r="R30" i="19"/>
  <c r="G41" i="19"/>
  <c r="K51" i="19"/>
  <c r="U56" i="19"/>
  <c r="Y56" i="19"/>
  <c r="W56" i="19"/>
  <c r="P61" i="19"/>
  <c r="K71" i="19"/>
  <c r="G77" i="19"/>
  <c r="M7" i="18"/>
  <c r="M11" i="18"/>
  <c r="M15" i="18"/>
  <c r="U19" i="18"/>
  <c r="Y28" i="18"/>
  <c r="K41" i="18"/>
  <c r="P50" i="18"/>
  <c r="R50" i="18"/>
  <c r="Y57" i="18"/>
  <c r="U65" i="18"/>
  <c r="Y69" i="18"/>
  <c r="R73" i="18"/>
  <c r="P77" i="18"/>
  <c r="M9" i="19"/>
  <c r="G14" i="19"/>
  <c r="K24" i="19"/>
  <c r="R39" i="19"/>
  <c r="Y49" i="19"/>
  <c r="W49" i="19"/>
  <c r="U49" i="19"/>
  <c r="I55" i="19"/>
  <c r="Y69" i="19"/>
  <c r="W69" i="19"/>
  <c r="U69" i="19"/>
  <c r="K17" i="20"/>
  <c r="R30" i="20"/>
  <c r="K42" i="20"/>
  <c r="M47" i="20"/>
  <c r="R59" i="20"/>
  <c r="M75" i="20"/>
  <c r="K9" i="20"/>
  <c r="R31" i="20"/>
  <c r="I13" i="20"/>
  <c r="W66" i="20"/>
  <c r="P11" i="20"/>
  <c r="G50" i="20"/>
  <c r="Y66" i="20"/>
  <c r="P33" i="22"/>
  <c r="U59" i="22"/>
  <c r="W44" i="21"/>
  <c r="W41" i="22"/>
  <c r="P78" i="17"/>
  <c r="U8" i="18"/>
  <c r="R9" i="18"/>
  <c r="Y10" i="18"/>
  <c r="U12" i="18"/>
  <c r="R13" i="18"/>
  <c r="Y14" i="18"/>
  <c r="U16" i="18"/>
  <c r="R17" i="18"/>
  <c r="M18" i="18"/>
  <c r="Y19" i="18"/>
  <c r="I22" i="18"/>
  <c r="K23" i="18"/>
  <c r="K24" i="18"/>
  <c r="W29" i="18"/>
  <c r="G32" i="18"/>
  <c r="Y33" i="18"/>
  <c r="G36" i="18"/>
  <c r="P38" i="18"/>
  <c r="P39" i="18"/>
  <c r="M40" i="18"/>
  <c r="I43" i="18"/>
  <c r="I44" i="18"/>
  <c r="I47" i="18"/>
  <c r="Y48" i="18"/>
  <c r="G51" i="18"/>
  <c r="G53" i="18"/>
  <c r="U57" i="18"/>
  <c r="R58" i="18"/>
  <c r="Y59" i="18"/>
  <c r="W61" i="18"/>
  <c r="M66" i="18"/>
  <c r="G67" i="18"/>
  <c r="P69" i="18"/>
  <c r="M70" i="18"/>
  <c r="I73" i="18"/>
  <c r="Y74" i="18"/>
  <c r="G77" i="18"/>
  <c r="U5" i="19"/>
  <c r="G8" i="19"/>
  <c r="Y9" i="19"/>
  <c r="W9" i="19"/>
  <c r="U9" i="19"/>
  <c r="P14" i="19"/>
  <c r="R15" i="19"/>
  <c r="I17" i="19"/>
  <c r="K18" i="19"/>
  <c r="M19" i="19"/>
  <c r="G24" i="19"/>
  <c r="Y25" i="19"/>
  <c r="W25" i="19"/>
  <c r="U25" i="19"/>
  <c r="P30" i="19"/>
  <c r="R31" i="19"/>
  <c r="I33" i="19"/>
  <c r="K34" i="19"/>
  <c r="M35" i="19"/>
  <c r="P36" i="19"/>
  <c r="P40" i="19"/>
  <c r="R41" i="19"/>
  <c r="I43" i="19"/>
  <c r="K44" i="19"/>
  <c r="M45" i="19"/>
  <c r="G50" i="19"/>
  <c r="Y51" i="19"/>
  <c r="W51" i="19"/>
  <c r="U51" i="19"/>
  <c r="G56" i="19"/>
  <c r="U57" i="19"/>
  <c r="Y57" i="19"/>
  <c r="W57" i="19"/>
  <c r="P62" i="19"/>
  <c r="R63" i="19"/>
  <c r="I65" i="19"/>
  <c r="G70" i="19"/>
  <c r="U71" i="19"/>
  <c r="Y71" i="19"/>
  <c r="W71" i="19"/>
  <c r="M75" i="19"/>
  <c r="P76" i="19"/>
  <c r="R77" i="19"/>
  <c r="I14" i="18"/>
  <c r="K15" i="18"/>
  <c r="G18" i="18"/>
  <c r="R21" i="18"/>
  <c r="P21" i="18"/>
  <c r="U22" i="18"/>
  <c r="R23" i="18"/>
  <c r="M24" i="18"/>
  <c r="G25" i="18"/>
  <c r="Y26" i="18"/>
  <c r="W28" i="18"/>
  <c r="R33" i="18"/>
  <c r="P33" i="18"/>
  <c r="U35" i="18"/>
  <c r="U37" i="18"/>
  <c r="R38" i="18"/>
  <c r="M39" i="18"/>
  <c r="G40" i="18"/>
  <c r="U41" i="18"/>
  <c r="Y41" i="18"/>
  <c r="W41" i="18"/>
  <c r="K43" i="18"/>
  <c r="K44" i="18"/>
  <c r="I46" i="18"/>
  <c r="I49" i="18"/>
  <c r="G50" i="18"/>
  <c r="R53" i="18"/>
  <c r="P53" i="18"/>
  <c r="P55" i="18"/>
  <c r="M57" i="18"/>
  <c r="G58" i="18"/>
  <c r="P60" i="18"/>
  <c r="M61" i="18"/>
  <c r="I62" i="18"/>
  <c r="K63" i="18"/>
  <c r="G66" i="18"/>
  <c r="P68" i="18"/>
  <c r="M69" i="18"/>
  <c r="G70" i="18"/>
  <c r="Y71" i="18"/>
  <c r="U73" i="18"/>
  <c r="U75" i="18"/>
  <c r="Y76" i="18"/>
  <c r="U78" i="18"/>
  <c r="M5" i="19"/>
  <c r="M6" i="19"/>
  <c r="G11" i="19"/>
  <c r="Y12" i="19"/>
  <c r="W12" i="19"/>
  <c r="U12" i="19"/>
  <c r="P17" i="19"/>
  <c r="R18" i="19"/>
  <c r="I20" i="19"/>
  <c r="K21" i="19"/>
  <c r="M22" i="19"/>
  <c r="G27" i="19"/>
  <c r="Y28" i="19"/>
  <c r="W28" i="19"/>
  <c r="U28" i="19"/>
  <c r="P33" i="19"/>
  <c r="R34" i="19"/>
  <c r="M36" i="19"/>
  <c r="I38" i="19"/>
  <c r="K39" i="19"/>
  <c r="M40" i="19"/>
  <c r="G45" i="19"/>
  <c r="Y46" i="19"/>
  <c r="W46" i="19"/>
  <c r="U46" i="19"/>
  <c r="P51" i="19"/>
  <c r="R52" i="19"/>
  <c r="M54" i="19"/>
  <c r="G59" i="19"/>
  <c r="U60" i="19"/>
  <c r="Y60" i="19"/>
  <c r="W60" i="19"/>
  <c r="P65" i="19"/>
  <c r="Y66" i="19"/>
  <c r="W66" i="19"/>
  <c r="U66" i="19"/>
  <c r="P71" i="19"/>
  <c r="R72" i="19"/>
  <c r="M74" i="19"/>
  <c r="M76" i="19"/>
  <c r="R7" i="18"/>
  <c r="Y8" i="18"/>
  <c r="U10" i="18"/>
  <c r="R11" i="18"/>
  <c r="Y12" i="18"/>
  <c r="U14" i="18"/>
  <c r="R15" i="18"/>
  <c r="Y16" i="18"/>
  <c r="G24" i="18"/>
  <c r="R25" i="18"/>
  <c r="P25" i="18"/>
  <c r="Y27" i="18"/>
  <c r="K31" i="18"/>
  <c r="K32" i="18"/>
  <c r="K33" i="18"/>
  <c r="P34" i="18"/>
  <c r="M35" i="18"/>
  <c r="K36" i="18"/>
  <c r="G39" i="18"/>
  <c r="P41" i="18"/>
  <c r="W43" i="18"/>
  <c r="K46" i="18"/>
  <c r="M47" i="18"/>
  <c r="U48" i="18"/>
  <c r="Y49" i="18"/>
  <c r="I54" i="18"/>
  <c r="R55" i="18"/>
  <c r="W60" i="18"/>
  <c r="W63" i="18"/>
  <c r="W68" i="18"/>
  <c r="W73" i="18"/>
  <c r="U74" i="18"/>
  <c r="R75" i="18"/>
  <c r="U77" i="18"/>
  <c r="R78" i="18"/>
  <c r="Y5" i="19"/>
  <c r="P8" i="19"/>
  <c r="R9" i="19"/>
  <c r="I11" i="19"/>
  <c r="K12" i="19"/>
  <c r="M13" i="19"/>
  <c r="G18" i="19"/>
  <c r="Y19" i="19"/>
  <c r="W19" i="19"/>
  <c r="U19" i="19"/>
  <c r="P24" i="19"/>
  <c r="R25" i="19"/>
  <c r="I27" i="19"/>
  <c r="K28" i="19"/>
  <c r="M29" i="19"/>
  <c r="G34" i="19"/>
  <c r="Y35" i="19"/>
  <c r="W35" i="19"/>
  <c r="U35" i="19"/>
  <c r="Y37" i="19"/>
  <c r="W37" i="19"/>
  <c r="U37" i="19"/>
  <c r="P42" i="19"/>
  <c r="R43" i="19"/>
  <c r="I45" i="19"/>
  <c r="K46" i="19"/>
  <c r="M47" i="19"/>
  <c r="G52" i="19"/>
  <c r="Y53" i="19"/>
  <c r="W53" i="19"/>
  <c r="U53" i="19"/>
  <c r="P56" i="19"/>
  <c r="R57" i="19"/>
  <c r="I59" i="19"/>
  <c r="K60" i="19"/>
  <c r="M61" i="19"/>
  <c r="K66" i="19"/>
  <c r="M67" i="19"/>
  <c r="G72" i="19"/>
  <c r="U73" i="19"/>
  <c r="Y73" i="19"/>
  <c r="W73" i="19"/>
  <c r="W75" i="19"/>
  <c r="U75" i="19"/>
  <c r="Y75" i="19"/>
  <c r="P78" i="19"/>
  <c r="P6" i="20"/>
  <c r="R7" i="20"/>
  <c r="M11" i="20"/>
  <c r="I14" i="20"/>
  <c r="P17" i="20"/>
  <c r="M22" i="20"/>
  <c r="G29" i="20"/>
  <c r="I31" i="20"/>
  <c r="I33" i="20"/>
  <c r="P34" i="20"/>
  <c r="K41" i="20"/>
  <c r="R42" i="20"/>
  <c r="G45" i="20"/>
  <c r="P46" i="20"/>
  <c r="G49" i="20"/>
  <c r="M52" i="20"/>
  <c r="P56" i="20"/>
  <c r="R60" i="20"/>
  <c r="P76" i="20"/>
  <c r="P5" i="20"/>
  <c r="M10" i="20"/>
  <c r="P16" i="20"/>
  <c r="P27" i="20"/>
  <c r="G37" i="20"/>
  <c r="Y48" i="20"/>
  <c r="I61" i="20"/>
  <c r="M14" i="20"/>
  <c r="R19" i="20"/>
  <c r="G30" i="20"/>
  <c r="I35" i="20"/>
  <c r="I47" i="20"/>
  <c r="K51" i="20"/>
  <c r="I55" i="20"/>
  <c r="U75" i="20"/>
  <c r="G5" i="21"/>
  <c r="P7" i="20"/>
  <c r="K24" i="20"/>
  <c r="M29" i="20"/>
  <c r="G39" i="20"/>
  <c r="M43" i="20"/>
  <c r="R47" i="20"/>
  <c r="R55" i="20"/>
  <c r="P59" i="20"/>
  <c r="P63" i="20"/>
  <c r="U67" i="20"/>
  <c r="U71" i="20"/>
  <c r="W75" i="20"/>
  <c r="K8" i="21"/>
  <c r="M13" i="21"/>
  <c r="G25" i="21"/>
  <c r="U46" i="21"/>
  <c r="K24" i="22"/>
  <c r="P29" i="22"/>
  <c r="U55" i="22"/>
  <c r="M23" i="21"/>
  <c r="P30" i="21"/>
  <c r="Y38" i="21"/>
  <c r="I6" i="22"/>
  <c r="P14" i="22"/>
  <c r="R58" i="22"/>
  <c r="M10" i="22"/>
  <c r="G23" i="22"/>
  <c r="P42" i="22"/>
  <c r="G60" i="22"/>
  <c r="K32" i="21"/>
  <c r="I29" i="22"/>
  <c r="R65" i="22"/>
  <c r="K6" i="19"/>
  <c r="M7" i="19"/>
  <c r="G12" i="19"/>
  <c r="Y13" i="19"/>
  <c r="W13" i="19"/>
  <c r="U13" i="19"/>
  <c r="P18" i="19"/>
  <c r="R19" i="19"/>
  <c r="I21" i="19"/>
  <c r="K22" i="19"/>
  <c r="M23" i="19"/>
  <c r="G28" i="19"/>
  <c r="Y29" i="19"/>
  <c r="W29" i="19"/>
  <c r="U29" i="19"/>
  <c r="P34" i="19"/>
  <c r="R35" i="19"/>
  <c r="G38" i="19"/>
  <c r="U39" i="19"/>
  <c r="W39" i="19"/>
  <c r="Y39" i="19"/>
  <c r="P44" i="19"/>
  <c r="R45" i="19"/>
  <c r="I47" i="19"/>
  <c r="K48" i="19"/>
  <c r="M49" i="19"/>
  <c r="K54" i="19"/>
  <c r="M55" i="19"/>
  <c r="G60" i="19"/>
  <c r="Y61" i="19"/>
  <c r="W61" i="19"/>
  <c r="U61" i="19"/>
  <c r="I67" i="19"/>
  <c r="K68" i="19"/>
  <c r="M69" i="19"/>
  <c r="K74" i="19"/>
  <c r="R75" i="19"/>
  <c r="P15" i="18"/>
  <c r="M16" i="18"/>
  <c r="G17" i="18"/>
  <c r="Y18" i="18"/>
  <c r="W23" i="18"/>
  <c r="R24" i="18"/>
  <c r="Y25" i="18"/>
  <c r="G30" i="18"/>
  <c r="W38" i="18"/>
  <c r="R39" i="18"/>
  <c r="P43" i="18"/>
  <c r="P46" i="18"/>
  <c r="R46" i="18"/>
  <c r="G48" i="18"/>
  <c r="R49" i="18"/>
  <c r="M52" i="18"/>
  <c r="G54" i="18"/>
  <c r="Y55" i="18"/>
  <c r="R57" i="18"/>
  <c r="Y58" i="18"/>
  <c r="U60" i="18"/>
  <c r="R61" i="18"/>
  <c r="P63" i="18"/>
  <c r="M64" i="18"/>
  <c r="I65" i="18"/>
  <c r="Y66" i="18"/>
  <c r="U68" i="18"/>
  <c r="R69" i="18"/>
  <c r="Y70" i="18"/>
  <c r="R5" i="19"/>
  <c r="R6" i="19"/>
  <c r="I8" i="19"/>
  <c r="K9" i="19"/>
  <c r="M10" i="19"/>
  <c r="G15" i="19"/>
  <c r="Y16" i="19"/>
  <c r="W16" i="19"/>
  <c r="U16" i="19"/>
  <c r="P21" i="19"/>
  <c r="R22" i="19"/>
  <c r="I24" i="19"/>
  <c r="K25" i="19"/>
  <c r="M26" i="19"/>
  <c r="G31" i="19"/>
  <c r="Y32" i="19"/>
  <c r="W32" i="19"/>
  <c r="U32" i="19"/>
  <c r="R36" i="19"/>
  <c r="P39" i="19"/>
  <c r="R40" i="19"/>
  <c r="I42" i="19"/>
  <c r="K43" i="19"/>
  <c r="M44" i="19"/>
  <c r="G49" i="19"/>
  <c r="Y50" i="19"/>
  <c r="W50" i="19"/>
  <c r="U50" i="19"/>
  <c r="R54" i="19"/>
  <c r="I56" i="19"/>
  <c r="K57" i="19"/>
  <c r="M58" i="19"/>
  <c r="G63" i="19"/>
  <c r="Y64" i="19"/>
  <c r="W64" i="19"/>
  <c r="U64" i="19"/>
  <c r="G69" i="19"/>
  <c r="U70" i="19"/>
  <c r="Y70" i="19"/>
  <c r="W70" i="19"/>
  <c r="R74" i="19"/>
  <c r="R76" i="19"/>
  <c r="I78" i="19"/>
  <c r="W7" i="18"/>
  <c r="W11" i="18"/>
  <c r="W15" i="18"/>
  <c r="K19" i="18"/>
  <c r="K20" i="18"/>
  <c r="K21" i="18"/>
  <c r="M22" i="18"/>
  <c r="G23" i="18"/>
  <c r="Y24" i="18"/>
  <c r="I29" i="18"/>
  <c r="I30" i="18"/>
  <c r="P31" i="18"/>
  <c r="P32" i="18"/>
  <c r="U33" i="18"/>
  <c r="U34" i="18"/>
  <c r="R35" i="18"/>
  <c r="P36" i="18"/>
  <c r="M37" i="18"/>
  <c r="G38" i="18"/>
  <c r="Y39" i="18"/>
  <c r="U40" i="18"/>
  <c r="Y40" i="18"/>
  <c r="W40" i="18"/>
  <c r="I45" i="18"/>
  <c r="U46" i="18"/>
  <c r="K51" i="18"/>
  <c r="K53" i="18"/>
  <c r="I58" i="18"/>
  <c r="K59" i="18"/>
  <c r="K62" i="18"/>
  <c r="K65" i="18"/>
  <c r="I66" i="18"/>
  <c r="K67" i="18"/>
  <c r="I70" i="18"/>
  <c r="I71" i="18"/>
  <c r="K72" i="18"/>
  <c r="W75" i="18"/>
  <c r="W78" i="18"/>
  <c r="G6" i="19"/>
  <c r="Y7" i="19"/>
  <c r="W7" i="19"/>
  <c r="U7" i="19"/>
  <c r="P12" i="19"/>
  <c r="R13" i="19"/>
  <c r="I15" i="19"/>
  <c r="K16" i="19"/>
  <c r="M17" i="19"/>
  <c r="G22" i="19"/>
  <c r="Y23" i="19"/>
  <c r="W23" i="19"/>
  <c r="U23" i="19"/>
  <c r="P28" i="19"/>
  <c r="R29" i="19"/>
  <c r="I31" i="19"/>
  <c r="K32" i="19"/>
  <c r="M33" i="19"/>
  <c r="G36" i="19"/>
  <c r="G40" i="19"/>
  <c r="U41" i="19"/>
  <c r="Y41" i="19"/>
  <c r="W41" i="19"/>
  <c r="P46" i="19"/>
  <c r="R47" i="19"/>
  <c r="I49" i="19"/>
  <c r="K50" i="19"/>
  <c r="M51" i="19"/>
  <c r="G54" i="19"/>
  <c r="U55" i="19"/>
  <c r="Y55" i="19"/>
  <c r="W55" i="19"/>
  <c r="P60" i="19"/>
  <c r="R61" i="19"/>
  <c r="I63" i="19"/>
  <c r="K64" i="19"/>
  <c r="M65" i="19"/>
  <c r="P66" i="19"/>
  <c r="R67" i="19"/>
  <c r="I69" i="19"/>
  <c r="K70" i="19"/>
  <c r="M71" i="19"/>
  <c r="G74" i="19"/>
  <c r="G76" i="19"/>
  <c r="Y77" i="19"/>
  <c r="W77" i="19"/>
  <c r="U77" i="19"/>
  <c r="G5" i="20"/>
  <c r="U6" i="20"/>
  <c r="K10" i="20"/>
  <c r="R11" i="20"/>
  <c r="I16" i="20"/>
  <c r="I21" i="20"/>
  <c r="M26" i="20"/>
  <c r="P31" i="20"/>
  <c r="M36" i="20"/>
  <c r="M37" i="20"/>
  <c r="I40" i="20"/>
  <c r="P41" i="20"/>
  <c r="I48" i="20"/>
  <c r="Y49" i="20"/>
  <c r="G53" i="20"/>
  <c r="W64" i="20"/>
  <c r="G73" i="20"/>
  <c r="R6" i="20"/>
  <c r="R17" i="20"/>
  <c r="K23" i="20"/>
  <c r="K38" i="20"/>
  <c r="G62" i="20"/>
  <c r="K5" i="20"/>
  <c r="G10" i="20"/>
  <c r="I26" i="20"/>
  <c r="M31" i="20"/>
  <c r="I36" i="20"/>
  <c r="W39" i="20"/>
  <c r="I52" i="20"/>
  <c r="Y68" i="20"/>
  <c r="U72" i="20"/>
  <c r="M77" i="20"/>
  <c r="R8" i="20"/>
  <c r="G14" i="20"/>
  <c r="I20" i="20"/>
  <c r="R44" i="20"/>
  <c r="K52" i="20"/>
  <c r="P60" i="20"/>
  <c r="P64" i="20"/>
  <c r="R72" i="20"/>
  <c r="M9" i="21"/>
  <c r="G21" i="21"/>
  <c r="I20" i="22"/>
  <c r="P25" i="22"/>
  <c r="Y36" i="22"/>
  <c r="Y43" i="22"/>
  <c r="K62" i="22"/>
  <c r="G9" i="21"/>
  <c r="K17" i="21"/>
  <c r="I25" i="21"/>
  <c r="Y40" i="21"/>
  <c r="M47" i="21"/>
  <c r="P7" i="22"/>
  <c r="P18" i="22"/>
  <c r="M32" i="22"/>
  <c r="W61" i="22"/>
  <c r="K21" i="21"/>
  <c r="G44" i="21"/>
  <c r="R13" i="22"/>
  <c r="Y28" i="22"/>
  <c r="P46" i="22"/>
  <c r="P65" i="22"/>
  <c r="U38" i="21"/>
  <c r="G15" i="22"/>
  <c r="I33" i="22"/>
  <c r="M50" i="22"/>
  <c r="G71" i="22"/>
  <c r="K5" i="19"/>
  <c r="P6" i="19"/>
  <c r="R7" i="19"/>
  <c r="I9" i="19"/>
  <c r="K10" i="19"/>
  <c r="M11" i="19"/>
  <c r="G16" i="19"/>
  <c r="Y17" i="19"/>
  <c r="W17" i="19"/>
  <c r="U17" i="19"/>
  <c r="P22" i="19"/>
  <c r="R23" i="19"/>
  <c r="I25" i="19"/>
  <c r="K26" i="19"/>
  <c r="M27" i="19"/>
  <c r="G32" i="19"/>
  <c r="Y33" i="19"/>
  <c r="W33" i="19"/>
  <c r="U33" i="19"/>
  <c r="M37" i="19"/>
  <c r="G42" i="19"/>
  <c r="Y43" i="19"/>
  <c r="W43" i="19"/>
  <c r="U43" i="19"/>
  <c r="P48" i="19"/>
  <c r="R49" i="19"/>
  <c r="I51" i="19"/>
  <c r="K52" i="19"/>
  <c r="M53" i="19"/>
  <c r="P54" i="19"/>
  <c r="R55" i="19"/>
  <c r="I57" i="19"/>
  <c r="K58" i="19"/>
  <c r="M59" i="19"/>
  <c r="G64" i="19"/>
  <c r="Y65" i="19"/>
  <c r="W65" i="19"/>
  <c r="U65" i="19"/>
  <c r="P68" i="19"/>
  <c r="R69" i="19"/>
  <c r="I71" i="19"/>
  <c r="K72" i="19"/>
  <c r="M73" i="19"/>
  <c r="P74" i="19"/>
  <c r="G78" i="19"/>
  <c r="Y13" i="18"/>
  <c r="U15" i="18"/>
  <c r="R16" i="18"/>
  <c r="Y17" i="18"/>
  <c r="K22" i="18"/>
  <c r="W24" i="18"/>
  <c r="G27" i="18"/>
  <c r="M28" i="18"/>
  <c r="G29" i="18"/>
  <c r="I34" i="18"/>
  <c r="K35" i="18"/>
  <c r="I36" i="18"/>
  <c r="K37" i="18"/>
  <c r="W39" i="18"/>
  <c r="I41" i="18"/>
  <c r="K42" i="18"/>
  <c r="U43" i="18"/>
  <c r="G45" i="18"/>
  <c r="W49" i="18"/>
  <c r="I51" i="18"/>
  <c r="W57" i="18"/>
  <c r="Y61" i="18"/>
  <c r="U63" i="18"/>
  <c r="R64" i="18"/>
  <c r="W69" i="18"/>
  <c r="I72" i="18"/>
  <c r="K73" i="18"/>
  <c r="I74" i="18"/>
  <c r="K75" i="18"/>
  <c r="I76" i="18"/>
  <c r="I77" i="18"/>
  <c r="K78" i="18"/>
  <c r="W5" i="19"/>
  <c r="P9" i="19"/>
  <c r="R10" i="19"/>
  <c r="I12" i="19"/>
  <c r="K13" i="19"/>
  <c r="M14" i="19"/>
  <c r="G19" i="19"/>
  <c r="U20" i="19"/>
  <c r="Y20" i="19"/>
  <c r="W20" i="19"/>
  <c r="P25" i="19"/>
  <c r="R26" i="19"/>
  <c r="I28" i="19"/>
  <c r="K29" i="19"/>
  <c r="M30" i="19"/>
  <c r="G35" i="19"/>
  <c r="G37" i="19"/>
  <c r="U38" i="19"/>
  <c r="Y38" i="19"/>
  <c r="W38" i="19"/>
  <c r="P43" i="19"/>
  <c r="R44" i="19"/>
  <c r="I46" i="19"/>
  <c r="K47" i="19"/>
  <c r="M48" i="19"/>
  <c r="G53" i="19"/>
  <c r="P57" i="19"/>
  <c r="R58" i="19"/>
  <c r="I60" i="19"/>
  <c r="K61" i="19"/>
  <c r="M62" i="19"/>
  <c r="I66" i="19"/>
  <c r="K67" i="19"/>
  <c r="M68" i="19"/>
  <c r="G73" i="19"/>
  <c r="G75" i="19"/>
  <c r="I5" i="18"/>
  <c r="I9" i="18"/>
  <c r="K10" i="18"/>
  <c r="I13" i="18"/>
  <c r="K14" i="18"/>
  <c r="I17" i="18"/>
  <c r="I18" i="18"/>
  <c r="P19" i="18"/>
  <c r="P20" i="18"/>
  <c r="U21" i="18"/>
  <c r="R22" i="18"/>
  <c r="Y23" i="18"/>
  <c r="I26" i="18"/>
  <c r="I27" i="18"/>
  <c r="G28" i="18"/>
  <c r="P30" i="18"/>
  <c r="R30" i="18"/>
  <c r="U31" i="18"/>
  <c r="U32" i="18"/>
  <c r="W35" i="18"/>
  <c r="U36" i="18"/>
  <c r="R37" i="18"/>
  <c r="Y38" i="18"/>
  <c r="M43" i="18"/>
  <c r="R45" i="18"/>
  <c r="P45" i="18"/>
  <c r="I48" i="18"/>
  <c r="K49" i="18"/>
  <c r="I50" i="18"/>
  <c r="U53" i="18"/>
  <c r="G57" i="18"/>
  <c r="P59" i="18"/>
  <c r="M60" i="18"/>
  <c r="G61" i="18"/>
  <c r="P62" i="18"/>
  <c r="M63" i="18"/>
  <c r="G64" i="18"/>
  <c r="P65" i="18"/>
  <c r="P67" i="18"/>
  <c r="M68" i="18"/>
  <c r="G69" i="18"/>
  <c r="P72" i="18"/>
  <c r="M73" i="18"/>
  <c r="K74" i="18"/>
  <c r="K77" i="18"/>
  <c r="G10" i="19"/>
  <c r="U11" i="19"/>
  <c r="Y11" i="19"/>
  <c r="W11" i="19"/>
  <c r="P16" i="19"/>
  <c r="R17" i="19"/>
  <c r="I19" i="19"/>
  <c r="K20" i="19"/>
  <c r="M21" i="19"/>
  <c r="G26" i="19"/>
  <c r="U27" i="19"/>
  <c r="Y27" i="19"/>
  <c r="W27" i="19"/>
  <c r="P32" i="19"/>
  <c r="R33" i="19"/>
  <c r="I35" i="19"/>
  <c r="I37" i="19"/>
  <c r="K38" i="19"/>
  <c r="M39" i="19"/>
  <c r="G44" i="19"/>
  <c r="W45" i="19"/>
  <c r="U45" i="19"/>
  <c r="Y45" i="19"/>
  <c r="P50" i="19"/>
  <c r="R51" i="19"/>
  <c r="I53" i="19"/>
  <c r="G58" i="19"/>
  <c r="W59" i="19"/>
  <c r="U59" i="19"/>
  <c r="Y59" i="19"/>
  <c r="P64" i="19"/>
  <c r="R65" i="19"/>
  <c r="P70" i="19"/>
  <c r="R71" i="19"/>
  <c r="I73" i="19"/>
  <c r="I75" i="19"/>
  <c r="P10" i="20"/>
  <c r="R13" i="20"/>
  <c r="M18" i="20"/>
  <c r="P21" i="20"/>
  <c r="P23" i="20"/>
  <c r="I25" i="20"/>
  <c r="R26" i="20"/>
  <c r="R28" i="20"/>
  <c r="K30" i="20"/>
  <c r="R36" i="20"/>
  <c r="I39" i="20"/>
  <c r="P40" i="20"/>
  <c r="G43" i="20"/>
  <c r="M44" i="20"/>
  <c r="P48" i="20"/>
  <c r="P50" i="20"/>
  <c r="P58" i="20"/>
  <c r="M62" i="20"/>
  <c r="G13" i="20"/>
  <c r="I19" i="20"/>
  <c r="W34" i="20"/>
  <c r="K39" i="20"/>
  <c r="W46" i="20"/>
  <c r="Y50" i="20"/>
  <c r="W58" i="20"/>
  <c r="Y63" i="20"/>
  <c r="Y6" i="20"/>
  <c r="R16" i="20"/>
  <c r="I22" i="20"/>
  <c r="R27" i="20"/>
  <c r="I37" i="20"/>
  <c r="Y40" i="20"/>
  <c r="K49" i="20"/>
  <c r="K53" i="20"/>
  <c r="K57" i="20"/>
  <c r="Y61" i="20"/>
  <c r="W65" i="20"/>
  <c r="W69" i="20"/>
  <c r="W73" i="20"/>
  <c r="I10" i="20"/>
  <c r="K32" i="20"/>
  <c r="M45" i="20"/>
  <c r="M49" i="20"/>
  <c r="M57" i="20"/>
  <c r="M61" i="20"/>
  <c r="R65" i="20"/>
  <c r="Y69" i="20"/>
  <c r="M73" i="20"/>
  <c r="G78" i="20"/>
  <c r="G16" i="21"/>
  <c r="G33" i="21"/>
  <c r="I16" i="22"/>
  <c r="K32" i="22"/>
  <c r="G38" i="22"/>
  <c r="Y45" i="22"/>
  <c r="Y52" i="22"/>
  <c r="K58" i="22"/>
  <c r="W63" i="22"/>
  <c r="G74" i="22"/>
  <c r="P11" i="21"/>
  <c r="R19" i="21"/>
  <c r="K34" i="21"/>
  <c r="G42" i="21"/>
  <c r="P49" i="21"/>
  <c r="P22" i="22"/>
  <c r="R35" i="22"/>
  <c r="M26" i="21"/>
  <c r="W16" i="22"/>
  <c r="P50" i="22"/>
  <c r="M21" i="21"/>
  <c r="Y20" i="22"/>
  <c r="R37" i="22"/>
  <c r="P67" i="22"/>
  <c r="P77" i="22"/>
  <c r="I50" i="20"/>
  <c r="G51" i="20"/>
  <c r="G54" i="20"/>
  <c r="I56" i="20"/>
  <c r="G57" i="20"/>
  <c r="K58" i="20"/>
  <c r="K59" i="20"/>
  <c r="M60" i="20"/>
  <c r="G61" i="20"/>
  <c r="W63" i="20"/>
  <c r="R64" i="20"/>
  <c r="M65" i="20"/>
  <c r="W67" i="20"/>
  <c r="U68" i="20"/>
  <c r="Y70" i="20"/>
  <c r="W71" i="20"/>
  <c r="G74" i="20"/>
  <c r="K76" i="20"/>
  <c r="I5" i="20"/>
  <c r="M6" i="20"/>
  <c r="G7" i="20"/>
  <c r="G11" i="20"/>
  <c r="P14" i="20"/>
  <c r="K16" i="20"/>
  <c r="M17" i="20"/>
  <c r="R21" i="20"/>
  <c r="G24" i="20"/>
  <c r="R25" i="20"/>
  <c r="I27" i="20"/>
  <c r="M28" i="20"/>
  <c r="K31" i="20"/>
  <c r="U33" i="20"/>
  <c r="R34" i="20"/>
  <c r="W41" i="20"/>
  <c r="W43" i="20"/>
  <c r="U45" i="20"/>
  <c r="R46" i="20"/>
  <c r="R48" i="20"/>
  <c r="R50" i="20"/>
  <c r="P51" i="20"/>
  <c r="Y52" i="20"/>
  <c r="U53" i="20"/>
  <c r="W54" i="20"/>
  <c r="Y56" i="20"/>
  <c r="U57" i="20"/>
  <c r="R58" i="20"/>
  <c r="M59" i="20"/>
  <c r="G63" i="20"/>
  <c r="Y64" i="20"/>
  <c r="U65" i="20"/>
  <c r="U66" i="20"/>
  <c r="Y67" i="20"/>
  <c r="W68" i="20"/>
  <c r="U69" i="20"/>
  <c r="Y71" i="20"/>
  <c r="U73" i="20"/>
  <c r="W74" i="20"/>
  <c r="W76" i="20"/>
  <c r="U77" i="20"/>
  <c r="G6" i="20"/>
  <c r="I15" i="20"/>
  <c r="M16" i="20"/>
  <c r="K19" i="20"/>
  <c r="P24" i="20"/>
  <c r="K27" i="20"/>
  <c r="P32" i="20"/>
  <c r="W33" i="20"/>
  <c r="W38" i="20"/>
  <c r="R39" i="20"/>
  <c r="M40" i="20"/>
  <c r="Y41" i="20"/>
  <c r="U42" i="20"/>
  <c r="Y43" i="20"/>
  <c r="U44" i="20"/>
  <c r="W45" i="20"/>
  <c r="G59" i="20"/>
  <c r="R61" i="20"/>
  <c r="P65" i="20"/>
  <c r="R66" i="20"/>
  <c r="M67" i="20"/>
  <c r="R68" i="20"/>
  <c r="P69" i="20"/>
  <c r="M71" i="20"/>
  <c r="P72" i="20"/>
  <c r="R73" i="20"/>
  <c r="R74" i="20"/>
  <c r="P75" i="20"/>
  <c r="I9" i="21"/>
  <c r="I6" i="20"/>
  <c r="K7" i="20"/>
  <c r="M8" i="20"/>
  <c r="K11" i="20"/>
  <c r="M12" i="20"/>
  <c r="P15" i="20"/>
  <c r="I17" i="20"/>
  <c r="P18" i="20"/>
  <c r="G21" i="20"/>
  <c r="R22" i="20"/>
  <c r="G25" i="20"/>
  <c r="P26" i="20"/>
  <c r="P30" i="20"/>
  <c r="Y33" i="20"/>
  <c r="W35" i="20"/>
  <c r="U36" i="20"/>
  <c r="Y37" i="20"/>
  <c r="G40" i="20"/>
  <c r="I41" i="20"/>
  <c r="I42" i="20"/>
  <c r="K44" i="20"/>
  <c r="I46" i="20"/>
  <c r="K47" i="20"/>
  <c r="G48" i="20"/>
  <c r="K55" i="20"/>
  <c r="G56" i="20"/>
  <c r="I58" i="20"/>
  <c r="I59" i="20"/>
  <c r="K60" i="20"/>
  <c r="K62" i="20"/>
  <c r="K63" i="20"/>
  <c r="K64" i="20"/>
  <c r="K65" i="20"/>
  <c r="M66" i="20"/>
  <c r="M68" i="20"/>
  <c r="R69" i="20"/>
  <c r="P70" i="20"/>
  <c r="M72" i="20"/>
  <c r="M74" i="20"/>
  <c r="R75" i="20"/>
  <c r="Y5" i="21"/>
  <c r="G10" i="21"/>
  <c r="G14" i="21"/>
  <c r="K46" i="21"/>
  <c r="U47" i="21"/>
  <c r="I5" i="22"/>
  <c r="Y6" i="22"/>
  <c r="I17" i="22"/>
  <c r="I21" i="22"/>
  <c r="K25" i="22"/>
  <c r="P26" i="22"/>
  <c r="K29" i="22"/>
  <c r="P30" i="22"/>
  <c r="K33" i="22"/>
  <c r="P34" i="22"/>
  <c r="G36" i="22"/>
  <c r="Y39" i="22"/>
  <c r="Y41" i="22"/>
  <c r="G43" i="22"/>
  <c r="Y48" i="22"/>
  <c r="G50" i="22"/>
  <c r="G52" i="22"/>
  <c r="K55" i="22"/>
  <c r="U56" i="22"/>
  <c r="K59" i="22"/>
  <c r="U60" i="22"/>
  <c r="K63" i="22"/>
  <c r="Y66" i="22"/>
  <c r="K73" i="22"/>
  <c r="P7" i="21"/>
  <c r="R12" i="21"/>
  <c r="M19" i="21"/>
  <c r="I21" i="21"/>
  <c r="P26" i="21"/>
  <c r="K30" i="21"/>
  <c r="R31" i="21"/>
  <c r="Y36" i="21"/>
  <c r="G38" i="21"/>
  <c r="M44" i="21"/>
  <c r="W45" i="21"/>
  <c r="K49" i="21"/>
  <c r="K51" i="21"/>
  <c r="U5" i="22"/>
  <c r="K7" i="22"/>
  <c r="P8" i="22"/>
  <c r="P13" i="22"/>
  <c r="P17" i="22"/>
  <c r="P21" i="22"/>
  <c r="M28" i="22"/>
  <c r="R31" i="22"/>
  <c r="W34" i="22"/>
  <c r="R54" i="22"/>
  <c r="W57" i="22"/>
  <c r="M71" i="22"/>
  <c r="K25" i="21"/>
  <c r="M30" i="21"/>
  <c r="K6" i="22"/>
  <c r="R9" i="22"/>
  <c r="W12" i="22"/>
  <c r="M22" i="22"/>
  <c r="G27" i="22"/>
  <c r="Y32" i="22"/>
  <c r="P37" i="22"/>
  <c r="P41" i="22"/>
  <c r="P45" i="22"/>
  <c r="P49" i="22"/>
  <c r="P53" i="22"/>
  <c r="K20" i="21"/>
  <c r="M25" i="21"/>
  <c r="K37" i="21"/>
  <c r="U42" i="21"/>
  <c r="Y8" i="22"/>
  <c r="G19" i="22"/>
  <c r="I24" i="22"/>
  <c r="I28" i="22"/>
  <c r="I32" i="22"/>
  <c r="M36" i="22"/>
  <c r="W40" i="22"/>
  <c r="R53" i="22"/>
  <c r="K72" i="22"/>
  <c r="G76" i="22"/>
  <c r="K66" i="22"/>
  <c r="M73" i="22"/>
  <c r="W50" i="20"/>
  <c r="U51" i="20"/>
  <c r="R52" i="20"/>
  <c r="U54" i="20"/>
  <c r="Y55" i="20"/>
  <c r="W56" i="20"/>
  <c r="U58" i="20"/>
  <c r="W59" i="20"/>
  <c r="W60" i="20"/>
  <c r="U61" i="20"/>
  <c r="R62" i="20"/>
  <c r="M63" i="20"/>
  <c r="G66" i="20"/>
  <c r="I67" i="20"/>
  <c r="G68" i="20"/>
  <c r="K70" i="20"/>
  <c r="I71" i="20"/>
  <c r="G72" i="20"/>
  <c r="U74" i="20"/>
  <c r="Y75" i="20"/>
  <c r="U76" i="20"/>
  <c r="U5" i="21"/>
  <c r="U5" i="20"/>
  <c r="W6" i="20"/>
  <c r="I8" i="20"/>
  <c r="P9" i="20"/>
  <c r="R10" i="20"/>
  <c r="I12" i="20"/>
  <c r="G15" i="20"/>
  <c r="P19" i="20"/>
  <c r="G22" i="20"/>
  <c r="R23" i="20"/>
  <c r="G26" i="20"/>
  <c r="I29" i="20"/>
  <c r="M30" i="20"/>
  <c r="K33" i="20"/>
  <c r="G36" i="20"/>
  <c r="P38" i="20"/>
  <c r="P39" i="20"/>
  <c r="R40" i="20"/>
  <c r="M41" i="20"/>
  <c r="I43" i="20"/>
  <c r="G44" i="20"/>
  <c r="I45" i="20"/>
  <c r="I53" i="20"/>
  <c r="I54" i="20"/>
  <c r="G55" i="20"/>
  <c r="K56" i="20"/>
  <c r="I57" i="20"/>
  <c r="G60" i="20"/>
  <c r="P61" i="20"/>
  <c r="Y62" i="20"/>
  <c r="G65" i="20"/>
  <c r="I66" i="20"/>
  <c r="K67" i="20"/>
  <c r="I68" i="20"/>
  <c r="G69" i="20"/>
  <c r="K71" i="20"/>
  <c r="I72" i="20"/>
  <c r="I73" i="20"/>
  <c r="I74" i="20"/>
  <c r="G75" i="20"/>
  <c r="M76" i="20"/>
  <c r="K77" i="20"/>
  <c r="K78" i="20"/>
  <c r="R5" i="20"/>
  <c r="K8" i="20"/>
  <c r="M9" i="20"/>
  <c r="K12" i="20"/>
  <c r="R14" i="20"/>
  <c r="P22" i="20"/>
  <c r="K29" i="20"/>
  <c r="M33" i="20"/>
  <c r="G34" i="20"/>
  <c r="P35" i="20"/>
  <c r="P37" i="20"/>
  <c r="M38" i="20"/>
  <c r="G42" i="20"/>
  <c r="K43" i="20"/>
  <c r="I44" i="20"/>
  <c r="K45" i="20"/>
  <c r="G46" i="20"/>
  <c r="P47" i="20"/>
  <c r="M48" i="20"/>
  <c r="P49" i="20"/>
  <c r="M50" i="20"/>
  <c r="R51" i="20"/>
  <c r="R53" i="20"/>
  <c r="R54" i="20"/>
  <c r="P55" i="20"/>
  <c r="M56" i="20"/>
  <c r="R57" i="20"/>
  <c r="Y58" i="20"/>
  <c r="G76" i="20"/>
  <c r="R77" i="20"/>
  <c r="M78" i="20"/>
  <c r="M5" i="20"/>
  <c r="K13" i="20"/>
  <c r="G16" i="20"/>
  <c r="P20" i="20"/>
  <c r="G23" i="20"/>
  <c r="R24" i="20"/>
  <c r="P28" i="20"/>
  <c r="G31" i="20"/>
  <c r="R32" i="20"/>
  <c r="I34" i="20"/>
  <c r="K35" i="20"/>
  <c r="K36" i="20"/>
  <c r="K37" i="20"/>
  <c r="G38" i="20"/>
  <c r="Y39" i="20"/>
  <c r="W42" i="20"/>
  <c r="W44" i="20"/>
  <c r="Y45" i="20"/>
  <c r="W47" i="20"/>
  <c r="U48" i="20"/>
  <c r="R49" i="20"/>
  <c r="M51" i="20"/>
  <c r="P52" i="20"/>
  <c r="M53" i="20"/>
  <c r="W55" i="20"/>
  <c r="U56" i="20"/>
  <c r="Y57" i="20"/>
  <c r="U59" i="20"/>
  <c r="U60" i="20"/>
  <c r="U62" i="20"/>
  <c r="U63" i="20"/>
  <c r="U64" i="20"/>
  <c r="Y65" i="20"/>
  <c r="W72" i="20"/>
  <c r="Y73" i="20"/>
  <c r="G77" i="20"/>
  <c r="Y78" i="20"/>
  <c r="K5" i="21"/>
  <c r="I7" i="21"/>
  <c r="P8" i="21"/>
  <c r="R9" i="21"/>
  <c r="I11" i="21"/>
  <c r="P12" i="21"/>
  <c r="R13" i="21"/>
  <c r="I15" i="21"/>
  <c r="K19" i="21"/>
  <c r="M20" i="21"/>
  <c r="K23" i="21"/>
  <c r="M24" i="21"/>
  <c r="K27" i="21"/>
  <c r="M28" i="21"/>
  <c r="K31" i="21"/>
  <c r="M32" i="21"/>
  <c r="M36" i="21"/>
  <c r="M37" i="21"/>
  <c r="M38" i="21"/>
  <c r="M39" i="21"/>
  <c r="M40" i="21"/>
  <c r="M41" i="21"/>
  <c r="M42" i="21"/>
  <c r="K44" i="21"/>
  <c r="U45" i="21"/>
  <c r="I49" i="21"/>
  <c r="I51" i="21"/>
  <c r="I7" i="22"/>
  <c r="I8" i="22"/>
  <c r="I9" i="22"/>
  <c r="I10" i="22"/>
  <c r="I11" i="22"/>
  <c r="I12" i="22"/>
  <c r="I13" i="22"/>
  <c r="I14" i="22"/>
  <c r="I15" i="22"/>
  <c r="I19" i="22"/>
  <c r="K23" i="22"/>
  <c r="P24" i="22"/>
  <c r="K27" i="22"/>
  <c r="P28" i="22"/>
  <c r="K31" i="22"/>
  <c r="P32" i="22"/>
  <c r="K35" i="22"/>
  <c r="Y40" i="22"/>
  <c r="G42" i="22"/>
  <c r="G44" i="22"/>
  <c r="Y47" i="22"/>
  <c r="Y49" i="22"/>
  <c r="G51" i="22"/>
  <c r="U54" i="22"/>
  <c r="K57" i="22"/>
  <c r="U58" i="22"/>
  <c r="K61" i="22"/>
  <c r="U62" i="22"/>
  <c r="K71" i="22"/>
  <c r="I10" i="21"/>
  <c r="G13" i="21"/>
  <c r="P17" i="21"/>
  <c r="K22" i="21"/>
  <c r="R23" i="21"/>
  <c r="M27" i="21"/>
  <c r="I29" i="21"/>
  <c r="P34" i="21"/>
  <c r="G37" i="21"/>
  <c r="G39" i="21"/>
  <c r="Y42" i="21"/>
  <c r="M46" i="21"/>
  <c r="W47" i="21"/>
  <c r="K9" i="22"/>
  <c r="P11" i="22"/>
  <c r="P15" i="22"/>
  <c r="P19" i="22"/>
  <c r="R23" i="22"/>
  <c r="W26" i="22"/>
  <c r="M59" i="22"/>
  <c r="R62" i="22"/>
  <c r="K16" i="21"/>
  <c r="M22" i="21"/>
  <c r="K33" i="21"/>
  <c r="I39" i="21"/>
  <c r="Y45" i="21"/>
  <c r="M14" i="22"/>
  <c r="R17" i="22"/>
  <c r="W20" i="22"/>
  <c r="Y24" i="22"/>
  <c r="G35" i="22"/>
  <c r="P39" i="22"/>
  <c r="P43" i="22"/>
  <c r="P47" i="22"/>
  <c r="P51" i="22"/>
  <c r="G56" i="22"/>
  <c r="Y61" i="22"/>
  <c r="K76" i="22"/>
  <c r="M16" i="21"/>
  <c r="K28" i="21"/>
  <c r="M33" i="21"/>
  <c r="I46" i="21"/>
  <c r="M6" i="22"/>
  <c r="G11" i="22"/>
  <c r="Y16" i="22"/>
  <c r="I26" i="22"/>
  <c r="I30" i="22"/>
  <c r="I34" i="22"/>
  <c r="R38" i="22"/>
  <c r="W42" i="22"/>
  <c r="M51" i="22"/>
  <c r="I67" i="22"/>
  <c r="K6" i="20"/>
  <c r="G8" i="20"/>
  <c r="G12" i="20"/>
  <c r="M13" i="20"/>
  <c r="R15" i="20"/>
  <c r="G19" i="20"/>
  <c r="R20" i="20"/>
  <c r="I23" i="20"/>
  <c r="M24" i="20"/>
  <c r="K28" i="20"/>
  <c r="U34" i="20"/>
  <c r="Y35" i="20"/>
  <c r="W36" i="20"/>
  <c r="U40" i="20"/>
  <c r="U41" i="20"/>
  <c r="Y42" i="20"/>
  <c r="U43" i="20"/>
  <c r="Y44" i="20"/>
  <c r="U46" i="20"/>
  <c r="Y47" i="20"/>
  <c r="W48" i="20"/>
  <c r="W52" i="20"/>
  <c r="W62" i="20"/>
  <c r="R63" i="20"/>
  <c r="M64" i="20"/>
  <c r="P67" i="20"/>
  <c r="M69" i="20"/>
  <c r="R70" i="20"/>
  <c r="P71" i="20"/>
  <c r="Y72" i="20"/>
  <c r="I77" i="20"/>
  <c r="I78" i="20"/>
  <c r="R7" i="21"/>
  <c r="P12" i="20"/>
  <c r="K14" i="20"/>
  <c r="G18" i="20"/>
  <c r="K21" i="20"/>
  <c r="K25" i="20"/>
  <c r="P29" i="20"/>
  <c r="G32" i="20"/>
  <c r="P33" i="20"/>
  <c r="M34" i="20"/>
  <c r="G35" i="20"/>
  <c r="Y36" i="20"/>
  <c r="U37" i="20"/>
  <c r="U38" i="20"/>
  <c r="U39" i="20"/>
  <c r="W40" i="20"/>
  <c r="R41" i="20"/>
  <c r="M42" i="20"/>
  <c r="P43" i="20"/>
  <c r="P45" i="20"/>
  <c r="M46" i="20"/>
  <c r="G47" i="20"/>
  <c r="K48" i="20"/>
  <c r="I49" i="20"/>
  <c r="K50" i="20"/>
  <c r="I51" i="20"/>
  <c r="G52" i="20"/>
  <c r="P53" i="20"/>
  <c r="P54" i="20"/>
  <c r="R56" i="20"/>
  <c r="P57" i="20"/>
  <c r="M58" i="20"/>
  <c r="Y60" i="20"/>
  <c r="W61" i="20"/>
  <c r="G64" i="20"/>
  <c r="P66" i="20"/>
  <c r="R67" i="20"/>
  <c r="P68" i="20"/>
  <c r="M70" i="20"/>
  <c r="R71" i="20"/>
  <c r="P73" i="20"/>
  <c r="P74" i="20"/>
  <c r="R76" i="20"/>
  <c r="P77" i="20"/>
  <c r="U78" i="20"/>
  <c r="W5" i="20"/>
  <c r="I7" i="20"/>
  <c r="P8" i="20"/>
  <c r="R9" i="20"/>
  <c r="I11" i="20"/>
  <c r="R12" i="20"/>
  <c r="G17" i="20"/>
  <c r="G20" i="20"/>
  <c r="M21" i="20"/>
  <c r="I24" i="20"/>
  <c r="M25" i="20"/>
  <c r="G28" i="20"/>
  <c r="R29" i="20"/>
  <c r="I32" i="20"/>
  <c r="R33" i="20"/>
  <c r="Y34" i="20"/>
  <c r="U35" i="20"/>
  <c r="W37" i="20"/>
  <c r="R38" i="20"/>
  <c r="M39" i="20"/>
  <c r="G41" i="20"/>
  <c r="R43" i="20"/>
  <c r="P44" i="20"/>
  <c r="R45" i="20"/>
  <c r="Y46" i="20"/>
  <c r="U47" i="20"/>
  <c r="U49" i="20"/>
  <c r="Y51" i="20"/>
  <c r="W53" i="20"/>
  <c r="Y54" i="20"/>
  <c r="U55" i="20"/>
  <c r="W57" i="20"/>
  <c r="I60" i="20"/>
  <c r="K61" i="20"/>
  <c r="I62" i="20"/>
  <c r="I63" i="20"/>
  <c r="I64" i="20"/>
  <c r="I65" i="20"/>
  <c r="K66" i="20"/>
  <c r="K68" i="20"/>
  <c r="I69" i="20"/>
  <c r="G70" i="20"/>
  <c r="K72" i="20"/>
  <c r="K73" i="20"/>
  <c r="K74" i="20"/>
  <c r="I75" i="20"/>
  <c r="Y76" i="20"/>
  <c r="W77" i="20"/>
  <c r="W78" i="20"/>
  <c r="G8" i="21"/>
  <c r="Y5" i="20"/>
  <c r="G9" i="20"/>
  <c r="P13" i="20"/>
  <c r="K15" i="20"/>
  <c r="K18" i="20"/>
  <c r="M19" i="20"/>
  <c r="K22" i="20"/>
  <c r="K26" i="20"/>
  <c r="M27" i="20"/>
  <c r="I30" i="20"/>
  <c r="G33" i="20"/>
  <c r="R35" i="20"/>
  <c r="P36" i="20"/>
  <c r="R37" i="20"/>
  <c r="Y38" i="20"/>
  <c r="W49" i="20"/>
  <c r="U50" i="20"/>
  <c r="U52" i="20"/>
  <c r="Y53" i="20"/>
  <c r="G67" i="20"/>
  <c r="K69" i="20"/>
  <c r="I70" i="20"/>
  <c r="G71" i="20"/>
  <c r="K75" i="20"/>
  <c r="I76" i="20"/>
  <c r="Y77" i="20"/>
  <c r="M7" i="21"/>
  <c r="R5" i="21"/>
  <c r="P15" i="21"/>
  <c r="R15" i="21"/>
  <c r="I17" i="21"/>
  <c r="P19" i="21"/>
  <c r="R20" i="21"/>
  <c r="I22" i="21"/>
  <c r="P23" i="21"/>
  <c r="R24" i="21"/>
  <c r="I26" i="21"/>
  <c r="P27" i="21"/>
  <c r="R28" i="21"/>
  <c r="I30" i="21"/>
  <c r="P31" i="21"/>
  <c r="R32" i="21"/>
  <c r="I34" i="21"/>
  <c r="W36" i="21"/>
  <c r="W37" i="21"/>
  <c r="W38" i="21"/>
  <c r="W39" i="21"/>
  <c r="W40" i="21"/>
  <c r="W41" i="21"/>
  <c r="W42" i="21"/>
  <c r="U44" i="21"/>
  <c r="K47" i="21"/>
  <c r="G6" i="22"/>
  <c r="I18" i="22"/>
  <c r="I22" i="22"/>
  <c r="P23" i="22"/>
  <c r="K26" i="22"/>
  <c r="P27" i="22"/>
  <c r="K30" i="22"/>
  <c r="P31" i="22"/>
  <c r="K34" i="22"/>
  <c r="P35" i="22"/>
  <c r="Y37" i="22"/>
  <c r="G39" i="22"/>
  <c r="Y44" i="22"/>
  <c r="G46" i="22"/>
  <c r="G48" i="22"/>
  <c r="Y51" i="22"/>
  <c r="Y53" i="22"/>
  <c r="K56" i="22"/>
  <c r="U57" i="22"/>
  <c r="K60" i="22"/>
  <c r="U61" i="22"/>
  <c r="K64" i="22"/>
  <c r="R66" i="22"/>
  <c r="M69" i="22"/>
  <c r="U71" i="22"/>
  <c r="U76" i="22"/>
  <c r="R8" i="21"/>
  <c r="I14" i="21"/>
  <c r="I16" i="21"/>
  <c r="P22" i="21"/>
  <c r="K26" i="21"/>
  <c r="R27" i="21"/>
  <c r="M31" i="21"/>
  <c r="I33" i="21"/>
  <c r="Y39" i="21"/>
  <c r="G41" i="21"/>
  <c r="M45" i="21"/>
  <c r="W46" i="21"/>
  <c r="K5" i="22"/>
  <c r="K8" i="22"/>
  <c r="P9" i="22"/>
  <c r="P12" i="22"/>
  <c r="P16" i="22"/>
  <c r="P20" i="22"/>
  <c r="M24" i="22"/>
  <c r="R27" i="22"/>
  <c r="W30" i="22"/>
  <c r="M63" i="22"/>
  <c r="G70" i="22"/>
  <c r="M17" i="21"/>
  <c r="K29" i="21"/>
  <c r="M34" i="21"/>
  <c r="M5" i="22"/>
  <c r="W8" i="22"/>
  <c r="M18" i="22"/>
  <c r="R21" i="22"/>
  <c r="G31" i="22"/>
  <c r="P36" i="22"/>
  <c r="P40" i="22"/>
  <c r="P44" i="22"/>
  <c r="P48" i="22"/>
  <c r="P52" i="22"/>
  <c r="Y57" i="22"/>
  <c r="K24" i="21"/>
  <c r="M29" i="21"/>
  <c r="K41" i="21"/>
  <c r="G7" i="22"/>
  <c r="Y12" i="22"/>
  <c r="I23" i="22"/>
  <c r="I27" i="22"/>
  <c r="I31" i="22"/>
  <c r="I35" i="22"/>
  <c r="R39" i="22"/>
  <c r="M52" i="22"/>
  <c r="R69" i="22"/>
  <c r="U74" i="22"/>
  <c r="G64" i="22"/>
  <c r="I71" i="22"/>
  <c r="I76" i="22"/>
  <c r="U23" i="22"/>
  <c r="U24" i="22"/>
  <c r="U25" i="22"/>
  <c r="U26" i="22"/>
  <c r="U27" i="22"/>
  <c r="U28" i="22"/>
  <c r="U29" i="22"/>
  <c r="U30" i="22"/>
  <c r="U31" i="22"/>
  <c r="U32" i="22"/>
  <c r="U33" i="22"/>
  <c r="U34" i="22"/>
  <c r="U35" i="22"/>
  <c r="G37" i="22"/>
  <c r="Y38" i="22"/>
  <c r="G41" i="22"/>
  <c r="Y42" i="22"/>
  <c r="G45" i="22"/>
  <c r="Y46" i="22"/>
  <c r="G49" i="22"/>
  <c r="Y50" i="22"/>
  <c r="G53" i="22"/>
  <c r="P54" i="22"/>
  <c r="P55" i="22"/>
  <c r="P56" i="22"/>
  <c r="P57" i="22"/>
  <c r="P58" i="22"/>
  <c r="P59" i="22"/>
  <c r="P60" i="22"/>
  <c r="P61" i="22"/>
  <c r="P62" i="22"/>
  <c r="P63" i="22"/>
  <c r="R64" i="22"/>
  <c r="I66" i="22"/>
  <c r="M67" i="22"/>
  <c r="U70" i="22"/>
  <c r="P72" i="22"/>
  <c r="Y75" i="22"/>
  <c r="M5" i="21"/>
  <c r="K7" i="21"/>
  <c r="M8" i="21"/>
  <c r="K11" i="21"/>
  <c r="M12" i="21"/>
  <c r="K15" i="21"/>
  <c r="G20" i="21"/>
  <c r="G24" i="21"/>
  <c r="G28" i="21"/>
  <c r="G32" i="21"/>
  <c r="G36" i="21"/>
  <c r="Y37" i="21"/>
  <c r="G40" i="21"/>
  <c r="Y41" i="21"/>
  <c r="U49" i="21"/>
  <c r="U51" i="21"/>
  <c r="P5" i="22"/>
  <c r="U7" i="22"/>
  <c r="U8" i="22"/>
  <c r="U9" i="22"/>
  <c r="U10" i="22"/>
  <c r="U11" i="22"/>
  <c r="U12" i="22"/>
  <c r="U13" i="22"/>
  <c r="U14" i="22"/>
  <c r="U15" i="22"/>
  <c r="U16" i="22"/>
  <c r="U17" i="22"/>
  <c r="U18" i="22"/>
  <c r="U19" i="22"/>
  <c r="U20" i="22"/>
  <c r="U21" i="22"/>
  <c r="U22" i="22"/>
  <c r="W23" i="22"/>
  <c r="R24" i="22"/>
  <c r="M25" i="22"/>
  <c r="W27" i="22"/>
  <c r="R28" i="22"/>
  <c r="M29" i="22"/>
  <c r="W31" i="22"/>
  <c r="R32" i="22"/>
  <c r="M33" i="22"/>
  <c r="W35" i="22"/>
  <c r="W54" i="22"/>
  <c r="R55" i="22"/>
  <c r="M56" i="22"/>
  <c r="W58" i="22"/>
  <c r="R59" i="22"/>
  <c r="M60" i="22"/>
  <c r="W62" i="22"/>
  <c r="R63" i="22"/>
  <c r="M66" i="22"/>
  <c r="P70" i="22"/>
  <c r="U72" i="22"/>
  <c r="G12" i="21"/>
  <c r="P16" i="21"/>
  <c r="R17" i="21"/>
  <c r="I20" i="21"/>
  <c r="P21" i="21"/>
  <c r="R22" i="21"/>
  <c r="I24" i="21"/>
  <c r="P25" i="21"/>
  <c r="R26" i="21"/>
  <c r="I28" i="21"/>
  <c r="P29" i="21"/>
  <c r="R30" i="21"/>
  <c r="I32" i="21"/>
  <c r="P33" i="21"/>
  <c r="R34" i="21"/>
  <c r="I38" i="21"/>
  <c r="I42" i="21"/>
  <c r="Y44" i="21"/>
  <c r="G47" i="21"/>
  <c r="M49" i="21"/>
  <c r="R5" i="22"/>
  <c r="P6" i="22"/>
  <c r="M7" i="22"/>
  <c r="W9" i="22"/>
  <c r="R10" i="22"/>
  <c r="M11" i="22"/>
  <c r="W13" i="22"/>
  <c r="R14" i="22"/>
  <c r="M15" i="22"/>
  <c r="W17" i="22"/>
  <c r="R18" i="22"/>
  <c r="M19" i="22"/>
  <c r="W21" i="22"/>
  <c r="R22" i="22"/>
  <c r="Y23" i="22"/>
  <c r="G26" i="22"/>
  <c r="Y27" i="22"/>
  <c r="G30" i="22"/>
  <c r="Y31" i="22"/>
  <c r="G34" i="22"/>
  <c r="Y35" i="22"/>
  <c r="U36" i="22"/>
  <c r="U37" i="22"/>
  <c r="U38" i="22"/>
  <c r="U39" i="22"/>
  <c r="U40" i="22"/>
  <c r="U41" i="22"/>
  <c r="U42" i="22"/>
  <c r="U43" i="22"/>
  <c r="U44" i="22"/>
  <c r="U45" i="22"/>
  <c r="U46" i="22"/>
  <c r="U47" i="22"/>
  <c r="U48" i="22"/>
  <c r="U49" i="22"/>
  <c r="U50" i="22"/>
  <c r="U51" i="22"/>
  <c r="U52" i="22"/>
  <c r="U53" i="22"/>
  <c r="G55" i="22"/>
  <c r="Y56" i="22"/>
  <c r="G59" i="22"/>
  <c r="Y60" i="22"/>
  <c r="G63" i="22"/>
  <c r="U64" i="22"/>
  <c r="W65" i="22"/>
  <c r="G67" i="22"/>
  <c r="G69" i="22"/>
  <c r="K70" i="22"/>
  <c r="P71" i="22"/>
  <c r="I5" i="21"/>
  <c r="G7" i="21"/>
  <c r="G11" i="21"/>
  <c r="G15" i="21"/>
  <c r="R16" i="21"/>
  <c r="I19" i="21"/>
  <c r="P20" i="21"/>
  <c r="R21" i="21"/>
  <c r="I23" i="21"/>
  <c r="P24" i="21"/>
  <c r="R25" i="21"/>
  <c r="I27" i="21"/>
  <c r="P28" i="21"/>
  <c r="R29" i="21"/>
  <c r="I31" i="21"/>
  <c r="P32" i="21"/>
  <c r="R33" i="21"/>
  <c r="K36" i="21"/>
  <c r="U37" i="21"/>
  <c r="K40" i="21"/>
  <c r="U41" i="21"/>
  <c r="I45" i="21"/>
  <c r="G51" i="21"/>
  <c r="G5" i="22"/>
  <c r="R6" i="22"/>
  <c r="Y7" i="22"/>
  <c r="G10" i="22"/>
  <c r="Y11" i="22"/>
  <c r="G14" i="22"/>
  <c r="Y15" i="22"/>
  <c r="G18" i="22"/>
  <c r="Y19" i="22"/>
  <c r="G22" i="22"/>
  <c r="W36" i="22"/>
  <c r="W37" i="22"/>
  <c r="W38" i="22"/>
  <c r="M46" i="22"/>
  <c r="M47" i="22"/>
  <c r="M48" i="22"/>
  <c r="R49" i="22"/>
  <c r="R50" i="22"/>
  <c r="R51" i="22"/>
  <c r="W52" i="22"/>
  <c r="W53" i="22"/>
  <c r="P64" i="22"/>
  <c r="G66" i="22"/>
  <c r="R67" i="22"/>
  <c r="Y71" i="22"/>
  <c r="Y73" i="22"/>
  <c r="Y76" i="22"/>
  <c r="Y78" i="22"/>
  <c r="P66" i="22"/>
  <c r="U67" i="22"/>
  <c r="I70" i="22"/>
  <c r="M74" i="22"/>
  <c r="M75" i="22"/>
  <c r="I77" i="22"/>
  <c r="P78" i="22"/>
  <c r="I74" i="22"/>
  <c r="W24" i="22"/>
  <c r="R25" i="22"/>
  <c r="M26" i="22"/>
  <c r="W28" i="22"/>
  <c r="R29" i="22"/>
  <c r="M30" i="22"/>
  <c r="W32" i="22"/>
  <c r="R33" i="22"/>
  <c r="M34" i="22"/>
  <c r="W55" i="22"/>
  <c r="R56" i="22"/>
  <c r="M57" i="22"/>
  <c r="W59" i="22"/>
  <c r="R60" i="22"/>
  <c r="M61" i="22"/>
  <c r="U69" i="22"/>
  <c r="W70" i="22"/>
  <c r="P73" i="22"/>
  <c r="K10" i="21"/>
  <c r="M11" i="21"/>
  <c r="K14" i="21"/>
  <c r="M15" i="21"/>
  <c r="I37" i="21"/>
  <c r="I41" i="21"/>
  <c r="G46" i="21"/>
  <c r="Y47" i="21"/>
  <c r="R49" i="21"/>
  <c r="M51" i="21"/>
  <c r="W5" i="22"/>
  <c r="U6" i="22"/>
  <c r="R7" i="22"/>
  <c r="M8" i="22"/>
  <c r="W10" i="22"/>
  <c r="R11" i="22"/>
  <c r="M12" i="22"/>
  <c r="W14" i="22"/>
  <c r="R15" i="22"/>
  <c r="M16" i="22"/>
  <c r="W18" i="22"/>
  <c r="R19" i="22"/>
  <c r="M20" i="22"/>
  <c r="W22" i="22"/>
  <c r="G25" i="22"/>
  <c r="Y26" i="22"/>
  <c r="G29" i="22"/>
  <c r="Y30" i="22"/>
  <c r="G33" i="22"/>
  <c r="Y34" i="22"/>
  <c r="G54" i="22"/>
  <c r="Y55" i="22"/>
  <c r="G58" i="22"/>
  <c r="Y59" i="22"/>
  <c r="G62" i="22"/>
  <c r="P69" i="22"/>
  <c r="R70" i="22"/>
  <c r="P5" i="21"/>
  <c r="K9" i="21"/>
  <c r="M10" i="21"/>
  <c r="K13" i="21"/>
  <c r="M14" i="21"/>
  <c r="U36" i="21"/>
  <c r="K39" i="21"/>
  <c r="U40" i="21"/>
  <c r="I44" i="21"/>
  <c r="G49" i="21"/>
  <c r="Y51" i="21"/>
  <c r="Y5" i="22"/>
  <c r="W6" i="22"/>
  <c r="G9" i="22"/>
  <c r="Y10" i="22"/>
  <c r="G13" i="22"/>
  <c r="Y14" i="22"/>
  <c r="G17" i="22"/>
  <c r="Y18" i="22"/>
  <c r="G21" i="22"/>
  <c r="Y22" i="22"/>
  <c r="M42" i="22"/>
  <c r="M43" i="22"/>
  <c r="M44" i="22"/>
  <c r="R45" i="22"/>
  <c r="R46" i="22"/>
  <c r="R47" i="22"/>
  <c r="W48" i="22"/>
  <c r="W49" i="22"/>
  <c r="W50" i="22"/>
  <c r="W64" i="22"/>
  <c r="M70" i="22"/>
  <c r="Y74" i="22"/>
  <c r="G72" i="22"/>
  <c r="K75" i="22"/>
  <c r="G77" i="22"/>
  <c r="Y63" i="22"/>
  <c r="G65" i="22"/>
  <c r="U66" i="22"/>
  <c r="I69" i="22"/>
  <c r="I73" i="22"/>
  <c r="R74" i="22"/>
  <c r="R75" i="22"/>
  <c r="I78" i="22"/>
  <c r="W71" i="22"/>
  <c r="I75" i="22"/>
  <c r="W78" i="22"/>
  <c r="K10" i="22"/>
  <c r="K11" i="22"/>
  <c r="K12" i="22"/>
  <c r="K13" i="22"/>
  <c r="K14" i="22"/>
  <c r="K15" i="22"/>
  <c r="K16" i="22"/>
  <c r="K17" i="22"/>
  <c r="K18" i="22"/>
  <c r="K19" i="22"/>
  <c r="K20" i="22"/>
  <c r="K21" i="22"/>
  <c r="K22" i="22"/>
  <c r="M23" i="22"/>
  <c r="W25" i="22"/>
  <c r="R26" i="22"/>
  <c r="M27" i="22"/>
  <c r="W29" i="22"/>
  <c r="R30" i="22"/>
  <c r="M31" i="22"/>
  <c r="W33" i="22"/>
  <c r="R34" i="22"/>
  <c r="M35" i="22"/>
  <c r="I36" i="22"/>
  <c r="I37" i="22"/>
  <c r="I38" i="22"/>
  <c r="I39" i="22"/>
  <c r="I40" i="22"/>
  <c r="I41" i="22"/>
  <c r="I42" i="22"/>
  <c r="I43" i="22"/>
  <c r="I44" i="22"/>
  <c r="I45" i="22"/>
  <c r="I46" i="22"/>
  <c r="I47" i="22"/>
  <c r="I48" i="22"/>
  <c r="I49" i="22"/>
  <c r="I50" i="22"/>
  <c r="I51" i="22"/>
  <c r="I52" i="22"/>
  <c r="I53" i="22"/>
  <c r="M54" i="22"/>
  <c r="W56" i="22"/>
  <c r="R57" i="22"/>
  <c r="M58" i="22"/>
  <c r="W60" i="22"/>
  <c r="R61" i="22"/>
  <c r="M62" i="22"/>
  <c r="M64" i="22"/>
  <c r="U65" i="22"/>
  <c r="G75" i="22"/>
  <c r="P10" i="21"/>
  <c r="R11" i="21"/>
  <c r="I13" i="21"/>
  <c r="P14" i="21"/>
  <c r="G19" i="21"/>
  <c r="G23" i="21"/>
  <c r="G27" i="21"/>
  <c r="G31" i="21"/>
  <c r="I36" i="21"/>
  <c r="I40" i="21"/>
  <c r="G45" i="21"/>
  <c r="Y46" i="21"/>
  <c r="W49" i="21"/>
  <c r="W51" i="21"/>
  <c r="W7" i="22"/>
  <c r="R8" i="22"/>
  <c r="M9" i="22"/>
  <c r="W11" i="22"/>
  <c r="R12" i="22"/>
  <c r="M13" i="22"/>
  <c r="W15" i="22"/>
  <c r="R16" i="22"/>
  <c r="M17" i="22"/>
  <c r="W19" i="22"/>
  <c r="R20" i="22"/>
  <c r="M21" i="22"/>
  <c r="G24" i="22"/>
  <c r="Y25" i="22"/>
  <c r="G28" i="22"/>
  <c r="Y29" i="22"/>
  <c r="G32" i="22"/>
  <c r="Y33" i="22"/>
  <c r="K36" i="22"/>
  <c r="K37" i="22"/>
  <c r="K38" i="22"/>
  <c r="K39" i="22"/>
  <c r="K40" i="22"/>
  <c r="K41" i="22"/>
  <c r="K42" i="22"/>
  <c r="K43" i="22"/>
  <c r="K44" i="22"/>
  <c r="K45" i="22"/>
  <c r="K46" i="22"/>
  <c r="K47" i="22"/>
  <c r="K48" i="22"/>
  <c r="K49" i="22"/>
  <c r="K50" i="22"/>
  <c r="K51" i="22"/>
  <c r="K52" i="22"/>
  <c r="K53" i="22"/>
  <c r="Y54" i="22"/>
  <c r="G57" i="22"/>
  <c r="Y58" i="22"/>
  <c r="G61" i="22"/>
  <c r="Y62" i="22"/>
  <c r="I65" i="22"/>
  <c r="W67" i="22"/>
  <c r="W69" i="22"/>
  <c r="Y70" i="22"/>
  <c r="U73" i="22"/>
  <c r="W5" i="21"/>
  <c r="I8" i="21"/>
  <c r="P9" i="21"/>
  <c r="R10" i="21"/>
  <c r="I12" i="21"/>
  <c r="P13" i="21"/>
  <c r="R14" i="21"/>
  <c r="G17" i="21"/>
  <c r="G22" i="21"/>
  <c r="G26" i="21"/>
  <c r="G30" i="21"/>
  <c r="G34" i="21"/>
  <c r="K38" i="21"/>
  <c r="U39" i="21"/>
  <c r="K42" i="21"/>
  <c r="I47" i="21"/>
  <c r="Y49" i="21"/>
  <c r="G8" i="22"/>
  <c r="Y9" i="22"/>
  <c r="G12" i="22"/>
  <c r="Y13" i="22"/>
  <c r="G16" i="22"/>
  <c r="Y17" i="22"/>
  <c r="G20" i="22"/>
  <c r="Y21" i="22"/>
  <c r="M38" i="22"/>
  <c r="M39" i="22"/>
  <c r="M40" i="22"/>
  <c r="R41" i="22"/>
  <c r="R42" i="22"/>
  <c r="R43" i="22"/>
  <c r="W44" i="22"/>
  <c r="W45" i="22"/>
  <c r="W46" i="22"/>
  <c r="U63" i="22"/>
  <c r="K69" i="22"/>
  <c r="K77" i="22"/>
  <c r="Y72" i="22"/>
  <c r="K74" i="22"/>
  <c r="U75" i="22"/>
  <c r="Y77" i="22"/>
  <c r="Y65" i="22"/>
  <c r="K67" i="22"/>
  <c r="I72" i="22"/>
  <c r="W74" i="22"/>
  <c r="R72" i="22"/>
  <c r="M76" i="22"/>
  <c r="K78" i="22"/>
  <c r="M72" i="22"/>
  <c r="W77" i="22"/>
  <c r="R78" i="22"/>
  <c r="U77" i="22"/>
  <c r="U78" i="22"/>
  <c r="W72" i="22"/>
  <c r="R73" i="22"/>
  <c r="R76" i="22"/>
  <c r="M77" i="22"/>
  <c r="R36" i="22"/>
  <c r="M37" i="22"/>
  <c r="W39" i="22"/>
  <c r="R40" i="22"/>
  <c r="M41" i="22"/>
  <c r="W43" i="22"/>
  <c r="R44" i="22"/>
  <c r="M45" i="22"/>
  <c r="W47" i="22"/>
  <c r="R48" i="22"/>
  <c r="M49" i="22"/>
  <c r="W51" i="22"/>
  <c r="R52" i="22"/>
  <c r="M53" i="22"/>
  <c r="I54" i="22"/>
  <c r="I55" i="22"/>
  <c r="I56" i="22"/>
  <c r="I57" i="22"/>
  <c r="I58" i="22"/>
  <c r="I59" i="22"/>
  <c r="I60" i="22"/>
  <c r="I61" i="22"/>
  <c r="I62" i="22"/>
  <c r="I63" i="22"/>
  <c r="I64" i="22"/>
  <c r="K65" i="22"/>
  <c r="W66" i="22"/>
  <c r="Y67" i="22"/>
  <c r="Y69" i="22"/>
  <c r="R71" i="22"/>
  <c r="P76" i="22"/>
  <c r="G73" i="22"/>
  <c r="P74" i="22"/>
  <c r="P75" i="22"/>
  <c r="G78" i="22"/>
  <c r="Y64" i="22"/>
  <c r="W75" i="22"/>
  <c r="W73" i="22"/>
  <c r="W76" i="22"/>
  <c r="R77" i="22"/>
  <c r="M78" i="22"/>
</calcChain>
</file>

<file path=xl/sharedStrings.xml><?xml version="1.0" encoding="utf-8"?>
<sst xmlns="http://schemas.openxmlformats.org/spreadsheetml/2006/main" count="242" uniqueCount="27">
  <si>
    <t>PHÒNG GIÁO DỤC VÀ ĐÀO TẠO QUẬN 1</t>
  </si>
  <si>
    <t>PHÒNG GIÁO DỤC VÀ ĐÀO TẠO QUẬN 3</t>
  </si>
  <si>
    <t>PHÒNG GIÁO DỤC VÀ ĐÀO TẠO QUẬN 4</t>
  </si>
  <si>
    <t>PHÒNG GIÁO DỤC VÀ ĐÀO TẠO QUẬN 5</t>
  </si>
  <si>
    <t>PHÒNG GIÁO DỤC VÀ ĐÀO TẠO QUẬN 6</t>
  </si>
  <si>
    <t>PHÒNG GIÁO DỤC VÀ ĐÀO TẠO QUẬN 7</t>
  </si>
  <si>
    <t>PHÒNG GIÁO DỤC VÀ ĐÀO TẠO QUẬN 8</t>
  </si>
  <si>
    <t>PHÒNG GIÁO DỤC VÀ ĐÀO TẠO QUẬN 10</t>
  </si>
  <si>
    <t>PHÒNG GIÁO DỤC VÀ ĐÀO TẠO QUẬN 11</t>
  </si>
  <si>
    <t>PHÒNG GIÁO DỤC VÀ ĐÀO TẠO QUẬN 12</t>
  </si>
  <si>
    <t>PHÒNG GIÁO DỤC VÀ ĐÀO TẠO QUẬN TÂN PHÚ</t>
  </si>
  <si>
    <t>PHÒNG GIÁO DỤC VÀ ĐÀO TẠO QUẬN TÂN BÌNH</t>
  </si>
  <si>
    <t>PHÒNG GIÁO DỤC VÀ ĐÀO TẠO QUẬN BÌNH THẠNH</t>
  </si>
  <si>
    <t>PHÒNG GIÁO DỤC VÀ ĐÀO TẠO QUẬN BÌNH TÂN</t>
  </si>
  <si>
    <t>PHÒNG GIÁO DỤC VÀ ĐÀO TẠO QUẬN GÒ VẤP</t>
  </si>
  <si>
    <t>PHÒNG GIÁO DỤC VÀ ĐÀO TẠO QUẬN PHÚ NHUẬN</t>
  </si>
  <si>
    <t>PHÒNG GIÁO DỤC VÀ ĐÀO TẠO HUYỆN NHÀ BÈ</t>
  </si>
  <si>
    <t>PHÒNG GIÁO DỤC VÀ ĐÀO TẠO HUYỆN CỦ CHI</t>
  </si>
  <si>
    <t>PHÒNG GIÁO DỤC VÀ ĐÀO TẠO HUYỆN BÌNH CHÁNH</t>
  </si>
  <si>
    <t>PHÒNG GIÁO DỤC VÀ ĐÀO TẠO HUYỆN HÓC MÔN</t>
  </si>
  <si>
    <t>PHÒNG GIÁO DỤC VÀ ĐÀO TẠO HUYỆN CẦN GIỜ</t>
  </si>
  <si>
    <t>PHÒNG GIÁO DỤC VÀ ĐÀO TẠO THÀNH PHỐ THỦ ĐỨC</t>
  </si>
  <si>
    <t>MŨI 1</t>
  </si>
  <si>
    <t>MŨI 2</t>
  </si>
  <si>
    <t>MŨI 3</t>
  </si>
  <si>
    <t>MŨI 4</t>
  </si>
  <si>
    <t>SỐ LIỆU TIÊM VẮC XIN PHÒNG COVID-19 CỦA CÁN BỘ, GIÁO VIÊN, NHÂN VIÊN VÀ HỌC SINH TÍNH ĐẾN 30.9.2022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</si>
</sst>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_-;\-* #,##0_-;_-* &quot;-&quot;_-;_-@"/>
  </numFmts>
  <fonts count="11" x14ac:knownFonts="1">
    <font>
      <sz val="10"/>
      <color rgb="FF000000"/>
      <name val="Arial"/>
      <scheme val="minor"/>
    </font>
    <font>
      <sz val="10"/>
      <name val="Arial"/>
      <family val="2"/>
    </font>
    <font>
      <sz val="10"/>
      <color rgb="FF000000"/>
      <name val="Arial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rgb="FFFFE599"/>
      <name val="Arial"/>
      <family val="2"/>
    </font>
    <font>
      <sz val="10"/>
      <color rgb="FFEFEFEF"/>
      <name val="Arial"/>
      <family val="2"/>
    </font>
    <font>
      <b/>
      <sz val="10"/>
      <color rgb="FF073763"/>
      <name val="Arial"/>
      <family val="2"/>
    </font>
    <font>
      <sz val="10"/>
      <color rgb="FF073763"/>
      <name val="Arial"/>
      <family val="2"/>
    </font>
    <font>
      <b/>
      <sz val="10"/>
      <color rgb="FF0C343D"/>
      <name val="Arial"/>
      <family val="2"/>
    </font>
    <font>
      <b/>
      <sz val="10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0C343D"/>
        <bgColor rgb="FF0C343D"/>
      </patternFill>
    </fill>
    <fill>
      <patternFill patternType="solid">
        <fgColor rgb="FFFFF2CC"/>
        <bgColor rgb="FFFFF2CC"/>
      </patternFill>
    </fill>
    <fill>
      <patternFill patternType="solid">
        <fgColor rgb="FFFFFFFF"/>
        <bgColor rgb="FFFFFFFF"/>
      </patternFill>
    </fill>
    <fill>
      <patternFill patternType="solid">
        <fgColor rgb="FFFCE8B2"/>
        <bgColor rgb="FFFCE8B2"/>
      </patternFill>
    </fill>
    <fill>
      <patternFill patternType="solid">
        <fgColor rgb="FF34A853"/>
        <bgColor rgb="FF34A853"/>
      </patternFill>
    </fill>
  </fills>
  <borders count="1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2" fillId="0" borderId="0" applyFont="0" applyFill="0" applyBorder="0" applyAlignment="0" applyProtection="0"/>
  </cellStyleXfs>
  <cellXfs count="106">
    <xf numFmtId="0" fontId="0" fillId="0" borderId="0" xfId="0" applyFont="1" applyAlignment="1"/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2" fillId="0" borderId="0" xfId="0" applyFont="1" applyAlignment="1"/>
    <xf numFmtId="0" fontId="5" fillId="2" borderId="0" xfId="0" applyFont="1" applyFill="1" applyAlignment="1">
      <alignment horizontal="left" vertical="center"/>
    </xf>
    <xf numFmtId="0" fontId="6" fillId="2" borderId="0" xfId="0" applyFont="1" applyFill="1" applyAlignment="1">
      <alignment horizontal="left" vertical="center"/>
    </xf>
    <xf numFmtId="0" fontId="4" fillId="0" borderId="0" xfId="0" applyFont="1" applyAlignment="1">
      <alignment horizontal="left" vertical="center"/>
    </xf>
    <xf numFmtId="3" fontId="7" fillId="3" borderId="6" xfId="0" applyNumberFormat="1" applyFont="1" applyFill="1" applyBorder="1" applyAlignment="1">
      <alignment horizontal="center" vertical="center" wrapText="1"/>
    </xf>
    <xf numFmtId="3" fontId="7" fillId="3" borderId="5" xfId="0" applyNumberFormat="1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left" vertical="center"/>
    </xf>
    <xf numFmtId="3" fontId="4" fillId="3" borderId="6" xfId="0" applyNumberFormat="1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/>
    </xf>
    <xf numFmtId="3" fontId="3" fillId="3" borderId="6" xfId="0" applyNumberFormat="1" applyFont="1" applyFill="1" applyBorder="1" applyAlignment="1">
      <alignment horizontal="center" vertical="center"/>
    </xf>
    <xf numFmtId="10" fontId="3" fillId="3" borderId="6" xfId="1" applyNumberFormat="1" applyFont="1" applyFill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3" fontId="3" fillId="3" borderId="8" xfId="0" applyNumberFormat="1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3" fontId="4" fillId="3" borderId="8" xfId="0" applyNumberFormat="1" applyFont="1" applyFill="1" applyBorder="1" applyAlignment="1">
      <alignment horizontal="center" vertical="center"/>
    </xf>
    <xf numFmtId="3" fontId="4" fillId="4" borderId="8" xfId="0" applyNumberFormat="1" applyFont="1" applyFill="1" applyBorder="1" applyAlignment="1">
      <alignment horizontal="center" vertical="center"/>
    </xf>
    <xf numFmtId="3" fontId="4" fillId="0" borderId="8" xfId="0" applyNumberFormat="1" applyFont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/>
    </xf>
    <xf numFmtId="0" fontId="4" fillId="4" borderId="8" xfId="0" applyFont="1" applyFill="1" applyBorder="1" applyAlignment="1">
      <alignment horizontal="center" vertical="center"/>
    </xf>
    <xf numFmtId="3" fontId="3" fillId="5" borderId="8" xfId="0" applyNumberFormat="1" applyFont="1" applyFill="1" applyBorder="1" applyAlignment="1">
      <alignment horizontal="center" vertical="center"/>
    </xf>
    <xf numFmtId="0" fontId="3" fillId="5" borderId="8" xfId="0" applyFont="1" applyFill="1" applyBorder="1" applyAlignment="1">
      <alignment horizontal="center" vertical="center"/>
    </xf>
    <xf numFmtId="0" fontId="7" fillId="0" borderId="2" xfId="0" applyFont="1" applyBorder="1" applyAlignment="1"/>
    <xf numFmtId="0" fontId="4" fillId="0" borderId="4" xfId="0" applyFont="1" applyBorder="1"/>
    <xf numFmtId="3" fontId="7" fillId="3" borderId="4" xfId="0" applyNumberFormat="1" applyFont="1" applyFill="1" applyBorder="1" applyAlignment="1">
      <alignment horizontal="center"/>
    </xf>
    <xf numFmtId="3" fontId="7" fillId="0" borderId="4" xfId="0" applyNumberFormat="1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8" fillId="0" borderId="8" xfId="0" applyFont="1" applyBorder="1"/>
    <xf numFmtId="3" fontId="4" fillId="0" borderId="8" xfId="0" applyNumberFormat="1" applyFont="1" applyBorder="1"/>
    <xf numFmtId="3" fontId="8" fillId="3" borderId="8" xfId="0" applyNumberFormat="1" applyFont="1" applyFill="1" applyBorder="1" applyAlignment="1">
      <alignment horizontal="center"/>
    </xf>
    <xf numFmtId="3" fontId="8" fillId="0" borderId="8" xfId="0" applyNumberFormat="1" applyFont="1" applyBorder="1" applyAlignment="1">
      <alignment horizontal="center"/>
    </xf>
    <xf numFmtId="3" fontId="8" fillId="0" borderId="8" xfId="0" applyNumberFormat="1" applyFont="1" applyBorder="1"/>
    <xf numFmtId="0" fontId="4" fillId="0" borderId="5" xfId="0" applyFont="1" applyBorder="1"/>
    <xf numFmtId="0" fontId="7" fillId="0" borderId="8" xfId="0" applyFont="1" applyBorder="1"/>
    <xf numFmtId="0" fontId="4" fillId="0" borderId="8" xfId="0" applyFont="1" applyBorder="1"/>
    <xf numFmtId="0" fontId="7" fillId="3" borderId="8" xfId="0" applyFont="1" applyFill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8" fillId="3" borderId="8" xfId="0" applyFont="1" applyFill="1" applyBorder="1" applyAlignment="1">
      <alignment horizontal="center"/>
    </xf>
    <xf numFmtId="0" fontId="8" fillId="0" borderId="8" xfId="0" applyFont="1" applyBorder="1" applyAlignment="1">
      <alignment horizontal="center"/>
    </xf>
    <xf numFmtId="3" fontId="7" fillId="0" borderId="8" xfId="0" applyNumberFormat="1" applyFont="1" applyBorder="1"/>
    <xf numFmtId="3" fontId="7" fillId="3" borderId="8" xfId="0" applyNumberFormat="1" applyFont="1" applyFill="1" applyBorder="1" applyAlignment="1">
      <alignment horizontal="center"/>
    </xf>
    <xf numFmtId="3" fontId="7" fillId="0" borderId="8" xfId="0" applyNumberFormat="1" applyFont="1" applyBorder="1" applyAlignment="1">
      <alignment horizontal="center"/>
    </xf>
    <xf numFmtId="0" fontId="7" fillId="0" borderId="10" xfId="0" applyFont="1" applyBorder="1" applyAlignment="1"/>
    <xf numFmtId="0" fontId="7" fillId="0" borderId="10" xfId="0" applyFont="1" applyBorder="1" applyAlignment="1">
      <alignment horizontal="left"/>
    </xf>
    <xf numFmtId="0" fontId="4" fillId="0" borderId="8" xfId="0" applyFont="1" applyBorder="1" applyAlignment="1">
      <alignment vertical="center"/>
    </xf>
    <xf numFmtId="0" fontId="4" fillId="0" borderId="7" xfId="0" applyFont="1" applyBorder="1"/>
    <xf numFmtId="3" fontId="8" fillId="3" borderId="7" xfId="0" applyNumberFormat="1" applyFont="1" applyFill="1" applyBorder="1" applyAlignment="1">
      <alignment horizontal="center"/>
    </xf>
    <xf numFmtId="0" fontId="9" fillId="0" borderId="0" xfId="0" applyFont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0" fontId="3" fillId="3" borderId="8" xfId="1" applyNumberFormat="1" applyFont="1" applyFill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3" fontId="4" fillId="0" borderId="6" xfId="0" applyNumberFormat="1" applyFont="1" applyBorder="1" applyAlignment="1">
      <alignment horizontal="center" vertical="center"/>
    </xf>
    <xf numFmtId="0" fontId="3" fillId="0" borderId="6" xfId="0" applyFont="1" applyBorder="1" applyAlignment="1">
      <alignment horizontal="left" vertical="center"/>
    </xf>
    <xf numFmtId="164" fontId="4" fillId="0" borderId="6" xfId="0" applyNumberFormat="1" applyFont="1" applyBorder="1" applyAlignment="1">
      <alignment horizontal="center" vertical="center"/>
    </xf>
    <xf numFmtId="0" fontId="4" fillId="0" borderId="6" xfId="0" applyFont="1" applyBorder="1" applyAlignment="1">
      <alignment horizontal="left" vertical="center"/>
    </xf>
    <xf numFmtId="3" fontId="7" fillId="3" borderId="8" xfId="0" applyNumberFormat="1" applyFont="1" applyFill="1" applyBorder="1" applyAlignment="1">
      <alignment horizontal="center" vertical="center" wrapText="1"/>
    </xf>
    <xf numFmtId="0" fontId="4" fillId="3" borderId="10" xfId="0" applyFont="1" applyFill="1" applyBorder="1" applyAlignment="1">
      <alignment vertical="center"/>
    </xf>
    <xf numFmtId="3" fontId="4" fillId="3" borderId="8" xfId="0" applyNumberFormat="1" applyFont="1" applyFill="1" applyBorder="1" applyAlignment="1">
      <alignment vertical="center"/>
    </xf>
    <xf numFmtId="0" fontId="4" fillId="3" borderId="8" xfId="0" applyFont="1" applyFill="1" applyBorder="1" applyAlignment="1">
      <alignment vertical="center"/>
    </xf>
    <xf numFmtId="0" fontId="3" fillId="3" borderId="10" xfId="0" applyFont="1" applyFill="1" applyBorder="1" applyAlignment="1">
      <alignment vertical="center"/>
    </xf>
    <xf numFmtId="3" fontId="3" fillId="3" borderId="8" xfId="0" applyNumberFormat="1" applyFont="1" applyFill="1" applyBorder="1" applyAlignment="1">
      <alignment vertical="center"/>
    </xf>
    <xf numFmtId="0" fontId="3" fillId="3" borderId="8" xfId="0" applyFont="1" applyFill="1" applyBorder="1" applyAlignment="1">
      <alignment vertical="center"/>
    </xf>
    <xf numFmtId="1" fontId="4" fillId="0" borderId="6" xfId="0" applyNumberFormat="1" applyFont="1" applyBorder="1" applyAlignment="1">
      <alignment horizontal="center" vertical="center"/>
    </xf>
    <xf numFmtId="0" fontId="4" fillId="0" borderId="6" xfId="0" applyFont="1" applyBorder="1" applyAlignment="1">
      <alignment vertical="center"/>
    </xf>
    <xf numFmtId="3" fontId="4" fillId="0" borderId="6" xfId="0" applyNumberFormat="1" applyFont="1" applyBorder="1" applyAlignment="1">
      <alignment vertical="center"/>
    </xf>
    <xf numFmtId="0" fontId="3" fillId="0" borderId="6" xfId="0" applyFont="1" applyBorder="1" applyAlignment="1">
      <alignment vertical="center"/>
    </xf>
    <xf numFmtId="3" fontId="3" fillId="0" borderId="6" xfId="0" applyNumberFormat="1" applyFont="1" applyBorder="1" applyAlignment="1">
      <alignment vertical="center"/>
    </xf>
    <xf numFmtId="1" fontId="3" fillId="0" borderId="6" xfId="0" applyNumberFormat="1" applyFont="1" applyBorder="1" applyAlignment="1">
      <alignment vertical="center"/>
    </xf>
    <xf numFmtId="0" fontId="9" fillId="0" borderId="0" xfId="0" applyFont="1" applyAlignment="1">
      <alignment horizontal="left" vertical="center"/>
    </xf>
    <xf numFmtId="0" fontId="3" fillId="3" borderId="10" xfId="0" applyFont="1" applyFill="1" applyBorder="1" applyAlignment="1">
      <alignment horizontal="left" vertical="center"/>
    </xf>
    <xf numFmtId="0" fontId="4" fillId="0" borderId="0" xfId="0" applyFont="1" applyAlignment="1">
      <alignment horizontal="center" vertical="center"/>
    </xf>
    <xf numFmtId="3" fontId="4" fillId="0" borderId="0" xfId="0" applyNumberFormat="1" applyFont="1" applyAlignment="1">
      <alignment vertical="center"/>
    </xf>
    <xf numFmtId="1" fontId="4" fillId="3" borderId="10" xfId="0" applyNumberFormat="1" applyFont="1" applyFill="1" applyBorder="1" applyAlignment="1">
      <alignment vertical="center"/>
    </xf>
    <xf numFmtId="1" fontId="4" fillId="3" borderId="8" xfId="0" applyNumberFormat="1" applyFont="1" applyFill="1" applyBorder="1" applyAlignment="1">
      <alignment vertical="center"/>
    </xf>
    <xf numFmtId="3" fontId="3" fillId="0" borderId="8" xfId="0" applyNumberFormat="1" applyFont="1" applyBorder="1" applyAlignment="1">
      <alignment horizontal="center" vertical="center"/>
    </xf>
    <xf numFmtId="0" fontId="4" fillId="3" borderId="5" xfId="0" applyFont="1" applyFill="1" applyBorder="1" applyAlignment="1">
      <alignment vertical="center"/>
    </xf>
    <xf numFmtId="0" fontId="4" fillId="4" borderId="5" xfId="0" applyFont="1" applyFill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3" fontId="10" fillId="3" borderId="8" xfId="0" applyNumberFormat="1" applyFont="1" applyFill="1" applyBorder="1" applyAlignment="1">
      <alignment horizontal="center" vertical="center"/>
    </xf>
    <xf numFmtId="0" fontId="4" fillId="6" borderId="8" xfId="0" applyFont="1" applyFill="1" applyBorder="1" applyAlignment="1">
      <alignment horizontal="center" vertical="center"/>
    </xf>
    <xf numFmtId="3" fontId="3" fillId="4" borderId="8" xfId="0" applyNumberFormat="1" applyFont="1" applyFill="1" applyBorder="1" applyAlignment="1">
      <alignment horizontal="center" vertical="center"/>
    </xf>
    <xf numFmtId="3" fontId="10" fillId="0" borderId="8" xfId="0" applyNumberFormat="1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3" fillId="0" borderId="7" xfId="0" applyFont="1" applyBorder="1" applyAlignment="1">
      <alignment horizontal="left" vertical="center"/>
    </xf>
    <xf numFmtId="0" fontId="1" fillId="0" borderId="7" xfId="0" applyFont="1" applyBorder="1"/>
    <xf numFmtId="0" fontId="1" fillId="0" borderId="8" xfId="0" applyFont="1" applyBorder="1"/>
    <xf numFmtId="0" fontId="7" fillId="0" borderId="1" xfId="0" applyFont="1" applyBorder="1" applyAlignment="1">
      <alignment horizontal="center" vertical="center" wrapText="1"/>
    </xf>
    <xf numFmtId="0" fontId="1" fillId="0" borderId="5" xfId="0" applyFont="1" applyBorder="1"/>
    <xf numFmtId="0" fontId="4" fillId="0" borderId="2" xfId="0" applyFont="1" applyBorder="1" applyAlignment="1">
      <alignment horizontal="center" vertical="center"/>
    </xf>
    <xf numFmtId="0" fontId="1" fillId="0" borderId="3" xfId="0" applyFont="1" applyBorder="1"/>
    <xf numFmtId="3" fontId="4" fillId="0" borderId="2" xfId="0" applyNumberFormat="1" applyFont="1" applyBorder="1" applyAlignment="1">
      <alignment horizontal="center" vertical="center"/>
    </xf>
    <xf numFmtId="3" fontId="4" fillId="0" borderId="11" xfId="0" applyNumberFormat="1" applyFont="1" applyBorder="1" applyAlignment="1">
      <alignment horizontal="center" vertical="center"/>
    </xf>
    <xf numFmtId="0" fontId="1" fillId="0" borderId="11" xfId="0" applyFont="1" applyBorder="1"/>
    <xf numFmtId="3" fontId="8" fillId="0" borderId="2" xfId="0" applyNumberFormat="1" applyFont="1" applyBorder="1" applyAlignment="1">
      <alignment horizontal="center" vertical="center" wrapText="1"/>
    </xf>
    <xf numFmtId="3" fontId="8" fillId="0" borderId="4" xfId="0" applyNumberFormat="1" applyFont="1" applyBorder="1" applyAlignment="1">
      <alignment horizontal="center" vertical="center" wrapText="1"/>
    </xf>
    <xf numFmtId="3" fontId="8" fillId="0" borderId="10" xfId="0" applyNumberFormat="1" applyFont="1" applyBorder="1" applyAlignment="1">
      <alignment horizontal="center" vertical="center" wrapText="1"/>
    </xf>
    <xf numFmtId="3" fontId="8" fillId="0" borderId="8" xfId="0" applyNumberFormat="1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 wrapText="1"/>
    </xf>
    <xf numFmtId="3" fontId="4" fillId="0" borderId="3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left" vertical="center"/>
    </xf>
    <xf numFmtId="0" fontId="1" fillId="0" borderId="4" xfId="0" applyFont="1" applyBorder="1"/>
    <xf numFmtId="0" fontId="4" fillId="0" borderId="7" xfId="0" applyFont="1" applyBorder="1" applyAlignment="1">
      <alignment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E1000"/>
  <sheetViews>
    <sheetView topLeftCell="A43" zoomScale="85" zoomScaleNormal="85" workbookViewId="0">
      <selection activeCell="B21" sqref="B21"/>
    </sheetView>
  </sheetViews>
  <sheetFormatPr defaultColWidth="12.5703125" defaultRowHeight="15.75" customHeight="1" x14ac:dyDescent="0.2"/>
  <cols>
    <col min="1" max="1" width="8.28515625" style="3" customWidth="1"/>
    <col min="2" max="2" width="37.85546875" style="3" customWidth="1"/>
    <col min="3" max="4" width="12.5703125" style="3"/>
    <col min="5" max="5" width="10.42578125" style="3" customWidth="1"/>
    <col min="6" max="13" width="8.85546875" style="3" customWidth="1"/>
    <col min="14" max="14" width="10.42578125" style="3" customWidth="1"/>
    <col min="15" max="18" width="8.85546875" style="3" customWidth="1"/>
    <col min="19" max="19" width="10.42578125" style="3" customWidth="1"/>
    <col min="20" max="25" width="8.85546875" style="3" customWidth="1"/>
    <col min="26" max="16384" width="12.5703125" style="3"/>
  </cols>
  <sheetData>
    <row r="1" spans="1:31" ht="26.25" customHeight="1" x14ac:dyDescent="0.2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ht="35.25" customHeight="1" x14ac:dyDescent="0.2">
      <c r="A2" s="4" t="s">
        <v>26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</row>
    <row r="3" spans="1:31" ht="30.75" customHeight="1" x14ac:dyDescent="0.2">
      <c r="A3" s="89" t="str">
        <f ca="1">IFERROR(__xludf.DUMMYFUNCTION("IMPORTRANGE(""https://docs.google.com/spreadsheets/d/1giFCfPZvq6d2WPbrXwJ7ksTcnSjmuNbU5G4IRrh5hOk/edit#gid=0"",""Q1!A14:T300"")"),"STT")</f>
        <v>STT</v>
      </c>
      <c r="B3" s="89" t="str">
        <f ca="1">IFERROR(__xludf.DUMMYFUNCTION("""COMPUTED_VALUE"""),"TRƯỜNG")</f>
        <v>TRƯỜNG</v>
      </c>
      <c r="C3" s="89" t="str">
        <f ca="1">IFERROR(__xludf.DUMMYFUNCTION("""COMPUTED_VALUE"""),"BẬC HỌC (MN, TH, THCS, THPT, CB, GDTX)")</f>
        <v>BẬC HỌC (MN, TH, THCS, THPT, CB, GDTX)</v>
      </c>
      <c r="D3" s="89" t="str">
        <f ca="1">IFERROR(__xludf.DUMMYFUNCTION("""COMPUTED_VALUE"""),"THÀNH PHỐ, QUẬN, HUYỆN")</f>
        <v>THÀNH PHỐ, QUẬN, HUYỆN</v>
      </c>
      <c r="E3" s="91" t="str">
        <f ca="1">IFERROR(__xludf.DUMMYFUNCTION("""COMPUTED_VALUE"""),"Cán bộ - Giáo viên - Nhân viên")</f>
        <v>Cán bộ - Giáo viên - Nhân viên</v>
      </c>
      <c r="F3" s="92"/>
      <c r="G3" s="92"/>
      <c r="H3" s="92"/>
      <c r="I3" s="92"/>
      <c r="J3" s="92"/>
      <c r="K3" s="92"/>
      <c r="L3" s="92"/>
      <c r="M3" s="92"/>
      <c r="N3" s="93" t="str">
        <f ca="1">IFERROR(__xludf.DUMMYFUNCTION("""COMPUTED_VALUE"""),"Học sinh từ 5 đến dưới 12 tuổi")</f>
        <v>Học sinh từ 5 đến dưới 12 tuổi</v>
      </c>
      <c r="O3" s="92"/>
      <c r="P3" s="92"/>
      <c r="Q3" s="92"/>
      <c r="R3" s="92"/>
      <c r="S3" s="94" t="str">
        <f ca="1">IFERROR(__xludf.DUMMYFUNCTION("""COMPUTED_VALUE"""),"Học sinh từ 12 đến dưới 18 tuổi")</f>
        <v>Học sinh từ 12 đến dưới 18 tuổi</v>
      </c>
      <c r="T3" s="95"/>
      <c r="U3" s="95"/>
      <c r="V3" s="95"/>
      <c r="W3" s="95"/>
      <c r="X3" s="95"/>
      <c r="Y3" s="95"/>
      <c r="Z3" s="2"/>
      <c r="AA3" s="2"/>
      <c r="AB3" s="2"/>
      <c r="AC3" s="2"/>
      <c r="AD3" s="2"/>
      <c r="AE3" s="2"/>
    </row>
    <row r="4" spans="1:31" ht="27" customHeight="1" x14ac:dyDescent="0.2">
      <c r="A4" s="90"/>
      <c r="B4" s="90"/>
      <c r="C4" s="90"/>
      <c r="D4" s="90"/>
      <c r="E4" s="7" t="str">
        <f ca="1">IFERROR(__xludf.DUMMYFUNCTION("""COMPUTED_VALUE"""),"Tổng CB-GV-NV")</f>
        <v>Tổng CB-GV-NV</v>
      </c>
      <c r="F4" s="96" t="s">
        <v>22</v>
      </c>
      <c r="G4" s="97"/>
      <c r="H4" s="96" t="s">
        <v>23</v>
      </c>
      <c r="I4" s="97"/>
      <c r="J4" s="96" t="s">
        <v>24</v>
      </c>
      <c r="K4" s="97"/>
      <c r="L4" s="96" t="s">
        <v>25</v>
      </c>
      <c r="M4" s="97"/>
      <c r="N4" s="7" t="str">
        <f ca="1">IFERROR(__xludf.DUMMYFUNCTION("""COMPUTED_VALUE"""),"Tổng học sinh")</f>
        <v>Tổng học sinh</v>
      </c>
      <c r="O4" s="96" t="s">
        <v>22</v>
      </c>
      <c r="P4" s="97"/>
      <c r="Q4" s="96" t="s">
        <v>23</v>
      </c>
      <c r="R4" s="97"/>
      <c r="S4" s="8" t="str">
        <f ca="1">IFERROR(__xludf.DUMMYFUNCTION("""COMPUTED_VALUE"""),"Tổng học sinh")</f>
        <v>Tổng học sinh</v>
      </c>
      <c r="T4" s="98" t="s">
        <v>22</v>
      </c>
      <c r="U4" s="99"/>
      <c r="V4" s="98" t="s">
        <v>23</v>
      </c>
      <c r="W4" s="99"/>
      <c r="X4" s="98" t="s">
        <v>24</v>
      </c>
      <c r="Y4" s="99"/>
      <c r="Z4" s="2"/>
      <c r="AA4" s="2"/>
      <c r="AB4" s="2"/>
      <c r="AC4" s="2"/>
      <c r="AD4" s="2"/>
      <c r="AE4" s="2"/>
    </row>
    <row r="5" spans="1:31" ht="12.75" x14ac:dyDescent="0.2">
      <c r="A5" s="9" t="str">
        <f ca="1">IFERROR(__xludf.DUMMYFUNCTION("""COMPUTED_VALUE"""),"TỔNG TOÀN QUẬN/HUYỆN/TP")</f>
        <v>TỔNG TOÀN QUẬN/HUYỆN/TP</v>
      </c>
      <c r="B5" s="10"/>
      <c r="C5" s="11"/>
      <c r="D5" s="11" t="str">
        <f ca="1">IFERROR(__xludf.DUMMYFUNCTION("""COMPUTED_VALUE"""),"Quận 1")</f>
        <v>Quận 1</v>
      </c>
      <c r="E5" s="12">
        <f ca="1">IFERROR(__xludf.DUMMYFUNCTION("""COMPUTED_VALUE"""),4123)</f>
        <v>4123</v>
      </c>
      <c r="F5" s="12">
        <f ca="1">IFERROR(__xludf.DUMMYFUNCTION("""COMPUTED_VALUE"""),4121)</f>
        <v>4121</v>
      </c>
      <c r="G5" s="13">
        <f ca="1">IFERROR(F5/E5,"")</f>
        <v>0.99951491632306577</v>
      </c>
      <c r="H5" s="12">
        <f ca="1">IFERROR(__xludf.DUMMYFUNCTION("""COMPUTED_VALUE"""),4114)</f>
        <v>4114</v>
      </c>
      <c r="I5" s="13">
        <f ca="1">IFERROR(H5/E5,"")</f>
        <v>0.99781712345379581</v>
      </c>
      <c r="J5" s="12">
        <f ca="1">IFERROR(__xludf.DUMMYFUNCTION("""COMPUTED_VALUE"""),3740)</f>
        <v>3740</v>
      </c>
      <c r="K5" s="13">
        <f ca="1">IFERROR(J5/E5,"")</f>
        <v>0.90710647586708704</v>
      </c>
      <c r="L5" s="12">
        <f ca="1">IFERROR(__xludf.DUMMYFUNCTION("""COMPUTED_VALUE"""),1485)</f>
        <v>1485</v>
      </c>
      <c r="M5" s="13">
        <f ca="1">IFERROR(L5/E5,"")</f>
        <v>0.36017463012369633</v>
      </c>
      <c r="N5" s="12">
        <f ca="1">IFERROR(__xludf.DUMMYFUNCTION("""COMPUTED_VALUE"""),20275)</f>
        <v>20275</v>
      </c>
      <c r="O5" s="12">
        <f ca="1">IFERROR(__xludf.DUMMYFUNCTION("""COMPUTED_VALUE"""),7275)</f>
        <v>7275</v>
      </c>
      <c r="P5" s="13">
        <f ca="1">IFERROR(O5/N5,"")</f>
        <v>0.35881627620221951</v>
      </c>
      <c r="Q5" s="12">
        <f ca="1">IFERROR(__xludf.DUMMYFUNCTION("""COMPUTED_VALUE"""),3316)</f>
        <v>3316</v>
      </c>
      <c r="R5" s="13">
        <f ca="1">IFERROR(Q5/N5,"")</f>
        <v>0.16355117139334155</v>
      </c>
      <c r="S5" s="12">
        <f ca="1">IFERROR(__xludf.DUMMYFUNCTION("""COMPUTED_VALUE"""),21771)</f>
        <v>21771</v>
      </c>
      <c r="T5" s="12">
        <f ca="1">IFERROR(__xludf.DUMMYFUNCTION("""COMPUTED_VALUE"""),20653)</f>
        <v>20653</v>
      </c>
      <c r="U5" s="13">
        <f ca="1">IFERROR(T5/S5,"")</f>
        <v>0.94864728308300028</v>
      </c>
      <c r="V5" s="12">
        <f ca="1">IFERROR(__xludf.DUMMYFUNCTION("""COMPUTED_VALUE"""),20189)</f>
        <v>20189</v>
      </c>
      <c r="W5" s="13">
        <f ca="1">IFERROR(V5/S5,"")</f>
        <v>0.92733452758256396</v>
      </c>
      <c r="X5" s="12">
        <f ca="1">IFERROR(__xludf.DUMMYFUNCTION("""COMPUTED_VALUE"""),5679)</f>
        <v>5679</v>
      </c>
      <c r="Y5" s="13">
        <f ca="1">IFERROR(X5/S5,"")</f>
        <v>0.26085159156676313</v>
      </c>
      <c r="Z5" s="2"/>
      <c r="AA5" s="2"/>
      <c r="AB5" s="2"/>
      <c r="AC5" s="2"/>
      <c r="AD5" s="2"/>
      <c r="AE5" s="2"/>
    </row>
    <row r="6" spans="1:31" ht="12.75" x14ac:dyDescent="0.2">
      <c r="A6" s="86" t="str">
        <f ca="1">IFERROR(__xludf.DUMMYFUNCTION("""COMPUTED_VALUE"""),"Mầm non")</f>
        <v>Mầm non</v>
      </c>
      <c r="B6" s="87"/>
      <c r="C6" s="88"/>
      <c r="D6" s="14"/>
      <c r="E6" s="15">
        <f ca="1">IFERROR(__xludf.DUMMYFUNCTION("""COMPUTED_VALUE"""),862)</f>
        <v>862</v>
      </c>
      <c r="F6" s="15">
        <f ca="1">IFERROR(__xludf.DUMMYFUNCTION("""COMPUTED_VALUE"""),860)</f>
        <v>860</v>
      </c>
      <c r="G6" s="13">
        <f t="shared" ref="G6:G69" ca="1" si="0">IFERROR(F6/E6,"")</f>
        <v>0.99767981438515085</v>
      </c>
      <c r="H6" s="15">
        <f ca="1">IFERROR(__xludf.DUMMYFUNCTION("""COMPUTED_VALUE"""),859)</f>
        <v>859</v>
      </c>
      <c r="I6" s="13">
        <f t="shared" ref="I6:I69" ca="1" si="1">IFERROR(H6/E6,"")</f>
        <v>0.99651972157772617</v>
      </c>
      <c r="J6" s="15">
        <f ca="1">IFERROR(__xludf.DUMMYFUNCTION("""COMPUTED_VALUE"""),789)</f>
        <v>789</v>
      </c>
      <c r="K6" s="13">
        <f t="shared" ref="K6:K69" ca="1" si="2">IFERROR(J6/E6,"")</f>
        <v>0.91531322505800461</v>
      </c>
      <c r="L6" s="15">
        <f ca="1">IFERROR(__xludf.DUMMYFUNCTION("""COMPUTED_VALUE"""),369)</f>
        <v>369</v>
      </c>
      <c r="M6" s="13">
        <f t="shared" ref="M6:M69" ca="1" si="3">IFERROR(L6/E6,"")</f>
        <v>0.42807424593967519</v>
      </c>
      <c r="N6" s="15">
        <f ca="1">IFERROR(__xludf.DUMMYFUNCTION("""COMPUTED_VALUE"""),1669)</f>
        <v>1669</v>
      </c>
      <c r="O6" s="15">
        <f ca="1">IFERROR(__xludf.DUMMYFUNCTION("""COMPUTED_VALUE"""),163)</f>
        <v>163</v>
      </c>
      <c r="P6" s="13">
        <f t="shared" ref="P6:P69" ca="1" si="4">IFERROR(O6/N6,"")</f>
        <v>9.7663271420011979E-2</v>
      </c>
      <c r="Q6" s="15">
        <f ca="1">IFERROR(__xludf.DUMMYFUNCTION("""COMPUTED_VALUE"""),19)</f>
        <v>19</v>
      </c>
      <c r="R6" s="13">
        <f t="shared" ref="R6:R69" ca="1" si="5">IFERROR(Q6/N6,"")</f>
        <v>1.1384062312762133E-2</v>
      </c>
      <c r="S6" s="15">
        <f ca="1">IFERROR(__xludf.DUMMYFUNCTION("""COMPUTED_VALUE"""),0)</f>
        <v>0</v>
      </c>
      <c r="T6" s="15">
        <f ca="1">IFERROR(__xludf.DUMMYFUNCTION("""COMPUTED_VALUE"""),0)</f>
        <v>0</v>
      </c>
      <c r="U6" s="13" t="str">
        <f t="shared" ref="U6:U69" ca="1" si="6">IFERROR(T6/S6,"")</f>
        <v/>
      </c>
      <c r="V6" s="15">
        <f ca="1">IFERROR(__xludf.DUMMYFUNCTION("""COMPUTED_VALUE"""),0)</f>
        <v>0</v>
      </c>
      <c r="W6" s="13" t="str">
        <f t="shared" ref="W6:W69" ca="1" si="7">IFERROR(V6/S6,"")</f>
        <v/>
      </c>
      <c r="X6" s="15">
        <f ca="1">IFERROR(__xludf.DUMMYFUNCTION("""COMPUTED_VALUE"""),0)</f>
        <v>0</v>
      </c>
      <c r="Y6" s="13" t="str">
        <f t="shared" ref="Y6:Y69" ca="1" si="8">IFERROR(X6/S6,"")</f>
        <v/>
      </c>
      <c r="Z6" s="2"/>
      <c r="AA6" s="2"/>
      <c r="AB6" s="2"/>
      <c r="AC6" s="2"/>
      <c r="AD6" s="2"/>
      <c r="AE6" s="2"/>
    </row>
    <row r="7" spans="1:31" ht="12.75" x14ac:dyDescent="0.2">
      <c r="A7" s="16">
        <f ca="1">IFERROR(__xludf.DUMMYFUNCTION("""COMPUTED_VALUE"""),1)</f>
        <v>1</v>
      </c>
      <c r="B7" s="14" t="str">
        <f ca="1">IFERROR(__xludf.DUMMYFUNCTION("""COMPUTED_VALUE"""),"Trường Mầm non Cô Giang")</f>
        <v>Trường Mầm non Cô Giang</v>
      </c>
      <c r="C7" s="14" t="str">
        <f ca="1">IFERROR(__xludf.DUMMYFUNCTION("""COMPUTED_VALUE"""),"MN")</f>
        <v>MN</v>
      </c>
      <c r="D7" s="14" t="str">
        <f ca="1">IFERROR(__xludf.DUMMYFUNCTION("""COMPUTED_VALUE"""),"Quận 1")</f>
        <v>Quận 1</v>
      </c>
      <c r="E7" s="17">
        <f ca="1">IFERROR(__xludf.DUMMYFUNCTION("""COMPUTED_VALUE"""),37)</f>
        <v>37</v>
      </c>
      <c r="F7" s="18">
        <f ca="1">IFERROR(__xludf.DUMMYFUNCTION("""COMPUTED_VALUE"""),37)</f>
        <v>37</v>
      </c>
      <c r="G7" s="13">
        <f t="shared" ca="1" si="0"/>
        <v>1</v>
      </c>
      <c r="H7" s="18">
        <f ca="1">IFERROR(__xludf.DUMMYFUNCTION("""COMPUTED_VALUE"""),37)</f>
        <v>37</v>
      </c>
      <c r="I7" s="13">
        <f t="shared" ca="1" si="1"/>
        <v>1</v>
      </c>
      <c r="J7" s="18">
        <f ca="1">IFERROR(__xludf.DUMMYFUNCTION("""COMPUTED_VALUE"""),33)</f>
        <v>33</v>
      </c>
      <c r="K7" s="13">
        <f t="shared" ca="1" si="2"/>
        <v>0.89189189189189189</v>
      </c>
      <c r="L7" s="18">
        <f ca="1">IFERROR(__xludf.DUMMYFUNCTION("""COMPUTED_VALUE"""),26)</f>
        <v>26</v>
      </c>
      <c r="M7" s="13">
        <f t="shared" ca="1" si="3"/>
        <v>0.70270270270270274</v>
      </c>
      <c r="N7" s="17">
        <f ca="1">IFERROR(__xludf.DUMMYFUNCTION("""COMPUTED_VALUE"""),105)</f>
        <v>105</v>
      </c>
      <c r="O7" s="19">
        <f ca="1">IFERROR(__xludf.DUMMYFUNCTION("""COMPUTED_VALUE"""),2)</f>
        <v>2</v>
      </c>
      <c r="P7" s="13">
        <f t="shared" ca="1" si="4"/>
        <v>1.9047619047619049E-2</v>
      </c>
      <c r="Q7" s="19">
        <f ca="1">IFERROR(__xludf.DUMMYFUNCTION("""COMPUTED_VALUE"""),0)</f>
        <v>0</v>
      </c>
      <c r="R7" s="13">
        <f t="shared" ca="1" si="5"/>
        <v>0</v>
      </c>
      <c r="S7" s="20"/>
      <c r="T7" s="14"/>
      <c r="U7" s="13" t="str">
        <f t="shared" si="6"/>
        <v/>
      </c>
      <c r="V7" s="14"/>
      <c r="W7" s="13" t="str">
        <f t="shared" si="7"/>
        <v/>
      </c>
      <c r="X7" s="14"/>
      <c r="Y7" s="13" t="str">
        <f t="shared" si="8"/>
        <v/>
      </c>
      <c r="Z7" s="2"/>
      <c r="AA7" s="2"/>
      <c r="AB7" s="2"/>
      <c r="AC7" s="2"/>
      <c r="AD7" s="2"/>
      <c r="AE7" s="2"/>
    </row>
    <row r="8" spans="1:31" ht="12.75" x14ac:dyDescent="0.2">
      <c r="A8" s="16">
        <f ca="1">IFERROR(__xludf.DUMMYFUNCTION("""COMPUTED_VALUE"""),2)</f>
        <v>2</v>
      </c>
      <c r="B8" s="14" t="str">
        <f ca="1">IFERROR(__xludf.DUMMYFUNCTION("""COMPUTED_VALUE"""),"Trường Mầm non Tân Định")</f>
        <v>Trường Mầm non Tân Định</v>
      </c>
      <c r="C8" s="14" t="str">
        <f ca="1">IFERROR(__xludf.DUMMYFUNCTION("""COMPUTED_VALUE"""),"MN")</f>
        <v>MN</v>
      </c>
      <c r="D8" s="14" t="str">
        <f ca="1">IFERROR(__xludf.DUMMYFUNCTION("""COMPUTED_VALUE"""),"Quận 1")</f>
        <v>Quận 1</v>
      </c>
      <c r="E8" s="17">
        <f ca="1">IFERROR(__xludf.DUMMYFUNCTION("""COMPUTED_VALUE"""),29)</f>
        <v>29</v>
      </c>
      <c r="F8" s="18">
        <f ca="1">IFERROR(__xludf.DUMMYFUNCTION("""COMPUTED_VALUE"""),29)</f>
        <v>29</v>
      </c>
      <c r="G8" s="13">
        <f t="shared" ca="1" si="0"/>
        <v>1</v>
      </c>
      <c r="H8" s="21">
        <f ca="1">IFERROR(__xludf.DUMMYFUNCTION("""COMPUTED_VALUE"""),29)</f>
        <v>29</v>
      </c>
      <c r="I8" s="13">
        <f t="shared" ca="1" si="1"/>
        <v>1</v>
      </c>
      <c r="J8" s="18">
        <f ca="1">IFERROR(__xludf.DUMMYFUNCTION("""COMPUTED_VALUE"""),24)</f>
        <v>24</v>
      </c>
      <c r="K8" s="13">
        <f t="shared" ca="1" si="2"/>
        <v>0.82758620689655171</v>
      </c>
      <c r="L8" s="18">
        <f ca="1">IFERROR(__xludf.DUMMYFUNCTION("""COMPUTED_VALUE"""),24)</f>
        <v>24</v>
      </c>
      <c r="M8" s="13">
        <f t="shared" ca="1" si="3"/>
        <v>0.82758620689655171</v>
      </c>
      <c r="N8" s="17">
        <f ca="1">IFERROR(__xludf.DUMMYFUNCTION("""COMPUTED_VALUE"""),64)</f>
        <v>64</v>
      </c>
      <c r="O8" s="19">
        <f ca="1">IFERROR(__xludf.DUMMYFUNCTION("""COMPUTED_VALUE"""),7)</f>
        <v>7</v>
      </c>
      <c r="P8" s="13">
        <f t="shared" ca="1" si="4"/>
        <v>0.109375</v>
      </c>
      <c r="Q8" s="19">
        <f ca="1">IFERROR(__xludf.DUMMYFUNCTION("""COMPUTED_VALUE"""),1)</f>
        <v>1</v>
      </c>
      <c r="R8" s="13">
        <f t="shared" ca="1" si="5"/>
        <v>1.5625E-2</v>
      </c>
      <c r="S8" s="20"/>
      <c r="T8" s="14"/>
      <c r="U8" s="13" t="str">
        <f t="shared" si="6"/>
        <v/>
      </c>
      <c r="V8" s="14"/>
      <c r="W8" s="13" t="str">
        <f t="shared" si="7"/>
        <v/>
      </c>
      <c r="X8" s="14"/>
      <c r="Y8" s="13" t="str">
        <f t="shared" si="8"/>
        <v/>
      </c>
      <c r="Z8" s="2"/>
      <c r="AA8" s="2"/>
      <c r="AB8" s="2"/>
      <c r="AC8" s="2"/>
      <c r="AD8" s="2"/>
      <c r="AE8" s="2"/>
    </row>
    <row r="9" spans="1:31" ht="12.75" x14ac:dyDescent="0.2">
      <c r="A9" s="16">
        <f ca="1">IFERROR(__xludf.DUMMYFUNCTION("""COMPUTED_VALUE"""),3)</f>
        <v>3</v>
      </c>
      <c r="B9" s="14" t="str">
        <f ca="1">IFERROR(__xludf.DUMMYFUNCTION("""COMPUTED_VALUE"""),"Trường Mầm non Lê Thị Riêng")</f>
        <v>Trường Mầm non Lê Thị Riêng</v>
      </c>
      <c r="C9" s="14" t="str">
        <f ca="1">IFERROR(__xludf.DUMMYFUNCTION("""COMPUTED_VALUE"""),"MN")</f>
        <v>MN</v>
      </c>
      <c r="D9" s="14" t="str">
        <f ca="1">IFERROR(__xludf.DUMMYFUNCTION("""COMPUTED_VALUE"""),"Quận 1")</f>
        <v>Quận 1</v>
      </c>
      <c r="E9" s="17">
        <f ca="1">IFERROR(__xludf.DUMMYFUNCTION("""COMPUTED_VALUE"""),29)</f>
        <v>29</v>
      </c>
      <c r="F9" s="18">
        <f ca="1">IFERROR(__xludf.DUMMYFUNCTION("""COMPUTED_VALUE"""),29)</f>
        <v>29</v>
      </c>
      <c r="G9" s="13">
        <f t="shared" ca="1" si="0"/>
        <v>1</v>
      </c>
      <c r="H9" s="18">
        <f ca="1">IFERROR(__xludf.DUMMYFUNCTION("""COMPUTED_VALUE"""),29)</f>
        <v>29</v>
      </c>
      <c r="I9" s="13">
        <f t="shared" ca="1" si="1"/>
        <v>1</v>
      </c>
      <c r="J9" s="18">
        <f ca="1">IFERROR(__xludf.DUMMYFUNCTION("""COMPUTED_VALUE"""),25)</f>
        <v>25</v>
      </c>
      <c r="K9" s="13">
        <f t="shared" ca="1" si="2"/>
        <v>0.86206896551724133</v>
      </c>
      <c r="L9" s="18">
        <f ca="1">IFERROR(__xludf.DUMMYFUNCTION("""COMPUTED_VALUE"""),10)</f>
        <v>10</v>
      </c>
      <c r="M9" s="13">
        <f t="shared" ca="1" si="3"/>
        <v>0.34482758620689657</v>
      </c>
      <c r="N9" s="17">
        <f ca="1">IFERROR(__xludf.DUMMYFUNCTION("""COMPUTED_VALUE"""),28)</f>
        <v>28</v>
      </c>
      <c r="O9" s="19">
        <f ca="1">IFERROR(__xludf.DUMMYFUNCTION("""COMPUTED_VALUE"""),2)</f>
        <v>2</v>
      </c>
      <c r="P9" s="13">
        <f t="shared" ca="1" si="4"/>
        <v>7.1428571428571425E-2</v>
      </c>
      <c r="Q9" s="19">
        <f ca="1">IFERROR(__xludf.DUMMYFUNCTION("""COMPUTED_VALUE"""),0)</f>
        <v>0</v>
      </c>
      <c r="R9" s="13">
        <f t="shared" ca="1" si="5"/>
        <v>0</v>
      </c>
      <c r="S9" s="20"/>
      <c r="T9" s="14"/>
      <c r="U9" s="13" t="str">
        <f t="shared" si="6"/>
        <v/>
      </c>
      <c r="V9" s="14"/>
      <c r="W9" s="13" t="str">
        <f t="shared" si="7"/>
        <v/>
      </c>
      <c r="X9" s="14"/>
      <c r="Y9" s="13" t="str">
        <f t="shared" si="8"/>
        <v/>
      </c>
      <c r="Z9" s="2"/>
      <c r="AA9" s="2"/>
      <c r="AB9" s="2"/>
      <c r="AC9" s="2"/>
      <c r="AD9" s="2"/>
      <c r="AE9" s="2"/>
    </row>
    <row r="10" spans="1:31" ht="12.75" x14ac:dyDescent="0.2">
      <c r="A10" s="16">
        <f ca="1">IFERROR(__xludf.DUMMYFUNCTION("""COMPUTED_VALUE"""),4)</f>
        <v>4</v>
      </c>
      <c r="B10" s="14" t="str">
        <f ca="1">IFERROR(__xludf.DUMMYFUNCTION("""COMPUTED_VALUE"""),"Mầm non 30-4")</f>
        <v>Mầm non 30-4</v>
      </c>
      <c r="C10" s="14" t="str">
        <f ca="1">IFERROR(__xludf.DUMMYFUNCTION("""COMPUTED_VALUE"""),"MN")</f>
        <v>MN</v>
      </c>
      <c r="D10" s="14" t="str">
        <f ca="1">IFERROR(__xludf.DUMMYFUNCTION("""COMPUTED_VALUE"""),"Quận 1")</f>
        <v>Quận 1</v>
      </c>
      <c r="E10" s="17">
        <f ca="1">IFERROR(__xludf.DUMMYFUNCTION("""COMPUTED_VALUE"""),38)</f>
        <v>38</v>
      </c>
      <c r="F10" s="18">
        <f ca="1">IFERROR(__xludf.DUMMYFUNCTION("""COMPUTED_VALUE"""),38)</f>
        <v>38</v>
      </c>
      <c r="G10" s="13">
        <f t="shared" ca="1" si="0"/>
        <v>1</v>
      </c>
      <c r="H10" s="18">
        <f ca="1">IFERROR(__xludf.DUMMYFUNCTION("""COMPUTED_VALUE"""),38)</f>
        <v>38</v>
      </c>
      <c r="I10" s="13">
        <f t="shared" ca="1" si="1"/>
        <v>1</v>
      </c>
      <c r="J10" s="18">
        <f ca="1">IFERROR(__xludf.DUMMYFUNCTION("""COMPUTED_VALUE"""),36)</f>
        <v>36</v>
      </c>
      <c r="K10" s="13">
        <f t="shared" ca="1" si="2"/>
        <v>0.94736842105263153</v>
      </c>
      <c r="L10" s="18">
        <f ca="1">IFERROR(__xludf.DUMMYFUNCTION("""COMPUTED_VALUE"""),33)</f>
        <v>33</v>
      </c>
      <c r="M10" s="13">
        <f t="shared" ca="1" si="3"/>
        <v>0.86842105263157898</v>
      </c>
      <c r="N10" s="17">
        <f ca="1">IFERROR(__xludf.DUMMYFUNCTION("""COMPUTED_VALUE"""),76)</f>
        <v>76</v>
      </c>
      <c r="O10" s="19">
        <f ca="1">IFERROR(__xludf.DUMMYFUNCTION("""COMPUTED_VALUE"""),6)</f>
        <v>6</v>
      </c>
      <c r="P10" s="13">
        <f t="shared" ca="1" si="4"/>
        <v>7.8947368421052627E-2</v>
      </c>
      <c r="Q10" s="19">
        <f ca="1">IFERROR(__xludf.DUMMYFUNCTION("""COMPUTED_VALUE"""),0)</f>
        <v>0</v>
      </c>
      <c r="R10" s="13">
        <f t="shared" ca="1" si="5"/>
        <v>0</v>
      </c>
      <c r="S10" s="20"/>
      <c r="T10" s="14"/>
      <c r="U10" s="13" t="str">
        <f t="shared" si="6"/>
        <v/>
      </c>
      <c r="V10" s="14"/>
      <c r="W10" s="13" t="str">
        <f t="shared" si="7"/>
        <v/>
      </c>
      <c r="X10" s="14"/>
      <c r="Y10" s="13" t="str">
        <f t="shared" si="8"/>
        <v/>
      </c>
      <c r="Z10" s="2"/>
      <c r="AA10" s="2"/>
      <c r="AB10" s="2"/>
      <c r="AC10" s="2"/>
      <c r="AD10" s="2"/>
      <c r="AE10" s="2"/>
    </row>
    <row r="11" spans="1:31" ht="12.75" x14ac:dyDescent="0.2">
      <c r="A11" s="16">
        <f ca="1">IFERROR(__xludf.DUMMYFUNCTION("""COMPUTED_VALUE"""),5)</f>
        <v>5</v>
      </c>
      <c r="B11" s="14" t="str">
        <f ca="1">IFERROR(__xludf.DUMMYFUNCTION("""COMPUTED_VALUE"""),"Trường Mầm non 20/10")</f>
        <v>Trường Mầm non 20/10</v>
      </c>
      <c r="C11" s="14" t="str">
        <f ca="1">IFERROR(__xludf.DUMMYFUNCTION("""COMPUTED_VALUE"""),"MN")</f>
        <v>MN</v>
      </c>
      <c r="D11" s="14" t="str">
        <f ca="1">IFERROR(__xludf.DUMMYFUNCTION("""COMPUTED_VALUE"""),"Quận 1")</f>
        <v>Quận 1</v>
      </c>
      <c r="E11" s="17">
        <f ca="1">IFERROR(__xludf.DUMMYFUNCTION("""COMPUTED_VALUE"""),40)</f>
        <v>40</v>
      </c>
      <c r="F11" s="18">
        <f ca="1">IFERROR(__xludf.DUMMYFUNCTION("""COMPUTED_VALUE"""),40)</f>
        <v>40</v>
      </c>
      <c r="G11" s="13">
        <f t="shared" ca="1" si="0"/>
        <v>1</v>
      </c>
      <c r="H11" s="18">
        <f ca="1">IFERROR(__xludf.DUMMYFUNCTION("""COMPUTED_VALUE"""),40)</f>
        <v>40</v>
      </c>
      <c r="I11" s="13">
        <f t="shared" ca="1" si="1"/>
        <v>1</v>
      </c>
      <c r="J11" s="18">
        <f ca="1">IFERROR(__xludf.DUMMYFUNCTION("""COMPUTED_VALUE"""),40)</f>
        <v>40</v>
      </c>
      <c r="K11" s="13">
        <f t="shared" ca="1" si="2"/>
        <v>1</v>
      </c>
      <c r="L11" s="18">
        <f ca="1">IFERROR(__xludf.DUMMYFUNCTION("""COMPUTED_VALUE"""),19)</f>
        <v>19</v>
      </c>
      <c r="M11" s="13">
        <f t="shared" ca="1" si="3"/>
        <v>0.47499999999999998</v>
      </c>
      <c r="N11" s="17">
        <f ca="1">IFERROR(__xludf.DUMMYFUNCTION("""COMPUTED_VALUE"""),95)</f>
        <v>95</v>
      </c>
      <c r="O11" s="19">
        <f ca="1">IFERROR(__xludf.DUMMYFUNCTION("""COMPUTED_VALUE"""),0)</f>
        <v>0</v>
      </c>
      <c r="P11" s="13">
        <f t="shared" ca="1" si="4"/>
        <v>0</v>
      </c>
      <c r="Q11" s="19">
        <f ca="1">IFERROR(__xludf.DUMMYFUNCTION("""COMPUTED_VALUE"""),0)</f>
        <v>0</v>
      </c>
      <c r="R11" s="13">
        <f t="shared" ca="1" si="5"/>
        <v>0</v>
      </c>
      <c r="S11" s="20"/>
      <c r="T11" s="14"/>
      <c r="U11" s="13" t="str">
        <f t="shared" si="6"/>
        <v/>
      </c>
      <c r="V11" s="14"/>
      <c r="W11" s="13" t="str">
        <f t="shared" si="7"/>
        <v/>
      </c>
      <c r="X11" s="14"/>
      <c r="Y11" s="13" t="str">
        <f t="shared" si="8"/>
        <v/>
      </c>
      <c r="Z11" s="2"/>
      <c r="AA11" s="2"/>
      <c r="AB11" s="2"/>
      <c r="AC11" s="2"/>
      <c r="AD11" s="2"/>
      <c r="AE11" s="2"/>
    </row>
    <row r="12" spans="1:31" ht="12.75" x14ac:dyDescent="0.2">
      <c r="A12" s="16">
        <f ca="1">IFERROR(__xludf.DUMMYFUNCTION("""COMPUTED_VALUE"""),6)</f>
        <v>6</v>
      </c>
      <c r="B12" s="14" t="str">
        <f ca="1">IFERROR(__xludf.DUMMYFUNCTION("""COMPUTED_VALUE"""),"Trường Mầm non Tuổi Hồng")</f>
        <v>Trường Mầm non Tuổi Hồng</v>
      </c>
      <c r="C12" s="14" t="str">
        <f ca="1">IFERROR(__xludf.DUMMYFUNCTION("""COMPUTED_VALUE"""),"MN")</f>
        <v>MN</v>
      </c>
      <c r="D12" s="14" t="str">
        <f ca="1">IFERROR(__xludf.DUMMYFUNCTION("""COMPUTED_VALUE"""),"Quận 1")</f>
        <v>Quận 1</v>
      </c>
      <c r="E12" s="17">
        <f ca="1">IFERROR(__xludf.DUMMYFUNCTION("""COMPUTED_VALUE"""),19)</f>
        <v>19</v>
      </c>
      <c r="F12" s="18">
        <f ca="1">IFERROR(__xludf.DUMMYFUNCTION("""COMPUTED_VALUE"""),19)</f>
        <v>19</v>
      </c>
      <c r="G12" s="13">
        <f t="shared" ca="1" si="0"/>
        <v>1</v>
      </c>
      <c r="H12" s="18">
        <f ca="1">IFERROR(__xludf.DUMMYFUNCTION("""COMPUTED_VALUE"""),19)</f>
        <v>19</v>
      </c>
      <c r="I12" s="13">
        <f t="shared" ca="1" si="1"/>
        <v>1</v>
      </c>
      <c r="J12" s="18">
        <f ca="1">IFERROR(__xludf.DUMMYFUNCTION("""COMPUTED_VALUE"""),18)</f>
        <v>18</v>
      </c>
      <c r="K12" s="13">
        <f t="shared" ca="1" si="2"/>
        <v>0.94736842105263153</v>
      </c>
      <c r="L12" s="18">
        <f ca="1">IFERROR(__xludf.DUMMYFUNCTION("""COMPUTED_VALUE"""),10)</f>
        <v>10</v>
      </c>
      <c r="M12" s="13">
        <f t="shared" ca="1" si="3"/>
        <v>0.52631578947368418</v>
      </c>
      <c r="N12" s="17">
        <f ca="1">IFERROR(__xludf.DUMMYFUNCTION("""COMPUTED_VALUE"""),51)</f>
        <v>51</v>
      </c>
      <c r="O12" s="19">
        <f ca="1">IFERROR(__xludf.DUMMYFUNCTION("""COMPUTED_VALUE"""),3)</f>
        <v>3</v>
      </c>
      <c r="P12" s="13">
        <f t="shared" ca="1" si="4"/>
        <v>5.8823529411764705E-2</v>
      </c>
      <c r="Q12" s="19">
        <f ca="1">IFERROR(__xludf.DUMMYFUNCTION("""COMPUTED_VALUE"""),0)</f>
        <v>0</v>
      </c>
      <c r="R12" s="13">
        <f t="shared" ca="1" si="5"/>
        <v>0</v>
      </c>
      <c r="S12" s="20"/>
      <c r="T12" s="14"/>
      <c r="U12" s="13" t="str">
        <f t="shared" si="6"/>
        <v/>
      </c>
      <c r="V12" s="14"/>
      <c r="W12" s="13" t="str">
        <f t="shared" si="7"/>
        <v/>
      </c>
      <c r="X12" s="14"/>
      <c r="Y12" s="13" t="str">
        <f t="shared" si="8"/>
        <v/>
      </c>
      <c r="Z12" s="2"/>
      <c r="AA12" s="2"/>
      <c r="AB12" s="2"/>
      <c r="AC12" s="2"/>
      <c r="AD12" s="2"/>
      <c r="AE12" s="2"/>
    </row>
    <row r="13" spans="1:31" ht="12.75" x14ac:dyDescent="0.2">
      <c r="A13" s="16">
        <f ca="1">IFERROR(__xludf.DUMMYFUNCTION("""COMPUTED_VALUE"""),7)</f>
        <v>7</v>
      </c>
      <c r="B13" s="14" t="str">
        <f ca="1">IFERROR(__xludf.DUMMYFUNCTION("""COMPUTED_VALUE"""),"Trường Mầm non Nguyễn Cư Trinh")</f>
        <v>Trường Mầm non Nguyễn Cư Trinh</v>
      </c>
      <c r="C13" s="14" t="str">
        <f ca="1">IFERROR(__xludf.DUMMYFUNCTION("""COMPUTED_VALUE"""),"MN")</f>
        <v>MN</v>
      </c>
      <c r="D13" s="14" t="str">
        <f ca="1">IFERROR(__xludf.DUMMYFUNCTION("""COMPUTED_VALUE"""),"Quận 1")</f>
        <v>Quận 1</v>
      </c>
      <c r="E13" s="17">
        <f ca="1">IFERROR(__xludf.DUMMYFUNCTION("""COMPUTED_VALUE"""),26)</f>
        <v>26</v>
      </c>
      <c r="F13" s="18">
        <f ca="1">IFERROR(__xludf.DUMMYFUNCTION("""COMPUTED_VALUE"""),26)</f>
        <v>26</v>
      </c>
      <c r="G13" s="13">
        <f t="shared" ca="1" si="0"/>
        <v>1</v>
      </c>
      <c r="H13" s="18">
        <f ca="1">IFERROR(__xludf.DUMMYFUNCTION("""COMPUTED_VALUE"""),26)</f>
        <v>26</v>
      </c>
      <c r="I13" s="13">
        <f t="shared" ca="1" si="1"/>
        <v>1</v>
      </c>
      <c r="J13" s="18">
        <f ca="1">IFERROR(__xludf.DUMMYFUNCTION("""COMPUTED_VALUE"""),25)</f>
        <v>25</v>
      </c>
      <c r="K13" s="13">
        <f t="shared" ca="1" si="2"/>
        <v>0.96153846153846156</v>
      </c>
      <c r="L13" s="18">
        <f ca="1">IFERROR(__xludf.DUMMYFUNCTION("""COMPUTED_VALUE"""),16)</f>
        <v>16</v>
      </c>
      <c r="M13" s="13">
        <f t="shared" ca="1" si="3"/>
        <v>0.61538461538461542</v>
      </c>
      <c r="N13" s="17">
        <f ca="1">IFERROR(__xludf.DUMMYFUNCTION("""COMPUTED_VALUE"""),48)</f>
        <v>48</v>
      </c>
      <c r="O13" s="19">
        <f ca="1">IFERROR(__xludf.DUMMYFUNCTION("""COMPUTED_VALUE"""),11)</f>
        <v>11</v>
      </c>
      <c r="P13" s="13">
        <f t="shared" ca="1" si="4"/>
        <v>0.22916666666666666</v>
      </c>
      <c r="Q13" s="19">
        <f ca="1">IFERROR(__xludf.DUMMYFUNCTION("""COMPUTED_VALUE"""),4)</f>
        <v>4</v>
      </c>
      <c r="R13" s="13">
        <f t="shared" ca="1" si="5"/>
        <v>8.3333333333333329E-2</v>
      </c>
      <c r="S13" s="20"/>
      <c r="T13" s="14"/>
      <c r="U13" s="13" t="str">
        <f t="shared" si="6"/>
        <v/>
      </c>
      <c r="V13" s="14"/>
      <c r="W13" s="13" t="str">
        <f t="shared" si="7"/>
        <v/>
      </c>
      <c r="X13" s="14"/>
      <c r="Y13" s="13" t="str">
        <f t="shared" si="8"/>
        <v/>
      </c>
      <c r="Z13" s="2"/>
      <c r="AA13" s="2"/>
      <c r="AB13" s="2"/>
      <c r="AC13" s="2"/>
      <c r="AD13" s="2"/>
      <c r="AE13" s="2"/>
    </row>
    <row r="14" spans="1:31" ht="12.75" x14ac:dyDescent="0.2">
      <c r="A14" s="16">
        <f ca="1">IFERROR(__xludf.DUMMYFUNCTION("""COMPUTED_VALUE"""),8)</f>
        <v>8</v>
      </c>
      <c r="B14" s="14" t="str">
        <f ca="1">IFERROR(__xludf.DUMMYFUNCTION("""COMPUTED_VALUE"""),"Trường Mầm non Bé Ngoan")</f>
        <v>Trường Mầm non Bé Ngoan</v>
      </c>
      <c r="C14" s="14" t="str">
        <f ca="1">IFERROR(__xludf.DUMMYFUNCTION("""COMPUTED_VALUE"""),"MN")</f>
        <v>MN</v>
      </c>
      <c r="D14" s="14" t="str">
        <f ca="1">IFERROR(__xludf.DUMMYFUNCTION("""COMPUTED_VALUE"""),"Quận 1")</f>
        <v>Quận 1</v>
      </c>
      <c r="E14" s="17">
        <f ca="1">IFERROR(__xludf.DUMMYFUNCTION("""COMPUTED_VALUE"""),42)</f>
        <v>42</v>
      </c>
      <c r="F14" s="18">
        <f ca="1">IFERROR(__xludf.DUMMYFUNCTION("""COMPUTED_VALUE"""),42)</f>
        <v>42</v>
      </c>
      <c r="G14" s="13">
        <f t="shared" ca="1" si="0"/>
        <v>1</v>
      </c>
      <c r="H14" s="18">
        <f ca="1">IFERROR(__xludf.DUMMYFUNCTION("""COMPUTED_VALUE"""),41)</f>
        <v>41</v>
      </c>
      <c r="I14" s="13">
        <f t="shared" ca="1" si="1"/>
        <v>0.97619047619047616</v>
      </c>
      <c r="J14" s="18">
        <f ca="1">IFERROR(__xludf.DUMMYFUNCTION("""COMPUTED_VALUE"""),40)</f>
        <v>40</v>
      </c>
      <c r="K14" s="13">
        <f t="shared" ca="1" si="2"/>
        <v>0.95238095238095233</v>
      </c>
      <c r="L14" s="18">
        <f ca="1">IFERROR(__xludf.DUMMYFUNCTION("""COMPUTED_VALUE"""),14)</f>
        <v>14</v>
      </c>
      <c r="M14" s="13">
        <f t="shared" ca="1" si="3"/>
        <v>0.33333333333333331</v>
      </c>
      <c r="N14" s="17">
        <f ca="1">IFERROR(__xludf.DUMMYFUNCTION("""COMPUTED_VALUE"""),116)</f>
        <v>116</v>
      </c>
      <c r="O14" s="19">
        <f ca="1">IFERROR(__xludf.DUMMYFUNCTION("""COMPUTED_VALUE"""),15)</f>
        <v>15</v>
      </c>
      <c r="P14" s="13">
        <f t="shared" ca="1" si="4"/>
        <v>0.12931034482758622</v>
      </c>
      <c r="Q14" s="19">
        <f ca="1">IFERROR(__xludf.DUMMYFUNCTION("""COMPUTED_VALUE"""),2)</f>
        <v>2</v>
      </c>
      <c r="R14" s="13">
        <f t="shared" ca="1" si="5"/>
        <v>1.7241379310344827E-2</v>
      </c>
      <c r="S14" s="20"/>
      <c r="T14" s="14"/>
      <c r="U14" s="13" t="str">
        <f t="shared" si="6"/>
        <v/>
      </c>
      <c r="V14" s="14"/>
      <c r="W14" s="13" t="str">
        <f t="shared" si="7"/>
        <v/>
      </c>
      <c r="X14" s="14"/>
      <c r="Y14" s="13" t="str">
        <f t="shared" si="8"/>
        <v/>
      </c>
      <c r="Z14" s="2"/>
      <c r="AA14" s="2"/>
      <c r="AB14" s="2"/>
      <c r="AC14" s="2"/>
      <c r="AD14" s="2"/>
      <c r="AE14" s="2"/>
    </row>
    <row r="15" spans="1:31" ht="12.75" x14ac:dyDescent="0.2">
      <c r="A15" s="16">
        <f ca="1">IFERROR(__xludf.DUMMYFUNCTION("""COMPUTED_VALUE"""),9)</f>
        <v>9</v>
      </c>
      <c r="B15" s="14" t="str">
        <f ca="1">IFERROR(__xludf.DUMMYFUNCTION("""COMPUTED_VALUE"""),"Trường mầm non Bến Thành")</f>
        <v>Trường mầm non Bến Thành</v>
      </c>
      <c r="C15" s="14" t="str">
        <f ca="1">IFERROR(__xludf.DUMMYFUNCTION("""COMPUTED_VALUE"""),"MN")</f>
        <v>MN</v>
      </c>
      <c r="D15" s="14" t="str">
        <f ca="1">IFERROR(__xludf.DUMMYFUNCTION("""COMPUTED_VALUE"""),"Quận 1")</f>
        <v>Quận 1</v>
      </c>
      <c r="E15" s="17">
        <f ca="1">IFERROR(__xludf.DUMMYFUNCTION("""COMPUTED_VALUE"""),53)</f>
        <v>53</v>
      </c>
      <c r="F15" s="18">
        <f ca="1">IFERROR(__xludf.DUMMYFUNCTION("""COMPUTED_VALUE"""),53)</f>
        <v>53</v>
      </c>
      <c r="G15" s="13">
        <f t="shared" ca="1" si="0"/>
        <v>1</v>
      </c>
      <c r="H15" s="18">
        <f ca="1">IFERROR(__xludf.DUMMYFUNCTION("""COMPUTED_VALUE"""),53)</f>
        <v>53</v>
      </c>
      <c r="I15" s="13">
        <f t="shared" ca="1" si="1"/>
        <v>1</v>
      </c>
      <c r="J15" s="18">
        <f ca="1">IFERROR(__xludf.DUMMYFUNCTION("""COMPUTED_VALUE"""),53)</f>
        <v>53</v>
      </c>
      <c r="K15" s="13">
        <f t="shared" ca="1" si="2"/>
        <v>1</v>
      </c>
      <c r="L15" s="18">
        <f ca="1">IFERROR(__xludf.DUMMYFUNCTION("""COMPUTED_VALUE"""),48)</f>
        <v>48</v>
      </c>
      <c r="M15" s="13">
        <f t="shared" ca="1" si="3"/>
        <v>0.90566037735849059</v>
      </c>
      <c r="N15" s="17">
        <f ca="1">IFERROR(__xludf.DUMMYFUNCTION("""COMPUTED_VALUE"""),47)</f>
        <v>47</v>
      </c>
      <c r="O15" s="19">
        <f ca="1">IFERROR(__xludf.DUMMYFUNCTION("""COMPUTED_VALUE"""),0)</f>
        <v>0</v>
      </c>
      <c r="P15" s="13">
        <f t="shared" ca="1" si="4"/>
        <v>0</v>
      </c>
      <c r="Q15" s="19">
        <f ca="1">IFERROR(__xludf.DUMMYFUNCTION("""COMPUTED_VALUE"""),0)</f>
        <v>0</v>
      </c>
      <c r="R15" s="13">
        <f t="shared" ca="1" si="5"/>
        <v>0</v>
      </c>
      <c r="S15" s="20"/>
      <c r="T15" s="14"/>
      <c r="U15" s="13" t="str">
        <f t="shared" si="6"/>
        <v/>
      </c>
      <c r="V15" s="14"/>
      <c r="W15" s="13" t="str">
        <f t="shared" si="7"/>
        <v/>
      </c>
      <c r="X15" s="14"/>
      <c r="Y15" s="13" t="str">
        <f t="shared" si="8"/>
        <v/>
      </c>
      <c r="Z15" s="2"/>
      <c r="AA15" s="2"/>
      <c r="AB15" s="2"/>
      <c r="AC15" s="2"/>
      <c r="AD15" s="2"/>
      <c r="AE15" s="2"/>
    </row>
    <row r="16" spans="1:31" ht="12.75" x14ac:dyDescent="0.2">
      <c r="A16" s="16">
        <f ca="1">IFERROR(__xludf.DUMMYFUNCTION("""COMPUTED_VALUE"""),10)</f>
        <v>10</v>
      </c>
      <c r="B16" s="14" t="str">
        <f ca="1">IFERROR(__xludf.DUMMYFUNCTION("""COMPUTED_VALUE"""),"Trường Mầm non Nguyễn Thái Bình")</f>
        <v>Trường Mầm non Nguyễn Thái Bình</v>
      </c>
      <c r="C16" s="14" t="str">
        <f ca="1">IFERROR(__xludf.DUMMYFUNCTION("""COMPUTED_VALUE"""),"MN")</f>
        <v>MN</v>
      </c>
      <c r="D16" s="14" t="str">
        <f ca="1">IFERROR(__xludf.DUMMYFUNCTION("""COMPUTED_VALUE"""),"Quận 1")</f>
        <v>Quận 1</v>
      </c>
      <c r="E16" s="17">
        <f ca="1">IFERROR(__xludf.DUMMYFUNCTION("""COMPUTED_VALUE"""),34)</f>
        <v>34</v>
      </c>
      <c r="F16" s="18">
        <f ca="1">IFERROR(__xludf.DUMMYFUNCTION("""COMPUTED_VALUE"""),34)</f>
        <v>34</v>
      </c>
      <c r="G16" s="13">
        <f t="shared" ca="1" si="0"/>
        <v>1</v>
      </c>
      <c r="H16" s="18">
        <f ca="1">IFERROR(__xludf.DUMMYFUNCTION("""COMPUTED_VALUE"""),34)</f>
        <v>34</v>
      </c>
      <c r="I16" s="13">
        <f t="shared" ca="1" si="1"/>
        <v>1</v>
      </c>
      <c r="J16" s="18">
        <f ca="1">IFERROR(__xludf.DUMMYFUNCTION("""COMPUTED_VALUE"""),33)</f>
        <v>33</v>
      </c>
      <c r="K16" s="13">
        <f t="shared" ca="1" si="2"/>
        <v>0.97058823529411764</v>
      </c>
      <c r="L16" s="18">
        <f ca="1">IFERROR(__xludf.DUMMYFUNCTION("""COMPUTED_VALUE"""),28)</f>
        <v>28</v>
      </c>
      <c r="M16" s="13">
        <f t="shared" ca="1" si="3"/>
        <v>0.82352941176470584</v>
      </c>
      <c r="N16" s="17">
        <f ca="1">IFERROR(__xludf.DUMMYFUNCTION("""COMPUTED_VALUE"""),36)</f>
        <v>36</v>
      </c>
      <c r="O16" s="19">
        <f ca="1">IFERROR(__xludf.DUMMYFUNCTION("""COMPUTED_VALUE"""),13)</f>
        <v>13</v>
      </c>
      <c r="P16" s="13">
        <f t="shared" ca="1" si="4"/>
        <v>0.3611111111111111</v>
      </c>
      <c r="Q16" s="19">
        <f ca="1">IFERROR(__xludf.DUMMYFUNCTION("""COMPUTED_VALUE"""),1)</f>
        <v>1</v>
      </c>
      <c r="R16" s="13">
        <f t="shared" ca="1" si="5"/>
        <v>2.7777777777777776E-2</v>
      </c>
      <c r="S16" s="20"/>
      <c r="T16" s="14"/>
      <c r="U16" s="13" t="str">
        <f t="shared" si="6"/>
        <v/>
      </c>
      <c r="V16" s="14"/>
      <c r="W16" s="13" t="str">
        <f t="shared" si="7"/>
        <v/>
      </c>
      <c r="X16" s="14"/>
      <c r="Y16" s="13" t="str">
        <f t="shared" si="8"/>
        <v/>
      </c>
      <c r="Z16" s="2"/>
      <c r="AA16" s="2"/>
      <c r="AB16" s="2"/>
      <c r="AC16" s="2"/>
      <c r="AD16" s="2"/>
      <c r="AE16" s="2"/>
    </row>
    <row r="17" spans="1:31" ht="12.75" x14ac:dyDescent="0.2">
      <c r="A17" s="16">
        <f ca="1">IFERROR(__xludf.DUMMYFUNCTION("""COMPUTED_VALUE"""),11)</f>
        <v>11</v>
      </c>
      <c r="B17" s="14" t="str">
        <f ca="1">IFERROR(__xludf.DUMMYFUNCTION("""COMPUTED_VALUE"""),"Trường Mầm non Phạm Ngũ Lão")</f>
        <v>Trường Mầm non Phạm Ngũ Lão</v>
      </c>
      <c r="C17" s="14" t="str">
        <f ca="1">IFERROR(__xludf.DUMMYFUNCTION("""COMPUTED_VALUE"""),"MN")</f>
        <v>MN</v>
      </c>
      <c r="D17" s="14" t="str">
        <f ca="1">IFERROR(__xludf.DUMMYFUNCTION("""COMPUTED_VALUE"""),"Quận 1")</f>
        <v>Quận 1</v>
      </c>
      <c r="E17" s="17">
        <f ca="1">IFERROR(__xludf.DUMMYFUNCTION("""COMPUTED_VALUE"""),25)</f>
        <v>25</v>
      </c>
      <c r="F17" s="18">
        <f ca="1">IFERROR(__xludf.DUMMYFUNCTION("""COMPUTED_VALUE"""),25)</f>
        <v>25</v>
      </c>
      <c r="G17" s="13">
        <f t="shared" ca="1" si="0"/>
        <v>1</v>
      </c>
      <c r="H17" s="18">
        <f ca="1">IFERROR(__xludf.DUMMYFUNCTION("""COMPUTED_VALUE"""),25)</f>
        <v>25</v>
      </c>
      <c r="I17" s="13">
        <f t="shared" ca="1" si="1"/>
        <v>1</v>
      </c>
      <c r="J17" s="18">
        <f ca="1">IFERROR(__xludf.DUMMYFUNCTION("""COMPUTED_VALUE"""),23)</f>
        <v>23</v>
      </c>
      <c r="K17" s="13">
        <f t="shared" ca="1" si="2"/>
        <v>0.92</v>
      </c>
      <c r="L17" s="18">
        <f ca="1">IFERROR(__xludf.DUMMYFUNCTION("""COMPUTED_VALUE"""),16)</f>
        <v>16</v>
      </c>
      <c r="M17" s="13">
        <f t="shared" ca="1" si="3"/>
        <v>0.64</v>
      </c>
      <c r="N17" s="17">
        <f ca="1">IFERROR(__xludf.DUMMYFUNCTION("""COMPUTED_VALUE"""),67)</f>
        <v>67</v>
      </c>
      <c r="O17" s="19">
        <f ca="1">IFERROR(__xludf.DUMMYFUNCTION("""COMPUTED_VALUE"""),4)</f>
        <v>4</v>
      </c>
      <c r="P17" s="13">
        <f t="shared" ca="1" si="4"/>
        <v>5.9701492537313432E-2</v>
      </c>
      <c r="Q17" s="19">
        <f ca="1">IFERROR(__xludf.DUMMYFUNCTION("""COMPUTED_VALUE"""),1)</f>
        <v>1</v>
      </c>
      <c r="R17" s="13">
        <f t="shared" ca="1" si="5"/>
        <v>1.4925373134328358E-2</v>
      </c>
      <c r="S17" s="20"/>
      <c r="T17" s="14"/>
      <c r="U17" s="13" t="str">
        <f t="shared" si="6"/>
        <v/>
      </c>
      <c r="V17" s="14"/>
      <c r="W17" s="13" t="str">
        <f t="shared" si="7"/>
        <v/>
      </c>
      <c r="X17" s="14"/>
      <c r="Y17" s="13" t="str">
        <f t="shared" si="8"/>
        <v/>
      </c>
      <c r="Z17" s="2"/>
      <c r="AA17" s="2"/>
      <c r="AB17" s="2"/>
      <c r="AC17" s="2"/>
      <c r="AD17" s="2"/>
      <c r="AE17" s="2"/>
    </row>
    <row r="18" spans="1:31" ht="12.75" x14ac:dyDescent="0.2">
      <c r="A18" s="16">
        <f ca="1">IFERROR(__xludf.DUMMYFUNCTION("""COMPUTED_VALUE"""),12)</f>
        <v>12</v>
      </c>
      <c r="B18" s="14" t="str">
        <f ca="1">IFERROR(__xludf.DUMMYFUNCTION("""COMPUTED_VALUE"""),"Trường Mầm non Tuổi Thơ")</f>
        <v>Trường Mầm non Tuổi Thơ</v>
      </c>
      <c r="C18" s="14" t="str">
        <f ca="1">IFERROR(__xludf.DUMMYFUNCTION("""COMPUTED_VALUE"""),"MN")</f>
        <v>MN</v>
      </c>
      <c r="D18" s="14" t="str">
        <f ca="1">IFERROR(__xludf.DUMMYFUNCTION("""COMPUTED_VALUE"""),"Quận 1")</f>
        <v>Quận 1</v>
      </c>
      <c r="E18" s="17">
        <f ca="1">IFERROR(__xludf.DUMMYFUNCTION("""COMPUTED_VALUE"""),33)</f>
        <v>33</v>
      </c>
      <c r="F18" s="18">
        <f ca="1">IFERROR(__xludf.DUMMYFUNCTION("""COMPUTED_VALUE"""),33)</f>
        <v>33</v>
      </c>
      <c r="G18" s="13">
        <f t="shared" ca="1" si="0"/>
        <v>1</v>
      </c>
      <c r="H18" s="18">
        <f ca="1">IFERROR(__xludf.DUMMYFUNCTION("""COMPUTED_VALUE"""),33)</f>
        <v>33</v>
      </c>
      <c r="I18" s="13">
        <f t="shared" ca="1" si="1"/>
        <v>1</v>
      </c>
      <c r="J18" s="18">
        <f ca="1">IFERROR(__xludf.DUMMYFUNCTION("""COMPUTED_VALUE"""),32)</f>
        <v>32</v>
      </c>
      <c r="K18" s="13">
        <f t="shared" ca="1" si="2"/>
        <v>0.96969696969696972</v>
      </c>
      <c r="L18" s="18">
        <f ca="1">IFERROR(__xludf.DUMMYFUNCTION("""COMPUTED_VALUE"""),19)</f>
        <v>19</v>
      </c>
      <c r="M18" s="13">
        <f t="shared" ca="1" si="3"/>
        <v>0.5757575757575758</v>
      </c>
      <c r="N18" s="17">
        <f ca="1">IFERROR(__xludf.DUMMYFUNCTION("""COMPUTED_VALUE"""),58)</f>
        <v>58</v>
      </c>
      <c r="O18" s="19">
        <f ca="1">IFERROR(__xludf.DUMMYFUNCTION("""COMPUTED_VALUE"""),9)</f>
        <v>9</v>
      </c>
      <c r="P18" s="13">
        <f t="shared" ca="1" si="4"/>
        <v>0.15517241379310345</v>
      </c>
      <c r="Q18" s="19">
        <f ca="1">IFERROR(__xludf.DUMMYFUNCTION("""COMPUTED_VALUE"""),1)</f>
        <v>1</v>
      </c>
      <c r="R18" s="13">
        <f t="shared" ca="1" si="5"/>
        <v>1.7241379310344827E-2</v>
      </c>
      <c r="S18" s="20"/>
      <c r="T18" s="14"/>
      <c r="U18" s="13" t="str">
        <f t="shared" si="6"/>
        <v/>
      </c>
      <c r="V18" s="14"/>
      <c r="W18" s="13" t="str">
        <f t="shared" si="7"/>
        <v/>
      </c>
      <c r="X18" s="14"/>
      <c r="Y18" s="13" t="str">
        <f t="shared" si="8"/>
        <v/>
      </c>
      <c r="Z18" s="2"/>
      <c r="AA18" s="2"/>
      <c r="AB18" s="2"/>
      <c r="AC18" s="2"/>
      <c r="AD18" s="2"/>
      <c r="AE18" s="2"/>
    </row>
    <row r="19" spans="1:31" ht="12.75" x14ac:dyDescent="0.2">
      <c r="A19" s="16">
        <f ca="1">IFERROR(__xludf.DUMMYFUNCTION("""COMPUTED_VALUE"""),13)</f>
        <v>13</v>
      </c>
      <c r="B19" s="14" t="str">
        <f ca="1">IFERROR(__xludf.DUMMYFUNCTION("""COMPUTED_VALUE"""),"Trường Mầm non Hoa Quỳnh")</f>
        <v>Trường Mầm non Hoa Quỳnh</v>
      </c>
      <c r="C19" s="14" t="str">
        <f ca="1">IFERROR(__xludf.DUMMYFUNCTION("""COMPUTED_VALUE"""),"MN")</f>
        <v>MN</v>
      </c>
      <c r="D19" s="14" t="str">
        <f ca="1">IFERROR(__xludf.DUMMYFUNCTION("""COMPUTED_VALUE"""),"Quận 1")</f>
        <v>Quận 1</v>
      </c>
      <c r="E19" s="17">
        <f ca="1">IFERROR(__xludf.DUMMYFUNCTION("""COMPUTED_VALUE"""),23)</f>
        <v>23</v>
      </c>
      <c r="F19" s="18">
        <f ca="1">IFERROR(__xludf.DUMMYFUNCTION("""COMPUTED_VALUE"""),23)</f>
        <v>23</v>
      </c>
      <c r="G19" s="13">
        <f t="shared" ca="1" si="0"/>
        <v>1</v>
      </c>
      <c r="H19" s="18">
        <f ca="1">IFERROR(__xludf.DUMMYFUNCTION("""COMPUTED_VALUE"""),23)</f>
        <v>23</v>
      </c>
      <c r="I19" s="13">
        <f t="shared" ca="1" si="1"/>
        <v>1</v>
      </c>
      <c r="J19" s="18">
        <f ca="1">IFERROR(__xludf.DUMMYFUNCTION("""COMPUTED_VALUE"""),20)</f>
        <v>20</v>
      </c>
      <c r="K19" s="13">
        <f t="shared" ca="1" si="2"/>
        <v>0.86956521739130432</v>
      </c>
      <c r="L19" s="18">
        <f ca="1">IFERROR(__xludf.DUMMYFUNCTION("""COMPUTED_VALUE"""),19)</f>
        <v>19</v>
      </c>
      <c r="M19" s="13">
        <f t="shared" ca="1" si="3"/>
        <v>0.82608695652173914</v>
      </c>
      <c r="N19" s="17">
        <f ca="1">IFERROR(__xludf.DUMMYFUNCTION("""COMPUTED_VALUE"""),49)</f>
        <v>49</v>
      </c>
      <c r="O19" s="19">
        <f ca="1">IFERROR(__xludf.DUMMYFUNCTION("""COMPUTED_VALUE"""),4)</f>
        <v>4</v>
      </c>
      <c r="P19" s="13">
        <f t="shared" ca="1" si="4"/>
        <v>8.1632653061224483E-2</v>
      </c>
      <c r="Q19" s="19">
        <f ca="1">IFERROR(__xludf.DUMMYFUNCTION("""COMPUTED_VALUE"""),0)</f>
        <v>0</v>
      </c>
      <c r="R19" s="13">
        <f t="shared" ca="1" si="5"/>
        <v>0</v>
      </c>
      <c r="S19" s="20"/>
      <c r="T19" s="14"/>
      <c r="U19" s="13" t="str">
        <f t="shared" si="6"/>
        <v/>
      </c>
      <c r="V19" s="14"/>
      <c r="W19" s="13" t="str">
        <f t="shared" si="7"/>
        <v/>
      </c>
      <c r="X19" s="14"/>
      <c r="Y19" s="13" t="str">
        <f t="shared" si="8"/>
        <v/>
      </c>
      <c r="Z19" s="2"/>
      <c r="AA19" s="2"/>
      <c r="AB19" s="2"/>
      <c r="AC19" s="2"/>
      <c r="AD19" s="2"/>
      <c r="AE19" s="2"/>
    </row>
    <row r="20" spans="1:31" ht="12.75" x14ac:dyDescent="0.2">
      <c r="A20" s="16">
        <f ca="1">IFERROR(__xludf.DUMMYFUNCTION("""COMPUTED_VALUE"""),14)</f>
        <v>14</v>
      </c>
      <c r="B20" s="14" t="str">
        <f ca="1">IFERROR(__xludf.DUMMYFUNCTION("""COMPUTED_VALUE"""),"Trường Mầm non Hoa Lan")</f>
        <v>Trường Mầm non Hoa Lan</v>
      </c>
      <c r="C20" s="14" t="str">
        <f ca="1">IFERROR(__xludf.DUMMYFUNCTION("""COMPUTED_VALUE"""),"MN")</f>
        <v>MN</v>
      </c>
      <c r="D20" s="14" t="str">
        <f ca="1">IFERROR(__xludf.DUMMYFUNCTION("""COMPUTED_VALUE"""),"Quận 1")</f>
        <v>Quận 1</v>
      </c>
      <c r="E20" s="17">
        <f ca="1">IFERROR(__xludf.DUMMYFUNCTION("""COMPUTED_VALUE"""),26)</f>
        <v>26</v>
      </c>
      <c r="F20" s="18">
        <f ca="1">IFERROR(__xludf.DUMMYFUNCTION("""COMPUTED_VALUE"""),26)</f>
        <v>26</v>
      </c>
      <c r="G20" s="13">
        <f t="shared" ca="1" si="0"/>
        <v>1</v>
      </c>
      <c r="H20" s="18">
        <f ca="1">IFERROR(__xludf.DUMMYFUNCTION("""COMPUTED_VALUE"""),26)</f>
        <v>26</v>
      </c>
      <c r="I20" s="13">
        <f t="shared" ca="1" si="1"/>
        <v>1</v>
      </c>
      <c r="J20" s="18">
        <f ca="1">IFERROR(__xludf.DUMMYFUNCTION("""COMPUTED_VALUE"""),26)</f>
        <v>26</v>
      </c>
      <c r="K20" s="13">
        <f t="shared" ca="1" si="2"/>
        <v>1</v>
      </c>
      <c r="L20" s="18">
        <f ca="1">IFERROR(__xludf.DUMMYFUNCTION("""COMPUTED_VALUE"""),18)</f>
        <v>18</v>
      </c>
      <c r="M20" s="13">
        <f t="shared" ca="1" si="3"/>
        <v>0.69230769230769229</v>
      </c>
      <c r="N20" s="17">
        <f ca="1">IFERROR(__xludf.DUMMYFUNCTION("""COMPUTED_VALUE"""),36)</f>
        <v>36</v>
      </c>
      <c r="O20" s="19">
        <f ca="1">IFERROR(__xludf.DUMMYFUNCTION("""COMPUTED_VALUE"""),6)</f>
        <v>6</v>
      </c>
      <c r="P20" s="13">
        <f t="shared" ca="1" si="4"/>
        <v>0.16666666666666666</v>
      </c>
      <c r="Q20" s="19">
        <f ca="1">IFERROR(__xludf.DUMMYFUNCTION("""COMPUTED_VALUE"""),2)</f>
        <v>2</v>
      </c>
      <c r="R20" s="13">
        <f t="shared" ca="1" si="5"/>
        <v>5.5555555555555552E-2</v>
      </c>
      <c r="S20" s="20"/>
      <c r="T20" s="14"/>
      <c r="U20" s="13" t="str">
        <f t="shared" si="6"/>
        <v/>
      </c>
      <c r="V20" s="14"/>
      <c r="W20" s="13" t="str">
        <f t="shared" si="7"/>
        <v/>
      </c>
      <c r="X20" s="14"/>
      <c r="Y20" s="13" t="str">
        <f t="shared" si="8"/>
        <v/>
      </c>
      <c r="Z20" s="2"/>
      <c r="AA20" s="2"/>
      <c r="AB20" s="2"/>
      <c r="AC20" s="2"/>
      <c r="AD20" s="2"/>
      <c r="AE20" s="2"/>
    </row>
    <row r="21" spans="1:31" ht="12.75" x14ac:dyDescent="0.2">
      <c r="A21" s="16">
        <f ca="1">IFERROR(__xludf.DUMMYFUNCTION("""COMPUTED_VALUE"""),15)</f>
        <v>15</v>
      </c>
      <c r="B21" s="14" t="str">
        <f ca="1">IFERROR(__xludf.DUMMYFUNCTION("""COMPUTED_VALUE"""),"Trường Mầm non Hoa Lư")</f>
        <v>Trường Mầm non Hoa Lư</v>
      </c>
      <c r="C21" s="14" t="str">
        <f ca="1">IFERROR(__xludf.DUMMYFUNCTION("""COMPUTED_VALUE"""),"MN")</f>
        <v>MN</v>
      </c>
      <c r="D21" s="14" t="str">
        <f ca="1">IFERROR(__xludf.DUMMYFUNCTION("""COMPUTED_VALUE"""),"Quận 1")</f>
        <v>Quận 1</v>
      </c>
      <c r="E21" s="17">
        <f ca="1">IFERROR(__xludf.DUMMYFUNCTION("""COMPUTED_VALUE"""),29)</f>
        <v>29</v>
      </c>
      <c r="F21" s="18">
        <f ca="1">IFERROR(__xludf.DUMMYFUNCTION("""COMPUTED_VALUE"""),29)</f>
        <v>29</v>
      </c>
      <c r="G21" s="13">
        <f t="shared" ca="1" si="0"/>
        <v>1</v>
      </c>
      <c r="H21" s="18">
        <f ca="1">IFERROR(__xludf.DUMMYFUNCTION("""COMPUTED_VALUE"""),29)</f>
        <v>29</v>
      </c>
      <c r="I21" s="13">
        <f t="shared" ca="1" si="1"/>
        <v>1</v>
      </c>
      <c r="J21" s="18">
        <f ca="1">IFERROR(__xludf.DUMMYFUNCTION("""COMPUTED_VALUE"""),29)</f>
        <v>29</v>
      </c>
      <c r="K21" s="13">
        <f t="shared" ca="1" si="2"/>
        <v>1</v>
      </c>
      <c r="L21" s="18">
        <f ca="1">IFERROR(__xludf.DUMMYFUNCTION("""COMPUTED_VALUE"""),24)</f>
        <v>24</v>
      </c>
      <c r="M21" s="13">
        <f t="shared" ca="1" si="3"/>
        <v>0.82758620689655171</v>
      </c>
      <c r="N21" s="17">
        <f ca="1">IFERROR(__xludf.DUMMYFUNCTION("""COMPUTED_VALUE"""),47)</f>
        <v>47</v>
      </c>
      <c r="O21" s="19">
        <f ca="1">IFERROR(__xludf.DUMMYFUNCTION("""COMPUTED_VALUE"""),1)</f>
        <v>1</v>
      </c>
      <c r="P21" s="13">
        <f t="shared" ca="1" si="4"/>
        <v>2.1276595744680851E-2</v>
      </c>
      <c r="Q21" s="19">
        <f ca="1">IFERROR(__xludf.DUMMYFUNCTION("""COMPUTED_VALUE"""),1)</f>
        <v>1</v>
      </c>
      <c r="R21" s="13">
        <f t="shared" ca="1" si="5"/>
        <v>2.1276595744680851E-2</v>
      </c>
      <c r="S21" s="20"/>
      <c r="T21" s="14"/>
      <c r="U21" s="13" t="str">
        <f t="shared" si="6"/>
        <v/>
      </c>
      <c r="V21" s="14"/>
      <c r="W21" s="13" t="str">
        <f t="shared" si="7"/>
        <v/>
      </c>
      <c r="X21" s="14"/>
      <c r="Y21" s="13" t="str">
        <f t="shared" si="8"/>
        <v/>
      </c>
      <c r="Z21" s="2"/>
      <c r="AA21" s="2"/>
      <c r="AB21" s="2"/>
      <c r="AC21" s="2"/>
      <c r="AD21" s="2"/>
      <c r="AE21" s="2"/>
    </row>
    <row r="22" spans="1:31" ht="12.75" x14ac:dyDescent="0.2">
      <c r="A22" s="16">
        <f ca="1">IFERROR(__xludf.DUMMYFUNCTION("""COMPUTED_VALUE"""),16)</f>
        <v>16</v>
      </c>
      <c r="B22" s="14" t="str">
        <f ca="1">IFERROR(__xludf.DUMMYFUNCTION("""COMPUTED_VALUE"""),"Trường Mầm non 19/5 Thành Phố")</f>
        <v>Trường Mầm non 19/5 Thành Phố</v>
      </c>
      <c r="C22" s="14" t="str">
        <f ca="1">IFERROR(__xludf.DUMMYFUNCTION("""COMPUTED_VALUE"""),"MN")</f>
        <v>MN</v>
      </c>
      <c r="D22" s="14" t="str">
        <f ca="1">IFERROR(__xludf.DUMMYFUNCTION("""COMPUTED_VALUE"""),"Quận 1")</f>
        <v>Quận 1</v>
      </c>
      <c r="E22" s="17">
        <f ca="1">IFERROR(__xludf.DUMMYFUNCTION("""COMPUTED_VALUE"""),83)</f>
        <v>83</v>
      </c>
      <c r="F22" s="18">
        <f ca="1">IFERROR(__xludf.DUMMYFUNCTION("""COMPUTED_VALUE"""),83)</f>
        <v>83</v>
      </c>
      <c r="G22" s="13">
        <f t="shared" ca="1" si="0"/>
        <v>1</v>
      </c>
      <c r="H22" s="18">
        <f ca="1">IFERROR(__xludf.DUMMYFUNCTION("""COMPUTED_VALUE"""),83)</f>
        <v>83</v>
      </c>
      <c r="I22" s="13">
        <f t="shared" ca="1" si="1"/>
        <v>1</v>
      </c>
      <c r="J22" s="18">
        <f ca="1">IFERROR(__xludf.DUMMYFUNCTION("""COMPUTED_VALUE"""),77)</f>
        <v>77</v>
      </c>
      <c r="K22" s="13">
        <f t="shared" ca="1" si="2"/>
        <v>0.92771084337349397</v>
      </c>
      <c r="L22" s="18">
        <f ca="1">IFERROR(__xludf.DUMMYFUNCTION("""COMPUTED_VALUE"""),6)</f>
        <v>6</v>
      </c>
      <c r="M22" s="13">
        <f t="shared" ca="1" si="3"/>
        <v>7.2289156626506021E-2</v>
      </c>
      <c r="N22" s="17">
        <f ca="1">IFERROR(__xludf.DUMMYFUNCTION("""COMPUTED_VALUE"""),194)</f>
        <v>194</v>
      </c>
      <c r="O22" s="19">
        <f ca="1">IFERROR(__xludf.DUMMYFUNCTION("""COMPUTED_VALUE"""),11)</f>
        <v>11</v>
      </c>
      <c r="P22" s="13">
        <f t="shared" ca="1" si="4"/>
        <v>5.6701030927835051E-2</v>
      </c>
      <c r="Q22" s="19">
        <f ca="1">IFERROR(__xludf.DUMMYFUNCTION("""COMPUTED_VALUE"""),5)</f>
        <v>5</v>
      </c>
      <c r="R22" s="13">
        <f t="shared" ca="1" si="5"/>
        <v>2.5773195876288658E-2</v>
      </c>
      <c r="S22" s="20"/>
      <c r="T22" s="14"/>
      <c r="U22" s="13" t="str">
        <f t="shared" si="6"/>
        <v/>
      </c>
      <c r="V22" s="14"/>
      <c r="W22" s="13" t="str">
        <f t="shared" si="7"/>
        <v/>
      </c>
      <c r="X22" s="14"/>
      <c r="Y22" s="13" t="str">
        <f t="shared" si="8"/>
        <v/>
      </c>
      <c r="Z22" s="2"/>
      <c r="AA22" s="2"/>
      <c r="AB22" s="2"/>
      <c r="AC22" s="2"/>
      <c r="AD22" s="2"/>
      <c r="AE22" s="2"/>
    </row>
    <row r="23" spans="1:31" ht="12.75" x14ac:dyDescent="0.2">
      <c r="A23" s="16">
        <f ca="1">IFERROR(__xludf.DUMMYFUNCTION("""COMPUTED_VALUE"""),17)</f>
        <v>17</v>
      </c>
      <c r="B23" s="14" t="str">
        <f ca="1">IFERROR(__xludf.DUMMYFUNCTION("""COMPUTED_VALUE"""),"MN Học viện Sài Gòn")</f>
        <v>MN Học viện Sài Gòn</v>
      </c>
      <c r="C23" s="14" t="str">
        <f ca="1">IFERROR(__xludf.DUMMYFUNCTION("""COMPUTED_VALUE"""),"MN")</f>
        <v>MN</v>
      </c>
      <c r="D23" s="14" t="str">
        <f ca="1">IFERROR(__xludf.DUMMYFUNCTION("""COMPUTED_VALUE"""),"Quận 1")</f>
        <v>Quận 1</v>
      </c>
      <c r="E23" s="17">
        <f ca="1">IFERROR(__xludf.DUMMYFUNCTION("""COMPUTED_VALUE"""),21)</f>
        <v>21</v>
      </c>
      <c r="F23" s="18">
        <f ca="1">IFERROR(__xludf.DUMMYFUNCTION("""COMPUTED_VALUE"""),21)</f>
        <v>21</v>
      </c>
      <c r="G23" s="13">
        <f t="shared" ca="1" si="0"/>
        <v>1</v>
      </c>
      <c r="H23" s="18">
        <f ca="1">IFERROR(__xludf.DUMMYFUNCTION("""COMPUTED_VALUE"""),21)</f>
        <v>21</v>
      </c>
      <c r="I23" s="13">
        <f t="shared" ca="1" si="1"/>
        <v>1</v>
      </c>
      <c r="J23" s="18">
        <f ca="1">IFERROR(__xludf.DUMMYFUNCTION("""COMPUTED_VALUE"""),15)</f>
        <v>15</v>
      </c>
      <c r="K23" s="13">
        <f t="shared" ca="1" si="2"/>
        <v>0.7142857142857143</v>
      </c>
      <c r="L23" s="18">
        <f ca="1">IFERROR(__xludf.DUMMYFUNCTION("""COMPUTED_VALUE"""),1)</f>
        <v>1</v>
      </c>
      <c r="M23" s="13">
        <f t="shared" ca="1" si="3"/>
        <v>4.7619047619047616E-2</v>
      </c>
      <c r="N23" s="17">
        <f ca="1">IFERROR(__xludf.DUMMYFUNCTION("""COMPUTED_VALUE"""),20)</f>
        <v>20</v>
      </c>
      <c r="O23" s="19">
        <f ca="1">IFERROR(__xludf.DUMMYFUNCTION("""COMPUTED_VALUE"""),1)</f>
        <v>1</v>
      </c>
      <c r="P23" s="13">
        <f t="shared" ca="1" si="4"/>
        <v>0.05</v>
      </c>
      <c r="Q23" s="19">
        <f ca="1">IFERROR(__xludf.DUMMYFUNCTION("""COMPUTED_VALUE"""),0)</f>
        <v>0</v>
      </c>
      <c r="R23" s="13">
        <f t="shared" ca="1" si="5"/>
        <v>0</v>
      </c>
      <c r="S23" s="20"/>
      <c r="T23" s="14"/>
      <c r="U23" s="13" t="str">
        <f t="shared" si="6"/>
        <v/>
      </c>
      <c r="V23" s="14"/>
      <c r="W23" s="13" t="str">
        <f t="shared" si="7"/>
        <v/>
      </c>
      <c r="X23" s="14"/>
      <c r="Y23" s="13" t="str">
        <f t="shared" si="8"/>
        <v/>
      </c>
      <c r="Z23" s="2"/>
      <c r="AA23" s="2"/>
      <c r="AB23" s="2"/>
      <c r="AC23" s="2"/>
      <c r="AD23" s="2"/>
      <c r="AE23" s="2"/>
    </row>
    <row r="24" spans="1:31" ht="12.75" x14ac:dyDescent="0.2">
      <c r="A24" s="16">
        <f ca="1">IFERROR(__xludf.DUMMYFUNCTION("""COMPUTED_VALUE"""),18)</f>
        <v>18</v>
      </c>
      <c r="B24" s="14" t="str">
        <f ca="1">IFERROR(__xludf.DUMMYFUNCTION("""COMPUTED_VALUE"""),"Trường Mần Non Gấu Trúc")</f>
        <v>Trường Mần Non Gấu Trúc</v>
      </c>
      <c r="C24" s="14" t="str">
        <f ca="1">IFERROR(__xludf.DUMMYFUNCTION("""COMPUTED_VALUE"""),"MN")</f>
        <v>MN</v>
      </c>
      <c r="D24" s="14" t="str">
        <f ca="1">IFERROR(__xludf.DUMMYFUNCTION("""COMPUTED_VALUE"""),"Quận 1")</f>
        <v>Quận 1</v>
      </c>
      <c r="E24" s="17">
        <f ca="1">IFERROR(__xludf.DUMMYFUNCTION("""COMPUTED_VALUE"""),13)</f>
        <v>13</v>
      </c>
      <c r="F24" s="18">
        <f ca="1">IFERROR(__xludf.DUMMYFUNCTION("""COMPUTED_VALUE"""),13)</f>
        <v>13</v>
      </c>
      <c r="G24" s="13">
        <f t="shared" ca="1" si="0"/>
        <v>1</v>
      </c>
      <c r="H24" s="18">
        <f ca="1">IFERROR(__xludf.DUMMYFUNCTION("""COMPUTED_VALUE"""),13)</f>
        <v>13</v>
      </c>
      <c r="I24" s="13">
        <f t="shared" ca="1" si="1"/>
        <v>1</v>
      </c>
      <c r="J24" s="18">
        <f ca="1">IFERROR(__xludf.DUMMYFUNCTION("""COMPUTED_VALUE"""),11)</f>
        <v>11</v>
      </c>
      <c r="K24" s="13">
        <f t="shared" ca="1" si="2"/>
        <v>0.84615384615384615</v>
      </c>
      <c r="L24" s="18">
        <f ca="1">IFERROR(__xludf.DUMMYFUNCTION("""COMPUTED_VALUE"""),2)</f>
        <v>2</v>
      </c>
      <c r="M24" s="13">
        <f t="shared" ca="1" si="3"/>
        <v>0.15384615384615385</v>
      </c>
      <c r="N24" s="17">
        <f ca="1">IFERROR(__xludf.DUMMYFUNCTION("""COMPUTED_VALUE"""),5)</f>
        <v>5</v>
      </c>
      <c r="O24" s="19">
        <f ca="1">IFERROR(__xludf.DUMMYFUNCTION("""COMPUTED_VALUE"""),0)</f>
        <v>0</v>
      </c>
      <c r="P24" s="13">
        <f t="shared" ca="1" si="4"/>
        <v>0</v>
      </c>
      <c r="Q24" s="19">
        <f ca="1">IFERROR(__xludf.DUMMYFUNCTION("""COMPUTED_VALUE"""),0)</f>
        <v>0</v>
      </c>
      <c r="R24" s="13">
        <f t="shared" ca="1" si="5"/>
        <v>0</v>
      </c>
      <c r="S24" s="20"/>
      <c r="T24" s="14"/>
      <c r="U24" s="13" t="str">
        <f t="shared" si="6"/>
        <v/>
      </c>
      <c r="V24" s="14"/>
      <c r="W24" s="13" t="str">
        <f t="shared" si="7"/>
        <v/>
      </c>
      <c r="X24" s="14"/>
      <c r="Y24" s="13" t="str">
        <f t="shared" si="8"/>
        <v/>
      </c>
      <c r="Z24" s="2"/>
      <c r="AA24" s="2"/>
      <c r="AB24" s="2"/>
      <c r="AC24" s="2"/>
      <c r="AD24" s="2"/>
      <c r="AE24" s="2"/>
    </row>
    <row r="25" spans="1:31" ht="12.75" x14ac:dyDescent="0.2">
      <c r="A25" s="16">
        <f ca="1">IFERROR(__xludf.DUMMYFUNCTION("""COMPUTED_VALUE"""),19)</f>
        <v>19</v>
      </c>
      <c r="B25" s="14" t="str">
        <f ca="1">IFERROR(__xludf.DUMMYFUNCTION("""COMPUTED_VALUE"""),"Trường Mầm non Ngôi Nhà Nhỏ")</f>
        <v>Trường Mầm non Ngôi Nhà Nhỏ</v>
      </c>
      <c r="C25" s="14" t="str">
        <f ca="1">IFERROR(__xludf.DUMMYFUNCTION("""COMPUTED_VALUE"""),"MN")</f>
        <v>MN</v>
      </c>
      <c r="D25" s="14" t="str">
        <f ca="1">IFERROR(__xludf.DUMMYFUNCTION("""COMPUTED_VALUE"""),"Quận 1")</f>
        <v>Quận 1</v>
      </c>
      <c r="E25" s="17">
        <f ca="1">IFERROR(__xludf.DUMMYFUNCTION("""COMPUTED_VALUE"""),14)</f>
        <v>14</v>
      </c>
      <c r="F25" s="18">
        <f ca="1">IFERROR(__xludf.DUMMYFUNCTION("""COMPUTED_VALUE"""),14)</f>
        <v>14</v>
      </c>
      <c r="G25" s="13">
        <f t="shared" ca="1" si="0"/>
        <v>1</v>
      </c>
      <c r="H25" s="18">
        <f ca="1">IFERROR(__xludf.DUMMYFUNCTION("""COMPUTED_VALUE"""),14)</f>
        <v>14</v>
      </c>
      <c r="I25" s="13">
        <f t="shared" ca="1" si="1"/>
        <v>1</v>
      </c>
      <c r="J25" s="18">
        <f ca="1">IFERROR(__xludf.DUMMYFUNCTION("""COMPUTED_VALUE"""),14)</f>
        <v>14</v>
      </c>
      <c r="K25" s="13">
        <f t="shared" ca="1" si="2"/>
        <v>1</v>
      </c>
      <c r="L25" s="18">
        <f ca="1">IFERROR(__xludf.DUMMYFUNCTION("""COMPUTED_VALUE"""),9)</f>
        <v>9</v>
      </c>
      <c r="M25" s="13">
        <f t="shared" ca="1" si="3"/>
        <v>0.6428571428571429</v>
      </c>
      <c r="N25" s="17">
        <f ca="1">IFERROR(__xludf.DUMMYFUNCTION("""COMPUTED_VALUE"""),8)</f>
        <v>8</v>
      </c>
      <c r="O25" s="19">
        <f ca="1">IFERROR(__xludf.DUMMYFUNCTION("""COMPUTED_VALUE"""),3)</f>
        <v>3</v>
      </c>
      <c r="P25" s="13">
        <f t="shared" ca="1" si="4"/>
        <v>0.375</v>
      </c>
      <c r="Q25" s="19">
        <f ca="1">IFERROR(__xludf.DUMMYFUNCTION("""COMPUTED_VALUE"""),0)</f>
        <v>0</v>
      </c>
      <c r="R25" s="13">
        <f t="shared" ca="1" si="5"/>
        <v>0</v>
      </c>
      <c r="S25" s="20"/>
      <c r="T25" s="14"/>
      <c r="U25" s="13" t="str">
        <f t="shared" si="6"/>
        <v/>
      </c>
      <c r="V25" s="14"/>
      <c r="W25" s="13" t="str">
        <f t="shared" si="7"/>
        <v/>
      </c>
      <c r="X25" s="14"/>
      <c r="Y25" s="13" t="str">
        <f t="shared" si="8"/>
        <v/>
      </c>
      <c r="Z25" s="2"/>
      <c r="AA25" s="2"/>
      <c r="AB25" s="2"/>
      <c r="AC25" s="2"/>
      <c r="AD25" s="2"/>
      <c r="AE25" s="2"/>
    </row>
    <row r="26" spans="1:31" ht="12.75" x14ac:dyDescent="0.2">
      <c r="A26" s="16">
        <f ca="1">IFERROR(__xludf.DUMMYFUNCTION("""COMPUTED_VALUE"""),20)</f>
        <v>20</v>
      </c>
      <c r="B26" s="14" t="str">
        <f ca="1">IFERROR(__xludf.DUMMYFUNCTION("""COMPUTED_VALUE"""),"Trường Mầm non Chuồn Chuồn Kim")</f>
        <v>Trường Mầm non Chuồn Chuồn Kim</v>
      </c>
      <c r="C26" s="14" t="str">
        <f ca="1">IFERROR(__xludf.DUMMYFUNCTION("""COMPUTED_VALUE"""),"MN")</f>
        <v>MN</v>
      </c>
      <c r="D26" s="14" t="str">
        <f ca="1">IFERROR(__xludf.DUMMYFUNCTION("""COMPUTED_VALUE"""),"Quận 1")</f>
        <v>Quận 1</v>
      </c>
      <c r="E26" s="17">
        <f ca="1">IFERROR(__xludf.DUMMYFUNCTION("""COMPUTED_VALUE"""),28)</f>
        <v>28</v>
      </c>
      <c r="F26" s="18">
        <f ca="1">IFERROR(__xludf.DUMMYFUNCTION("""COMPUTED_VALUE"""),28)</f>
        <v>28</v>
      </c>
      <c r="G26" s="13">
        <f t="shared" ca="1" si="0"/>
        <v>1</v>
      </c>
      <c r="H26" s="18">
        <f ca="1">IFERROR(__xludf.DUMMYFUNCTION("""COMPUTED_VALUE"""),28)</f>
        <v>28</v>
      </c>
      <c r="I26" s="13">
        <f t="shared" ca="1" si="1"/>
        <v>1</v>
      </c>
      <c r="J26" s="18">
        <f ca="1">IFERROR(__xludf.DUMMYFUNCTION("""COMPUTED_VALUE"""),28)</f>
        <v>28</v>
      </c>
      <c r="K26" s="13">
        <f t="shared" ca="1" si="2"/>
        <v>1</v>
      </c>
      <c r="L26" s="18">
        <f ca="1">IFERROR(__xludf.DUMMYFUNCTION("""COMPUTED_VALUE"""),0)</f>
        <v>0</v>
      </c>
      <c r="M26" s="13">
        <f t="shared" ca="1" si="3"/>
        <v>0</v>
      </c>
      <c r="N26" s="17">
        <f ca="1">IFERROR(__xludf.DUMMYFUNCTION("""COMPUTED_VALUE"""),10)</f>
        <v>10</v>
      </c>
      <c r="O26" s="19">
        <f ca="1">IFERROR(__xludf.DUMMYFUNCTION("""COMPUTED_VALUE"""),0)</f>
        <v>0</v>
      </c>
      <c r="P26" s="13">
        <f t="shared" ca="1" si="4"/>
        <v>0</v>
      </c>
      <c r="Q26" s="19">
        <f ca="1">IFERROR(__xludf.DUMMYFUNCTION("""COMPUTED_VALUE"""),0)</f>
        <v>0</v>
      </c>
      <c r="R26" s="13">
        <f t="shared" ca="1" si="5"/>
        <v>0</v>
      </c>
      <c r="S26" s="20"/>
      <c r="T26" s="14"/>
      <c r="U26" s="13" t="str">
        <f t="shared" si="6"/>
        <v/>
      </c>
      <c r="V26" s="14"/>
      <c r="W26" s="13" t="str">
        <f t="shared" si="7"/>
        <v/>
      </c>
      <c r="X26" s="14"/>
      <c r="Y26" s="13" t="str">
        <f t="shared" si="8"/>
        <v/>
      </c>
      <c r="Z26" s="2"/>
      <c r="AA26" s="2"/>
      <c r="AB26" s="2"/>
      <c r="AC26" s="2"/>
      <c r="AD26" s="2"/>
      <c r="AE26" s="2"/>
    </row>
    <row r="27" spans="1:31" ht="12.75" x14ac:dyDescent="0.2">
      <c r="A27" s="16">
        <f ca="1">IFERROR(__xludf.DUMMYFUNCTION("""COMPUTED_VALUE"""),21)</f>
        <v>21</v>
      </c>
      <c r="B27" s="14" t="str">
        <f ca="1">IFERROR(__xludf.DUMMYFUNCTION("""COMPUTED_VALUE"""),"Trường Mầm non Sân Lá Cọ")</f>
        <v>Trường Mầm non Sân Lá Cọ</v>
      </c>
      <c r="C27" s="14" t="str">
        <f ca="1">IFERROR(__xludf.DUMMYFUNCTION("""COMPUTED_VALUE"""),"MN")</f>
        <v>MN</v>
      </c>
      <c r="D27" s="14" t="str">
        <f ca="1">IFERROR(__xludf.DUMMYFUNCTION("""COMPUTED_VALUE"""),"Quận 1")</f>
        <v>Quận 1</v>
      </c>
      <c r="E27" s="17">
        <f ca="1">IFERROR(__xludf.DUMMYFUNCTION("""COMPUTED_VALUE"""),17)</f>
        <v>17</v>
      </c>
      <c r="F27" s="18">
        <f ca="1">IFERROR(__xludf.DUMMYFUNCTION("""COMPUTED_VALUE"""),17)</f>
        <v>17</v>
      </c>
      <c r="G27" s="13">
        <f t="shared" ca="1" si="0"/>
        <v>1</v>
      </c>
      <c r="H27" s="18">
        <f ca="1">IFERROR(__xludf.DUMMYFUNCTION("""COMPUTED_VALUE"""),17)</f>
        <v>17</v>
      </c>
      <c r="I27" s="13">
        <f t="shared" ca="1" si="1"/>
        <v>1</v>
      </c>
      <c r="J27" s="18">
        <f ca="1">IFERROR(__xludf.DUMMYFUNCTION("""COMPUTED_VALUE"""),16)</f>
        <v>16</v>
      </c>
      <c r="K27" s="13">
        <f t="shared" ca="1" si="2"/>
        <v>0.94117647058823528</v>
      </c>
      <c r="L27" s="18">
        <f ca="1">IFERROR(__xludf.DUMMYFUNCTION("""COMPUTED_VALUE"""),4)</f>
        <v>4</v>
      </c>
      <c r="M27" s="13">
        <f t="shared" ca="1" si="3"/>
        <v>0.23529411764705882</v>
      </c>
      <c r="N27" s="17">
        <f ca="1">IFERROR(__xludf.DUMMYFUNCTION("""COMPUTED_VALUE"""),4)</f>
        <v>4</v>
      </c>
      <c r="O27" s="19">
        <f ca="1">IFERROR(__xludf.DUMMYFUNCTION("""COMPUTED_VALUE"""),1)</f>
        <v>1</v>
      </c>
      <c r="P27" s="13">
        <f t="shared" ca="1" si="4"/>
        <v>0.25</v>
      </c>
      <c r="Q27" s="19">
        <f ca="1">IFERROR(__xludf.DUMMYFUNCTION("""COMPUTED_VALUE"""),1)</f>
        <v>1</v>
      </c>
      <c r="R27" s="13">
        <f t="shared" ca="1" si="5"/>
        <v>0.25</v>
      </c>
      <c r="S27" s="20"/>
      <c r="T27" s="14"/>
      <c r="U27" s="13" t="str">
        <f t="shared" si="6"/>
        <v/>
      </c>
      <c r="V27" s="14"/>
      <c r="W27" s="13" t="str">
        <f t="shared" si="7"/>
        <v/>
      </c>
      <c r="X27" s="14"/>
      <c r="Y27" s="13" t="str">
        <f t="shared" si="8"/>
        <v/>
      </c>
      <c r="Z27" s="2"/>
      <c r="AA27" s="2"/>
      <c r="AB27" s="2"/>
      <c r="AC27" s="2"/>
      <c r="AD27" s="2"/>
      <c r="AE27" s="2"/>
    </row>
    <row r="28" spans="1:31" ht="12.75" x14ac:dyDescent="0.2">
      <c r="A28" s="16">
        <f ca="1">IFERROR(__xludf.DUMMYFUNCTION("""COMPUTED_VALUE"""),22)</f>
        <v>22</v>
      </c>
      <c r="B28" s="14" t="str">
        <f ca="1">IFERROR(__xludf.DUMMYFUNCTION("""COMPUTED_VALUE"""),"Lớp Mẫu Giáo Sapa")</f>
        <v>Lớp Mẫu Giáo Sapa</v>
      </c>
      <c r="C28" s="14" t="str">
        <f ca="1">IFERROR(__xludf.DUMMYFUNCTION("""COMPUTED_VALUE"""),"MN")</f>
        <v>MN</v>
      </c>
      <c r="D28" s="14" t="str">
        <f ca="1">IFERROR(__xludf.DUMMYFUNCTION("""COMPUTED_VALUE"""),"Quận 1")</f>
        <v>Quận 1</v>
      </c>
      <c r="E28" s="17">
        <f ca="1">IFERROR(__xludf.DUMMYFUNCTION("""COMPUTED_VALUE"""),73)</f>
        <v>73</v>
      </c>
      <c r="F28" s="18">
        <f ca="1">IFERROR(__xludf.DUMMYFUNCTION("""COMPUTED_VALUE"""),71)</f>
        <v>71</v>
      </c>
      <c r="G28" s="13">
        <f t="shared" ca="1" si="0"/>
        <v>0.9726027397260274</v>
      </c>
      <c r="H28" s="18">
        <f ca="1">IFERROR(__xludf.DUMMYFUNCTION("""COMPUTED_VALUE"""),71)</f>
        <v>71</v>
      </c>
      <c r="I28" s="13">
        <f t="shared" ca="1" si="1"/>
        <v>0.9726027397260274</v>
      </c>
      <c r="J28" s="18">
        <f ca="1">IFERROR(__xludf.DUMMYFUNCTION("""COMPUTED_VALUE"""),71)</f>
        <v>71</v>
      </c>
      <c r="K28" s="13">
        <f t="shared" ca="1" si="2"/>
        <v>0.9726027397260274</v>
      </c>
      <c r="L28" s="18">
        <f ca="1">IFERROR(__xludf.DUMMYFUNCTION("""COMPUTED_VALUE"""),0)</f>
        <v>0</v>
      </c>
      <c r="M28" s="13">
        <f t="shared" ca="1" si="3"/>
        <v>0</v>
      </c>
      <c r="N28" s="17">
        <f ca="1">IFERROR(__xludf.DUMMYFUNCTION("""COMPUTED_VALUE"""),220)</f>
        <v>220</v>
      </c>
      <c r="O28" s="19">
        <f ca="1">IFERROR(__xludf.DUMMYFUNCTION("""COMPUTED_VALUE"""),49)</f>
        <v>49</v>
      </c>
      <c r="P28" s="13">
        <f t="shared" ca="1" si="4"/>
        <v>0.22272727272727272</v>
      </c>
      <c r="Q28" s="19">
        <f ca="1">IFERROR(__xludf.DUMMYFUNCTION("""COMPUTED_VALUE"""),0)</f>
        <v>0</v>
      </c>
      <c r="R28" s="13">
        <f t="shared" ca="1" si="5"/>
        <v>0</v>
      </c>
      <c r="S28" s="20"/>
      <c r="T28" s="14"/>
      <c r="U28" s="13" t="str">
        <f t="shared" si="6"/>
        <v/>
      </c>
      <c r="V28" s="14"/>
      <c r="W28" s="13" t="str">
        <f t="shared" si="7"/>
        <v/>
      </c>
      <c r="X28" s="14"/>
      <c r="Y28" s="13" t="str">
        <f t="shared" si="8"/>
        <v/>
      </c>
      <c r="Z28" s="2"/>
      <c r="AA28" s="2"/>
      <c r="AB28" s="2"/>
      <c r="AC28" s="2"/>
      <c r="AD28" s="2"/>
      <c r="AE28" s="2"/>
    </row>
    <row r="29" spans="1:31" ht="12.75" x14ac:dyDescent="0.2">
      <c r="A29" s="16">
        <f ca="1">IFERROR(__xludf.DUMMYFUNCTION("""COMPUTED_VALUE"""),23)</f>
        <v>23</v>
      </c>
      <c r="B29" s="14" t="str">
        <f ca="1">IFERROR(__xludf.DUMMYFUNCTION("""COMPUTED_VALUE"""),"Trường Mầm Non Vinschool")</f>
        <v>Trường Mầm Non Vinschool</v>
      </c>
      <c r="C29" s="14" t="str">
        <f ca="1">IFERROR(__xludf.DUMMYFUNCTION("""COMPUTED_VALUE"""),"MN")</f>
        <v>MN</v>
      </c>
      <c r="D29" s="14" t="str">
        <f ca="1">IFERROR(__xludf.DUMMYFUNCTION("""COMPUTED_VALUE"""),"Quận 1")</f>
        <v>Quận 1</v>
      </c>
      <c r="E29" s="17">
        <f ca="1">IFERROR(__xludf.DUMMYFUNCTION("""COMPUTED_VALUE"""),67)</f>
        <v>67</v>
      </c>
      <c r="F29" s="18">
        <f ca="1">IFERROR(__xludf.DUMMYFUNCTION("""COMPUTED_VALUE"""),67)</f>
        <v>67</v>
      </c>
      <c r="G29" s="13">
        <f t="shared" ca="1" si="0"/>
        <v>1</v>
      </c>
      <c r="H29" s="18">
        <f ca="1">IFERROR(__xludf.DUMMYFUNCTION("""COMPUTED_VALUE"""),67)</f>
        <v>67</v>
      </c>
      <c r="I29" s="13">
        <f t="shared" ca="1" si="1"/>
        <v>1</v>
      </c>
      <c r="J29" s="18">
        <f ca="1">IFERROR(__xludf.DUMMYFUNCTION("""COMPUTED_VALUE"""),53)</f>
        <v>53</v>
      </c>
      <c r="K29" s="13">
        <f t="shared" ca="1" si="2"/>
        <v>0.79104477611940294</v>
      </c>
      <c r="L29" s="18">
        <f ca="1">IFERROR(__xludf.DUMMYFUNCTION("""COMPUTED_VALUE"""),4)</f>
        <v>4</v>
      </c>
      <c r="M29" s="13">
        <f t="shared" ca="1" si="3"/>
        <v>5.9701492537313432E-2</v>
      </c>
      <c r="N29" s="17">
        <f ca="1">IFERROR(__xludf.DUMMYFUNCTION("""COMPUTED_VALUE"""),207)</f>
        <v>207</v>
      </c>
      <c r="O29" s="19">
        <f ca="1">IFERROR(__xludf.DUMMYFUNCTION("""COMPUTED_VALUE"""),3)</f>
        <v>3</v>
      </c>
      <c r="P29" s="13">
        <f t="shared" ca="1" si="4"/>
        <v>1.4492753623188406E-2</v>
      </c>
      <c r="Q29" s="19">
        <f ca="1">IFERROR(__xludf.DUMMYFUNCTION("""COMPUTED_VALUE"""),0)</f>
        <v>0</v>
      </c>
      <c r="R29" s="13">
        <f t="shared" ca="1" si="5"/>
        <v>0</v>
      </c>
      <c r="S29" s="20"/>
      <c r="T29" s="14"/>
      <c r="U29" s="13" t="str">
        <f t="shared" si="6"/>
        <v/>
      </c>
      <c r="V29" s="14"/>
      <c r="W29" s="13" t="str">
        <f t="shared" si="7"/>
        <v/>
      </c>
      <c r="X29" s="14"/>
      <c r="Y29" s="13" t="str">
        <f t="shared" si="8"/>
        <v/>
      </c>
      <c r="Z29" s="2"/>
      <c r="AA29" s="2"/>
      <c r="AB29" s="2"/>
      <c r="AC29" s="2"/>
      <c r="AD29" s="2"/>
      <c r="AE29" s="2"/>
    </row>
    <row r="30" spans="1:31" ht="12.75" x14ac:dyDescent="0.2">
      <c r="A30" s="16">
        <f ca="1">IFERROR(__xludf.DUMMYFUNCTION("""COMPUTED_VALUE"""),24)</f>
        <v>24</v>
      </c>
      <c r="B30" s="14" t="str">
        <f ca="1">IFERROR(__xludf.DUMMYFUNCTION("""COMPUTED_VALUE"""),"Nhóm trẻ Ban Mai")</f>
        <v>Nhóm trẻ Ban Mai</v>
      </c>
      <c r="C30" s="14" t="str">
        <f ca="1">IFERROR(__xludf.DUMMYFUNCTION("""COMPUTED_VALUE"""),"MN")</f>
        <v>MN</v>
      </c>
      <c r="D30" s="14" t="str">
        <f ca="1">IFERROR(__xludf.DUMMYFUNCTION("""COMPUTED_VALUE"""),"Quận 1")</f>
        <v>Quận 1</v>
      </c>
      <c r="E30" s="17">
        <f ca="1">IFERROR(__xludf.DUMMYFUNCTION("""COMPUTED_VALUE"""),7)</f>
        <v>7</v>
      </c>
      <c r="F30" s="18">
        <f ca="1">IFERROR(__xludf.DUMMYFUNCTION("""COMPUTED_VALUE"""),7)</f>
        <v>7</v>
      </c>
      <c r="G30" s="13">
        <f t="shared" ca="1" si="0"/>
        <v>1</v>
      </c>
      <c r="H30" s="18">
        <f ca="1">IFERROR(__xludf.DUMMYFUNCTION("""COMPUTED_VALUE"""),7)</f>
        <v>7</v>
      </c>
      <c r="I30" s="13">
        <f t="shared" ca="1" si="1"/>
        <v>1</v>
      </c>
      <c r="J30" s="18">
        <f ca="1">IFERROR(__xludf.DUMMYFUNCTION("""COMPUTED_VALUE"""),7)</f>
        <v>7</v>
      </c>
      <c r="K30" s="13">
        <f t="shared" ca="1" si="2"/>
        <v>1</v>
      </c>
      <c r="L30" s="18">
        <f ca="1">IFERROR(__xludf.DUMMYFUNCTION("""COMPUTED_VALUE"""),3)</f>
        <v>3</v>
      </c>
      <c r="M30" s="13">
        <f t="shared" ca="1" si="3"/>
        <v>0.42857142857142855</v>
      </c>
      <c r="N30" s="17">
        <f ca="1">IFERROR(__xludf.DUMMYFUNCTION("""COMPUTED_VALUE"""),0)</f>
        <v>0</v>
      </c>
      <c r="O30" s="19">
        <f ca="1">IFERROR(__xludf.DUMMYFUNCTION("""COMPUTED_VALUE"""),0)</f>
        <v>0</v>
      </c>
      <c r="P30" s="13" t="str">
        <f t="shared" ca="1" si="4"/>
        <v/>
      </c>
      <c r="Q30" s="19">
        <f ca="1">IFERROR(__xludf.DUMMYFUNCTION("""COMPUTED_VALUE"""),0)</f>
        <v>0</v>
      </c>
      <c r="R30" s="13" t="str">
        <f t="shared" ca="1" si="5"/>
        <v/>
      </c>
      <c r="S30" s="20"/>
      <c r="T30" s="14"/>
      <c r="U30" s="13" t="str">
        <f t="shared" si="6"/>
        <v/>
      </c>
      <c r="V30" s="14"/>
      <c r="W30" s="13" t="str">
        <f t="shared" si="7"/>
        <v/>
      </c>
      <c r="X30" s="14"/>
      <c r="Y30" s="13" t="str">
        <f t="shared" si="8"/>
        <v/>
      </c>
      <c r="Z30" s="2"/>
      <c r="AA30" s="2"/>
      <c r="AB30" s="2"/>
      <c r="AC30" s="2"/>
      <c r="AD30" s="2"/>
      <c r="AE30" s="2"/>
    </row>
    <row r="31" spans="1:31" ht="12.75" x14ac:dyDescent="0.2">
      <c r="A31" s="16">
        <f ca="1">IFERROR(__xludf.DUMMYFUNCTION("""COMPUTED_VALUE"""),25)</f>
        <v>25</v>
      </c>
      <c r="B31" s="14" t="str">
        <f ca="1">IFERROR(__xludf.DUMMYFUNCTION("""COMPUTED_VALUE"""),"Lớp Mẫu Giáo Hoa Hồng")</f>
        <v>Lớp Mẫu Giáo Hoa Hồng</v>
      </c>
      <c r="C31" s="14" t="str">
        <f ca="1">IFERROR(__xludf.DUMMYFUNCTION("""COMPUTED_VALUE"""),"MN")</f>
        <v>MN</v>
      </c>
      <c r="D31" s="14" t="str">
        <f ca="1">IFERROR(__xludf.DUMMYFUNCTION("""COMPUTED_VALUE"""),"Quận 1")</f>
        <v>Quận 1</v>
      </c>
      <c r="E31" s="17">
        <f ca="1">IFERROR(__xludf.DUMMYFUNCTION("""COMPUTED_VALUE"""),9)</f>
        <v>9</v>
      </c>
      <c r="F31" s="18">
        <f ca="1">IFERROR(__xludf.DUMMYFUNCTION("""COMPUTED_VALUE"""),9)</f>
        <v>9</v>
      </c>
      <c r="G31" s="13">
        <f t="shared" ca="1" si="0"/>
        <v>1</v>
      </c>
      <c r="H31" s="18">
        <f ca="1">IFERROR(__xludf.DUMMYFUNCTION("""COMPUTED_VALUE"""),9)</f>
        <v>9</v>
      </c>
      <c r="I31" s="13">
        <f t="shared" ca="1" si="1"/>
        <v>1</v>
      </c>
      <c r="J31" s="18">
        <f ca="1">IFERROR(__xludf.DUMMYFUNCTION("""COMPUTED_VALUE"""),3)</f>
        <v>3</v>
      </c>
      <c r="K31" s="13">
        <f t="shared" ca="1" si="2"/>
        <v>0.33333333333333331</v>
      </c>
      <c r="L31" s="18">
        <f ca="1">IFERROR(__xludf.DUMMYFUNCTION("""COMPUTED_VALUE"""),0)</f>
        <v>0</v>
      </c>
      <c r="M31" s="13">
        <f t="shared" ca="1" si="3"/>
        <v>0</v>
      </c>
      <c r="N31" s="17">
        <f ca="1">IFERROR(__xludf.DUMMYFUNCTION("""COMPUTED_VALUE"""),19)</f>
        <v>19</v>
      </c>
      <c r="O31" s="19">
        <f ca="1">IFERROR(__xludf.DUMMYFUNCTION("""COMPUTED_VALUE"""),4)</f>
        <v>4</v>
      </c>
      <c r="P31" s="13">
        <f t="shared" ca="1" si="4"/>
        <v>0.21052631578947367</v>
      </c>
      <c r="Q31" s="19">
        <f ca="1">IFERROR(__xludf.DUMMYFUNCTION("""COMPUTED_VALUE"""),0)</f>
        <v>0</v>
      </c>
      <c r="R31" s="13">
        <f t="shared" ca="1" si="5"/>
        <v>0</v>
      </c>
      <c r="S31" s="20"/>
      <c r="T31" s="14"/>
      <c r="U31" s="13" t="str">
        <f t="shared" si="6"/>
        <v/>
      </c>
      <c r="V31" s="14"/>
      <c r="W31" s="13" t="str">
        <f t="shared" si="7"/>
        <v/>
      </c>
      <c r="X31" s="14"/>
      <c r="Y31" s="13" t="str">
        <f t="shared" si="8"/>
        <v/>
      </c>
      <c r="Z31" s="2"/>
      <c r="AA31" s="2"/>
      <c r="AB31" s="2"/>
      <c r="AC31" s="2"/>
      <c r="AD31" s="2"/>
      <c r="AE31" s="2"/>
    </row>
    <row r="32" spans="1:31" ht="12.75" x14ac:dyDescent="0.2">
      <c r="A32" s="16">
        <f ca="1">IFERROR(__xludf.DUMMYFUNCTION("""COMPUTED_VALUE"""),26)</f>
        <v>26</v>
      </c>
      <c r="B32" s="14" t="str">
        <f ca="1">IFERROR(__xludf.DUMMYFUNCTION("""COMPUTED_VALUE"""),"Lớp Mẫu giáo Đông Bắc")</f>
        <v>Lớp Mẫu giáo Đông Bắc</v>
      </c>
      <c r="C32" s="14" t="str">
        <f ca="1">IFERROR(__xludf.DUMMYFUNCTION("""COMPUTED_VALUE"""),"MN")</f>
        <v>MN</v>
      </c>
      <c r="D32" s="14" t="str">
        <f ca="1">IFERROR(__xludf.DUMMYFUNCTION("""COMPUTED_VALUE"""),"Quận 1")</f>
        <v>Quận 1</v>
      </c>
      <c r="E32" s="17">
        <f ca="1">IFERROR(__xludf.DUMMYFUNCTION("""COMPUTED_VALUE"""),24)</f>
        <v>24</v>
      </c>
      <c r="F32" s="18">
        <f ca="1">IFERROR(__xludf.DUMMYFUNCTION("""COMPUTED_VALUE"""),24)</f>
        <v>24</v>
      </c>
      <c r="G32" s="13">
        <f t="shared" ca="1" si="0"/>
        <v>1</v>
      </c>
      <c r="H32" s="18">
        <f ca="1">IFERROR(__xludf.DUMMYFUNCTION("""COMPUTED_VALUE"""),24)</f>
        <v>24</v>
      </c>
      <c r="I32" s="13">
        <f t="shared" ca="1" si="1"/>
        <v>1</v>
      </c>
      <c r="J32" s="18">
        <f ca="1">IFERROR(__xludf.DUMMYFUNCTION("""COMPUTED_VALUE"""),22)</f>
        <v>22</v>
      </c>
      <c r="K32" s="13">
        <f t="shared" ca="1" si="2"/>
        <v>0.91666666666666663</v>
      </c>
      <c r="L32" s="18">
        <f ca="1">IFERROR(__xludf.DUMMYFUNCTION("""COMPUTED_VALUE"""),7)</f>
        <v>7</v>
      </c>
      <c r="M32" s="13">
        <f t="shared" ca="1" si="3"/>
        <v>0.29166666666666669</v>
      </c>
      <c r="N32" s="17">
        <f ca="1">IFERROR(__xludf.DUMMYFUNCTION("""COMPUTED_VALUE"""),17)</f>
        <v>17</v>
      </c>
      <c r="O32" s="19">
        <f ca="1">IFERROR(__xludf.DUMMYFUNCTION("""COMPUTED_VALUE"""),1)</f>
        <v>1</v>
      </c>
      <c r="P32" s="13">
        <f t="shared" ca="1" si="4"/>
        <v>5.8823529411764705E-2</v>
      </c>
      <c r="Q32" s="19">
        <f ca="1">IFERROR(__xludf.DUMMYFUNCTION("""COMPUTED_VALUE"""),0)</f>
        <v>0</v>
      </c>
      <c r="R32" s="13">
        <f t="shared" ca="1" si="5"/>
        <v>0</v>
      </c>
      <c r="S32" s="20"/>
      <c r="T32" s="14"/>
      <c r="U32" s="13" t="str">
        <f t="shared" si="6"/>
        <v/>
      </c>
      <c r="V32" s="14"/>
      <c r="W32" s="13" t="str">
        <f t="shared" si="7"/>
        <v/>
      </c>
      <c r="X32" s="14"/>
      <c r="Y32" s="13" t="str">
        <f t="shared" si="8"/>
        <v/>
      </c>
      <c r="Z32" s="2"/>
      <c r="AA32" s="2"/>
      <c r="AB32" s="2"/>
      <c r="AC32" s="2"/>
      <c r="AD32" s="2"/>
      <c r="AE32" s="2"/>
    </row>
    <row r="33" spans="1:31" ht="12.75" x14ac:dyDescent="0.2">
      <c r="A33" s="16">
        <f ca="1">IFERROR(__xludf.DUMMYFUNCTION("""COMPUTED_VALUE"""),27)</f>
        <v>27</v>
      </c>
      <c r="B33" s="14" t="str">
        <f ca="1">IFERROR(__xludf.DUMMYFUNCTION("""COMPUTED_VALUE"""),"Lớp Mẫu giáo Bồ Câu Nhỏ")</f>
        <v>Lớp Mẫu giáo Bồ Câu Nhỏ</v>
      </c>
      <c r="C33" s="14" t="str">
        <f ca="1">IFERROR(__xludf.DUMMYFUNCTION("""COMPUTED_VALUE"""),"MN")</f>
        <v>MN</v>
      </c>
      <c r="D33" s="14" t="str">
        <f ca="1">IFERROR(__xludf.DUMMYFUNCTION("""COMPUTED_VALUE"""),"Quận 1")</f>
        <v>Quận 1</v>
      </c>
      <c r="E33" s="17">
        <f ca="1">IFERROR(__xludf.DUMMYFUNCTION("""COMPUTED_VALUE"""),10)</f>
        <v>10</v>
      </c>
      <c r="F33" s="18">
        <f ca="1">IFERROR(__xludf.DUMMYFUNCTION("""COMPUTED_VALUE"""),10)</f>
        <v>10</v>
      </c>
      <c r="G33" s="13">
        <f t="shared" ca="1" si="0"/>
        <v>1</v>
      </c>
      <c r="H33" s="18">
        <f ca="1">IFERROR(__xludf.DUMMYFUNCTION("""COMPUTED_VALUE"""),10)</f>
        <v>10</v>
      </c>
      <c r="I33" s="13">
        <f t="shared" ca="1" si="1"/>
        <v>1</v>
      </c>
      <c r="J33" s="18">
        <f ca="1">IFERROR(__xludf.DUMMYFUNCTION("""COMPUTED_VALUE"""),2)</f>
        <v>2</v>
      </c>
      <c r="K33" s="13">
        <f t="shared" ca="1" si="2"/>
        <v>0.2</v>
      </c>
      <c r="L33" s="18">
        <f ca="1">IFERROR(__xludf.DUMMYFUNCTION("""COMPUTED_VALUE"""),8)</f>
        <v>8</v>
      </c>
      <c r="M33" s="13">
        <f t="shared" ca="1" si="3"/>
        <v>0.8</v>
      </c>
      <c r="N33" s="17">
        <f ca="1">IFERROR(__xludf.DUMMYFUNCTION("""COMPUTED_VALUE"""),2)</f>
        <v>2</v>
      </c>
      <c r="O33" s="19">
        <f ca="1">IFERROR(__xludf.DUMMYFUNCTION("""COMPUTED_VALUE"""),0)</f>
        <v>0</v>
      </c>
      <c r="P33" s="13">
        <f t="shared" ca="1" si="4"/>
        <v>0</v>
      </c>
      <c r="Q33" s="19">
        <f ca="1">IFERROR(__xludf.DUMMYFUNCTION("""COMPUTED_VALUE"""),0)</f>
        <v>0</v>
      </c>
      <c r="R33" s="13">
        <f t="shared" ca="1" si="5"/>
        <v>0</v>
      </c>
      <c r="S33" s="20"/>
      <c r="T33" s="14"/>
      <c r="U33" s="13" t="str">
        <f t="shared" si="6"/>
        <v/>
      </c>
      <c r="V33" s="14"/>
      <c r="W33" s="13" t="str">
        <f t="shared" si="7"/>
        <v/>
      </c>
      <c r="X33" s="14"/>
      <c r="Y33" s="13" t="str">
        <f t="shared" si="8"/>
        <v/>
      </c>
      <c r="Z33" s="2"/>
      <c r="AA33" s="2"/>
      <c r="AB33" s="2"/>
      <c r="AC33" s="2"/>
      <c r="AD33" s="2"/>
      <c r="AE33" s="2"/>
    </row>
    <row r="34" spans="1:31" ht="12.75" x14ac:dyDescent="0.2">
      <c r="A34" s="16">
        <f ca="1">IFERROR(__xludf.DUMMYFUNCTION("""COMPUTED_VALUE"""),28)</f>
        <v>28</v>
      </c>
      <c r="B34" s="14" t="str">
        <f ca="1">IFERROR(__xludf.DUMMYFUNCTION("""COMPUTED_VALUE"""),"Lớp Mẫu Giáo Cầu Kho")</f>
        <v>Lớp Mẫu Giáo Cầu Kho</v>
      </c>
      <c r="C34" s="14" t="str">
        <f ca="1">IFERROR(__xludf.DUMMYFUNCTION("""COMPUTED_VALUE"""),"MN")</f>
        <v>MN</v>
      </c>
      <c r="D34" s="14" t="str">
        <f ca="1">IFERROR(__xludf.DUMMYFUNCTION("""COMPUTED_VALUE"""),"Quận 1")</f>
        <v>Quận 1</v>
      </c>
      <c r="E34" s="17">
        <f ca="1">IFERROR(__xludf.DUMMYFUNCTION("""COMPUTED_VALUE"""),6)</f>
        <v>6</v>
      </c>
      <c r="F34" s="18">
        <f ca="1">IFERROR(__xludf.DUMMYFUNCTION("""COMPUTED_VALUE"""),6)</f>
        <v>6</v>
      </c>
      <c r="G34" s="13">
        <f t="shared" ca="1" si="0"/>
        <v>1</v>
      </c>
      <c r="H34" s="18">
        <f ca="1">IFERROR(__xludf.DUMMYFUNCTION("""COMPUTED_VALUE"""),6)</f>
        <v>6</v>
      </c>
      <c r="I34" s="13">
        <f t="shared" ca="1" si="1"/>
        <v>1</v>
      </c>
      <c r="J34" s="18">
        <f ca="1">IFERROR(__xludf.DUMMYFUNCTION("""COMPUTED_VALUE"""),6)</f>
        <v>6</v>
      </c>
      <c r="K34" s="13">
        <f t="shared" ca="1" si="2"/>
        <v>1</v>
      </c>
      <c r="L34" s="18">
        <f ca="1">IFERROR(__xludf.DUMMYFUNCTION("""COMPUTED_VALUE"""),0)</f>
        <v>0</v>
      </c>
      <c r="M34" s="13">
        <f t="shared" ca="1" si="3"/>
        <v>0</v>
      </c>
      <c r="N34" s="17">
        <f ca="1">IFERROR(__xludf.DUMMYFUNCTION("""COMPUTED_VALUE"""),10)</f>
        <v>10</v>
      </c>
      <c r="O34" s="19">
        <f ca="1">IFERROR(__xludf.DUMMYFUNCTION("""COMPUTED_VALUE"""),2)</f>
        <v>2</v>
      </c>
      <c r="P34" s="13">
        <f t="shared" ca="1" si="4"/>
        <v>0.2</v>
      </c>
      <c r="Q34" s="19">
        <f ca="1">IFERROR(__xludf.DUMMYFUNCTION("""COMPUTED_VALUE"""),0)</f>
        <v>0</v>
      </c>
      <c r="R34" s="13">
        <f t="shared" ca="1" si="5"/>
        <v>0</v>
      </c>
      <c r="S34" s="20"/>
      <c r="T34" s="14"/>
      <c r="U34" s="13" t="str">
        <f t="shared" si="6"/>
        <v/>
      </c>
      <c r="V34" s="14"/>
      <c r="W34" s="13" t="str">
        <f t="shared" si="7"/>
        <v/>
      </c>
      <c r="X34" s="14"/>
      <c r="Y34" s="13" t="str">
        <f t="shared" si="8"/>
        <v/>
      </c>
      <c r="Z34" s="2"/>
      <c r="AA34" s="2"/>
      <c r="AB34" s="2"/>
      <c r="AC34" s="2"/>
      <c r="AD34" s="2"/>
      <c r="AE34" s="2"/>
    </row>
    <row r="35" spans="1:31" ht="12.75" x14ac:dyDescent="0.2">
      <c r="A35" s="16">
        <f ca="1">IFERROR(__xludf.DUMMYFUNCTION("""COMPUTED_VALUE"""),29)</f>
        <v>29</v>
      </c>
      <c r="B35" s="14" t="str">
        <f ca="1">IFERROR(__xludf.DUMMYFUNCTION("""COMPUTED_VALUE"""),"Lớp Mẫu Giáo Tôn Thất Tùng")</f>
        <v>Lớp Mẫu Giáo Tôn Thất Tùng</v>
      </c>
      <c r="C35" s="14" t="str">
        <f ca="1">IFERROR(__xludf.DUMMYFUNCTION("""COMPUTED_VALUE"""),"MN")</f>
        <v>MN</v>
      </c>
      <c r="D35" s="14" t="str">
        <f ca="1">IFERROR(__xludf.DUMMYFUNCTION("""COMPUTED_VALUE"""),"Quận 1")</f>
        <v>Quận 1</v>
      </c>
      <c r="E35" s="17">
        <f ca="1">IFERROR(__xludf.DUMMYFUNCTION("""COMPUTED_VALUE"""),7)</f>
        <v>7</v>
      </c>
      <c r="F35" s="18">
        <f ca="1">IFERROR(__xludf.DUMMYFUNCTION("""COMPUTED_VALUE"""),7)</f>
        <v>7</v>
      </c>
      <c r="G35" s="13">
        <f t="shared" ca="1" si="0"/>
        <v>1</v>
      </c>
      <c r="H35" s="18">
        <f ca="1">IFERROR(__xludf.DUMMYFUNCTION("""COMPUTED_VALUE"""),7)</f>
        <v>7</v>
      </c>
      <c r="I35" s="13">
        <f t="shared" ca="1" si="1"/>
        <v>1</v>
      </c>
      <c r="J35" s="18">
        <f ca="1">IFERROR(__xludf.DUMMYFUNCTION("""COMPUTED_VALUE"""),7)</f>
        <v>7</v>
      </c>
      <c r="K35" s="13">
        <f t="shared" ca="1" si="2"/>
        <v>1</v>
      </c>
      <c r="L35" s="18">
        <f ca="1">IFERROR(__xludf.DUMMYFUNCTION("""COMPUTED_VALUE"""),1)</f>
        <v>1</v>
      </c>
      <c r="M35" s="13">
        <f t="shared" ca="1" si="3"/>
        <v>0.14285714285714285</v>
      </c>
      <c r="N35" s="17">
        <f ca="1">IFERROR(__xludf.DUMMYFUNCTION("""COMPUTED_VALUE"""),30)</f>
        <v>30</v>
      </c>
      <c r="O35" s="19">
        <f ca="1">IFERROR(__xludf.DUMMYFUNCTION("""COMPUTED_VALUE"""),5)</f>
        <v>5</v>
      </c>
      <c r="P35" s="13">
        <f t="shared" ca="1" si="4"/>
        <v>0.16666666666666666</v>
      </c>
      <c r="Q35" s="19">
        <f ca="1">IFERROR(__xludf.DUMMYFUNCTION("""COMPUTED_VALUE"""),0)</f>
        <v>0</v>
      </c>
      <c r="R35" s="13">
        <f t="shared" ca="1" si="5"/>
        <v>0</v>
      </c>
      <c r="S35" s="20"/>
      <c r="T35" s="14"/>
      <c r="U35" s="13" t="str">
        <f t="shared" si="6"/>
        <v/>
      </c>
      <c r="V35" s="14"/>
      <c r="W35" s="13" t="str">
        <f t="shared" si="7"/>
        <v/>
      </c>
      <c r="X35" s="14"/>
      <c r="Y35" s="13" t="str">
        <f t="shared" si="8"/>
        <v/>
      </c>
      <c r="Z35" s="2"/>
      <c r="AA35" s="2"/>
      <c r="AB35" s="2"/>
      <c r="AC35" s="2"/>
      <c r="AD35" s="2"/>
      <c r="AE35" s="2"/>
    </row>
    <row r="36" spans="1:31" ht="12.75" x14ac:dyDescent="0.2">
      <c r="A36" s="86" t="str">
        <f ca="1">IFERROR(__xludf.DUMMYFUNCTION("""COMPUTED_VALUE"""),"Tiểu học")</f>
        <v>Tiểu học</v>
      </c>
      <c r="B36" s="87"/>
      <c r="C36" s="88"/>
      <c r="D36" s="14"/>
      <c r="E36" s="15">
        <f ca="1">IFERROR(__xludf.DUMMYFUNCTION("""COMPUTED_VALUE"""),1335)</f>
        <v>1335</v>
      </c>
      <c r="F36" s="15">
        <f ca="1">IFERROR(__xludf.DUMMYFUNCTION("""COMPUTED_VALUE"""),1335)</f>
        <v>1335</v>
      </c>
      <c r="G36" s="13">
        <f t="shared" ca="1" si="0"/>
        <v>1</v>
      </c>
      <c r="H36" s="15">
        <f ca="1">IFERROR(__xludf.DUMMYFUNCTION("""COMPUTED_VALUE"""),1331)</f>
        <v>1331</v>
      </c>
      <c r="I36" s="13">
        <f t="shared" ca="1" si="1"/>
        <v>0.99700374531835201</v>
      </c>
      <c r="J36" s="15">
        <f ca="1">IFERROR(__xludf.DUMMYFUNCTION("""COMPUTED_VALUE"""),1228)</f>
        <v>1228</v>
      </c>
      <c r="K36" s="13">
        <f t="shared" ca="1" si="2"/>
        <v>0.91985018726591761</v>
      </c>
      <c r="L36" s="15">
        <f ca="1">IFERROR(__xludf.DUMMYFUNCTION("""COMPUTED_VALUE"""),478)</f>
        <v>478</v>
      </c>
      <c r="M36" s="13">
        <f t="shared" ca="1" si="3"/>
        <v>0.35805243445692886</v>
      </c>
      <c r="N36" s="15">
        <f ca="1">IFERROR(__xludf.DUMMYFUNCTION("""COMPUTED_VALUE"""),14983)</f>
        <v>14983</v>
      </c>
      <c r="O36" s="22">
        <f ca="1">IFERROR(__xludf.DUMMYFUNCTION("""COMPUTED_VALUE"""),5955)</f>
        <v>5955</v>
      </c>
      <c r="P36" s="13">
        <f t="shared" ca="1" si="4"/>
        <v>0.39745044383634787</v>
      </c>
      <c r="Q36" s="22">
        <f ca="1">IFERROR(__xludf.DUMMYFUNCTION("""COMPUTED_VALUE"""),2484)</f>
        <v>2484</v>
      </c>
      <c r="R36" s="13">
        <f t="shared" ca="1" si="5"/>
        <v>0.16578789294533805</v>
      </c>
      <c r="S36" s="22">
        <f ca="1">IFERROR(__xludf.DUMMYFUNCTION("""COMPUTED_VALUE"""),8)</f>
        <v>8</v>
      </c>
      <c r="T36" s="22">
        <f ca="1">IFERROR(__xludf.DUMMYFUNCTION("""COMPUTED_VALUE"""),2)</f>
        <v>2</v>
      </c>
      <c r="U36" s="13">
        <f t="shared" ca="1" si="6"/>
        <v>0.25</v>
      </c>
      <c r="V36" s="22">
        <f ca="1">IFERROR(__xludf.DUMMYFUNCTION("""COMPUTED_VALUE"""),3)</f>
        <v>3</v>
      </c>
      <c r="W36" s="13">
        <f t="shared" ca="1" si="7"/>
        <v>0.375</v>
      </c>
      <c r="X36" s="22">
        <f ca="1">IFERROR(__xludf.DUMMYFUNCTION("""COMPUTED_VALUE"""),1)</f>
        <v>1</v>
      </c>
      <c r="Y36" s="13">
        <f t="shared" ca="1" si="8"/>
        <v>0.125</v>
      </c>
      <c r="Z36" s="2"/>
      <c r="AA36" s="2"/>
      <c r="AB36" s="2"/>
      <c r="AC36" s="2"/>
      <c r="AD36" s="2"/>
      <c r="AE36" s="2"/>
    </row>
    <row r="37" spans="1:31" ht="12.75" x14ac:dyDescent="0.2">
      <c r="A37" s="16">
        <f ca="1">IFERROR(__xludf.DUMMYFUNCTION("""COMPUTED_VALUE"""),1)</f>
        <v>1</v>
      </c>
      <c r="B37" s="14" t="str">
        <f ca="1">IFERROR(__xludf.DUMMYFUNCTION("""COMPUTED_VALUE"""),"Nguyễn Huệ")</f>
        <v>Nguyễn Huệ</v>
      </c>
      <c r="C37" s="14" t="str">
        <f ca="1">IFERROR(__xludf.DUMMYFUNCTION("""COMPUTED_VALUE"""),"TH")</f>
        <v>TH</v>
      </c>
      <c r="D37" s="14" t="str">
        <f ca="1">IFERROR(__xludf.DUMMYFUNCTION("""COMPUTED_VALUE"""),"Quận 1")</f>
        <v>Quận 1</v>
      </c>
      <c r="E37" s="17">
        <f ca="1">IFERROR(__xludf.DUMMYFUNCTION("""COMPUTED_VALUE"""),86)</f>
        <v>86</v>
      </c>
      <c r="F37" s="18">
        <f ca="1">IFERROR(__xludf.DUMMYFUNCTION("""COMPUTED_VALUE"""),86)</f>
        <v>86</v>
      </c>
      <c r="G37" s="13">
        <f t="shared" ca="1" si="0"/>
        <v>1</v>
      </c>
      <c r="H37" s="18">
        <f ca="1">IFERROR(__xludf.DUMMYFUNCTION("""COMPUTED_VALUE"""),84)</f>
        <v>84</v>
      </c>
      <c r="I37" s="13">
        <f t="shared" ca="1" si="1"/>
        <v>0.97674418604651159</v>
      </c>
      <c r="J37" s="18">
        <f ca="1">IFERROR(__xludf.DUMMYFUNCTION("""COMPUTED_VALUE"""),81)</f>
        <v>81</v>
      </c>
      <c r="K37" s="13">
        <f t="shared" ca="1" si="2"/>
        <v>0.94186046511627908</v>
      </c>
      <c r="L37" s="18">
        <f ca="1">IFERROR(__xludf.DUMMYFUNCTION("""COMPUTED_VALUE"""),22)</f>
        <v>22</v>
      </c>
      <c r="M37" s="13">
        <f t="shared" ca="1" si="3"/>
        <v>0.2558139534883721</v>
      </c>
      <c r="N37" s="17">
        <f ca="1">IFERROR(__xludf.DUMMYFUNCTION("""COMPUTED_VALUE"""),883)</f>
        <v>883</v>
      </c>
      <c r="O37" s="19">
        <f ca="1">IFERROR(__xludf.DUMMYFUNCTION("""COMPUTED_VALUE"""),392)</f>
        <v>392</v>
      </c>
      <c r="P37" s="13">
        <f t="shared" ca="1" si="4"/>
        <v>0.44394110985277463</v>
      </c>
      <c r="Q37" s="19">
        <f ca="1">IFERROR(__xludf.DUMMYFUNCTION("""COMPUTED_VALUE"""),188)</f>
        <v>188</v>
      </c>
      <c r="R37" s="13">
        <f t="shared" ca="1" si="5"/>
        <v>0.21291053227633069</v>
      </c>
      <c r="S37" s="20"/>
      <c r="T37" s="14"/>
      <c r="U37" s="13" t="str">
        <f t="shared" si="6"/>
        <v/>
      </c>
      <c r="V37" s="14"/>
      <c r="W37" s="13" t="str">
        <f t="shared" si="7"/>
        <v/>
      </c>
      <c r="X37" s="14"/>
      <c r="Y37" s="13" t="str">
        <f t="shared" si="8"/>
        <v/>
      </c>
      <c r="Z37" s="2"/>
      <c r="AA37" s="2"/>
      <c r="AB37" s="2"/>
      <c r="AC37" s="2"/>
      <c r="AD37" s="2"/>
      <c r="AE37" s="2"/>
    </row>
    <row r="38" spans="1:31" ht="12.75" x14ac:dyDescent="0.2">
      <c r="A38" s="16">
        <f ca="1">IFERROR(__xludf.DUMMYFUNCTION("""COMPUTED_VALUE"""),2)</f>
        <v>2</v>
      </c>
      <c r="B38" s="14" t="str">
        <f ca="1">IFERROR(__xludf.DUMMYFUNCTION("""COMPUTED_VALUE"""),"Trần Khánh Dư")</f>
        <v>Trần Khánh Dư</v>
      </c>
      <c r="C38" s="14" t="str">
        <f ca="1">IFERROR(__xludf.DUMMYFUNCTION("""COMPUTED_VALUE"""),"TH")</f>
        <v>TH</v>
      </c>
      <c r="D38" s="14" t="str">
        <f ca="1">IFERROR(__xludf.DUMMYFUNCTION("""COMPUTED_VALUE"""),"Quận 1")</f>
        <v>Quận 1</v>
      </c>
      <c r="E38" s="17">
        <f ca="1">IFERROR(__xludf.DUMMYFUNCTION("""COMPUTED_VALUE"""),38)</f>
        <v>38</v>
      </c>
      <c r="F38" s="18">
        <f ca="1">IFERROR(__xludf.DUMMYFUNCTION("""COMPUTED_VALUE"""),38)</f>
        <v>38</v>
      </c>
      <c r="G38" s="13">
        <f t="shared" ca="1" si="0"/>
        <v>1</v>
      </c>
      <c r="H38" s="18">
        <f ca="1">IFERROR(__xludf.DUMMYFUNCTION("""COMPUTED_VALUE"""),38)</f>
        <v>38</v>
      </c>
      <c r="I38" s="13">
        <f t="shared" ca="1" si="1"/>
        <v>1</v>
      </c>
      <c r="J38" s="18">
        <f ca="1">IFERROR(__xludf.DUMMYFUNCTION("""COMPUTED_VALUE"""),21)</f>
        <v>21</v>
      </c>
      <c r="K38" s="13">
        <f t="shared" ca="1" si="2"/>
        <v>0.55263157894736847</v>
      </c>
      <c r="L38" s="18">
        <f ca="1">IFERROR(__xludf.DUMMYFUNCTION("""COMPUTED_VALUE"""),17)</f>
        <v>17</v>
      </c>
      <c r="M38" s="13">
        <f t="shared" ca="1" si="3"/>
        <v>0.44736842105263158</v>
      </c>
      <c r="N38" s="17">
        <f ca="1">IFERROR(__xludf.DUMMYFUNCTION("""COMPUTED_VALUE"""),475)</f>
        <v>475</v>
      </c>
      <c r="O38" s="19">
        <f ca="1">IFERROR(__xludf.DUMMYFUNCTION("""COMPUTED_VALUE"""),112)</f>
        <v>112</v>
      </c>
      <c r="P38" s="13">
        <f t="shared" ca="1" si="4"/>
        <v>0.23578947368421052</v>
      </c>
      <c r="Q38" s="19">
        <f ca="1">IFERROR(__xludf.DUMMYFUNCTION("""COMPUTED_VALUE"""),130)</f>
        <v>130</v>
      </c>
      <c r="R38" s="13">
        <f t="shared" ca="1" si="5"/>
        <v>0.27368421052631581</v>
      </c>
      <c r="S38" s="17">
        <f ca="1">IFERROR(__xludf.DUMMYFUNCTION("""COMPUTED_VALUE"""),1)</f>
        <v>1</v>
      </c>
      <c r="T38" s="14">
        <f ca="1">IFERROR(__xludf.DUMMYFUNCTION("""COMPUTED_VALUE"""),1)</f>
        <v>1</v>
      </c>
      <c r="U38" s="13">
        <f t="shared" ca="1" si="6"/>
        <v>1</v>
      </c>
      <c r="V38" s="19">
        <f ca="1">IFERROR(__xludf.DUMMYFUNCTION("""COMPUTED_VALUE"""),1)</f>
        <v>1</v>
      </c>
      <c r="W38" s="13">
        <f t="shared" ca="1" si="7"/>
        <v>1</v>
      </c>
      <c r="X38" s="19">
        <f ca="1">IFERROR(__xludf.DUMMYFUNCTION("""COMPUTED_VALUE"""),0)</f>
        <v>0</v>
      </c>
      <c r="Y38" s="13">
        <f t="shared" ca="1" si="8"/>
        <v>0</v>
      </c>
      <c r="Z38" s="2"/>
      <c r="AA38" s="2"/>
      <c r="AB38" s="2"/>
      <c r="AC38" s="2"/>
      <c r="AD38" s="2"/>
      <c r="AE38" s="2"/>
    </row>
    <row r="39" spans="1:31" ht="12.75" x14ac:dyDescent="0.2">
      <c r="A39" s="16">
        <f ca="1">IFERROR(__xludf.DUMMYFUNCTION("""COMPUTED_VALUE"""),3)</f>
        <v>3</v>
      </c>
      <c r="B39" s="14" t="str">
        <f ca="1">IFERROR(__xludf.DUMMYFUNCTION("""COMPUTED_VALUE"""),"Lê Ngọc Hân")</f>
        <v>Lê Ngọc Hân</v>
      </c>
      <c r="C39" s="14" t="str">
        <f ca="1">IFERROR(__xludf.DUMMYFUNCTION("""COMPUTED_VALUE"""),"TH")</f>
        <v>TH</v>
      </c>
      <c r="D39" s="14" t="str">
        <f ca="1">IFERROR(__xludf.DUMMYFUNCTION("""COMPUTED_VALUE"""),"Quận 1")</f>
        <v>Quận 1</v>
      </c>
      <c r="E39" s="17">
        <f ca="1">IFERROR(__xludf.DUMMYFUNCTION("""COMPUTED_VALUE"""),89)</f>
        <v>89</v>
      </c>
      <c r="F39" s="18">
        <f ca="1">IFERROR(__xludf.DUMMYFUNCTION("""COMPUTED_VALUE"""),89)</f>
        <v>89</v>
      </c>
      <c r="G39" s="13">
        <f t="shared" ca="1" si="0"/>
        <v>1</v>
      </c>
      <c r="H39" s="18">
        <f ca="1">IFERROR(__xludf.DUMMYFUNCTION("""COMPUTED_VALUE"""),89)</f>
        <v>89</v>
      </c>
      <c r="I39" s="13">
        <f t="shared" ca="1" si="1"/>
        <v>1</v>
      </c>
      <c r="J39" s="18">
        <f ca="1">IFERROR(__xludf.DUMMYFUNCTION("""COMPUTED_VALUE"""),85)</f>
        <v>85</v>
      </c>
      <c r="K39" s="13">
        <f t="shared" ca="1" si="2"/>
        <v>0.9550561797752809</v>
      </c>
      <c r="L39" s="18">
        <f ca="1">IFERROR(__xludf.DUMMYFUNCTION("""COMPUTED_VALUE"""),43)</f>
        <v>43</v>
      </c>
      <c r="M39" s="13">
        <f t="shared" ca="1" si="3"/>
        <v>0.48314606741573035</v>
      </c>
      <c r="N39" s="17">
        <f ca="1">IFERROR(__xludf.DUMMYFUNCTION("""COMPUTED_VALUE"""),948)</f>
        <v>948</v>
      </c>
      <c r="O39" s="19">
        <f ca="1">IFERROR(__xludf.DUMMYFUNCTION("""COMPUTED_VALUE"""),287)</f>
        <v>287</v>
      </c>
      <c r="P39" s="13">
        <f t="shared" ca="1" si="4"/>
        <v>0.3027426160337553</v>
      </c>
      <c r="Q39" s="19">
        <f ca="1">IFERROR(__xludf.DUMMYFUNCTION("""COMPUTED_VALUE"""),114)</f>
        <v>114</v>
      </c>
      <c r="R39" s="13">
        <f t="shared" ca="1" si="5"/>
        <v>0.12025316455696203</v>
      </c>
      <c r="S39" s="20"/>
      <c r="T39" s="14"/>
      <c r="U39" s="13" t="str">
        <f t="shared" si="6"/>
        <v/>
      </c>
      <c r="V39" s="14"/>
      <c r="W39" s="13" t="str">
        <f t="shared" si="7"/>
        <v/>
      </c>
      <c r="X39" s="14"/>
      <c r="Y39" s="13" t="str">
        <f t="shared" si="8"/>
        <v/>
      </c>
      <c r="Z39" s="2"/>
      <c r="AA39" s="2"/>
      <c r="AB39" s="2"/>
      <c r="AC39" s="2"/>
      <c r="AD39" s="2"/>
      <c r="AE39" s="2"/>
    </row>
    <row r="40" spans="1:31" ht="12.75" x14ac:dyDescent="0.2">
      <c r="A40" s="16">
        <f ca="1">IFERROR(__xludf.DUMMYFUNCTION("""COMPUTED_VALUE"""),4)</f>
        <v>4</v>
      </c>
      <c r="B40" s="14" t="str">
        <f ca="1">IFERROR(__xludf.DUMMYFUNCTION("""COMPUTED_VALUE"""),"Trường Tiểu học Hòa Bình")</f>
        <v>Trường Tiểu học Hòa Bình</v>
      </c>
      <c r="C40" s="14" t="str">
        <f ca="1">IFERROR(__xludf.DUMMYFUNCTION("""COMPUTED_VALUE"""),"TH")</f>
        <v>TH</v>
      </c>
      <c r="D40" s="14" t="str">
        <f ca="1">IFERROR(__xludf.DUMMYFUNCTION("""COMPUTED_VALUE"""),"Quận 1")</f>
        <v>Quận 1</v>
      </c>
      <c r="E40" s="17">
        <f ca="1">IFERROR(__xludf.DUMMYFUNCTION("""COMPUTED_VALUE"""),95)</f>
        <v>95</v>
      </c>
      <c r="F40" s="18">
        <f ca="1">IFERROR(__xludf.DUMMYFUNCTION("""COMPUTED_VALUE"""),95)</f>
        <v>95</v>
      </c>
      <c r="G40" s="13">
        <f t="shared" ca="1" si="0"/>
        <v>1</v>
      </c>
      <c r="H40" s="18">
        <f ca="1">IFERROR(__xludf.DUMMYFUNCTION("""COMPUTED_VALUE"""),95)</f>
        <v>95</v>
      </c>
      <c r="I40" s="13">
        <f t="shared" ca="1" si="1"/>
        <v>1</v>
      </c>
      <c r="J40" s="18">
        <f ca="1">IFERROR(__xludf.DUMMYFUNCTION("""COMPUTED_VALUE"""),89)</f>
        <v>89</v>
      </c>
      <c r="K40" s="13">
        <f t="shared" ca="1" si="2"/>
        <v>0.93684210526315792</v>
      </c>
      <c r="L40" s="18">
        <f ca="1">IFERROR(__xludf.DUMMYFUNCTION("""COMPUTED_VALUE"""),30)</f>
        <v>30</v>
      </c>
      <c r="M40" s="13">
        <f t="shared" ca="1" si="3"/>
        <v>0.31578947368421051</v>
      </c>
      <c r="N40" s="17">
        <f ca="1">IFERROR(__xludf.DUMMYFUNCTION("""COMPUTED_VALUE"""),882)</f>
        <v>882</v>
      </c>
      <c r="O40" s="19">
        <f ca="1">IFERROR(__xludf.DUMMYFUNCTION("""COMPUTED_VALUE"""),236)</f>
        <v>236</v>
      </c>
      <c r="P40" s="13">
        <f t="shared" ca="1" si="4"/>
        <v>0.26757369614512472</v>
      </c>
      <c r="Q40" s="19">
        <f ca="1">IFERROR(__xludf.DUMMYFUNCTION("""COMPUTED_VALUE"""),93)</f>
        <v>93</v>
      </c>
      <c r="R40" s="13">
        <f t="shared" ca="1" si="5"/>
        <v>0.10544217687074831</v>
      </c>
      <c r="S40" s="20"/>
      <c r="T40" s="14"/>
      <c r="U40" s="13" t="str">
        <f t="shared" si="6"/>
        <v/>
      </c>
      <c r="V40" s="14"/>
      <c r="W40" s="13" t="str">
        <f t="shared" si="7"/>
        <v/>
      </c>
      <c r="X40" s="14"/>
      <c r="Y40" s="13" t="str">
        <f t="shared" si="8"/>
        <v/>
      </c>
      <c r="Z40" s="2"/>
      <c r="AA40" s="2"/>
      <c r="AB40" s="2"/>
      <c r="AC40" s="2"/>
      <c r="AD40" s="2"/>
      <c r="AE40" s="2"/>
    </row>
    <row r="41" spans="1:31" ht="12.75" x14ac:dyDescent="0.2">
      <c r="A41" s="16">
        <f ca="1">IFERROR(__xludf.DUMMYFUNCTION("""COMPUTED_VALUE"""),5)</f>
        <v>5</v>
      </c>
      <c r="B41" s="14" t="str">
        <f ca="1">IFERROR(__xludf.DUMMYFUNCTION("""COMPUTED_VALUE"""),"Nguyễn Bỉnh Khiêm")</f>
        <v>Nguyễn Bỉnh Khiêm</v>
      </c>
      <c r="C41" s="14" t="str">
        <f ca="1">IFERROR(__xludf.DUMMYFUNCTION("""COMPUTED_VALUE"""),"TH")</f>
        <v>TH</v>
      </c>
      <c r="D41" s="14" t="str">
        <f ca="1">IFERROR(__xludf.DUMMYFUNCTION("""COMPUTED_VALUE"""),"Quận 1")</f>
        <v>Quận 1</v>
      </c>
      <c r="E41" s="17">
        <f ca="1">IFERROR(__xludf.DUMMYFUNCTION("""COMPUTED_VALUE"""),110)</f>
        <v>110</v>
      </c>
      <c r="F41" s="18">
        <f ca="1">IFERROR(__xludf.DUMMYFUNCTION("""COMPUTED_VALUE"""),110)</f>
        <v>110</v>
      </c>
      <c r="G41" s="13">
        <f t="shared" ca="1" si="0"/>
        <v>1</v>
      </c>
      <c r="H41" s="18">
        <f ca="1">IFERROR(__xludf.DUMMYFUNCTION("""COMPUTED_VALUE"""),110)</f>
        <v>110</v>
      </c>
      <c r="I41" s="13">
        <f t="shared" ca="1" si="1"/>
        <v>1</v>
      </c>
      <c r="J41" s="18">
        <f ca="1">IFERROR(__xludf.DUMMYFUNCTION("""COMPUTED_VALUE"""),104)</f>
        <v>104</v>
      </c>
      <c r="K41" s="13">
        <f t="shared" ca="1" si="2"/>
        <v>0.94545454545454544</v>
      </c>
      <c r="L41" s="18">
        <f ca="1">IFERROR(__xludf.DUMMYFUNCTION("""COMPUTED_VALUE"""),35)</f>
        <v>35</v>
      </c>
      <c r="M41" s="13">
        <f t="shared" ca="1" si="3"/>
        <v>0.31818181818181818</v>
      </c>
      <c r="N41" s="17">
        <f ca="1">IFERROR(__xludf.DUMMYFUNCTION("""COMPUTED_VALUE"""),1476)</f>
        <v>1476</v>
      </c>
      <c r="O41" s="19">
        <f ca="1">IFERROR(__xludf.DUMMYFUNCTION("""COMPUTED_VALUE"""),349)</f>
        <v>349</v>
      </c>
      <c r="P41" s="13">
        <f t="shared" ca="1" si="4"/>
        <v>0.236449864498645</v>
      </c>
      <c r="Q41" s="19">
        <f ca="1">IFERROR(__xludf.DUMMYFUNCTION("""COMPUTED_VALUE"""),94)</f>
        <v>94</v>
      </c>
      <c r="R41" s="13">
        <f t="shared" ca="1" si="5"/>
        <v>6.3685636856368563E-2</v>
      </c>
      <c r="S41" s="20"/>
      <c r="T41" s="14"/>
      <c r="U41" s="13" t="str">
        <f t="shared" si="6"/>
        <v/>
      </c>
      <c r="V41" s="14"/>
      <c r="W41" s="13" t="str">
        <f t="shared" si="7"/>
        <v/>
      </c>
      <c r="X41" s="14"/>
      <c r="Y41" s="13" t="str">
        <f t="shared" si="8"/>
        <v/>
      </c>
      <c r="Z41" s="2"/>
      <c r="AA41" s="2"/>
      <c r="AB41" s="2"/>
      <c r="AC41" s="2"/>
      <c r="AD41" s="2"/>
      <c r="AE41" s="2"/>
    </row>
    <row r="42" spans="1:31" ht="12.75" x14ac:dyDescent="0.2">
      <c r="A42" s="16">
        <f ca="1">IFERROR(__xludf.DUMMYFUNCTION("""COMPUTED_VALUE"""),6)</f>
        <v>6</v>
      </c>
      <c r="B42" s="14" t="str">
        <f ca="1">IFERROR(__xludf.DUMMYFUNCTION("""COMPUTED_VALUE"""),"Nguyễn Thái Bình")</f>
        <v>Nguyễn Thái Bình</v>
      </c>
      <c r="C42" s="14" t="str">
        <f ca="1">IFERROR(__xludf.DUMMYFUNCTION("""COMPUTED_VALUE"""),"TH")</f>
        <v>TH</v>
      </c>
      <c r="D42" s="14" t="str">
        <f ca="1">IFERROR(__xludf.DUMMYFUNCTION("""COMPUTED_VALUE"""),"Quận 1")</f>
        <v>Quận 1</v>
      </c>
      <c r="E42" s="17">
        <f ca="1">IFERROR(__xludf.DUMMYFUNCTION("""COMPUTED_VALUE"""),66)</f>
        <v>66</v>
      </c>
      <c r="F42" s="18">
        <f ca="1">IFERROR(__xludf.DUMMYFUNCTION("""COMPUTED_VALUE"""),66)</f>
        <v>66</v>
      </c>
      <c r="G42" s="13">
        <f t="shared" ca="1" si="0"/>
        <v>1</v>
      </c>
      <c r="H42" s="18">
        <f ca="1">IFERROR(__xludf.DUMMYFUNCTION("""COMPUTED_VALUE"""),66)</f>
        <v>66</v>
      </c>
      <c r="I42" s="13">
        <f t="shared" ca="1" si="1"/>
        <v>1</v>
      </c>
      <c r="J42" s="18">
        <f ca="1">IFERROR(__xludf.DUMMYFUNCTION("""COMPUTED_VALUE"""),62)</f>
        <v>62</v>
      </c>
      <c r="K42" s="13">
        <f t="shared" ca="1" si="2"/>
        <v>0.93939393939393945</v>
      </c>
      <c r="L42" s="18">
        <f ca="1">IFERROR(__xludf.DUMMYFUNCTION("""COMPUTED_VALUE"""),30)</f>
        <v>30</v>
      </c>
      <c r="M42" s="13">
        <f t="shared" ca="1" si="3"/>
        <v>0.45454545454545453</v>
      </c>
      <c r="N42" s="17">
        <f ca="1">IFERROR(__xludf.DUMMYFUNCTION("""COMPUTED_VALUE"""),898)</f>
        <v>898</v>
      </c>
      <c r="O42" s="19">
        <f ca="1">IFERROR(__xludf.DUMMYFUNCTION("""COMPUTED_VALUE"""),572)</f>
        <v>572</v>
      </c>
      <c r="P42" s="13">
        <f t="shared" ca="1" si="4"/>
        <v>0.63697104677060135</v>
      </c>
      <c r="Q42" s="19">
        <f ca="1">IFERROR(__xludf.DUMMYFUNCTION("""COMPUTED_VALUE"""),229)</f>
        <v>229</v>
      </c>
      <c r="R42" s="13">
        <f t="shared" ca="1" si="5"/>
        <v>0.25501113585746105</v>
      </c>
      <c r="S42" s="20"/>
      <c r="T42" s="14"/>
      <c r="U42" s="13" t="str">
        <f t="shared" si="6"/>
        <v/>
      </c>
      <c r="V42" s="14"/>
      <c r="W42" s="13" t="str">
        <f t="shared" si="7"/>
        <v/>
      </c>
      <c r="X42" s="14"/>
      <c r="Y42" s="13" t="str">
        <f t="shared" si="8"/>
        <v/>
      </c>
      <c r="Z42" s="2"/>
      <c r="AA42" s="2"/>
      <c r="AB42" s="2"/>
      <c r="AC42" s="2"/>
      <c r="AD42" s="2"/>
      <c r="AE42" s="2"/>
    </row>
    <row r="43" spans="1:31" ht="12.75" x14ac:dyDescent="0.2">
      <c r="A43" s="16">
        <f ca="1">IFERROR(__xludf.DUMMYFUNCTION("""COMPUTED_VALUE"""),7)</f>
        <v>7</v>
      </c>
      <c r="B43" s="14" t="str">
        <f ca="1">IFERROR(__xludf.DUMMYFUNCTION("""COMPUTED_VALUE"""),"Đuốc Sống")</f>
        <v>Đuốc Sống</v>
      </c>
      <c r="C43" s="14" t="str">
        <f ca="1">IFERROR(__xludf.DUMMYFUNCTION("""COMPUTED_VALUE"""),"TH")</f>
        <v>TH</v>
      </c>
      <c r="D43" s="14" t="str">
        <f ca="1">IFERROR(__xludf.DUMMYFUNCTION("""COMPUTED_VALUE"""),"Quận 1")</f>
        <v>Quận 1</v>
      </c>
      <c r="E43" s="17">
        <f ca="1">IFERROR(__xludf.DUMMYFUNCTION("""COMPUTED_VALUE"""),53)</f>
        <v>53</v>
      </c>
      <c r="F43" s="18">
        <f ca="1">IFERROR(__xludf.DUMMYFUNCTION("""COMPUTED_VALUE"""),53)</f>
        <v>53</v>
      </c>
      <c r="G43" s="13">
        <f t="shared" ca="1" si="0"/>
        <v>1</v>
      </c>
      <c r="H43" s="18">
        <f ca="1">IFERROR(__xludf.DUMMYFUNCTION("""COMPUTED_VALUE"""),53)</f>
        <v>53</v>
      </c>
      <c r="I43" s="13">
        <f t="shared" ca="1" si="1"/>
        <v>1</v>
      </c>
      <c r="J43" s="18">
        <f ca="1">IFERROR(__xludf.DUMMYFUNCTION("""COMPUTED_VALUE"""),52)</f>
        <v>52</v>
      </c>
      <c r="K43" s="13">
        <f t="shared" ca="1" si="2"/>
        <v>0.98113207547169812</v>
      </c>
      <c r="L43" s="18">
        <f ca="1">IFERROR(__xludf.DUMMYFUNCTION("""COMPUTED_VALUE"""),26)</f>
        <v>26</v>
      </c>
      <c r="M43" s="13">
        <f t="shared" ca="1" si="3"/>
        <v>0.49056603773584906</v>
      </c>
      <c r="N43" s="17">
        <f ca="1">IFERROR(__xludf.DUMMYFUNCTION("""COMPUTED_VALUE"""),622)</f>
        <v>622</v>
      </c>
      <c r="O43" s="19">
        <f ca="1">IFERROR(__xludf.DUMMYFUNCTION("""COMPUTED_VALUE"""),121)</f>
        <v>121</v>
      </c>
      <c r="P43" s="13">
        <f t="shared" ca="1" si="4"/>
        <v>0.19453376205787781</v>
      </c>
      <c r="Q43" s="19">
        <f ca="1">IFERROR(__xludf.DUMMYFUNCTION("""COMPUTED_VALUE"""),69)</f>
        <v>69</v>
      </c>
      <c r="R43" s="13">
        <f t="shared" ca="1" si="5"/>
        <v>0.11093247588424437</v>
      </c>
      <c r="S43" s="20"/>
      <c r="T43" s="14"/>
      <c r="U43" s="13" t="str">
        <f t="shared" si="6"/>
        <v/>
      </c>
      <c r="V43" s="14"/>
      <c r="W43" s="13" t="str">
        <f t="shared" si="7"/>
        <v/>
      </c>
      <c r="X43" s="14"/>
      <c r="Y43" s="13" t="str">
        <f t="shared" si="8"/>
        <v/>
      </c>
      <c r="Z43" s="2"/>
      <c r="AA43" s="2"/>
      <c r="AB43" s="2"/>
      <c r="AC43" s="2"/>
      <c r="AD43" s="2"/>
      <c r="AE43" s="2"/>
    </row>
    <row r="44" spans="1:31" ht="12.75" x14ac:dyDescent="0.2">
      <c r="A44" s="16">
        <f ca="1">IFERROR(__xludf.DUMMYFUNCTION("""COMPUTED_VALUE"""),8)</f>
        <v>8</v>
      </c>
      <c r="B44" s="14" t="str">
        <f ca="1">IFERROR(__xludf.DUMMYFUNCTION("""COMPUTED_VALUE"""),"Trần Hưng Đạo")</f>
        <v>Trần Hưng Đạo</v>
      </c>
      <c r="C44" s="14" t="str">
        <f ca="1">IFERROR(__xludf.DUMMYFUNCTION("""COMPUTED_VALUE"""),"TH")</f>
        <v>TH</v>
      </c>
      <c r="D44" s="14" t="str">
        <f ca="1">IFERROR(__xludf.DUMMYFUNCTION("""COMPUTED_VALUE"""),"Quận 1")</f>
        <v>Quận 1</v>
      </c>
      <c r="E44" s="17">
        <f ca="1">IFERROR(__xludf.DUMMYFUNCTION("""COMPUTED_VALUE"""),116)</f>
        <v>116</v>
      </c>
      <c r="F44" s="18">
        <f ca="1">IFERROR(__xludf.DUMMYFUNCTION("""COMPUTED_VALUE"""),116)</f>
        <v>116</v>
      </c>
      <c r="G44" s="13">
        <f t="shared" ca="1" si="0"/>
        <v>1</v>
      </c>
      <c r="H44" s="18">
        <f ca="1">IFERROR(__xludf.DUMMYFUNCTION("""COMPUTED_VALUE"""),115)</f>
        <v>115</v>
      </c>
      <c r="I44" s="13">
        <f t="shared" ca="1" si="1"/>
        <v>0.99137931034482762</v>
      </c>
      <c r="J44" s="18">
        <f ca="1">IFERROR(__xludf.DUMMYFUNCTION("""COMPUTED_VALUE"""),103)</f>
        <v>103</v>
      </c>
      <c r="K44" s="13">
        <f t="shared" ca="1" si="2"/>
        <v>0.88793103448275867</v>
      </c>
      <c r="L44" s="18">
        <f ca="1">IFERROR(__xludf.DUMMYFUNCTION("""COMPUTED_VALUE"""),8)</f>
        <v>8</v>
      </c>
      <c r="M44" s="13">
        <f t="shared" ca="1" si="3"/>
        <v>6.8965517241379309E-2</v>
      </c>
      <c r="N44" s="17">
        <f ca="1">IFERROR(__xludf.DUMMYFUNCTION("""COMPUTED_VALUE"""),1603)</f>
        <v>1603</v>
      </c>
      <c r="O44" s="19">
        <f ca="1">IFERROR(__xludf.DUMMYFUNCTION("""COMPUTED_VALUE"""),577)</f>
        <v>577</v>
      </c>
      <c r="P44" s="13">
        <f t="shared" ca="1" si="4"/>
        <v>0.35995009357454771</v>
      </c>
      <c r="Q44" s="19">
        <f ca="1">IFERROR(__xludf.DUMMYFUNCTION("""COMPUTED_VALUE"""),150)</f>
        <v>150</v>
      </c>
      <c r="R44" s="13">
        <f t="shared" ca="1" si="5"/>
        <v>9.3574547723019333E-2</v>
      </c>
      <c r="S44" s="20"/>
      <c r="T44" s="14"/>
      <c r="U44" s="13" t="str">
        <f t="shared" si="6"/>
        <v/>
      </c>
      <c r="V44" s="14"/>
      <c r="W44" s="13" t="str">
        <f t="shared" si="7"/>
        <v/>
      </c>
      <c r="X44" s="14"/>
      <c r="Y44" s="13" t="str">
        <f t="shared" si="8"/>
        <v/>
      </c>
      <c r="Z44" s="2"/>
      <c r="AA44" s="2"/>
      <c r="AB44" s="2"/>
      <c r="AC44" s="2"/>
      <c r="AD44" s="2"/>
      <c r="AE44" s="2"/>
    </row>
    <row r="45" spans="1:31" ht="12.75" x14ac:dyDescent="0.2">
      <c r="A45" s="16">
        <f ca="1">IFERROR(__xludf.DUMMYFUNCTION("""COMPUTED_VALUE"""),9)</f>
        <v>9</v>
      </c>
      <c r="B45" s="14" t="str">
        <f ca="1">IFERROR(__xludf.DUMMYFUNCTION("""COMPUTED_VALUE"""),"Khai Minh")</f>
        <v>Khai Minh</v>
      </c>
      <c r="C45" s="14" t="str">
        <f ca="1">IFERROR(__xludf.DUMMYFUNCTION("""COMPUTED_VALUE"""),"TH")</f>
        <v>TH</v>
      </c>
      <c r="D45" s="14" t="str">
        <f ca="1">IFERROR(__xludf.DUMMYFUNCTION("""COMPUTED_VALUE"""),"Quận 1")</f>
        <v>Quận 1</v>
      </c>
      <c r="E45" s="17">
        <f ca="1">IFERROR(__xludf.DUMMYFUNCTION("""COMPUTED_VALUE"""),76)</f>
        <v>76</v>
      </c>
      <c r="F45" s="18">
        <f ca="1">IFERROR(__xludf.DUMMYFUNCTION("""COMPUTED_VALUE"""),76)</f>
        <v>76</v>
      </c>
      <c r="G45" s="13">
        <f t="shared" ca="1" si="0"/>
        <v>1</v>
      </c>
      <c r="H45" s="18">
        <f ca="1">IFERROR(__xludf.DUMMYFUNCTION("""COMPUTED_VALUE"""),76)</f>
        <v>76</v>
      </c>
      <c r="I45" s="13">
        <f t="shared" ca="1" si="1"/>
        <v>1</v>
      </c>
      <c r="J45" s="18">
        <f ca="1">IFERROR(__xludf.DUMMYFUNCTION("""COMPUTED_VALUE"""),74)</f>
        <v>74</v>
      </c>
      <c r="K45" s="13">
        <f t="shared" ca="1" si="2"/>
        <v>0.97368421052631582</v>
      </c>
      <c r="L45" s="18">
        <f ca="1">IFERROR(__xludf.DUMMYFUNCTION("""COMPUTED_VALUE"""),33)</f>
        <v>33</v>
      </c>
      <c r="M45" s="13">
        <f t="shared" ca="1" si="3"/>
        <v>0.43421052631578949</v>
      </c>
      <c r="N45" s="17">
        <f ca="1">IFERROR(__xludf.DUMMYFUNCTION("""COMPUTED_VALUE"""),703)</f>
        <v>703</v>
      </c>
      <c r="O45" s="19">
        <f ca="1">IFERROR(__xludf.DUMMYFUNCTION("""COMPUTED_VALUE"""),293)</f>
        <v>293</v>
      </c>
      <c r="P45" s="13">
        <f t="shared" ca="1" si="4"/>
        <v>0.41678520625889048</v>
      </c>
      <c r="Q45" s="19">
        <f ca="1">IFERROR(__xludf.DUMMYFUNCTION("""COMPUTED_VALUE"""),95)</f>
        <v>95</v>
      </c>
      <c r="R45" s="13">
        <f t="shared" ca="1" si="5"/>
        <v>0.13513513513513514</v>
      </c>
      <c r="S45" s="20"/>
      <c r="T45" s="14"/>
      <c r="U45" s="13" t="str">
        <f t="shared" si="6"/>
        <v/>
      </c>
      <c r="V45" s="14"/>
      <c r="W45" s="13" t="str">
        <f t="shared" si="7"/>
        <v/>
      </c>
      <c r="X45" s="14"/>
      <c r="Y45" s="13" t="str">
        <f t="shared" si="8"/>
        <v/>
      </c>
      <c r="Z45" s="2"/>
      <c r="AA45" s="2"/>
      <c r="AB45" s="2"/>
      <c r="AC45" s="2"/>
      <c r="AD45" s="2"/>
      <c r="AE45" s="2"/>
    </row>
    <row r="46" spans="1:31" ht="12.75" x14ac:dyDescent="0.2">
      <c r="A46" s="16">
        <f ca="1">IFERROR(__xludf.DUMMYFUNCTION("""COMPUTED_VALUE"""),10)</f>
        <v>10</v>
      </c>
      <c r="B46" s="14" t="str">
        <f ca="1">IFERROR(__xludf.DUMMYFUNCTION("""COMPUTED_VALUE"""),"Trường Tiểu học Kết Đoàn")</f>
        <v>Trường Tiểu học Kết Đoàn</v>
      </c>
      <c r="C46" s="14" t="str">
        <f ca="1">IFERROR(__xludf.DUMMYFUNCTION("""COMPUTED_VALUE"""),"TH")</f>
        <v>TH</v>
      </c>
      <c r="D46" s="14" t="str">
        <f ca="1">IFERROR(__xludf.DUMMYFUNCTION("""COMPUTED_VALUE"""),"Quận 1")</f>
        <v>Quận 1</v>
      </c>
      <c r="E46" s="17">
        <f ca="1">IFERROR(__xludf.DUMMYFUNCTION("""COMPUTED_VALUE"""),99)</f>
        <v>99</v>
      </c>
      <c r="F46" s="18">
        <f ca="1">IFERROR(__xludf.DUMMYFUNCTION("""COMPUTED_VALUE"""),99)</f>
        <v>99</v>
      </c>
      <c r="G46" s="13">
        <f t="shared" ca="1" si="0"/>
        <v>1</v>
      </c>
      <c r="H46" s="18">
        <f ca="1">IFERROR(__xludf.DUMMYFUNCTION("""COMPUTED_VALUE"""),99)</f>
        <v>99</v>
      </c>
      <c r="I46" s="13">
        <f t="shared" ca="1" si="1"/>
        <v>1</v>
      </c>
      <c r="J46" s="18">
        <f ca="1">IFERROR(__xludf.DUMMYFUNCTION("""COMPUTED_VALUE"""),99)</f>
        <v>99</v>
      </c>
      <c r="K46" s="13">
        <f t="shared" ca="1" si="2"/>
        <v>1</v>
      </c>
      <c r="L46" s="18">
        <f ca="1">IFERROR(__xludf.DUMMYFUNCTION("""COMPUTED_VALUE"""),50)</f>
        <v>50</v>
      </c>
      <c r="M46" s="13">
        <f t="shared" ca="1" si="3"/>
        <v>0.50505050505050508</v>
      </c>
      <c r="N46" s="17">
        <f ca="1">IFERROR(__xludf.DUMMYFUNCTION("""COMPUTED_VALUE"""),1228)</f>
        <v>1228</v>
      </c>
      <c r="O46" s="19">
        <f ca="1">IFERROR(__xludf.DUMMYFUNCTION("""COMPUTED_VALUE"""),655)</f>
        <v>655</v>
      </c>
      <c r="P46" s="13">
        <f t="shared" ca="1" si="4"/>
        <v>0.53338762214983715</v>
      </c>
      <c r="Q46" s="19">
        <f ca="1">IFERROR(__xludf.DUMMYFUNCTION("""COMPUTED_VALUE"""),334)</f>
        <v>334</v>
      </c>
      <c r="R46" s="13">
        <f t="shared" ca="1" si="5"/>
        <v>0.2719869706840391</v>
      </c>
      <c r="S46" s="20"/>
      <c r="T46" s="14"/>
      <c r="U46" s="13" t="str">
        <f t="shared" si="6"/>
        <v/>
      </c>
      <c r="V46" s="14"/>
      <c r="W46" s="13" t="str">
        <f t="shared" si="7"/>
        <v/>
      </c>
      <c r="X46" s="14"/>
      <c r="Y46" s="13" t="str">
        <f t="shared" si="8"/>
        <v/>
      </c>
      <c r="Z46" s="2"/>
      <c r="AA46" s="2"/>
      <c r="AB46" s="2"/>
      <c r="AC46" s="2"/>
      <c r="AD46" s="2"/>
      <c r="AE46" s="2"/>
    </row>
    <row r="47" spans="1:31" ht="12.75" x14ac:dyDescent="0.2">
      <c r="A47" s="16">
        <f ca="1">IFERROR(__xludf.DUMMYFUNCTION("""COMPUTED_VALUE"""),11)</f>
        <v>11</v>
      </c>
      <c r="B47" s="14" t="str">
        <f ca="1">IFERROR(__xludf.DUMMYFUNCTION("""COMPUTED_VALUE"""),"Trường Tiểu học Lương Thế Vinh")</f>
        <v>Trường Tiểu học Lương Thế Vinh</v>
      </c>
      <c r="C47" s="14" t="str">
        <f ca="1">IFERROR(__xludf.DUMMYFUNCTION("""COMPUTED_VALUE"""),"TH")</f>
        <v>TH</v>
      </c>
      <c r="D47" s="14" t="str">
        <f ca="1">IFERROR(__xludf.DUMMYFUNCTION("""COMPUTED_VALUE"""),"Quận 1")</f>
        <v>Quận 1</v>
      </c>
      <c r="E47" s="17">
        <f ca="1">IFERROR(__xludf.DUMMYFUNCTION("""COMPUTED_VALUE"""),87)</f>
        <v>87</v>
      </c>
      <c r="F47" s="18">
        <f ca="1">IFERROR(__xludf.DUMMYFUNCTION("""COMPUTED_VALUE"""),87)</f>
        <v>87</v>
      </c>
      <c r="G47" s="13">
        <f t="shared" ca="1" si="0"/>
        <v>1</v>
      </c>
      <c r="H47" s="18">
        <f ca="1">IFERROR(__xludf.DUMMYFUNCTION("""COMPUTED_VALUE"""),87)</f>
        <v>87</v>
      </c>
      <c r="I47" s="13">
        <f t="shared" ca="1" si="1"/>
        <v>1</v>
      </c>
      <c r="J47" s="18">
        <f ca="1">IFERROR(__xludf.DUMMYFUNCTION("""COMPUTED_VALUE"""),86)</f>
        <v>86</v>
      </c>
      <c r="K47" s="13">
        <f t="shared" ca="1" si="2"/>
        <v>0.9885057471264368</v>
      </c>
      <c r="L47" s="18">
        <f ca="1">IFERROR(__xludf.DUMMYFUNCTION("""COMPUTED_VALUE"""),18)</f>
        <v>18</v>
      </c>
      <c r="M47" s="13">
        <f t="shared" ca="1" si="3"/>
        <v>0.20689655172413793</v>
      </c>
      <c r="N47" s="17">
        <f ca="1">IFERROR(__xludf.DUMMYFUNCTION("""COMPUTED_VALUE"""),1042)</f>
        <v>1042</v>
      </c>
      <c r="O47" s="19">
        <f ca="1">IFERROR(__xludf.DUMMYFUNCTION("""COMPUTED_VALUE"""),374)</f>
        <v>374</v>
      </c>
      <c r="P47" s="13">
        <f t="shared" ca="1" si="4"/>
        <v>0.35892514395393477</v>
      </c>
      <c r="Q47" s="19">
        <f ca="1">IFERROR(__xludf.DUMMYFUNCTION("""COMPUTED_VALUE"""),61)</f>
        <v>61</v>
      </c>
      <c r="R47" s="13">
        <f t="shared" ca="1" si="5"/>
        <v>5.8541266794625721E-2</v>
      </c>
      <c r="S47" s="20"/>
      <c r="T47" s="14"/>
      <c r="U47" s="13" t="str">
        <f t="shared" si="6"/>
        <v/>
      </c>
      <c r="V47" s="14"/>
      <c r="W47" s="13" t="str">
        <f t="shared" si="7"/>
        <v/>
      </c>
      <c r="X47" s="14"/>
      <c r="Y47" s="13" t="str">
        <f t="shared" si="8"/>
        <v/>
      </c>
      <c r="Z47" s="2"/>
      <c r="AA47" s="2"/>
      <c r="AB47" s="2"/>
      <c r="AC47" s="2"/>
      <c r="AD47" s="2"/>
      <c r="AE47" s="2"/>
    </row>
    <row r="48" spans="1:31" ht="12.75" x14ac:dyDescent="0.2">
      <c r="A48" s="16">
        <f ca="1">IFERROR(__xludf.DUMMYFUNCTION("""COMPUTED_VALUE"""),12)</f>
        <v>12</v>
      </c>
      <c r="B48" s="14" t="str">
        <f ca="1">IFERROR(__xludf.DUMMYFUNCTION("""COMPUTED_VALUE"""),"Đinh Tiên Hoàng")</f>
        <v>Đinh Tiên Hoàng</v>
      </c>
      <c r="C48" s="14" t="str">
        <f ca="1">IFERROR(__xludf.DUMMYFUNCTION("""COMPUTED_VALUE"""),"TH")</f>
        <v>TH</v>
      </c>
      <c r="D48" s="14" t="str">
        <f ca="1">IFERROR(__xludf.DUMMYFUNCTION("""COMPUTED_VALUE"""),"Quận 1")</f>
        <v>Quận 1</v>
      </c>
      <c r="E48" s="17">
        <f ca="1">IFERROR(__xludf.DUMMYFUNCTION("""COMPUTED_VALUE"""),100)</f>
        <v>100</v>
      </c>
      <c r="F48" s="18">
        <f ca="1">IFERROR(__xludf.DUMMYFUNCTION("""COMPUTED_VALUE"""),100)</f>
        <v>100</v>
      </c>
      <c r="G48" s="13">
        <f t="shared" ca="1" si="0"/>
        <v>1</v>
      </c>
      <c r="H48" s="18">
        <f ca="1">IFERROR(__xludf.DUMMYFUNCTION("""COMPUTED_VALUE"""),100)</f>
        <v>100</v>
      </c>
      <c r="I48" s="13">
        <f t="shared" ca="1" si="1"/>
        <v>1</v>
      </c>
      <c r="J48" s="18">
        <f ca="1">IFERROR(__xludf.DUMMYFUNCTION("""COMPUTED_VALUE"""),95)</f>
        <v>95</v>
      </c>
      <c r="K48" s="13">
        <f t="shared" ca="1" si="2"/>
        <v>0.95</v>
      </c>
      <c r="L48" s="18">
        <f ca="1">IFERROR(__xludf.DUMMYFUNCTION("""COMPUTED_VALUE"""),72)</f>
        <v>72</v>
      </c>
      <c r="M48" s="13">
        <f t="shared" ca="1" si="3"/>
        <v>0.72</v>
      </c>
      <c r="N48" s="17">
        <f ca="1">IFERROR(__xludf.DUMMYFUNCTION("""COMPUTED_VALUE"""),1348)</f>
        <v>1348</v>
      </c>
      <c r="O48" s="19">
        <f ca="1">IFERROR(__xludf.DUMMYFUNCTION("""COMPUTED_VALUE"""),635)</f>
        <v>635</v>
      </c>
      <c r="P48" s="13">
        <f t="shared" ca="1" si="4"/>
        <v>0.47106824925816021</v>
      </c>
      <c r="Q48" s="19">
        <f ca="1">IFERROR(__xludf.DUMMYFUNCTION("""COMPUTED_VALUE"""),277)</f>
        <v>277</v>
      </c>
      <c r="R48" s="13">
        <f t="shared" ca="1" si="5"/>
        <v>0.20548961424332343</v>
      </c>
      <c r="S48" s="20"/>
      <c r="T48" s="14"/>
      <c r="U48" s="13" t="str">
        <f t="shared" si="6"/>
        <v/>
      </c>
      <c r="V48" s="14"/>
      <c r="W48" s="13" t="str">
        <f t="shared" si="7"/>
        <v/>
      </c>
      <c r="X48" s="14"/>
      <c r="Y48" s="13" t="str">
        <f t="shared" si="8"/>
        <v/>
      </c>
      <c r="Z48" s="2"/>
      <c r="AA48" s="2"/>
      <c r="AB48" s="2"/>
      <c r="AC48" s="2"/>
      <c r="AD48" s="2"/>
      <c r="AE48" s="2"/>
    </row>
    <row r="49" spans="1:31" ht="12.75" x14ac:dyDescent="0.2">
      <c r="A49" s="16">
        <f ca="1">IFERROR(__xludf.DUMMYFUNCTION("""COMPUTED_VALUE"""),13)</f>
        <v>13</v>
      </c>
      <c r="B49" s="14" t="str">
        <f ca="1">IFERROR(__xludf.DUMMYFUNCTION("""COMPUTED_VALUE"""),"Phan Văn Trị")</f>
        <v>Phan Văn Trị</v>
      </c>
      <c r="C49" s="14" t="str">
        <f ca="1">IFERROR(__xludf.DUMMYFUNCTION("""COMPUTED_VALUE"""),"TH")</f>
        <v>TH</v>
      </c>
      <c r="D49" s="14" t="str">
        <f ca="1">IFERROR(__xludf.DUMMYFUNCTION("""COMPUTED_VALUE"""),"Quận 1")</f>
        <v>Quận 1</v>
      </c>
      <c r="E49" s="17">
        <f ca="1">IFERROR(__xludf.DUMMYFUNCTION("""COMPUTED_VALUE"""),54)</f>
        <v>54</v>
      </c>
      <c r="F49" s="18">
        <f ca="1">IFERROR(__xludf.DUMMYFUNCTION("""COMPUTED_VALUE"""),54)</f>
        <v>54</v>
      </c>
      <c r="G49" s="13">
        <f t="shared" ca="1" si="0"/>
        <v>1</v>
      </c>
      <c r="H49" s="18">
        <f ca="1">IFERROR(__xludf.DUMMYFUNCTION("""COMPUTED_VALUE"""),54)</f>
        <v>54</v>
      </c>
      <c r="I49" s="13">
        <f t="shared" ca="1" si="1"/>
        <v>1</v>
      </c>
      <c r="J49" s="18">
        <f ca="1">IFERROR(__xludf.DUMMYFUNCTION("""COMPUTED_VALUE"""),52)</f>
        <v>52</v>
      </c>
      <c r="K49" s="13">
        <f t="shared" ca="1" si="2"/>
        <v>0.96296296296296291</v>
      </c>
      <c r="L49" s="18">
        <f ca="1">IFERROR(__xludf.DUMMYFUNCTION("""COMPUTED_VALUE"""),19)</f>
        <v>19</v>
      </c>
      <c r="M49" s="13">
        <f t="shared" ca="1" si="3"/>
        <v>0.35185185185185186</v>
      </c>
      <c r="N49" s="17">
        <f ca="1">IFERROR(__xludf.DUMMYFUNCTION("""COMPUTED_VALUE"""),640)</f>
        <v>640</v>
      </c>
      <c r="O49" s="19">
        <f ca="1">IFERROR(__xludf.DUMMYFUNCTION("""COMPUTED_VALUE"""),447)</f>
        <v>447</v>
      </c>
      <c r="P49" s="13">
        <f t="shared" ca="1" si="4"/>
        <v>0.69843750000000004</v>
      </c>
      <c r="Q49" s="19">
        <f ca="1">IFERROR(__xludf.DUMMYFUNCTION("""COMPUTED_VALUE"""),164)</f>
        <v>164</v>
      </c>
      <c r="R49" s="13">
        <f t="shared" ca="1" si="5"/>
        <v>0.25624999999999998</v>
      </c>
      <c r="S49" s="20"/>
      <c r="T49" s="14"/>
      <c r="U49" s="13" t="str">
        <f t="shared" si="6"/>
        <v/>
      </c>
      <c r="V49" s="14"/>
      <c r="W49" s="13" t="str">
        <f t="shared" si="7"/>
        <v/>
      </c>
      <c r="X49" s="14"/>
      <c r="Y49" s="13" t="str">
        <f t="shared" si="8"/>
        <v/>
      </c>
      <c r="Z49" s="2"/>
      <c r="AA49" s="2"/>
      <c r="AB49" s="2"/>
      <c r="AC49" s="2"/>
      <c r="AD49" s="2"/>
      <c r="AE49" s="2"/>
    </row>
    <row r="50" spans="1:31" ht="12.75" x14ac:dyDescent="0.2">
      <c r="A50" s="16">
        <f ca="1">IFERROR(__xludf.DUMMYFUNCTION("""COMPUTED_VALUE"""),14)</f>
        <v>14</v>
      </c>
      <c r="B50" s="14" t="str">
        <f ca="1">IFERROR(__xludf.DUMMYFUNCTION("""COMPUTED_VALUE"""),"Trần Quang Khải")</f>
        <v>Trần Quang Khải</v>
      </c>
      <c r="C50" s="14" t="str">
        <f ca="1">IFERROR(__xludf.DUMMYFUNCTION("""COMPUTED_VALUE"""),"TH")</f>
        <v>TH</v>
      </c>
      <c r="D50" s="14" t="str">
        <f ca="1">IFERROR(__xludf.DUMMYFUNCTION("""COMPUTED_VALUE"""),"Quận 1")</f>
        <v>Quận 1</v>
      </c>
      <c r="E50" s="17">
        <f ca="1">IFERROR(__xludf.DUMMYFUNCTION("""COMPUTED_VALUE"""),27)</f>
        <v>27</v>
      </c>
      <c r="F50" s="18">
        <f ca="1">IFERROR(__xludf.DUMMYFUNCTION("""COMPUTED_VALUE"""),27)</f>
        <v>27</v>
      </c>
      <c r="G50" s="13">
        <f t="shared" ca="1" si="0"/>
        <v>1</v>
      </c>
      <c r="H50" s="18">
        <f ca="1">IFERROR(__xludf.DUMMYFUNCTION("""COMPUTED_VALUE"""),27)</f>
        <v>27</v>
      </c>
      <c r="I50" s="13">
        <f t="shared" ca="1" si="1"/>
        <v>1</v>
      </c>
      <c r="J50" s="18">
        <f ca="1">IFERROR(__xludf.DUMMYFUNCTION("""COMPUTED_VALUE"""),25)</f>
        <v>25</v>
      </c>
      <c r="K50" s="13">
        <f t="shared" ca="1" si="2"/>
        <v>0.92592592592592593</v>
      </c>
      <c r="L50" s="18">
        <f ca="1">IFERROR(__xludf.DUMMYFUNCTION("""COMPUTED_VALUE"""),10)</f>
        <v>10</v>
      </c>
      <c r="M50" s="13">
        <f t="shared" ca="1" si="3"/>
        <v>0.37037037037037035</v>
      </c>
      <c r="N50" s="17">
        <f ca="1">IFERROR(__xludf.DUMMYFUNCTION("""COMPUTED_VALUE"""),314)</f>
        <v>314</v>
      </c>
      <c r="O50" s="19">
        <f ca="1">IFERROR(__xludf.DUMMYFUNCTION("""COMPUTED_VALUE"""),167)</f>
        <v>167</v>
      </c>
      <c r="P50" s="13">
        <f t="shared" ca="1" si="4"/>
        <v>0.53184713375796178</v>
      </c>
      <c r="Q50" s="19">
        <f ca="1">IFERROR(__xludf.DUMMYFUNCTION("""COMPUTED_VALUE"""),114)</f>
        <v>114</v>
      </c>
      <c r="R50" s="13">
        <f t="shared" ca="1" si="5"/>
        <v>0.36305732484076431</v>
      </c>
      <c r="S50" s="17">
        <f ca="1">IFERROR(__xludf.DUMMYFUNCTION("""COMPUTED_VALUE"""),6)</f>
        <v>6</v>
      </c>
      <c r="T50" s="19">
        <f ca="1">IFERROR(__xludf.DUMMYFUNCTION("""COMPUTED_VALUE"""),2)</f>
        <v>2</v>
      </c>
      <c r="U50" s="13">
        <f t="shared" ca="1" si="6"/>
        <v>0.33333333333333331</v>
      </c>
      <c r="V50" s="19">
        <f ca="1">IFERROR(__xludf.DUMMYFUNCTION("""COMPUTED_VALUE"""),2)</f>
        <v>2</v>
      </c>
      <c r="W50" s="13">
        <f t="shared" ca="1" si="7"/>
        <v>0.33333333333333331</v>
      </c>
      <c r="X50" s="19">
        <f ca="1">IFERROR(__xludf.DUMMYFUNCTION("""COMPUTED_VALUE"""),1)</f>
        <v>1</v>
      </c>
      <c r="Y50" s="13">
        <f t="shared" ca="1" si="8"/>
        <v>0.16666666666666666</v>
      </c>
      <c r="Z50" s="2"/>
      <c r="AA50" s="2"/>
      <c r="AB50" s="2"/>
      <c r="AC50" s="2"/>
      <c r="AD50" s="2"/>
      <c r="AE50" s="2"/>
    </row>
    <row r="51" spans="1:31" ht="12.75" x14ac:dyDescent="0.2">
      <c r="A51" s="16">
        <f ca="1">IFERROR(__xludf.DUMMYFUNCTION("""COMPUTED_VALUE"""),15)</f>
        <v>15</v>
      </c>
      <c r="B51" s="14" t="str">
        <f ca="1">IFERROR(__xludf.DUMMYFUNCTION("""COMPUTED_VALUE"""),"Chương Dương")</f>
        <v>Chương Dương</v>
      </c>
      <c r="C51" s="14" t="str">
        <f ca="1">IFERROR(__xludf.DUMMYFUNCTION("""COMPUTED_VALUE"""),"TH")</f>
        <v>TH</v>
      </c>
      <c r="D51" s="14" t="str">
        <f ca="1">IFERROR(__xludf.DUMMYFUNCTION("""COMPUTED_VALUE"""),"Quận 1")</f>
        <v>Quận 1</v>
      </c>
      <c r="E51" s="17">
        <f ca="1">IFERROR(__xludf.DUMMYFUNCTION("""COMPUTED_VALUE"""),53)</f>
        <v>53</v>
      </c>
      <c r="F51" s="18">
        <f ca="1">IFERROR(__xludf.DUMMYFUNCTION("""COMPUTED_VALUE"""),53)</f>
        <v>53</v>
      </c>
      <c r="G51" s="13">
        <f t="shared" ca="1" si="0"/>
        <v>1</v>
      </c>
      <c r="H51" s="18">
        <f ca="1">IFERROR(__xludf.DUMMYFUNCTION("""COMPUTED_VALUE"""),53)</f>
        <v>53</v>
      </c>
      <c r="I51" s="13">
        <f t="shared" ca="1" si="1"/>
        <v>1</v>
      </c>
      <c r="J51" s="18">
        <f ca="1">IFERROR(__xludf.DUMMYFUNCTION("""COMPUTED_VALUE"""),50)</f>
        <v>50</v>
      </c>
      <c r="K51" s="13">
        <f t="shared" ca="1" si="2"/>
        <v>0.94339622641509435</v>
      </c>
      <c r="L51" s="18">
        <f ca="1">IFERROR(__xludf.DUMMYFUNCTION("""COMPUTED_VALUE"""),11)</f>
        <v>11</v>
      </c>
      <c r="M51" s="13">
        <f t="shared" ca="1" si="3"/>
        <v>0.20754716981132076</v>
      </c>
      <c r="N51" s="17">
        <f ca="1">IFERROR(__xludf.DUMMYFUNCTION("""COMPUTED_VALUE"""),756)</f>
        <v>756</v>
      </c>
      <c r="O51" s="19">
        <f ca="1">IFERROR(__xludf.DUMMYFUNCTION("""COMPUTED_VALUE"""),420)</f>
        <v>420</v>
      </c>
      <c r="P51" s="13">
        <f t="shared" ca="1" si="4"/>
        <v>0.55555555555555558</v>
      </c>
      <c r="Q51" s="19">
        <f ca="1">IFERROR(__xludf.DUMMYFUNCTION("""COMPUTED_VALUE"""),225)</f>
        <v>225</v>
      </c>
      <c r="R51" s="13">
        <f t="shared" ca="1" si="5"/>
        <v>0.29761904761904762</v>
      </c>
      <c r="S51" s="17">
        <f ca="1">IFERROR(__xludf.DUMMYFUNCTION("""COMPUTED_VALUE"""),1)</f>
        <v>1</v>
      </c>
      <c r="T51" s="14">
        <f ca="1">IFERROR(__xludf.DUMMYFUNCTION("""COMPUTED_VALUE"""),0)</f>
        <v>0</v>
      </c>
      <c r="U51" s="13">
        <f t="shared" ca="1" si="6"/>
        <v>0</v>
      </c>
      <c r="V51" s="19">
        <f ca="1">IFERROR(__xludf.DUMMYFUNCTION("""COMPUTED_VALUE"""),0)</f>
        <v>0</v>
      </c>
      <c r="W51" s="13">
        <f t="shared" ca="1" si="7"/>
        <v>0</v>
      </c>
      <c r="X51" s="19">
        <f ca="1">IFERROR(__xludf.DUMMYFUNCTION("""COMPUTED_VALUE"""),0)</f>
        <v>0</v>
      </c>
      <c r="Y51" s="13">
        <f t="shared" ca="1" si="8"/>
        <v>0</v>
      </c>
      <c r="Z51" s="2"/>
      <c r="AA51" s="2"/>
      <c r="AB51" s="2"/>
      <c r="AC51" s="2"/>
      <c r="AD51" s="2"/>
      <c r="AE51" s="2"/>
    </row>
    <row r="52" spans="1:31" ht="12.75" x14ac:dyDescent="0.2">
      <c r="A52" s="16">
        <f ca="1">IFERROR(__xludf.DUMMYFUNCTION("""COMPUTED_VALUE"""),16)</f>
        <v>16</v>
      </c>
      <c r="B52" s="14" t="str">
        <f ca="1">IFERROR(__xludf.DUMMYFUNCTION("""COMPUTED_VALUE"""),"Nguyễn Thái Học")</f>
        <v>Nguyễn Thái Học</v>
      </c>
      <c r="C52" s="14" t="str">
        <f ca="1">IFERROR(__xludf.DUMMYFUNCTION("""COMPUTED_VALUE"""),"TH")</f>
        <v>TH</v>
      </c>
      <c r="D52" s="14" t="str">
        <f ca="1">IFERROR(__xludf.DUMMYFUNCTION("""COMPUTED_VALUE"""),"Quận 1")</f>
        <v>Quận 1</v>
      </c>
      <c r="E52" s="17">
        <f ca="1">IFERROR(__xludf.DUMMYFUNCTION("""COMPUTED_VALUE"""),82)</f>
        <v>82</v>
      </c>
      <c r="F52" s="18">
        <f ca="1">IFERROR(__xludf.DUMMYFUNCTION("""COMPUTED_VALUE"""),82)</f>
        <v>82</v>
      </c>
      <c r="G52" s="13">
        <f t="shared" ca="1" si="0"/>
        <v>1</v>
      </c>
      <c r="H52" s="18">
        <f ca="1">IFERROR(__xludf.DUMMYFUNCTION("""COMPUTED_VALUE"""),81)</f>
        <v>81</v>
      </c>
      <c r="I52" s="13">
        <f t="shared" ca="1" si="1"/>
        <v>0.98780487804878048</v>
      </c>
      <c r="J52" s="18">
        <f ca="1">IFERROR(__xludf.DUMMYFUNCTION("""COMPUTED_VALUE"""),73)</f>
        <v>73</v>
      </c>
      <c r="K52" s="13">
        <f t="shared" ca="1" si="2"/>
        <v>0.8902439024390244</v>
      </c>
      <c r="L52" s="18">
        <f ca="1">IFERROR(__xludf.DUMMYFUNCTION("""COMPUTED_VALUE"""),40)</f>
        <v>40</v>
      </c>
      <c r="M52" s="13">
        <f t="shared" ca="1" si="3"/>
        <v>0.48780487804878048</v>
      </c>
      <c r="N52" s="17">
        <f ca="1">IFERROR(__xludf.DUMMYFUNCTION("""COMPUTED_VALUE"""),823)</f>
        <v>823</v>
      </c>
      <c r="O52" s="19">
        <f ca="1">IFERROR(__xludf.DUMMYFUNCTION("""COMPUTED_VALUE"""),248)</f>
        <v>248</v>
      </c>
      <c r="P52" s="13">
        <f t="shared" ca="1" si="4"/>
        <v>0.30133657351154314</v>
      </c>
      <c r="Q52" s="19">
        <f ca="1">IFERROR(__xludf.DUMMYFUNCTION("""COMPUTED_VALUE"""),102)</f>
        <v>102</v>
      </c>
      <c r="R52" s="13">
        <f t="shared" ca="1" si="5"/>
        <v>0.12393681652490887</v>
      </c>
      <c r="S52" s="20"/>
      <c r="T52" s="14"/>
      <c r="U52" s="13" t="str">
        <f t="shared" si="6"/>
        <v/>
      </c>
      <c r="V52" s="14"/>
      <c r="W52" s="13" t="str">
        <f t="shared" si="7"/>
        <v/>
      </c>
      <c r="X52" s="14"/>
      <c r="Y52" s="13" t="str">
        <f t="shared" si="8"/>
        <v/>
      </c>
      <c r="Z52" s="2"/>
      <c r="AA52" s="2"/>
      <c r="AB52" s="2"/>
      <c r="AC52" s="2"/>
      <c r="AD52" s="2"/>
      <c r="AE52" s="2"/>
    </row>
    <row r="53" spans="1:31" ht="12.75" x14ac:dyDescent="0.2">
      <c r="A53" s="16">
        <f ca="1">IFERROR(__xludf.DUMMYFUNCTION("""COMPUTED_VALUE"""),17)</f>
        <v>17</v>
      </c>
      <c r="B53" s="14" t="str">
        <f ca="1">IFERROR(__xludf.DUMMYFUNCTION("""COMPUTED_VALUE"""),"Trường TH Quốc tế Á Châu")</f>
        <v>Trường TH Quốc tế Á Châu</v>
      </c>
      <c r="C53" s="14" t="str">
        <f ca="1">IFERROR(__xludf.DUMMYFUNCTION("""COMPUTED_VALUE"""),"TH")</f>
        <v>TH</v>
      </c>
      <c r="D53" s="14" t="str">
        <f ca="1">IFERROR(__xludf.DUMMYFUNCTION("""COMPUTED_VALUE"""),"Quận 1")</f>
        <v>Quận 1</v>
      </c>
      <c r="E53" s="17">
        <f ca="1">IFERROR(__xludf.DUMMYFUNCTION("""COMPUTED_VALUE"""),104)</f>
        <v>104</v>
      </c>
      <c r="F53" s="18">
        <f ca="1">IFERROR(__xludf.DUMMYFUNCTION("""COMPUTED_VALUE"""),104)</f>
        <v>104</v>
      </c>
      <c r="G53" s="13">
        <f t="shared" ca="1" si="0"/>
        <v>1</v>
      </c>
      <c r="H53" s="18">
        <f ca="1">IFERROR(__xludf.DUMMYFUNCTION("""COMPUTED_VALUE"""),104)</f>
        <v>104</v>
      </c>
      <c r="I53" s="13">
        <f t="shared" ca="1" si="1"/>
        <v>1</v>
      </c>
      <c r="J53" s="18">
        <f ca="1">IFERROR(__xludf.DUMMYFUNCTION("""COMPUTED_VALUE"""),77)</f>
        <v>77</v>
      </c>
      <c r="K53" s="13">
        <f t="shared" ca="1" si="2"/>
        <v>0.74038461538461542</v>
      </c>
      <c r="L53" s="18">
        <f ca="1">IFERROR(__xludf.DUMMYFUNCTION("""COMPUTED_VALUE"""),14)</f>
        <v>14</v>
      </c>
      <c r="M53" s="13">
        <f t="shared" ca="1" si="3"/>
        <v>0.13461538461538461</v>
      </c>
      <c r="N53" s="17">
        <f ca="1">IFERROR(__xludf.DUMMYFUNCTION("""COMPUTED_VALUE"""),342)</f>
        <v>342</v>
      </c>
      <c r="O53" s="19">
        <f ca="1">IFERROR(__xludf.DUMMYFUNCTION("""COMPUTED_VALUE"""),70)</f>
        <v>70</v>
      </c>
      <c r="P53" s="13">
        <f t="shared" ca="1" si="4"/>
        <v>0.2046783625730994</v>
      </c>
      <c r="Q53" s="19">
        <f ca="1">IFERROR(__xludf.DUMMYFUNCTION("""COMPUTED_VALUE"""),45)</f>
        <v>45</v>
      </c>
      <c r="R53" s="13">
        <f t="shared" ca="1" si="5"/>
        <v>0.13157894736842105</v>
      </c>
      <c r="S53" s="20"/>
      <c r="T53" s="14"/>
      <c r="U53" s="13" t="str">
        <f t="shared" si="6"/>
        <v/>
      </c>
      <c r="V53" s="14"/>
      <c r="W53" s="13" t="str">
        <f t="shared" si="7"/>
        <v/>
      </c>
      <c r="X53" s="14"/>
      <c r="Y53" s="13" t="str">
        <f t="shared" si="8"/>
        <v/>
      </c>
      <c r="Z53" s="2"/>
      <c r="AA53" s="2"/>
      <c r="AB53" s="2"/>
      <c r="AC53" s="2"/>
      <c r="AD53" s="2"/>
      <c r="AE53" s="2"/>
    </row>
    <row r="54" spans="1:31" ht="12.75" x14ac:dyDescent="0.2">
      <c r="A54" s="86" t="str">
        <f ca="1">IFERROR(__xludf.DUMMYFUNCTION("""COMPUTED_VALUE"""),"THCS")</f>
        <v>THCS</v>
      </c>
      <c r="B54" s="87"/>
      <c r="C54" s="88"/>
      <c r="D54" s="14"/>
      <c r="E54" s="15">
        <f ca="1">IFERROR(__xludf.DUMMYFUNCTION("""COMPUTED_VALUE"""),954)</f>
        <v>954</v>
      </c>
      <c r="F54" s="15">
        <f ca="1">IFERROR(__xludf.DUMMYFUNCTION("""COMPUTED_VALUE"""),954)</f>
        <v>954</v>
      </c>
      <c r="G54" s="13">
        <f t="shared" ca="1" si="0"/>
        <v>1</v>
      </c>
      <c r="H54" s="15">
        <f ca="1">IFERROR(__xludf.DUMMYFUNCTION("""COMPUTED_VALUE"""),952)</f>
        <v>952</v>
      </c>
      <c r="I54" s="13">
        <f t="shared" ca="1" si="1"/>
        <v>0.99790356394129975</v>
      </c>
      <c r="J54" s="15">
        <f ca="1">IFERROR(__xludf.DUMMYFUNCTION("""COMPUTED_VALUE"""),841)</f>
        <v>841</v>
      </c>
      <c r="K54" s="13">
        <f t="shared" ca="1" si="2"/>
        <v>0.88155136268343814</v>
      </c>
      <c r="L54" s="15">
        <f ca="1">IFERROR(__xludf.DUMMYFUNCTION("""COMPUTED_VALUE"""),314)</f>
        <v>314</v>
      </c>
      <c r="M54" s="13">
        <f t="shared" ca="1" si="3"/>
        <v>0.32914046121593293</v>
      </c>
      <c r="N54" s="15">
        <f ca="1">IFERROR(__xludf.DUMMYFUNCTION("""COMPUTED_VALUE"""),2688)</f>
        <v>2688</v>
      </c>
      <c r="O54" s="22">
        <f ca="1">IFERROR(__xludf.DUMMYFUNCTION("""COMPUTED_VALUE"""),742)</f>
        <v>742</v>
      </c>
      <c r="P54" s="13">
        <f t="shared" ca="1" si="4"/>
        <v>0.27604166666666669</v>
      </c>
      <c r="Q54" s="22">
        <f ca="1">IFERROR(__xludf.DUMMYFUNCTION("""COMPUTED_VALUE"""),575)</f>
        <v>575</v>
      </c>
      <c r="R54" s="13">
        <f t="shared" ca="1" si="5"/>
        <v>0.21391369047619047</v>
      </c>
      <c r="S54" s="22">
        <f ca="1">IFERROR(__xludf.DUMMYFUNCTION("""COMPUTED_VALUE"""),9814)</f>
        <v>9814</v>
      </c>
      <c r="T54" s="23">
        <f ca="1">IFERROR(__xludf.DUMMYFUNCTION("""COMPUTED_VALUE"""),9024)</f>
        <v>9024</v>
      </c>
      <c r="U54" s="13">
        <f t="shared" ca="1" si="6"/>
        <v>0.91950275117179536</v>
      </c>
      <c r="V54" s="22">
        <f ca="1">IFERROR(__xludf.DUMMYFUNCTION("""COMPUTED_VALUE"""),8814)</f>
        <v>8814</v>
      </c>
      <c r="W54" s="13">
        <f t="shared" ca="1" si="7"/>
        <v>0.89810474831872833</v>
      </c>
      <c r="X54" s="22">
        <f ca="1">IFERROR(__xludf.DUMMYFUNCTION("""COMPUTED_VALUE"""),2293)</f>
        <v>2293</v>
      </c>
      <c r="Y54" s="13">
        <f t="shared" ca="1" si="8"/>
        <v>0.23364581210515589</v>
      </c>
      <c r="Z54" s="2"/>
      <c r="AA54" s="2"/>
      <c r="AB54" s="2"/>
      <c r="AC54" s="2"/>
      <c r="AD54" s="2"/>
      <c r="AE54" s="2"/>
    </row>
    <row r="55" spans="1:31" ht="12.75" x14ac:dyDescent="0.2">
      <c r="A55" s="16">
        <f ca="1">IFERROR(__xludf.DUMMYFUNCTION("""COMPUTED_VALUE"""),1)</f>
        <v>1</v>
      </c>
      <c r="B55" s="14" t="str">
        <f ca="1">IFERROR(__xludf.DUMMYFUNCTION("""COMPUTED_VALUE"""),"Võ Trường Toản")</f>
        <v>Võ Trường Toản</v>
      </c>
      <c r="C55" s="14" t="str">
        <f ca="1">IFERROR(__xludf.DUMMYFUNCTION("""COMPUTED_VALUE"""),"THCS")</f>
        <v>THCS</v>
      </c>
      <c r="D55" s="14" t="str">
        <f ca="1">IFERROR(__xludf.DUMMYFUNCTION("""COMPUTED_VALUE"""),"Quận 1")</f>
        <v>Quận 1</v>
      </c>
      <c r="E55" s="17">
        <f ca="1">IFERROR(__xludf.DUMMYFUNCTION("""COMPUTED_VALUE"""),87)</f>
        <v>87</v>
      </c>
      <c r="F55" s="18">
        <f ca="1">IFERROR(__xludf.DUMMYFUNCTION("""COMPUTED_VALUE"""),87)</f>
        <v>87</v>
      </c>
      <c r="G55" s="13">
        <f t="shared" ca="1" si="0"/>
        <v>1</v>
      </c>
      <c r="H55" s="18">
        <f ca="1">IFERROR(__xludf.DUMMYFUNCTION("""COMPUTED_VALUE"""),87)</f>
        <v>87</v>
      </c>
      <c r="I55" s="13">
        <f t="shared" ca="1" si="1"/>
        <v>1</v>
      </c>
      <c r="J55" s="18">
        <f ca="1">IFERROR(__xludf.DUMMYFUNCTION("""COMPUTED_VALUE"""),83)</f>
        <v>83</v>
      </c>
      <c r="K55" s="13">
        <f t="shared" ca="1" si="2"/>
        <v>0.95402298850574707</v>
      </c>
      <c r="L55" s="18">
        <f ca="1">IFERROR(__xludf.DUMMYFUNCTION("""COMPUTED_VALUE"""),43)</f>
        <v>43</v>
      </c>
      <c r="M55" s="13">
        <f t="shared" ca="1" si="3"/>
        <v>0.4942528735632184</v>
      </c>
      <c r="N55" s="17">
        <f ca="1">IFERROR(__xludf.DUMMYFUNCTION("""COMPUTED_VALUE"""),114)</f>
        <v>114</v>
      </c>
      <c r="O55" s="19">
        <f ca="1">IFERROR(__xludf.DUMMYFUNCTION("""COMPUTED_VALUE"""),67)</f>
        <v>67</v>
      </c>
      <c r="P55" s="13">
        <f t="shared" ca="1" si="4"/>
        <v>0.58771929824561409</v>
      </c>
      <c r="Q55" s="19">
        <f ca="1">IFERROR(__xludf.DUMMYFUNCTION("""COMPUTED_VALUE"""),49)</f>
        <v>49</v>
      </c>
      <c r="R55" s="13">
        <f t="shared" ca="1" si="5"/>
        <v>0.42982456140350878</v>
      </c>
      <c r="S55" s="17">
        <f ca="1">IFERROR(__xludf.DUMMYFUNCTION("""COMPUTED_VALUE"""),1267)</f>
        <v>1267</v>
      </c>
      <c r="T55" s="14">
        <f ca="1">IFERROR(__xludf.DUMMYFUNCTION("""COMPUTED_VALUE"""),1153)</f>
        <v>1153</v>
      </c>
      <c r="U55" s="13">
        <f t="shared" ca="1" si="6"/>
        <v>0.91002367797947914</v>
      </c>
      <c r="V55" s="19">
        <f ca="1">IFERROR(__xludf.DUMMYFUNCTION("""COMPUTED_VALUE"""),1138)</f>
        <v>1138</v>
      </c>
      <c r="W55" s="13">
        <f t="shared" ca="1" si="7"/>
        <v>0.89818468823993691</v>
      </c>
      <c r="X55" s="19">
        <f ca="1">IFERROR(__xludf.DUMMYFUNCTION("""COMPUTED_VALUE"""),361)</f>
        <v>361</v>
      </c>
      <c r="Y55" s="13">
        <f t="shared" ca="1" si="8"/>
        <v>0.28492501973164958</v>
      </c>
      <c r="Z55" s="2"/>
      <c r="AA55" s="2"/>
      <c r="AB55" s="2"/>
      <c r="AC55" s="2"/>
      <c r="AD55" s="2"/>
      <c r="AE55" s="2"/>
    </row>
    <row r="56" spans="1:31" ht="12.75" x14ac:dyDescent="0.2">
      <c r="A56" s="16">
        <f ca="1">IFERROR(__xludf.DUMMYFUNCTION("""COMPUTED_VALUE"""),2)</f>
        <v>2</v>
      </c>
      <c r="B56" s="14" t="str">
        <f ca="1">IFERROR(__xludf.DUMMYFUNCTION("""COMPUTED_VALUE"""),"Trần Văn Ơn")</f>
        <v>Trần Văn Ơn</v>
      </c>
      <c r="C56" s="14" t="str">
        <f ca="1">IFERROR(__xludf.DUMMYFUNCTION("""COMPUTED_VALUE"""),"THCS")</f>
        <v>THCS</v>
      </c>
      <c r="D56" s="14" t="str">
        <f ca="1">IFERROR(__xludf.DUMMYFUNCTION("""COMPUTED_VALUE"""),"Quận 1")</f>
        <v>Quận 1</v>
      </c>
      <c r="E56" s="17">
        <f ca="1">IFERROR(__xludf.DUMMYFUNCTION("""COMPUTED_VALUE"""),105)</f>
        <v>105</v>
      </c>
      <c r="F56" s="18">
        <f ca="1">IFERROR(__xludf.DUMMYFUNCTION("""COMPUTED_VALUE"""),105)</f>
        <v>105</v>
      </c>
      <c r="G56" s="13">
        <f t="shared" ca="1" si="0"/>
        <v>1</v>
      </c>
      <c r="H56" s="18">
        <f ca="1">IFERROR(__xludf.DUMMYFUNCTION("""COMPUTED_VALUE"""),105)</f>
        <v>105</v>
      </c>
      <c r="I56" s="13">
        <f t="shared" ca="1" si="1"/>
        <v>1</v>
      </c>
      <c r="J56" s="18">
        <f ca="1">IFERROR(__xludf.DUMMYFUNCTION("""COMPUTED_VALUE"""),105)</f>
        <v>105</v>
      </c>
      <c r="K56" s="13">
        <f t="shared" ca="1" si="2"/>
        <v>1</v>
      </c>
      <c r="L56" s="18">
        <f ca="1">IFERROR(__xludf.DUMMYFUNCTION("""COMPUTED_VALUE"""),46)</f>
        <v>46</v>
      </c>
      <c r="M56" s="13">
        <f t="shared" ca="1" si="3"/>
        <v>0.43809523809523809</v>
      </c>
      <c r="N56" s="17">
        <f ca="1">IFERROR(__xludf.DUMMYFUNCTION("""COMPUTED_VALUE"""),200)</f>
        <v>200</v>
      </c>
      <c r="O56" s="19">
        <f ca="1">IFERROR(__xludf.DUMMYFUNCTION("""COMPUTED_VALUE"""),101)</f>
        <v>101</v>
      </c>
      <c r="P56" s="13">
        <f t="shared" ca="1" si="4"/>
        <v>0.505</v>
      </c>
      <c r="Q56" s="19">
        <f ca="1">IFERROR(__xludf.DUMMYFUNCTION("""COMPUTED_VALUE"""),78)</f>
        <v>78</v>
      </c>
      <c r="R56" s="13">
        <f t="shared" ca="1" si="5"/>
        <v>0.39</v>
      </c>
      <c r="S56" s="17">
        <f ca="1">IFERROR(__xludf.DUMMYFUNCTION("""COMPUTED_VALUE"""),2005)</f>
        <v>2005</v>
      </c>
      <c r="T56" s="14">
        <f ca="1">IFERROR(__xludf.DUMMYFUNCTION("""COMPUTED_VALUE"""),1903)</f>
        <v>1903</v>
      </c>
      <c r="U56" s="13">
        <f t="shared" ca="1" si="6"/>
        <v>0.94912718204488777</v>
      </c>
      <c r="V56" s="19">
        <f ca="1">IFERROR(__xludf.DUMMYFUNCTION("""COMPUTED_VALUE"""),1833)</f>
        <v>1833</v>
      </c>
      <c r="W56" s="13">
        <f t="shared" ca="1" si="7"/>
        <v>0.91421446384039895</v>
      </c>
      <c r="X56" s="19">
        <f ca="1">IFERROR(__xludf.DUMMYFUNCTION("""COMPUTED_VALUE"""),564)</f>
        <v>564</v>
      </c>
      <c r="Y56" s="13">
        <f t="shared" ca="1" si="8"/>
        <v>0.28129675810473814</v>
      </c>
      <c r="Z56" s="2"/>
      <c r="AA56" s="2"/>
      <c r="AB56" s="2"/>
      <c r="AC56" s="2"/>
      <c r="AD56" s="2"/>
      <c r="AE56" s="2"/>
    </row>
    <row r="57" spans="1:31" ht="12.75" x14ac:dyDescent="0.2">
      <c r="A57" s="16">
        <f ca="1">IFERROR(__xludf.DUMMYFUNCTION("""COMPUTED_VALUE"""),3)</f>
        <v>3</v>
      </c>
      <c r="B57" s="14" t="str">
        <f ca="1">IFERROR(__xludf.DUMMYFUNCTION("""COMPUTED_VALUE"""),"Đồng Khởi")</f>
        <v>Đồng Khởi</v>
      </c>
      <c r="C57" s="14" t="str">
        <f ca="1">IFERROR(__xludf.DUMMYFUNCTION("""COMPUTED_VALUE"""),"THCS")</f>
        <v>THCS</v>
      </c>
      <c r="D57" s="14" t="str">
        <f ca="1">IFERROR(__xludf.DUMMYFUNCTION("""COMPUTED_VALUE"""),"Quận 1")</f>
        <v>Quận 1</v>
      </c>
      <c r="E57" s="17">
        <f ca="1">IFERROR(__xludf.DUMMYFUNCTION("""COMPUTED_VALUE"""),63)</f>
        <v>63</v>
      </c>
      <c r="F57" s="18">
        <f ca="1">IFERROR(__xludf.DUMMYFUNCTION("""COMPUTED_VALUE"""),63)</f>
        <v>63</v>
      </c>
      <c r="G57" s="13">
        <f t="shared" ca="1" si="0"/>
        <v>1</v>
      </c>
      <c r="H57" s="18">
        <f ca="1">IFERROR(__xludf.DUMMYFUNCTION("""COMPUTED_VALUE"""),63)</f>
        <v>63</v>
      </c>
      <c r="I57" s="13">
        <f t="shared" ca="1" si="1"/>
        <v>1</v>
      </c>
      <c r="J57" s="18">
        <f ca="1">IFERROR(__xludf.DUMMYFUNCTION("""COMPUTED_VALUE"""),61)</f>
        <v>61</v>
      </c>
      <c r="K57" s="13">
        <f t="shared" ca="1" si="2"/>
        <v>0.96825396825396826</v>
      </c>
      <c r="L57" s="18">
        <f ca="1">IFERROR(__xludf.DUMMYFUNCTION("""COMPUTED_VALUE"""),9)</f>
        <v>9</v>
      </c>
      <c r="M57" s="13">
        <f t="shared" ca="1" si="3"/>
        <v>0.14285714285714285</v>
      </c>
      <c r="N57" s="17">
        <f ca="1">IFERROR(__xludf.DUMMYFUNCTION("""COMPUTED_VALUE"""),111)</f>
        <v>111</v>
      </c>
      <c r="O57" s="19">
        <f ca="1">IFERROR(__xludf.DUMMYFUNCTION("""COMPUTED_VALUE"""),73)</f>
        <v>73</v>
      </c>
      <c r="P57" s="13">
        <f t="shared" ca="1" si="4"/>
        <v>0.65765765765765771</v>
      </c>
      <c r="Q57" s="19">
        <f ca="1">IFERROR(__xludf.DUMMYFUNCTION("""COMPUTED_VALUE"""),34)</f>
        <v>34</v>
      </c>
      <c r="R57" s="13">
        <f t="shared" ca="1" si="5"/>
        <v>0.30630630630630629</v>
      </c>
      <c r="S57" s="17">
        <f ca="1">IFERROR(__xludf.DUMMYFUNCTION("""COMPUTED_VALUE"""),1010)</f>
        <v>1010</v>
      </c>
      <c r="T57" s="19">
        <f ca="1">IFERROR(__xludf.DUMMYFUNCTION("""COMPUTED_VALUE"""),953)</f>
        <v>953</v>
      </c>
      <c r="U57" s="13">
        <f t="shared" ca="1" si="6"/>
        <v>0.94356435643564351</v>
      </c>
      <c r="V57" s="19">
        <f ca="1">IFERROR(__xludf.DUMMYFUNCTION("""COMPUTED_VALUE"""),920)</f>
        <v>920</v>
      </c>
      <c r="W57" s="13">
        <f t="shared" ca="1" si="7"/>
        <v>0.91089108910891092</v>
      </c>
      <c r="X57" s="19">
        <f ca="1">IFERROR(__xludf.DUMMYFUNCTION("""COMPUTED_VALUE"""),246)</f>
        <v>246</v>
      </c>
      <c r="Y57" s="13">
        <f t="shared" ca="1" si="8"/>
        <v>0.24356435643564356</v>
      </c>
      <c r="Z57" s="2"/>
      <c r="AA57" s="2"/>
      <c r="AB57" s="2"/>
      <c r="AC57" s="2"/>
      <c r="AD57" s="2"/>
      <c r="AE57" s="2"/>
    </row>
    <row r="58" spans="1:31" ht="12.75" x14ac:dyDescent="0.2">
      <c r="A58" s="16">
        <f ca="1">IFERROR(__xludf.DUMMYFUNCTION("""COMPUTED_VALUE"""),4)</f>
        <v>4</v>
      </c>
      <c r="B58" s="14" t="str">
        <f ca="1">IFERROR(__xludf.DUMMYFUNCTION("""COMPUTED_VALUE"""),"Văn Lang")</f>
        <v>Văn Lang</v>
      </c>
      <c r="C58" s="14" t="str">
        <f ca="1">IFERROR(__xludf.DUMMYFUNCTION("""COMPUTED_VALUE"""),"THCS")</f>
        <v>THCS</v>
      </c>
      <c r="D58" s="14" t="str">
        <f ca="1">IFERROR(__xludf.DUMMYFUNCTION("""COMPUTED_VALUE"""),"Quận 1")</f>
        <v>Quận 1</v>
      </c>
      <c r="E58" s="17">
        <f ca="1">IFERROR(__xludf.DUMMYFUNCTION("""COMPUTED_VALUE"""),36)</f>
        <v>36</v>
      </c>
      <c r="F58" s="18">
        <f ca="1">IFERROR(__xludf.DUMMYFUNCTION("""COMPUTED_VALUE"""),36)</f>
        <v>36</v>
      </c>
      <c r="G58" s="13">
        <f t="shared" ca="1" si="0"/>
        <v>1</v>
      </c>
      <c r="H58" s="18">
        <f ca="1">IFERROR(__xludf.DUMMYFUNCTION("""COMPUTED_VALUE"""),36)</f>
        <v>36</v>
      </c>
      <c r="I58" s="13">
        <f t="shared" ca="1" si="1"/>
        <v>1</v>
      </c>
      <c r="J58" s="18">
        <f ca="1">IFERROR(__xludf.DUMMYFUNCTION("""COMPUTED_VALUE"""),30)</f>
        <v>30</v>
      </c>
      <c r="K58" s="13">
        <f t="shared" ca="1" si="2"/>
        <v>0.83333333333333337</v>
      </c>
      <c r="L58" s="18">
        <f ca="1">IFERROR(__xludf.DUMMYFUNCTION("""COMPUTED_VALUE"""),9)</f>
        <v>9</v>
      </c>
      <c r="M58" s="13">
        <f t="shared" ca="1" si="3"/>
        <v>0.25</v>
      </c>
      <c r="N58" s="17">
        <f ca="1">IFERROR(__xludf.DUMMYFUNCTION("""COMPUTED_VALUE"""),136)</f>
        <v>136</v>
      </c>
      <c r="O58" s="19">
        <f ca="1">IFERROR(__xludf.DUMMYFUNCTION("""COMPUTED_VALUE"""),44)</f>
        <v>44</v>
      </c>
      <c r="P58" s="13">
        <f t="shared" ca="1" si="4"/>
        <v>0.3235294117647059</v>
      </c>
      <c r="Q58" s="19">
        <f ca="1">IFERROR(__xludf.DUMMYFUNCTION("""COMPUTED_VALUE"""),63)</f>
        <v>63</v>
      </c>
      <c r="R58" s="13">
        <f t="shared" ca="1" si="5"/>
        <v>0.46323529411764708</v>
      </c>
      <c r="S58" s="17">
        <f ca="1">IFERROR(__xludf.DUMMYFUNCTION("""COMPUTED_VALUE"""),567)</f>
        <v>567</v>
      </c>
      <c r="T58" s="14">
        <f ca="1">IFERROR(__xludf.DUMMYFUNCTION("""COMPUTED_VALUE"""),535)</f>
        <v>535</v>
      </c>
      <c r="U58" s="13">
        <f t="shared" ca="1" si="6"/>
        <v>0.9435626102292769</v>
      </c>
      <c r="V58" s="19">
        <f ca="1">IFERROR(__xludf.DUMMYFUNCTION("""COMPUTED_VALUE"""),544)</f>
        <v>544</v>
      </c>
      <c r="W58" s="13">
        <f t="shared" ca="1" si="7"/>
        <v>0.95943562610229272</v>
      </c>
      <c r="X58" s="19">
        <f ca="1">IFERROR(__xludf.DUMMYFUNCTION("""COMPUTED_VALUE"""),109)</f>
        <v>109</v>
      </c>
      <c r="Y58" s="13">
        <f t="shared" ca="1" si="8"/>
        <v>0.19223985890652556</v>
      </c>
      <c r="Z58" s="2"/>
      <c r="AA58" s="2"/>
      <c r="AB58" s="2"/>
      <c r="AC58" s="2"/>
      <c r="AD58" s="2"/>
      <c r="AE58" s="2"/>
    </row>
    <row r="59" spans="1:31" ht="12.75" x14ac:dyDescent="0.2">
      <c r="A59" s="16">
        <f ca="1">IFERROR(__xludf.DUMMYFUNCTION("""COMPUTED_VALUE"""),5)</f>
        <v>5</v>
      </c>
      <c r="B59" s="14" t="str">
        <f ca="1">IFERROR(__xludf.DUMMYFUNCTION("""COMPUTED_VALUE"""),"Chu Văn An")</f>
        <v>Chu Văn An</v>
      </c>
      <c r="C59" s="14" t="str">
        <f ca="1">IFERROR(__xludf.DUMMYFUNCTION("""COMPUTED_VALUE"""),"THCS")</f>
        <v>THCS</v>
      </c>
      <c r="D59" s="14" t="str">
        <f ca="1">IFERROR(__xludf.DUMMYFUNCTION("""COMPUTED_VALUE"""),"Quận 1")</f>
        <v>Quận 1</v>
      </c>
      <c r="E59" s="17">
        <f ca="1">IFERROR(__xludf.DUMMYFUNCTION("""COMPUTED_VALUE"""),84)</f>
        <v>84</v>
      </c>
      <c r="F59" s="18">
        <f ca="1">IFERROR(__xludf.DUMMYFUNCTION("""COMPUTED_VALUE"""),84)</f>
        <v>84</v>
      </c>
      <c r="G59" s="13">
        <f t="shared" ca="1" si="0"/>
        <v>1</v>
      </c>
      <c r="H59" s="18">
        <f ca="1">IFERROR(__xludf.DUMMYFUNCTION("""COMPUTED_VALUE"""),82)</f>
        <v>82</v>
      </c>
      <c r="I59" s="13">
        <f t="shared" ca="1" si="1"/>
        <v>0.97619047619047616</v>
      </c>
      <c r="J59" s="18">
        <f ca="1">IFERROR(__xludf.DUMMYFUNCTION("""COMPUTED_VALUE"""),74)</f>
        <v>74</v>
      </c>
      <c r="K59" s="13">
        <f t="shared" ca="1" si="2"/>
        <v>0.88095238095238093</v>
      </c>
      <c r="L59" s="18">
        <f ca="1">IFERROR(__xludf.DUMMYFUNCTION("""COMPUTED_VALUE"""),32)</f>
        <v>32</v>
      </c>
      <c r="M59" s="13">
        <f t="shared" ca="1" si="3"/>
        <v>0.38095238095238093</v>
      </c>
      <c r="N59" s="17">
        <f ca="1">IFERROR(__xludf.DUMMYFUNCTION("""COMPUTED_VALUE"""),75)</f>
        <v>75</v>
      </c>
      <c r="O59" s="19">
        <f ca="1">IFERROR(__xludf.DUMMYFUNCTION("""COMPUTED_VALUE"""),55)</f>
        <v>55</v>
      </c>
      <c r="P59" s="13">
        <f t="shared" ca="1" si="4"/>
        <v>0.73333333333333328</v>
      </c>
      <c r="Q59" s="19">
        <f ca="1">IFERROR(__xludf.DUMMYFUNCTION("""COMPUTED_VALUE"""),48)</f>
        <v>48</v>
      </c>
      <c r="R59" s="13">
        <f t="shared" ca="1" si="5"/>
        <v>0.64</v>
      </c>
      <c r="S59" s="17">
        <f ca="1">IFERROR(__xludf.DUMMYFUNCTION("""COMPUTED_VALUE"""),961)</f>
        <v>961</v>
      </c>
      <c r="T59" s="19">
        <f ca="1">IFERROR(__xludf.DUMMYFUNCTION("""COMPUTED_VALUE"""),837)</f>
        <v>837</v>
      </c>
      <c r="U59" s="13">
        <f t="shared" ca="1" si="6"/>
        <v>0.87096774193548387</v>
      </c>
      <c r="V59" s="19">
        <f ca="1">IFERROR(__xludf.DUMMYFUNCTION("""COMPUTED_VALUE"""),785)</f>
        <v>785</v>
      </c>
      <c r="W59" s="13">
        <f t="shared" ca="1" si="7"/>
        <v>0.8168574401664932</v>
      </c>
      <c r="X59" s="19">
        <f ca="1">IFERROR(__xludf.DUMMYFUNCTION("""COMPUTED_VALUE"""),250)</f>
        <v>250</v>
      </c>
      <c r="Y59" s="13">
        <f t="shared" ca="1" si="8"/>
        <v>0.26014568158168572</v>
      </c>
      <c r="Z59" s="2"/>
      <c r="AA59" s="2"/>
      <c r="AB59" s="2"/>
      <c r="AC59" s="2"/>
      <c r="AD59" s="2"/>
      <c r="AE59" s="2"/>
    </row>
    <row r="60" spans="1:31" ht="12.75" x14ac:dyDescent="0.2">
      <c r="A60" s="16">
        <f ca="1">IFERROR(__xludf.DUMMYFUNCTION("""COMPUTED_VALUE"""),6)</f>
        <v>6</v>
      </c>
      <c r="B60" s="14" t="str">
        <f ca="1">IFERROR(__xludf.DUMMYFUNCTION("""COMPUTED_VALUE"""),"Huỳnh Khương Ninh")</f>
        <v>Huỳnh Khương Ninh</v>
      </c>
      <c r="C60" s="14" t="str">
        <f ca="1">IFERROR(__xludf.DUMMYFUNCTION("""COMPUTED_VALUE"""),"THCS")</f>
        <v>THCS</v>
      </c>
      <c r="D60" s="14" t="str">
        <f ca="1">IFERROR(__xludf.DUMMYFUNCTION("""COMPUTED_VALUE"""),"Quận 1")</f>
        <v>Quận 1</v>
      </c>
      <c r="E60" s="17">
        <f ca="1">IFERROR(__xludf.DUMMYFUNCTION("""COMPUTED_VALUE"""),45)</f>
        <v>45</v>
      </c>
      <c r="F60" s="18">
        <f ca="1">IFERROR(__xludf.DUMMYFUNCTION("""COMPUTED_VALUE"""),45)</f>
        <v>45</v>
      </c>
      <c r="G60" s="13">
        <f t="shared" ca="1" si="0"/>
        <v>1</v>
      </c>
      <c r="H60" s="18">
        <f ca="1">IFERROR(__xludf.DUMMYFUNCTION("""COMPUTED_VALUE"""),45)</f>
        <v>45</v>
      </c>
      <c r="I60" s="13">
        <f t="shared" ca="1" si="1"/>
        <v>1</v>
      </c>
      <c r="J60" s="18">
        <f ca="1">IFERROR(__xludf.DUMMYFUNCTION("""COMPUTED_VALUE"""),38)</f>
        <v>38</v>
      </c>
      <c r="K60" s="13">
        <f t="shared" ca="1" si="2"/>
        <v>0.84444444444444444</v>
      </c>
      <c r="L60" s="18">
        <f ca="1">IFERROR(__xludf.DUMMYFUNCTION("""COMPUTED_VALUE"""),19)</f>
        <v>19</v>
      </c>
      <c r="M60" s="13">
        <f t="shared" ca="1" si="3"/>
        <v>0.42222222222222222</v>
      </c>
      <c r="N60" s="17">
        <f ca="1">IFERROR(__xludf.DUMMYFUNCTION("""COMPUTED_VALUE"""),55)</f>
        <v>55</v>
      </c>
      <c r="O60" s="19">
        <f ca="1">IFERROR(__xludf.DUMMYFUNCTION("""COMPUTED_VALUE"""),41)</f>
        <v>41</v>
      </c>
      <c r="P60" s="13">
        <f t="shared" ca="1" si="4"/>
        <v>0.74545454545454548</v>
      </c>
      <c r="Q60" s="19">
        <f ca="1">IFERROR(__xludf.DUMMYFUNCTION("""COMPUTED_VALUE"""),35)</f>
        <v>35</v>
      </c>
      <c r="R60" s="13">
        <f t="shared" ca="1" si="5"/>
        <v>0.63636363636363635</v>
      </c>
      <c r="S60" s="17">
        <f ca="1">IFERROR(__xludf.DUMMYFUNCTION("""COMPUTED_VALUE"""),591)</f>
        <v>591</v>
      </c>
      <c r="T60" s="19">
        <f ca="1">IFERROR(__xludf.DUMMYFUNCTION("""COMPUTED_VALUE"""),522)</f>
        <v>522</v>
      </c>
      <c r="U60" s="13">
        <f t="shared" ca="1" si="6"/>
        <v>0.88324873096446699</v>
      </c>
      <c r="V60" s="19">
        <f ca="1">IFERROR(__xludf.DUMMYFUNCTION("""COMPUTED_VALUE"""),522)</f>
        <v>522</v>
      </c>
      <c r="W60" s="13">
        <f t="shared" ca="1" si="7"/>
        <v>0.88324873096446699</v>
      </c>
      <c r="X60" s="19">
        <f ca="1">IFERROR(__xludf.DUMMYFUNCTION("""COMPUTED_VALUE"""),125)</f>
        <v>125</v>
      </c>
      <c r="Y60" s="13">
        <f t="shared" ca="1" si="8"/>
        <v>0.21150592216582065</v>
      </c>
      <c r="Z60" s="2"/>
      <c r="AA60" s="2"/>
      <c r="AB60" s="2"/>
      <c r="AC60" s="2"/>
      <c r="AD60" s="2"/>
      <c r="AE60" s="2"/>
    </row>
    <row r="61" spans="1:31" ht="12.75" x14ac:dyDescent="0.2">
      <c r="A61" s="16">
        <f ca="1">IFERROR(__xludf.DUMMYFUNCTION("""COMPUTED_VALUE"""),7)</f>
        <v>7</v>
      </c>
      <c r="B61" s="14" t="str">
        <f ca="1">IFERROR(__xludf.DUMMYFUNCTION("""COMPUTED_VALUE"""),"Nguyễn Du")</f>
        <v>Nguyễn Du</v>
      </c>
      <c r="C61" s="14" t="str">
        <f ca="1">IFERROR(__xludf.DUMMYFUNCTION("""COMPUTED_VALUE"""),"THCS")</f>
        <v>THCS</v>
      </c>
      <c r="D61" s="14" t="str">
        <f ca="1">IFERROR(__xludf.DUMMYFUNCTION("""COMPUTED_VALUE"""),"Quận 1")</f>
        <v>Quận 1</v>
      </c>
      <c r="E61" s="17">
        <f ca="1">IFERROR(__xludf.DUMMYFUNCTION("""COMPUTED_VALUE"""),53)</f>
        <v>53</v>
      </c>
      <c r="F61" s="18">
        <f ca="1">IFERROR(__xludf.DUMMYFUNCTION("""COMPUTED_VALUE"""),53)</f>
        <v>53</v>
      </c>
      <c r="G61" s="13">
        <f t="shared" ca="1" si="0"/>
        <v>1</v>
      </c>
      <c r="H61" s="18">
        <f ca="1">IFERROR(__xludf.DUMMYFUNCTION("""COMPUTED_VALUE"""),53)</f>
        <v>53</v>
      </c>
      <c r="I61" s="13">
        <f t="shared" ca="1" si="1"/>
        <v>1</v>
      </c>
      <c r="J61" s="18">
        <f ca="1">IFERROR(__xludf.DUMMYFUNCTION("""COMPUTED_VALUE"""),48)</f>
        <v>48</v>
      </c>
      <c r="K61" s="13">
        <f t="shared" ca="1" si="2"/>
        <v>0.90566037735849059</v>
      </c>
      <c r="L61" s="18">
        <f ca="1">IFERROR(__xludf.DUMMYFUNCTION("""COMPUTED_VALUE"""),4)</f>
        <v>4</v>
      </c>
      <c r="M61" s="13">
        <f t="shared" ca="1" si="3"/>
        <v>7.5471698113207544E-2</v>
      </c>
      <c r="N61" s="17">
        <f ca="1">IFERROR(__xludf.DUMMYFUNCTION("""COMPUTED_VALUE"""),109)</f>
        <v>109</v>
      </c>
      <c r="O61" s="19">
        <f ca="1">IFERROR(__xludf.DUMMYFUNCTION("""COMPUTED_VALUE"""),28)</f>
        <v>28</v>
      </c>
      <c r="P61" s="13">
        <f t="shared" ca="1" si="4"/>
        <v>0.25688073394495414</v>
      </c>
      <c r="Q61" s="19">
        <f ca="1">IFERROR(__xludf.DUMMYFUNCTION("""COMPUTED_VALUE"""),9)</f>
        <v>9</v>
      </c>
      <c r="R61" s="13">
        <f t="shared" ca="1" si="5"/>
        <v>8.2568807339449546E-2</v>
      </c>
      <c r="S61" s="17">
        <f ca="1">IFERROR(__xludf.DUMMYFUNCTION("""COMPUTED_VALUE"""),821)</f>
        <v>821</v>
      </c>
      <c r="T61" s="14">
        <f ca="1">IFERROR(__xludf.DUMMYFUNCTION("""COMPUTED_VALUE"""),736)</f>
        <v>736</v>
      </c>
      <c r="U61" s="13">
        <f t="shared" ca="1" si="6"/>
        <v>0.89646772228989036</v>
      </c>
      <c r="V61" s="19">
        <f ca="1">IFERROR(__xludf.DUMMYFUNCTION("""COMPUTED_VALUE"""),732)</f>
        <v>732</v>
      </c>
      <c r="W61" s="13">
        <f t="shared" ca="1" si="7"/>
        <v>0.89159561510353225</v>
      </c>
      <c r="X61" s="19">
        <f ca="1">IFERROR(__xludf.DUMMYFUNCTION("""COMPUTED_VALUE"""),74)</f>
        <v>74</v>
      </c>
      <c r="Y61" s="13">
        <f t="shared" ca="1" si="8"/>
        <v>9.0133982947624841E-2</v>
      </c>
      <c r="Z61" s="2"/>
      <c r="AA61" s="2"/>
      <c r="AB61" s="2"/>
      <c r="AC61" s="2"/>
      <c r="AD61" s="2"/>
      <c r="AE61" s="2"/>
    </row>
    <row r="62" spans="1:31" ht="12.75" x14ac:dyDescent="0.2">
      <c r="A62" s="16">
        <f ca="1">IFERROR(__xludf.DUMMYFUNCTION("""COMPUTED_VALUE"""),8)</f>
        <v>8</v>
      </c>
      <c r="B62" s="14" t="str">
        <f ca="1">IFERROR(__xludf.DUMMYFUNCTION("""COMPUTED_VALUE"""),"Minh Đức")</f>
        <v>Minh Đức</v>
      </c>
      <c r="C62" s="14" t="str">
        <f ca="1">IFERROR(__xludf.DUMMYFUNCTION("""COMPUTED_VALUE"""),"THCS")</f>
        <v>THCS</v>
      </c>
      <c r="D62" s="14" t="str">
        <f ca="1">IFERROR(__xludf.DUMMYFUNCTION("""COMPUTED_VALUE"""),"Quận 1")</f>
        <v>Quận 1</v>
      </c>
      <c r="E62" s="17">
        <f ca="1">IFERROR(__xludf.DUMMYFUNCTION("""COMPUTED_VALUE"""),85)</f>
        <v>85</v>
      </c>
      <c r="F62" s="18">
        <f ca="1">IFERROR(__xludf.DUMMYFUNCTION("""COMPUTED_VALUE"""),85)</f>
        <v>85</v>
      </c>
      <c r="G62" s="13">
        <f t="shared" ca="1" si="0"/>
        <v>1</v>
      </c>
      <c r="H62" s="18">
        <f ca="1">IFERROR(__xludf.DUMMYFUNCTION("""COMPUTED_VALUE"""),85)</f>
        <v>85</v>
      </c>
      <c r="I62" s="13">
        <f t="shared" ca="1" si="1"/>
        <v>1</v>
      </c>
      <c r="J62" s="18">
        <f ca="1">IFERROR(__xludf.DUMMYFUNCTION("""COMPUTED_VALUE"""),84)</f>
        <v>84</v>
      </c>
      <c r="K62" s="13">
        <f t="shared" ca="1" si="2"/>
        <v>0.9882352941176471</v>
      </c>
      <c r="L62" s="18">
        <f ca="1">IFERROR(__xludf.DUMMYFUNCTION("""COMPUTED_VALUE"""),16)</f>
        <v>16</v>
      </c>
      <c r="M62" s="13">
        <f t="shared" ca="1" si="3"/>
        <v>0.18823529411764706</v>
      </c>
      <c r="N62" s="17">
        <f ca="1">IFERROR(__xludf.DUMMYFUNCTION("""COMPUTED_VALUE"""),538)</f>
        <v>538</v>
      </c>
      <c r="O62" s="19">
        <f ca="1">IFERROR(__xludf.DUMMYFUNCTION("""COMPUTED_VALUE"""),184)</f>
        <v>184</v>
      </c>
      <c r="P62" s="13">
        <f t="shared" ca="1" si="4"/>
        <v>0.34200743494423791</v>
      </c>
      <c r="Q62" s="19">
        <f ca="1">IFERROR(__xludf.DUMMYFUNCTION("""COMPUTED_VALUE"""),143)</f>
        <v>143</v>
      </c>
      <c r="R62" s="13">
        <f t="shared" ca="1" si="5"/>
        <v>0.26579925650557623</v>
      </c>
      <c r="S62" s="17">
        <f ca="1">IFERROR(__xludf.DUMMYFUNCTION("""COMPUTED_VALUE"""),1118)</f>
        <v>1118</v>
      </c>
      <c r="T62" s="14">
        <f ca="1">IFERROR(__xludf.DUMMYFUNCTION("""COMPUTED_VALUE"""),969)</f>
        <v>969</v>
      </c>
      <c r="U62" s="13">
        <f t="shared" ca="1" si="6"/>
        <v>0.86672629695885506</v>
      </c>
      <c r="V62" s="19">
        <f ca="1">IFERROR(__xludf.DUMMYFUNCTION("""COMPUTED_VALUE"""),967)</f>
        <v>967</v>
      </c>
      <c r="W62" s="13">
        <f t="shared" ca="1" si="7"/>
        <v>0.86493738819320209</v>
      </c>
      <c r="X62" s="19">
        <f ca="1">IFERROR(__xludf.DUMMYFUNCTION("""COMPUTED_VALUE"""),216)</f>
        <v>216</v>
      </c>
      <c r="Y62" s="13">
        <f t="shared" ca="1" si="8"/>
        <v>0.19320214669051877</v>
      </c>
      <c r="Z62" s="2"/>
      <c r="AA62" s="2"/>
      <c r="AB62" s="2"/>
      <c r="AC62" s="2"/>
      <c r="AD62" s="2"/>
      <c r="AE62" s="2"/>
    </row>
    <row r="63" spans="1:31" ht="12.75" x14ac:dyDescent="0.2">
      <c r="A63" s="16">
        <f ca="1">IFERROR(__xludf.DUMMYFUNCTION("""COMPUTED_VALUE"""),9)</f>
        <v>9</v>
      </c>
      <c r="B63" s="14" t="str">
        <f ca="1">IFERROR(__xludf.DUMMYFUNCTION("""COMPUTED_VALUE"""),"Đức Trí")</f>
        <v>Đức Trí</v>
      </c>
      <c r="C63" s="14" t="str">
        <f ca="1">IFERROR(__xludf.DUMMYFUNCTION("""COMPUTED_VALUE"""),"THCS")</f>
        <v>THCS</v>
      </c>
      <c r="D63" s="14" t="str">
        <f ca="1">IFERROR(__xludf.DUMMYFUNCTION("""COMPUTED_VALUE"""),"Quận 1")</f>
        <v>Quận 1</v>
      </c>
      <c r="E63" s="17">
        <f ca="1">IFERROR(__xludf.DUMMYFUNCTION("""COMPUTED_VALUE"""),71)</f>
        <v>71</v>
      </c>
      <c r="F63" s="18">
        <f ca="1">IFERROR(__xludf.DUMMYFUNCTION("""COMPUTED_VALUE"""),71)</f>
        <v>71</v>
      </c>
      <c r="G63" s="13">
        <f t="shared" ca="1" si="0"/>
        <v>1</v>
      </c>
      <c r="H63" s="18">
        <f ca="1">IFERROR(__xludf.DUMMYFUNCTION("""COMPUTED_VALUE"""),71)</f>
        <v>71</v>
      </c>
      <c r="I63" s="13">
        <f t="shared" ca="1" si="1"/>
        <v>1</v>
      </c>
      <c r="J63" s="18">
        <f ca="1">IFERROR(__xludf.DUMMYFUNCTION("""COMPUTED_VALUE"""),68)</f>
        <v>68</v>
      </c>
      <c r="K63" s="13">
        <f t="shared" ca="1" si="2"/>
        <v>0.95774647887323938</v>
      </c>
      <c r="L63" s="18">
        <f ca="1">IFERROR(__xludf.DUMMYFUNCTION("""COMPUTED_VALUE"""),29)</f>
        <v>29</v>
      </c>
      <c r="M63" s="13">
        <f t="shared" ca="1" si="3"/>
        <v>0.40845070422535212</v>
      </c>
      <c r="N63" s="17">
        <f ca="1">IFERROR(__xludf.DUMMYFUNCTION("""COMPUTED_VALUE"""),348)</f>
        <v>348</v>
      </c>
      <c r="O63" s="19">
        <f ca="1">IFERROR(__xludf.DUMMYFUNCTION("""COMPUTED_VALUE"""),73)</f>
        <v>73</v>
      </c>
      <c r="P63" s="13">
        <f t="shared" ca="1" si="4"/>
        <v>0.20977011494252873</v>
      </c>
      <c r="Q63" s="19">
        <f ca="1">IFERROR(__xludf.DUMMYFUNCTION("""COMPUTED_VALUE"""),45)</f>
        <v>45</v>
      </c>
      <c r="R63" s="13">
        <f t="shared" ca="1" si="5"/>
        <v>0.12931034482758622</v>
      </c>
      <c r="S63" s="17">
        <f ca="1">IFERROR(__xludf.DUMMYFUNCTION("""COMPUTED_VALUE"""),680)</f>
        <v>680</v>
      </c>
      <c r="T63" s="19">
        <f ca="1">IFERROR(__xludf.DUMMYFUNCTION("""COMPUTED_VALUE"""),659)</f>
        <v>659</v>
      </c>
      <c r="U63" s="13">
        <f t="shared" ca="1" si="6"/>
        <v>0.96911764705882353</v>
      </c>
      <c r="V63" s="19">
        <f ca="1">IFERROR(__xludf.DUMMYFUNCTION("""COMPUTED_VALUE"""),638)</f>
        <v>638</v>
      </c>
      <c r="W63" s="13">
        <f t="shared" ca="1" si="7"/>
        <v>0.93823529411764706</v>
      </c>
      <c r="X63" s="19">
        <f ca="1">IFERROR(__xludf.DUMMYFUNCTION("""COMPUTED_VALUE"""),203)</f>
        <v>203</v>
      </c>
      <c r="Y63" s="13">
        <f t="shared" ca="1" si="8"/>
        <v>0.29852941176470588</v>
      </c>
      <c r="Z63" s="2"/>
      <c r="AA63" s="2"/>
      <c r="AB63" s="2"/>
      <c r="AC63" s="2"/>
      <c r="AD63" s="2"/>
      <c r="AE63" s="2"/>
    </row>
    <row r="64" spans="1:31" ht="12.75" x14ac:dyDescent="0.2">
      <c r="A64" s="16">
        <f ca="1">IFERROR(__xludf.DUMMYFUNCTION("""COMPUTED_VALUE"""),10)</f>
        <v>10</v>
      </c>
      <c r="B64" s="14" t="str">
        <f ca="1">IFERROR(__xludf.DUMMYFUNCTION("""COMPUTED_VALUE"""),"Trường THCS &amp; THPT Quốc tế Á Châu")</f>
        <v>Trường THCS &amp; THPT Quốc tế Á Châu</v>
      </c>
      <c r="C64" s="14" t="str">
        <f ca="1">IFERROR(__xludf.DUMMYFUNCTION("""COMPUTED_VALUE"""),"THCS")</f>
        <v>THCS</v>
      </c>
      <c r="D64" s="14" t="str">
        <f ca="1">IFERROR(__xludf.DUMMYFUNCTION("""COMPUTED_VALUE"""),"Quận 1")</f>
        <v>Quận 1</v>
      </c>
      <c r="E64" s="17">
        <f ca="1">IFERROR(__xludf.DUMMYFUNCTION("""COMPUTED_VALUE"""),151)</f>
        <v>151</v>
      </c>
      <c r="F64" s="18">
        <f ca="1">IFERROR(__xludf.DUMMYFUNCTION("""COMPUTED_VALUE"""),151)</f>
        <v>151</v>
      </c>
      <c r="G64" s="13">
        <f t="shared" ca="1" si="0"/>
        <v>1</v>
      </c>
      <c r="H64" s="18">
        <f ca="1">IFERROR(__xludf.DUMMYFUNCTION("""COMPUTED_VALUE"""),151)</f>
        <v>151</v>
      </c>
      <c r="I64" s="13">
        <f t="shared" ca="1" si="1"/>
        <v>1</v>
      </c>
      <c r="J64" s="18">
        <f ca="1">IFERROR(__xludf.DUMMYFUNCTION("""COMPUTED_VALUE"""),141)</f>
        <v>141</v>
      </c>
      <c r="K64" s="13">
        <f t="shared" ca="1" si="2"/>
        <v>0.93377483443708609</v>
      </c>
      <c r="L64" s="18">
        <f ca="1">IFERROR(__xludf.DUMMYFUNCTION("""COMPUTED_VALUE"""),80)</f>
        <v>80</v>
      </c>
      <c r="M64" s="13">
        <f t="shared" ca="1" si="3"/>
        <v>0.5298013245033113</v>
      </c>
      <c r="N64" s="17">
        <f ca="1">IFERROR(__xludf.DUMMYFUNCTION("""COMPUTED_VALUE"""),79)</f>
        <v>79</v>
      </c>
      <c r="O64" s="19">
        <f ca="1">IFERROR(__xludf.DUMMYFUNCTION("""COMPUTED_VALUE"""),36)</f>
        <v>36</v>
      </c>
      <c r="P64" s="13">
        <f t="shared" ca="1" si="4"/>
        <v>0.45569620253164556</v>
      </c>
      <c r="Q64" s="19">
        <f ca="1">IFERROR(__xludf.DUMMYFUNCTION("""COMPUTED_VALUE"""),15)</f>
        <v>15</v>
      </c>
      <c r="R64" s="13">
        <f t="shared" ca="1" si="5"/>
        <v>0.189873417721519</v>
      </c>
      <c r="S64" s="17">
        <f ca="1">IFERROR(__xludf.DUMMYFUNCTION("""COMPUTED_VALUE"""),371)</f>
        <v>371</v>
      </c>
      <c r="T64" s="14">
        <f ca="1">IFERROR(__xludf.DUMMYFUNCTION("""COMPUTED_VALUE"""),344)</f>
        <v>344</v>
      </c>
      <c r="U64" s="13">
        <f t="shared" ca="1" si="6"/>
        <v>0.92722371967654982</v>
      </c>
      <c r="V64" s="19">
        <f ca="1">IFERROR(__xludf.DUMMYFUNCTION("""COMPUTED_VALUE"""),335)</f>
        <v>335</v>
      </c>
      <c r="W64" s="13">
        <f t="shared" ca="1" si="7"/>
        <v>0.90296495956873313</v>
      </c>
      <c r="X64" s="19">
        <f ca="1">IFERROR(__xludf.DUMMYFUNCTION("""COMPUTED_VALUE"""),135)</f>
        <v>135</v>
      </c>
      <c r="Y64" s="13">
        <f t="shared" ca="1" si="8"/>
        <v>0.36388140161725069</v>
      </c>
      <c r="Z64" s="2"/>
      <c r="AA64" s="2"/>
      <c r="AB64" s="2"/>
      <c r="AC64" s="2"/>
      <c r="AD64" s="2"/>
      <c r="AE64" s="2"/>
    </row>
    <row r="65" spans="1:31" ht="12.75" x14ac:dyDescent="0.2">
      <c r="A65" s="16">
        <f ca="1">IFERROR(__xludf.DUMMYFUNCTION("""COMPUTED_VALUE"""),11)</f>
        <v>11</v>
      </c>
      <c r="B65" s="14" t="str">
        <f ca="1">IFERROR(__xludf.DUMMYFUNCTION("""COMPUTED_VALUE"""),"Trường TH, THCS &amp; THPT Vinschool")</f>
        <v>Trường TH, THCS &amp; THPT Vinschool</v>
      </c>
      <c r="C65" s="14"/>
      <c r="D65" s="14" t="str">
        <f ca="1">IFERROR(__xludf.DUMMYFUNCTION("""COMPUTED_VALUE"""),"Quận 1")</f>
        <v>Quận 1</v>
      </c>
      <c r="E65" s="20">
        <f ca="1">IFERROR(__xludf.DUMMYFUNCTION("""COMPUTED_VALUE"""),174)</f>
        <v>174</v>
      </c>
      <c r="F65" s="21">
        <f ca="1">IFERROR(__xludf.DUMMYFUNCTION("""COMPUTED_VALUE"""),174)</f>
        <v>174</v>
      </c>
      <c r="G65" s="13">
        <f t="shared" ca="1" si="0"/>
        <v>1</v>
      </c>
      <c r="H65" s="21">
        <f ca="1">IFERROR(__xludf.DUMMYFUNCTION("""COMPUTED_VALUE"""),174)</f>
        <v>174</v>
      </c>
      <c r="I65" s="13">
        <f t="shared" ca="1" si="1"/>
        <v>1</v>
      </c>
      <c r="J65" s="21">
        <f ca="1">IFERROR(__xludf.DUMMYFUNCTION("""COMPUTED_VALUE"""),109)</f>
        <v>109</v>
      </c>
      <c r="K65" s="13">
        <f t="shared" ca="1" si="2"/>
        <v>0.62643678160919536</v>
      </c>
      <c r="L65" s="21">
        <f ca="1">IFERROR(__xludf.DUMMYFUNCTION("""COMPUTED_VALUE"""),27)</f>
        <v>27</v>
      </c>
      <c r="M65" s="13">
        <f t="shared" ca="1" si="3"/>
        <v>0.15517241379310345</v>
      </c>
      <c r="N65" s="17">
        <f ca="1">IFERROR(__xludf.DUMMYFUNCTION("""COMPUTED_VALUE"""),923)</f>
        <v>923</v>
      </c>
      <c r="O65" s="19">
        <f ca="1">IFERROR(__xludf.DUMMYFUNCTION("""COMPUTED_VALUE"""),40)</f>
        <v>40</v>
      </c>
      <c r="P65" s="13">
        <f t="shared" ca="1" si="4"/>
        <v>4.3336944745395449E-2</v>
      </c>
      <c r="Q65" s="19">
        <f ca="1">IFERROR(__xludf.DUMMYFUNCTION("""COMPUTED_VALUE"""),56)</f>
        <v>56</v>
      </c>
      <c r="R65" s="13">
        <f t="shared" ca="1" si="5"/>
        <v>6.0671722643553631E-2</v>
      </c>
      <c r="S65" s="17">
        <f ca="1">IFERROR(__xludf.DUMMYFUNCTION("""COMPUTED_VALUE"""),423)</f>
        <v>423</v>
      </c>
      <c r="T65" s="14">
        <f ca="1">IFERROR(__xludf.DUMMYFUNCTION("""COMPUTED_VALUE"""),413)</f>
        <v>413</v>
      </c>
      <c r="U65" s="13">
        <f t="shared" ca="1" si="6"/>
        <v>0.97635933806146569</v>
      </c>
      <c r="V65" s="19">
        <f ca="1">IFERROR(__xludf.DUMMYFUNCTION("""COMPUTED_VALUE"""),400)</f>
        <v>400</v>
      </c>
      <c r="W65" s="13">
        <f t="shared" ca="1" si="7"/>
        <v>0.94562647754137119</v>
      </c>
      <c r="X65" s="19">
        <f ca="1">IFERROR(__xludf.DUMMYFUNCTION("""COMPUTED_VALUE"""),10)</f>
        <v>10</v>
      </c>
      <c r="Y65" s="13">
        <f t="shared" ca="1" si="8"/>
        <v>2.3640661938534278E-2</v>
      </c>
      <c r="Z65" s="2"/>
      <c r="AA65" s="2"/>
      <c r="AB65" s="2"/>
      <c r="AC65" s="2"/>
      <c r="AD65" s="2"/>
      <c r="AE65" s="2"/>
    </row>
    <row r="66" spans="1:31" ht="12.75" x14ac:dyDescent="0.2">
      <c r="A66" s="86" t="str">
        <f ca="1">IFERROR(__xludf.DUMMYFUNCTION("""COMPUTED_VALUE"""),"THPT")</f>
        <v>THPT</v>
      </c>
      <c r="B66" s="87"/>
      <c r="C66" s="88"/>
      <c r="D66" s="14"/>
      <c r="E66" s="15">
        <f ca="1">IFERROR(__xludf.DUMMYFUNCTION("""COMPUTED_VALUE"""),874)</f>
        <v>874</v>
      </c>
      <c r="F66" s="15">
        <f ca="1">IFERROR(__xludf.DUMMYFUNCTION("""COMPUTED_VALUE"""),874)</f>
        <v>874</v>
      </c>
      <c r="G66" s="13">
        <f t="shared" ca="1" si="0"/>
        <v>1</v>
      </c>
      <c r="H66" s="15">
        <f ca="1">IFERROR(__xludf.DUMMYFUNCTION("""COMPUTED_VALUE"""),874)</f>
        <v>874</v>
      </c>
      <c r="I66" s="13">
        <f t="shared" ca="1" si="1"/>
        <v>1</v>
      </c>
      <c r="J66" s="15">
        <f ca="1">IFERROR(__xludf.DUMMYFUNCTION("""COMPUTED_VALUE"""),795)</f>
        <v>795</v>
      </c>
      <c r="K66" s="13">
        <f t="shared" ca="1" si="2"/>
        <v>0.90961098398169338</v>
      </c>
      <c r="L66" s="15">
        <f ca="1">IFERROR(__xludf.DUMMYFUNCTION("""COMPUTED_VALUE"""),278)</f>
        <v>278</v>
      </c>
      <c r="M66" s="13">
        <f t="shared" ca="1" si="3"/>
        <v>0.3180778032036613</v>
      </c>
      <c r="N66" s="15">
        <f ca="1">IFERROR(__xludf.DUMMYFUNCTION("""COMPUTED_VALUE"""),908)</f>
        <v>908</v>
      </c>
      <c r="O66" s="22">
        <f ca="1">IFERROR(__xludf.DUMMYFUNCTION("""COMPUTED_VALUE"""),402)</f>
        <v>402</v>
      </c>
      <c r="P66" s="13">
        <f t="shared" ca="1" si="4"/>
        <v>0.44273127753303965</v>
      </c>
      <c r="Q66" s="22">
        <f ca="1">IFERROR(__xludf.DUMMYFUNCTION("""COMPUTED_VALUE"""),236)</f>
        <v>236</v>
      </c>
      <c r="R66" s="13">
        <f t="shared" ca="1" si="5"/>
        <v>0.25991189427312777</v>
      </c>
      <c r="S66" s="22">
        <f ca="1">IFERROR(__xludf.DUMMYFUNCTION("""COMPUTED_VALUE"""),11492)</f>
        <v>11492</v>
      </c>
      <c r="T66" s="23">
        <f ca="1">IFERROR(__xludf.DUMMYFUNCTION("""COMPUTED_VALUE"""),11137)</f>
        <v>11137</v>
      </c>
      <c r="U66" s="13">
        <f t="shared" ca="1" si="6"/>
        <v>0.96910894535328929</v>
      </c>
      <c r="V66" s="22">
        <f ca="1">IFERROR(__xludf.DUMMYFUNCTION("""COMPUTED_VALUE"""),10882)</f>
        <v>10882</v>
      </c>
      <c r="W66" s="13">
        <f t="shared" ca="1" si="7"/>
        <v>0.94691959624086319</v>
      </c>
      <c r="X66" s="22">
        <f ca="1">IFERROR(__xludf.DUMMYFUNCTION("""COMPUTED_VALUE"""),3297)</f>
        <v>3297</v>
      </c>
      <c r="Y66" s="13">
        <f t="shared" ca="1" si="8"/>
        <v>0.28689523146536722</v>
      </c>
      <c r="Z66" s="2"/>
      <c r="AA66" s="2"/>
      <c r="AB66" s="2"/>
      <c r="AC66" s="2"/>
      <c r="AD66" s="2"/>
      <c r="AE66" s="2"/>
    </row>
    <row r="67" spans="1:31" ht="12.75" x14ac:dyDescent="0.2">
      <c r="A67" s="16">
        <f ca="1">IFERROR(__xludf.DUMMYFUNCTION("""COMPUTED_VALUE"""),1)</f>
        <v>1</v>
      </c>
      <c r="B67" s="14" t="str">
        <f ca="1">IFERROR(__xludf.DUMMYFUNCTION("""COMPUTED_VALUE"""),"THPT Bùi Thị Xuân")</f>
        <v>THPT Bùi Thị Xuân</v>
      </c>
      <c r="C67" s="14" t="str">
        <f ca="1">IFERROR(__xludf.DUMMYFUNCTION("""COMPUTED_VALUE"""),"THPT")</f>
        <v>THPT</v>
      </c>
      <c r="D67" s="14" t="str">
        <f ca="1">IFERROR(__xludf.DUMMYFUNCTION("""COMPUTED_VALUE"""),"Quận 1")</f>
        <v>Quận 1</v>
      </c>
      <c r="E67" s="17">
        <f ca="1">IFERROR(__xludf.DUMMYFUNCTION("""COMPUTED_VALUE"""),126)</f>
        <v>126</v>
      </c>
      <c r="F67" s="18">
        <f ca="1">IFERROR(__xludf.DUMMYFUNCTION("""COMPUTED_VALUE"""),126)</f>
        <v>126</v>
      </c>
      <c r="G67" s="13">
        <f t="shared" ca="1" si="0"/>
        <v>1</v>
      </c>
      <c r="H67" s="18">
        <f ca="1">IFERROR(__xludf.DUMMYFUNCTION("""COMPUTED_VALUE"""),126)</f>
        <v>126</v>
      </c>
      <c r="I67" s="13">
        <f t="shared" ca="1" si="1"/>
        <v>1</v>
      </c>
      <c r="J67" s="18">
        <f ca="1">IFERROR(__xludf.DUMMYFUNCTION("""COMPUTED_VALUE"""),121)</f>
        <v>121</v>
      </c>
      <c r="K67" s="13">
        <f t="shared" ca="1" si="2"/>
        <v>0.96031746031746035</v>
      </c>
      <c r="L67" s="18">
        <f ca="1">IFERROR(__xludf.DUMMYFUNCTION("""COMPUTED_VALUE"""),48)</f>
        <v>48</v>
      </c>
      <c r="M67" s="13">
        <f t="shared" ca="1" si="3"/>
        <v>0.38095238095238093</v>
      </c>
      <c r="N67" s="20"/>
      <c r="O67" s="14"/>
      <c r="P67" s="13" t="str">
        <f t="shared" si="4"/>
        <v/>
      </c>
      <c r="Q67" s="14"/>
      <c r="R67" s="13" t="str">
        <f t="shared" si="5"/>
        <v/>
      </c>
      <c r="S67" s="17">
        <f ca="1">IFERROR(__xludf.DUMMYFUNCTION("""COMPUTED_VALUE"""),1953)</f>
        <v>1953</v>
      </c>
      <c r="T67" s="19">
        <f ca="1">IFERROR(__xludf.DUMMYFUNCTION("""COMPUTED_VALUE"""),1939)</f>
        <v>1939</v>
      </c>
      <c r="U67" s="13">
        <f t="shared" ca="1" si="6"/>
        <v>0.99283154121863804</v>
      </c>
      <c r="V67" s="19">
        <f ca="1">IFERROR(__xludf.DUMMYFUNCTION("""COMPUTED_VALUE"""),1909)</f>
        <v>1909</v>
      </c>
      <c r="W67" s="13">
        <f t="shared" ca="1" si="7"/>
        <v>0.97747055811571937</v>
      </c>
      <c r="X67" s="19">
        <f ca="1">IFERROR(__xludf.DUMMYFUNCTION("""COMPUTED_VALUE"""),568)</f>
        <v>568</v>
      </c>
      <c r="Y67" s="13">
        <f t="shared" ca="1" si="8"/>
        <v>0.29083461341525857</v>
      </c>
      <c r="Z67" s="2"/>
      <c r="AA67" s="2"/>
      <c r="AB67" s="2"/>
      <c r="AC67" s="2"/>
      <c r="AD67" s="2"/>
      <c r="AE67" s="2"/>
    </row>
    <row r="68" spans="1:31" ht="12.75" x14ac:dyDescent="0.2">
      <c r="A68" s="16">
        <f ca="1">IFERROR(__xludf.DUMMYFUNCTION("""COMPUTED_VALUE"""),2)</f>
        <v>2</v>
      </c>
      <c r="B68" s="14" t="str">
        <f ca="1">IFERROR(__xludf.DUMMYFUNCTION("""COMPUTED_VALUE"""),"THPT Lương Thế Vinh")</f>
        <v>THPT Lương Thế Vinh</v>
      </c>
      <c r="C68" s="14" t="str">
        <f ca="1">IFERROR(__xludf.DUMMYFUNCTION("""COMPUTED_VALUE"""),"THPT")</f>
        <v>THPT</v>
      </c>
      <c r="D68" s="14" t="str">
        <f ca="1">IFERROR(__xludf.DUMMYFUNCTION("""COMPUTED_VALUE"""),"Quận 1")</f>
        <v>Quận 1</v>
      </c>
      <c r="E68" s="17">
        <f ca="1">IFERROR(__xludf.DUMMYFUNCTION("""COMPUTED_VALUE"""),200)</f>
        <v>200</v>
      </c>
      <c r="F68" s="18">
        <f ca="1">IFERROR(__xludf.DUMMYFUNCTION("""COMPUTED_VALUE"""),200)</f>
        <v>200</v>
      </c>
      <c r="G68" s="13">
        <f t="shared" ca="1" si="0"/>
        <v>1</v>
      </c>
      <c r="H68" s="18">
        <f ca="1">IFERROR(__xludf.DUMMYFUNCTION("""COMPUTED_VALUE"""),200)</f>
        <v>200</v>
      </c>
      <c r="I68" s="13">
        <f t="shared" ca="1" si="1"/>
        <v>1</v>
      </c>
      <c r="J68" s="18">
        <f ca="1">IFERROR(__xludf.DUMMYFUNCTION("""COMPUTED_VALUE"""),185)</f>
        <v>185</v>
      </c>
      <c r="K68" s="13">
        <f t="shared" ca="1" si="2"/>
        <v>0.92500000000000004</v>
      </c>
      <c r="L68" s="18">
        <f ca="1">IFERROR(__xludf.DUMMYFUNCTION("""COMPUTED_VALUE"""),81)</f>
        <v>81</v>
      </c>
      <c r="M68" s="13">
        <f t="shared" ca="1" si="3"/>
        <v>0.40500000000000003</v>
      </c>
      <c r="N68" s="17">
        <f ca="1">IFERROR(__xludf.DUMMYFUNCTION("""COMPUTED_VALUE"""),192)</f>
        <v>192</v>
      </c>
      <c r="O68" s="19">
        <f ca="1">IFERROR(__xludf.DUMMYFUNCTION("""COMPUTED_VALUE"""),109)</f>
        <v>109</v>
      </c>
      <c r="P68" s="13">
        <f t="shared" ca="1" si="4"/>
        <v>0.56770833333333337</v>
      </c>
      <c r="Q68" s="19">
        <f ca="1">IFERROR(__xludf.DUMMYFUNCTION("""COMPUTED_VALUE"""),78)</f>
        <v>78</v>
      </c>
      <c r="R68" s="13">
        <f t="shared" ca="1" si="5"/>
        <v>0.40625</v>
      </c>
      <c r="S68" s="17">
        <f ca="1">IFERROR(__xludf.DUMMYFUNCTION("""COMPUTED_VALUE"""),2145)</f>
        <v>2145</v>
      </c>
      <c r="T68" s="14">
        <f ca="1">IFERROR(__xludf.DUMMYFUNCTION("""COMPUTED_VALUE"""),2114)</f>
        <v>2114</v>
      </c>
      <c r="U68" s="13">
        <f t="shared" ca="1" si="6"/>
        <v>0.98554778554778555</v>
      </c>
      <c r="V68" s="19">
        <f ca="1">IFERROR(__xludf.DUMMYFUNCTION("""COMPUTED_VALUE"""),2074)</f>
        <v>2074</v>
      </c>
      <c r="W68" s="13">
        <f t="shared" ca="1" si="7"/>
        <v>0.96689976689976687</v>
      </c>
      <c r="X68" s="19">
        <f ca="1">IFERROR(__xludf.DUMMYFUNCTION("""COMPUTED_VALUE"""),699)</f>
        <v>699</v>
      </c>
      <c r="Y68" s="13">
        <f t="shared" ca="1" si="8"/>
        <v>0.3258741258741259</v>
      </c>
      <c r="Z68" s="2"/>
      <c r="AA68" s="2"/>
      <c r="AB68" s="2"/>
      <c r="AC68" s="2"/>
      <c r="AD68" s="2"/>
      <c r="AE68" s="2"/>
    </row>
    <row r="69" spans="1:31" ht="12.75" x14ac:dyDescent="0.2">
      <c r="A69" s="16">
        <f ca="1">IFERROR(__xludf.DUMMYFUNCTION("""COMPUTED_VALUE"""),3)</f>
        <v>3</v>
      </c>
      <c r="B69" s="14" t="str">
        <f ca="1">IFERROR(__xludf.DUMMYFUNCTION("""COMPUTED_VALUE"""),"THPT Trưng Vương")</f>
        <v>THPT Trưng Vương</v>
      </c>
      <c r="C69" s="14" t="str">
        <f ca="1">IFERROR(__xludf.DUMMYFUNCTION("""COMPUTED_VALUE"""),"THPT")</f>
        <v>THPT</v>
      </c>
      <c r="D69" s="14" t="str">
        <f ca="1">IFERROR(__xludf.DUMMYFUNCTION("""COMPUTED_VALUE"""),"Quận 1")</f>
        <v>Quận 1</v>
      </c>
      <c r="E69" s="17">
        <f ca="1">IFERROR(__xludf.DUMMYFUNCTION("""COMPUTED_VALUE"""),114)</f>
        <v>114</v>
      </c>
      <c r="F69" s="18">
        <f ca="1">IFERROR(__xludf.DUMMYFUNCTION("""COMPUTED_VALUE"""),114)</f>
        <v>114</v>
      </c>
      <c r="G69" s="13">
        <f t="shared" ca="1" si="0"/>
        <v>1</v>
      </c>
      <c r="H69" s="18">
        <f ca="1">IFERROR(__xludf.DUMMYFUNCTION("""COMPUTED_VALUE"""),114)</f>
        <v>114</v>
      </c>
      <c r="I69" s="13">
        <f t="shared" ca="1" si="1"/>
        <v>1</v>
      </c>
      <c r="J69" s="18">
        <f ca="1">IFERROR(__xludf.DUMMYFUNCTION("""COMPUTED_VALUE"""),112)</f>
        <v>112</v>
      </c>
      <c r="K69" s="13">
        <f t="shared" ca="1" si="2"/>
        <v>0.98245614035087714</v>
      </c>
      <c r="L69" s="18">
        <f ca="1">IFERROR(__xludf.DUMMYFUNCTION("""COMPUTED_VALUE"""),47)</f>
        <v>47</v>
      </c>
      <c r="M69" s="13">
        <f t="shared" ca="1" si="3"/>
        <v>0.41228070175438597</v>
      </c>
      <c r="N69" s="20"/>
      <c r="O69" s="14"/>
      <c r="P69" s="13" t="str">
        <f t="shared" si="4"/>
        <v/>
      </c>
      <c r="Q69" s="14"/>
      <c r="R69" s="13" t="str">
        <f t="shared" si="5"/>
        <v/>
      </c>
      <c r="S69" s="17">
        <f ca="1">IFERROR(__xludf.DUMMYFUNCTION("""COMPUTED_VALUE"""),1980)</f>
        <v>1980</v>
      </c>
      <c r="T69" s="19">
        <f ca="1">IFERROR(__xludf.DUMMYFUNCTION("""COMPUTED_VALUE"""),1980)</f>
        <v>1980</v>
      </c>
      <c r="U69" s="13">
        <f t="shared" ca="1" si="6"/>
        <v>1</v>
      </c>
      <c r="V69" s="19">
        <f ca="1">IFERROR(__xludf.DUMMYFUNCTION("""COMPUTED_VALUE"""),1944)</f>
        <v>1944</v>
      </c>
      <c r="W69" s="13">
        <f t="shared" ca="1" si="7"/>
        <v>0.98181818181818181</v>
      </c>
      <c r="X69" s="19">
        <f ca="1">IFERROR(__xludf.DUMMYFUNCTION("""COMPUTED_VALUE"""),435)</f>
        <v>435</v>
      </c>
      <c r="Y69" s="13">
        <f t="shared" ca="1" si="8"/>
        <v>0.2196969696969697</v>
      </c>
      <c r="Z69" s="2"/>
      <c r="AA69" s="2"/>
      <c r="AB69" s="2"/>
      <c r="AC69" s="2"/>
      <c r="AD69" s="2"/>
      <c r="AE69" s="2"/>
    </row>
    <row r="70" spans="1:31" ht="12.75" x14ac:dyDescent="0.2">
      <c r="A70" s="16">
        <f ca="1">IFERROR(__xludf.DUMMYFUNCTION("""COMPUTED_VALUE"""),4)</f>
        <v>4</v>
      </c>
      <c r="B70" s="14" t="str">
        <f ca="1">IFERROR(__xludf.DUMMYFUNCTION("""COMPUTED_VALUE"""),"THPT Tenlơman")</f>
        <v>THPT Tenlơman</v>
      </c>
      <c r="C70" s="14" t="str">
        <f ca="1">IFERROR(__xludf.DUMMYFUNCTION("""COMPUTED_VALUE"""),"THPT")</f>
        <v>THPT</v>
      </c>
      <c r="D70" s="14" t="str">
        <f ca="1">IFERROR(__xludf.DUMMYFUNCTION("""COMPUTED_VALUE"""),"Quận 1")</f>
        <v>Quận 1</v>
      </c>
      <c r="E70" s="17">
        <f ca="1">IFERROR(__xludf.DUMMYFUNCTION("""COMPUTED_VALUE"""),96)</f>
        <v>96</v>
      </c>
      <c r="F70" s="18">
        <f ca="1">IFERROR(__xludf.DUMMYFUNCTION("""COMPUTED_VALUE"""),96)</f>
        <v>96</v>
      </c>
      <c r="G70" s="13">
        <f t="shared" ref="G70:G78" ca="1" si="9">IFERROR(F70/E70,"")</f>
        <v>1</v>
      </c>
      <c r="H70" s="18">
        <f ca="1">IFERROR(__xludf.DUMMYFUNCTION("""COMPUTED_VALUE"""),96)</f>
        <v>96</v>
      </c>
      <c r="I70" s="13">
        <f t="shared" ref="I70:I78" ca="1" si="10">IFERROR(H70/E70,"")</f>
        <v>1</v>
      </c>
      <c r="J70" s="18">
        <f ca="1">IFERROR(__xludf.DUMMYFUNCTION("""COMPUTED_VALUE"""),65)</f>
        <v>65</v>
      </c>
      <c r="K70" s="13">
        <f t="shared" ref="K70:K78" ca="1" si="11">IFERROR(J70/E70,"")</f>
        <v>0.67708333333333337</v>
      </c>
      <c r="L70" s="18">
        <f ca="1">IFERROR(__xludf.DUMMYFUNCTION("""COMPUTED_VALUE"""),6)</f>
        <v>6</v>
      </c>
      <c r="M70" s="13">
        <f t="shared" ref="M70:M78" ca="1" si="12">IFERROR(L70/E70,"")</f>
        <v>6.25E-2</v>
      </c>
      <c r="N70" s="20"/>
      <c r="O70" s="14"/>
      <c r="P70" s="13" t="str">
        <f t="shared" ref="P70:P78" si="13">IFERROR(O70/N70,"")</f>
        <v/>
      </c>
      <c r="Q70" s="14"/>
      <c r="R70" s="13" t="str">
        <f t="shared" ref="R70:R78" si="14">IFERROR(Q70/N70,"")</f>
        <v/>
      </c>
      <c r="S70" s="20">
        <f ca="1">IFERROR(__xludf.DUMMYFUNCTION("""COMPUTED_VALUE"""),1611)</f>
        <v>1611</v>
      </c>
      <c r="T70" s="14">
        <f ca="1">IFERROR(__xludf.DUMMYFUNCTION("""COMPUTED_VALUE"""),1551)</f>
        <v>1551</v>
      </c>
      <c r="U70" s="13">
        <f t="shared" ref="U70:U78" ca="1" si="15">IFERROR(T70/S70,"")</f>
        <v>0.96275605214152704</v>
      </c>
      <c r="V70" s="14">
        <f ca="1">IFERROR(__xludf.DUMMYFUNCTION("""COMPUTED_VALUE"""),1530)</f>
        <v>1530</v>
      </c>
      <c r="W70" s="13">
        <f t="shared" ref="W70:W78" ca="1" si="16">IFERROR(V70/S70,"")</f>
        <v>0.94972067039106145</v>
      </c>
      <c r="X70" s="14">
        <f ca="1">IFERROR(__xludf.DUMMYFUNCTION("""COMPUTED_VALUE"""),585)</f>
        <v>585</v>
      </c>
      <c r="Y70" s="13">
        <f t="shared" ref="Y70:Y78" ca="1" si="17">IFERROR(X70/S70,"")</f>
        <v>0.36312849162011174</v>
      </c>
      <c r="Z70" s="2"/>
      <c r="AA70" s="2"/>
      <c r="AB70" s="2"/>
      <c r="AC70" s="2"/>
      <c r="AD70" s="2"/>
      <c r="AE70" s="2"/>
    </row>
    <row r="71" spans="1:31" ht="12.75" x14ac:dyDescent="0.2">
      <c r="A71" s="16">
        <f ca="1">IFERROR(__xludf.DUMMYFUNCTION("""COMPUTED_VALUE"""),5)</f>
        <v>5</v>
      </c>
      <c r="B71" s="14" t="str">
        <f ca="1">IFERROR(__xludf.DUMMYFUNCTION("""COMPUTED_VALUE"""),"THPT Chuyên Trần Đại Nghĩa")</f>
        <v>THPT Chuyên Trần Đại Nghĩa</v>
      </c>
      <c r="C71" s="14" t="str">
        <f ca="1">IFERROR(__xludf.DUMMYFUNCTION("""COMPUTED_VALUE"""),"THPT")</f>
        <v>THPT</v>
      </c>
      <c r="D71" s="14" t="str">
        <f ca="1">IFERROR(__xludf.DUMMYFUNCTION("""COMPUTED_VALUE"""),"Quận 1")</f>
        <v>Quận 1</v>
      </c>
      <c r="E71" s="17">
        <f ca="1">IFERROR(__xludf.DUMMYFUNCTION("""COMPUTED_VALUE"""),238)</f>
        <v>238</v>
      </c>
      <c r="F71" s="18">
        <f ca="1">IFERROR(__xludf.DUMMYFUNCTION("""COMPUTED_VALUE"""),238)</f>
        <v>238</v>
      </c>
      <c r="G71" s="13">
        <f t="shared" ca="1" si="9"/>
        <v>1</v>
      </c>
      <c r="H71" s="18">
        <f ca="1">IFERROR(__xludf.DUMMYFUNCTION("""COMPUTED_VALUE"""),238)</f>
        <v>238</v>
      </c>
      <c r="I71" s="13">
        <f t="shared" ca="1" si="10"/>
        <v>1</v>
      </c>
      <c r="J71" s="18">
        <f ca="1">IFERROR(__xludf.DUMMYFUNCTION("""COMPUTED_VALUE"""),225)</f>
        <v>225</v>
      </c>
      <c r="K71" s="13">
        <f t="shared" ca="1" si="11"/>
        <v>0.94537815126050417</v>
      </c>
      <c r="L71" s="18">
        <f ca="1">IFERROR(__xludf.DUMMYFUNCTION("""COMPUTED_VALUE"""),88)</f>
        <v>88</v>
      </c>
      <c r="M71" s="13">
        <f t="shared" ca="1" si="12"/>
        <v>0.36974789915966388</v>
      </c>
      <c r="N71" s="17">
        <f ca="1">IFERROR(__xludf.DUMMYFUNCTION("""COMPUTED_VALUE"""),691)</f>
        <v>691</v>
      </c>
      <c r="O71" s="19">
        <f ca="1">IFERROR(__xludf.DUMMYFUNCTION("""COMPUTED_VALUE"""),280)</f>
        <v>280</v>
      </c>
      <c r="P71" s="13">
        <f t="shared" ca="1" si="13"/>
        <v>0.40520984081041966</v>
      </c>
      <c r="Q71" s="19">
        <f ca="1">IFERROR(__xludf.DUMMYFUNCTION("""COMPUTED_VALUE"""),145)</f>
        <v>145</v>
      </c>
      <c r="R71" s="13">
        <f t="shared" ca="1" si="14"/>
        <v>0.20984081041968161</v>
      </c>
      <c r="S71" s="17">
        <f ca="1">IFERROR(__xludf.DUMMYFUNCTION("""COMPUTED_VALUE"""),2910)</f>
        <v>2910</v>
      </c>
      <c r="T71" s="14">
        <f ca="1">IFERROR(__xludf.DUMMYFUNCTION("""COMPUTED_VALUE"""),2663)</f>
        <v>2663</v>
      </c>
      <c r="U71" s="13">
        <f t="shared" ca="1" si="15"/>
        <v>0.91512027491408932</v>
      </c>
      <c r="V71" s="19">
        <f ca="1">IFERROR(__xludf.DUMMYFUNCTION("""COMPUTED_VALUE"""),2535)</f>
        <v>2535</v>
      </c>
      <c r="W71" s="13">
        <f t="shared" ca="1" si="16"/>
        <v>0.87113402061855671</v>
      </c>
      <c r="X71" s="19">
        <f ca="1">IFERROR(__xludf.DUMMYFUNCTION("""COMPUTED_VALUE"""),872)</f>
        <v>872</v>
      </c>
      <c r="Y71" s="13">
        <f t="shared" ca="1" si="17"/>
        <v>0.29965635738831614</v>
      </c>
      <c r="Z71" s="2"/>
      <c r="AA71" s="2"/>
      <c r="AB71" s="2"/>
      <c r="AC71" s="2"/>
      <c r="AD71" s="2"/>
      <c r="AE71" s="2"/>
    </row>
    <row r="72" spans="1:31" ht="12.75" x14ac:dyDescent="0.2">
      <c r="A72" s="16">
        <f ca="1">IFERROR(__xludf.DUMMYFUNCTION("""COMPUTED_VALUE"""),6)</f>
        <v>6</v>
      </c>
      <c r="B72" s="14" t="str">
        <f ca="1">IFERROR(__xludf.DUMMYFUNCTION("""COMPUTED_VALUE"""),"THPT Năng khiếu TDTT (Điện Biên Phủ)")</f>
        <v>THPT Năng khiếu TDTT (Điện Biên Phủ)</v>
      </c>
      <c r="C72" s="14" t="str">
        <f ca="1">IFERROR(__xludf.DUMMYFUNCTION("""COMPUTED_VALUE"""),"THPT")</f>
        <v>THPT</v>
      </c>
      <c r="D72" s="14" t="str">
        <f ca="1">IFERROR(__xludf.DUMMYFUNCTION("""COMPUTED_VALUE"""),"Quận 1")</f>
        <v>Quận 1</v>
      </c>
      <c r="E72" s="17">
        <f ca="1">IFERROR(__xludf.DUMMYFUNCTION("""COMPUTED_VALUE"""),31)</f>
        <v>31</v>
      </c>
      <c r="F72" s="18">
        <f ca="1">IFERROR(__xludf.DUMMYFUNCTION("""COMPUTED_VALUE"""),31)</f>
        <v>31</v>
      </c>
      <c r="G72" s="13">
        <f t="shared" ca="1" si="9"/>
        <v>1</v>
      </c>
      <c r="H72" s="18">
        <f ca="1">IFERROR(__xludf.DUMMYFUNCTION("""COMPUTED_VALUE"""),31)</f>
        <v>31</v>
      </c>
      <c r="I72" s="13">
        <f t="shared" ca="1" si="10"/>
        <v>1</v>
      </c>
      <c r="J72" s="18">
        <f ca="1">IFERROR(__xludf.DUMMYFUNCTION("""COMPUTED_VALUE"""),31)</f>
        <v>31</v>
      </c>
      <c r="K72" s="13">
        <f t="shared" ca="1" si="11"/>
        <v>1</v>
      </c>
      <c r="L72" s="18">
        <f ca="1">IFERROR(__xludf.DUMMYFUNCTION("""COMPUTED_VALUE"""),2)</f>
        <v>2</v>
      </c>
      <c r="M72" s="13">
        <f t="shared" ca="1" si="12"/>
        <v>6.4516129032258063E-2</v>
      </c>
      <c r="N72" s="20"/>
      <c r="O72" s="14"/>
      <c r="P72" s="13" t="str">
        <f t="shared" si="13"/>
        <v/>
      </c>
      <c r="Q72" s="14"/>
      <c r="R72" s="13" t="str">
        <f t="shared" si="14"/>
        <v/>
      </c>
      <c r="S72" s="17">
        <f ca="1">IFERROR(__xludf.DUMMYFUNCTION("""COMPUTED_VALUE"""),479)</f>
        <v>479</v>
      </c>
      <c r="T72" s="14">
        <f ca="1">IFERROR(__xludf.DUMMYFUNCTION("""COMPUTED_VALUE"""),479)</f>
        <v>479</v>
      </c>
      <c r="U72" s="13">
        <f t="shared" ca="1" si="15"/>
        <v>1</v>
      </c>
      <c r="V72" s="19">
        <f ca="1">IFERROR(__xludf.DUMMYFUNCTION("""COMPUTED_VALUE"""),479)</f>
        <v>479</v>
      </c>
      <c r="W72" s="13">
        <f t="shared" ca="1" si="16"/>
        <v>1</v>
      </c>
      <c r="X72" s="19">
        <f ca="1">IFERROR(__xludf.DUMMYFUNCTION("""COMPUTED_VALUE"""),104)</f>
        <v>104</v>
      </c>
      <c r="Y72" s="13">
        <f t="shared" ca="1" si="17"/>
        <v>0.21711899791231734</v>
      </c>
      <c r="Z72" s="2"/>
      <c r="AA72" s="2"/>
      <c r="AB72" s="2"/>
      <c r="AC72" s="2"/>
      <c r="AD72" s="2"/>
      <c r="AE72" s="2"/>
    </row>
    <row r="73" spans="1:31" ht="12.75" x14ac:dyDescent="0.2">
      <c r="A73" s="16">
        <f ca="1">IFERROR(__xludf.DUMMYFUNCTION("""COMPUTED_VALUE"""),7)</f>
        <v>7</v>
      </c>
      <c r="B73" s="14" t="str">
        <f ca="1">IFERROR(__xludf.DUMMYFUNCTION("""COMPUTED_VALUE"""),"THCS THPT Đăng Khoa")</f>
        <v>THCS THPT Đăng Khoa</v>
      </c>
      <c r="C73" s="14" t="str">
        <f ca="1">IFERROR(__xludf.DUMMYFUNCTION("""COMPUTED_VALUE"""),"THPT")</f>
        <v>THPT</v>
      </c>
      <c r="D73" s="14" t="str">
        <f ca="1">IFERROR(__xludf.DUMMYFUNCTION("""COMPUTED_VALUE"""),"Quận 1")</f>
        <v>Quận 1</v>
      </c>
      <c r="E73" s="17">
        <f ca="1">IFERROR(__xludf.DUMMYFUNCTION("""COMPUTED_VALUE"""),69)</f>
        <v>69</v>
      </c>
      <c r="F73" s="18">
        <f ca="1">IFERROR(__xludf.DUMMYFUNCTION("""COMPUTED_VALUE"""),69)</f>
        <v>69</v>
      </c>
      <c r="G73" s="13">
        <f t="shared" ca="1" si="9"/>
        <v>1</v>
      </c>
      <c r="H73" s="18">
        <f ca="1">IFERROR(__xludf.DUMMYFUNCTION("""COMPUTED_VALUE"""),69)</f>
        <v>69</v>
      </c>
      <c r="I73" s="13">
        <f t="shared" ca="1" si="10"/>
        <v>1</v>
      </c>
      <c r="J73" s="18">
        <f ca="1">IFERROR(__xludf.DUMMYFUNCTION("""COMPUTED_VALUE"""),56)</f>
        <v>56</v>
      </c>
      <c r="K73" s="13">
        <f t="shared" ca="1" si="11"/>
        <v>0.81159420289855078</v>
      </c>
      <c r="L73" s="18">
        <f ca="1">IFERROR(__xludf.DUMMYFUNCTION("""COMPUTED_VALUE"""),6)</f>
        <v>6</v>
      </c>
      <c r="M73" s="13">
        <f t="shared" ca="1" si="12"/>
        <v>8.6956521739130432E-2</v>
      </c>
      <c r="N73" s="17">
        <f ca="1">IFERROR(__xludf.DUMMYFUNCTION("""COMPUTED_VALUE"""),25)</f>
        <v>25</v>
      </c>
      <c r="O73" s="19">
        <f ca="1">IFERROR(__xludf.DUMMYFUNCTION("""COMPUTED_VALUE"""),13)</f>
        <v>13</v>
      </c>
      <c r="P73" s="13">
        <f t="shared" ca="1" si="13"/>
        <v>0.52</v>
      </c>
      <c r="Q73" s="19">
        <f ca="1">IFERROR(__xludf.DUMMYFUNCTION("""COMPUTED_VALUE"""),13)</f>
        <v>13</v>
      </c>
      <c r="R73" s="13">
        <f t="shared" ca="1" si="14"/>
        <v>0.52</v>
      </c>
      <c r="S73" s="17">
        <f ca="1">IFERROR(__xludf.DUMMYFUNCTION("""COMPUTED_VALUE"""),414)</f>
        <v>414</v>
      </c>
      <c r="T73" s="14">
        <f ca="1">IFERROR(__xludf.DUMMYFUNCTION("""COMPUTED_VALUE"""),411)</f>
        <v>411</v>
      </c>
      <c r="U73" s="13">
        <f t="shared" ca="1" si="15"/>
        <v>0.99275362318840576</v>
      </c>
      <c r="V73" s="19">
        <f ca="1">IFERROR(__xludf.DUMMYFUNCTION("""COMPUTED_VALUE"""),411)</f>
        <v>411</v>
      </c>
      <c r="W73" s="13">
        <f t="shared" ca="1" si="16"/>
        <v>0.99275362318840576</v>
      </c>
      <c r="X73" s="19">
        <f ca="1">IFERROR(__xludf.DUMMYFUNCTION("""COMPUTED_VALUE"""),34)</f>
        <v>34</v>
      </c>
      <c r="Y73" s="13">
        <f t="shared" ca="1" si="17"/>
        <v>8.2125603864734303E-2</v>
      </c>
      <c r="Z73" s="2"/>
      <c r="AA73" s="2"/>
      <c r="AB73" s="2"/>
      <c r="AC73" s="2"/>
      <c r="AD73" s="2"/>
      <c r="AE73" s="2"/>
    </row>
    <row r="74" spans="1:31" ht="12.75" x14ac:dyDescent="0.2">
      <c r="A74" s="86" t="str">
        <f ca="1">IFERROR(__xludf.DUMMYFUNCTION("""COMPUTED_VALUE"""),"Chuyên biệt (Nếu có)")</f>
        <v>Chuyên biệt (Nếu có)</v>
      </c>
      <c r="B74" s="87"/>
      <c r="C74" s="88"/>
      <c r="D74" s="14"/>
      <c r="E74" s="20"/>
      <c r="F74" s="21"/>
      <c r="G74" s="13" t="str">
        <f t="shared" si="9"/>
        <v/>
      </c>
      <c r="H74" s="21"/>
      <c r="I74" s="13" t="str">
        <f t="shared" si="10"/>
        <v/>
      </c>
      <c r="J74" s="21"/>
      <c r="K74" s="13" t="str">
        <f t="shared" si="11"/>
        <v/>
      </c>
      <c r="L74" s="21"/>
      <c r="M74" s="13" t="str">
        <f t="shared" si="12"/>
        <v/>
      </c>
      <c r="N74" s="20"/>
      <c r="O74" s="14"/>
      <c r="P74" s="13" t="str">
        <f t="shared" si="13"/>
        <v/>
      </c>
      <c r="Q74" s="14"/>
      <c r="R74" s="13" t="str">
        <f t="shared" si="14"/>
        <v/>
      </c>
      <c r="S74" s="20"/>
      <c r="T74" s="14"/>
      <c r="U74" s="13" t="str">
        <f t="shared" si="15"/>
        <v/>
      </c>
      <c r="V74" s="14"/>
      <c r="W74" s="13" t="str">
        <f t="shared" si="16"/>
        <v/>
      </c>
      <c r="X74" s="14"/>
      <c r="Y74" s="13" t="str">
        <f t="shared" si="17"/>
        <v/>
      </c>
      <c r="Z74" s="2"/>
      <c r="AA74" s="2"/>
      <c r="AB74" s="2"/>
      <c r="AC74" s="2"/>
      <c r="AD74" s="2"/>
      <c r="AE74" s="2"/>
    </row>
    <row r="75" spans="1:31" ht="12.75" x14ac:dyDescent="0.2">
      <c r="A75" s="16">
        <f ca="1">IFERROR(__xludf.DUMMYFUNCTION("""COMPUTED_VALUE"""),1)</f>
        <v>1</v>
      </c>
      <c r="B75" s="14" t="str">
        <f ca="1">IFERROR(__xludf.DUMMYFUNCTION("""COMPUTED_VALUE"""),"Trường Giáo dục Chuyên biệt Tương Lai")</f>
        <v>Trường Giáo dục Chuyên biệt Tương Lai</v>
      </c>
      <c r="C75" s="14" t="str">
        <f ca="1">IFERROR(__xludf.DUMMYFUNCTION("""COMPUTED_VALUE"""),"Chuyên biệt")</f>
        <v>Chuyên biệt</v>
      </c>
      <c r="D75" s="14" t="str">
        <f ca="1">IFERROR(__xludf.DUMMYFUNCTION("""COMPUTED_VALUE"""),"Quận 1")</f>
        <v>Quận 1</v>
      </c>
      <c r="E75" s="17">
        <f ca="1">IFERROR(__xludf.DUMMYFUNCTION("""COMPUTED_VALUE"""),18)</f>
        <v>18</v>
      </c>
      <c r="F75" s="18">
        <f ca="1">IFERROR(__xludf.DUMMYFUNCTION("""COMPUTED_VALUE"""),18)</f>
        <v>18</v>
      </c>
      <c r="G75" s="13">
        <f t="shared" ca="1" si="9"/>
        <v>1</v>
      </c>
      <c r="H75" s="18">
        <f ca="1">IFERROR(__xludf.DUMMYFUNCTION("""COMPUTED_VALUE"""),18)</f>
        <v>18</v>
      </c>
      <c r="I75" s="13">
        <f t="shared" ca="1" si="10"/>
        <v>1</v>
      </c>
      <c r="J75" s="18">
        <f ca="1">IFERROR(__xludf.DUMMYFUNCTION("""COMPUTED_VALUE"""),18)</f>
        <v>18</v>
      </c>
      <c r="K75" s="13">
        <f t="shared" ca="1" si="11"/>
        <v>1</v>
      </c>
      <c r="L75" s="18">
        <f ca="1">IFERROR(__xludf.DUMMYFUNCTION("""COMPUTED_VALUE"""),17)</f>
        <v>17</v>
      </c>
      <c r="M75" s="13">
        <f t="shared" ca="1" si="12"/>
        <v>0.94444444444444442</v>
      </c>
      <c r="N75" s="17">
        <f ca="1">IFERROR(__xludf.DUMMYFUNCTION("""COMPUTED_VALUE"""),27)</f>
        <v>27</v>
      </c>
      <c r="O75" s="19">
        <f ca="1">IFERROR(__xludf.DUMMYFUNCTION("""COMPUTED_VALUE"""),13)</f>
        <v>13</v>
      </c>
      <c r="P75" s="13">
        <f t="shared" ca="1" si="13"/>
        <v>0.48148148148148145</v>
      </c>
      <c r="Q75" s="19">
        <f ca="1">IFERROR(__xludf.DUMMYFUNCTION("""COMPUTED_VALUE"""),2)</f>
        <v>2</v>
      </c>
      <c r="R75" s="13">
        <f t="shared" ca="1" si="14"/>
        <v>7.407407407407407E-2</v>
      </c>
      <c r="S75" s="17">
        <f ca="1">IFERROR(__xludf.DUMMYFUNCTION("""COMPUTED_VALUE"""),28)</f>
        <v>28</v>
      </c>
      <c r="T75" s="14">
        <f ca="1">IFERROR(__xludf.DUMMYFUNCTION("""COMPUTED_VALUE"""),28)</f>
        <v>28</v>
      </c>
      <c r="U75" s="13">
        <f t="shared" ca="1" si="15"/>
        <v>1</v>
      </c>
      <c r="V75" s="19">
        <f ca="1">IFERROR(__xludf.DUMMYFUNCTION("""COMPUTED_VALUE"""),28)</f>
        <v>28</v>
      </c>
      <c r="W75" s="13">
        <f t="shared" ca="1" si="16"/>
        <v>1</v>
      </c>
      <c r="X75" s="19">
        <f ca="1">IFERROR(__xludf.DUMMYFUNCTION("""COMPUTED_VALUE"""),8)</f>
        <v>8</v>
      </c>
      <c r="Y75" s="13">
        <f t="shared" ca="1" si="17"/>
        <v>0.2857142857142857</v>
      </c>
      <c r="Z75" s="2"/>
      <c r="AA75" s="2"/>
      <c r="AB75" s="2"/>
      <c r="AC75" s="2"/>
      <c r="AD75" s="2"/>
      <c r="AE75" s="2"/>
    </row>
    <row r="76" spans="1:31" ht="12.75" x14ac:dyDescent="0.2">
      <c r="A76" s="86" t="str">
        <f ca="1">IFERROR(__xludf.DUMMYFUNCTION("""COMPUTED_VALUE"""),"GDTX")</f>
        <v>GDTX</v>
      </c>
      <c r="B76" s="87"/>
      <c r="C76" s="88"/>
      <c r="D76" s="14"/>
      <c r="E76" s="15">
        <f ca="1">IFERROR(__xludf.DUMMYFUNCTION("""COMPUTED_VALUE"""),80)</f>
        <v>80</v>
      </c>
      <c r="F76" s="15">
        <f ca="1">IFERROR(__xludf.DUMMYFUNCTION("""COMPUTED_VALUE"""),80)</f>
        <v>80</v>
      </c>
      <c r="G76" s="13">
        <f t="shared" ca="1" si="9"/>
        <v>1</v>
      </c>
      <c r="H76" s="15">
        <f ca="1">IFERROR(__xludf.DUMMYFUNCTION("""COMPUTED_VALUE"""),80)</f>
        <v>80</v>
      </c>
      <c r="I76" s="13">
        <f t="shared" ca="1" si="10"/>
        <v>1</v>
      </c>
      <c r="J76" s="15">
        <f ca="1">IFERROR(__xludf.DUMMYFUNCTION("""COMPUTED_VALUE"""),69)</f>
        <v>69</v>
      </c>
      <c r="K76" s="13">
        <f t="shared" ca="1" si="11"/>
        <v>0.86250000000000004</v>
      </c>
      <c r="L76" s="15">
        <f ca="1">IFERROR(__xludf.DUMMYFUNCTION("""COMPUTED_VALUE"""),29)</f>
        <v>29</v>
      </c>
      <c r="M76" s="13">
        <f t="shared" ca="1" si="12"/>
        <v>0.36249999999999999</v>
      </c>
      <c r="N76" s="15">
        <f ca="1">IFERROR(__xludf.DUMMYFUNCTION("""COMPUTED_VALUE"""),0)</f>
        <v>0</v>
      </c>
      <c r="O76" s="22">
        <f ca="1">IFERROR(__xludf.DUMMYFUNCTION("""COMPUTED_VALUE"""),0)</f>
        <v>0</v>
      </c>
      <c r="P76" s="13" t="str">
        <f t="shared" ca="1" si="13"/>
        <v/>
      </c>
      <c r="Q76" s="22">
        <f ca="1">IFERROR(__xludf.DUMMYFUNCTION("""COMPUTED_VALUE"""),0)</f>
        <v>0</v>
      </c>
      <c r="R76" s="13" t="str">
        <f t="shared" ca="1" si="14"/>
        <v/>
      </c>
      <c r="S76" s="22">
        <f ca="1">IFERROR(__xludf.DUMMYFUNCTION("""COMPUTED_VALUE"""),429)</f>
        <v>429</v>
      </c>
      <c r="T76" s="23">
        <f ca="1">IFERROR(__xludf.DUMMYFUNCTION("""COMPUTED_VALUE"""),462)</f>
        <v>462</v>
      </c>
      <c r="U76" s="13">
        <f t="shared" ca="1" si="15"/>
        <v>1.0769230769230769</v>
      </c>
      <c r="V76" s="22">
        <f ca="1">IFERROR(__xludf.DUMMYFUNCTION("""COMPUTED_VALUE"""),462)</f>
        <v>462</v>
      </c>
      <c r="W76" s="13">
        <f t="shared" ca="1" si="16"/>
        <v>1.0769230769230769</v>
      </c>
      <c r="X76" s="22">
        <f ca="1">IFERROR(__xludf.DUMMYFUNCTION("""COMPUTED_VALUE"""),80)</f>
        <v>80</v>
      </c>
      <c r="Y76" s="13">
        <f t="shared" ca="1" si="17"/>
        <v>0.18648018648018649</v>
      </c>
      <c r="Z76" s="2"/>
      <c r="AA76" s="2"/>
      <c r="AB76" s="2"/>
      <c r="AC76" s="2"/>
      <c r="AD76" s="2"/>
      <c r="AE76" s="2"/>
    </row>
    <row r="77" spans="1:31" ht="12.75" x14ac:dyDescent="0.2">
      <c r="A77" s="16">
        <f ca="1">IFERROR(__xludf.DUMMYFUNCTION("""COMPUTED_VALUE"""),1)</f>
        <v>1</v>
      </c>
      <c r="B77" s="14" t="str">
        <f ca="1">IFERROR(__xludf.DUMMYFUNCTION("""COMPUTED_VALUE"""),"GDNN-GDTX Quận 1")</f>
        <v>GDNN-GDTX Quận 1</v>
      </c>
      <c r="C77" s="14" t="str">
        <f ca="1">IFERROR(__xludf.DUMMYFUNCTION("""COMPUTED_VALUE"""),"GDTX")</f>
        <v>GDTX</v>
      </c>
      <c r="D77" s="14" t="str">
        <f ca="1">IFERROR(__xludf.DUMMYFUNCTION("""COMPUTED_VALUE"""),"Quận 1")</f>
        <v>Quận 1</v>
      </c>
      <c r="E77" s="17">
        <f ca="1">IFERROR(__xludf.DUMMYFUNCTION("""COMPUTED_VALUE"""),65)</f>
        <v>65</v>
      </c>
      <c r="F77" s="18">
        <f ca="1">IFERROR(__xludf.DUMMYFUNCTION("""COMPUTED_VALUE"""),65)</f>
        <v>65</v>
      </c>
      <c r="G77" s="13">
        <f t="shared" ca="1" si="9"/>
        <v>1</v>
      </c>
      <c r="H77" s="18">
        <f ca="1">IFERROR(__xludf.DUMMYFUNCTION("""COMPUTED_VALUE"""),65)</f>
        <v>65</v>
      </c>
      <c r="I77" s="13">
        <f t="shared" ca="1" si="10"/>
        <v>1</v>
      </c>
      <c r="J77" s="18">
        <f ca="1">IFERROR(__xludf.DUMMYFUNCTION("""COMPUTED_VALUE"""),55)</f>
        <v>55</v>
      </c>
      <c r="K77" s="13">
        <f t="shared" ca="1" si="11"/>
        <v>0.84615384615384615</v>
      </c>
      <c r="L77" s="18">
        <f ca="1">IFERROR(__xludf.DUMMYFUNCTION("""COMPUTED_VALUE"""),25)</f>
        <v>25</v>
      </c>
      <c r="M77" s="13">
        <f t="shared" ca="1" si="12"/>
        <v>0.38461538461538464</v>
      </c>
      <c r="N77" s="17">
        <f ca="1">IFERROR(__xludf.DUMMYFUNCTION("""COMPUTED_VALUE"""),0)</f>
        <v>0</v>
      </c>
      <c r="O77" s="19">
        <f ca="1">IFERROR(__xludf.DUMMYFUNCTION("""COMPUTED_VALUE"""),0)</f>
        <v>0</v>
      </c>
      <c r="P77" s="13" t="str">
        <f t="shared" ca="1" si="13"/>
        <v/>
      </c>
      <c r="Q77" s="19">
        <f ca="1">IFERROR(__xludf.DUMMYFUNCTION("""COMPUTED_VALUE"""),0)</f>
        <v>0</v>
      </c>
      <c r="R77" s="13" t="str">
        <f t="shared" ca="1" si="14"/>
        <v/>
      </c>
      <c r="S77" s="17">
        <f ca="1">IFERROR(__xludf.DUMMYFUNCTION("""COMPUTED_VALUE"""),314)</f>
        <v>314</v>
      </c>
      <c r="T77" s="14">
        <f ca="1">IFERROR(__xludf.DUMMYFUNCTION("""COMPUTED_VALUE"""),312)</f>
        <v>312</v>
      </c>
      <c r="U77" s="13">
        <f t="shared" ca="1" si="15"/>
        <v>0.99363057324840764</v>
      </c>
      <c r="V77" s="19">
        <f ca="1">IFERROR(__xludf.DUMMYFUNCTION("""COMPUTED_VALUE"""),312)</f>
        <v>312</v>
      </c>
      <c r="W77" s="13">
        <f t="shared" ca="1" si="16"/>
        <v>0.99363057324840764</v>
      </c>
      <c r="X77" s="19">
        <f ca="1">IFERROR(__xludf.DUMMYFUNCTION("""COMPUTED_VALUE"""),66)</f>
        <v>66</v>
      </c>
      <c r="Y77" s="13">
        <f t="shared" ca="1" si="17"/>
        <v>0.21019108280254778</v>
      </c>
      <c r="Z77" s="2"/>
      <c r="AA77" s="2"/>
      <c r="AB77" s="2"/>
      <c r="AC77" s="2"/>
      <c r="AD77" s="2"/>
      <c r="AE77" s="2"/>
    </row>
    <row r="78" spans="1:31" ht="12.75" x14ac:dyDescent="0.2">
      <c r="A78" s="16">
        <f ca="1">IFERROR(__xludf.DUMMYFUNCTION("""COMPUTED_VALUE"""),2)</f>
        <v>2</v>
      </c>
      <c r="B78" s="14" t="str">
        <f ca="1">IFERROR(__xludf.DUMMYFUNCTION("""COMPUTED_VALUE"""),"TT GDTX Lê Quý Đôn")</f>
        <v>TT GDTX Lê Quý Đôn</v>
      </c>
      <c r="C78" s="14" t="str">
        <f ca="1">IFERROR(__xludf.DUMMYFUNCTION("""COMPUTED_VALUE"""),"GDTX")</f>
        <v>GDTX</v>
      </c>
      <c r="D78" s="14" t="str">
        <f ca="1">IFERROR(__xludf.DUMMYFUNCTION("""COMPUTED_VALUE"""),"Quận 1")</f>
        <v>Quận 1</v>
      </c>
      <c r="E78" s="17">
        <f ca="1">IFERROR(__xludf.DUMMYFUNCTION("""COMPUTED_VALUE"""),15)</f>
        <v>15</v>
      </c>
      <c r="F78" s="18">
        <f ca="1">IFERROR(__xludf.DUMMYFUNCTION("""COMPUTED_VALUE"""),15)</f>
        <v>15</v>
      </c>
      <c r="G78" s="13">
        <f t="shared" ca="1" si="9"/>
        <v>1</v>
      </c>
      <c r="H78" s="18">
        <f ca="1">IFERROR(__xludf.DUMMYFUNCTION("""COMPUTED_VALUE"""),15)</f>
        <v>15</v>
      </c>
      <c r="I78" s="13">
        <f t="shared" ca="1" si="10"/>
        <v>1</v>
      </c>
      <c r="J78" s="18">
        <f ca="1">IFERROR(__xludf.DUMMYFUNCTION("""COMPUTED_VALUE"""),14)</f>
        <v>14</v>
      </c>
      <c r="K78" s="13">
        <f t="shared" ca="1" si="11"/>
        <v>0.93333333333333335</v>
      </c>
      <c r="L78" s="18">
        <f ca="1">IFERROR(__xludf.DUMMYFUNCTION("""COMPUTED_VALUE"""),4)</f>
        <v>4</v>
      </c>
      <c r="M78" s="13">
        <f t="shared" ca="1" si="12"/>
        <v>0.26666666666666666</v>
      </c>
      <c r="N78" s="20"/>
      <c r="O78" s="14"/>
      <c r="P78" s="13" t="str">
        <f t="shared" si="13"/>
        <v/>
      </c>
      <c r="Q78" s="14"/>
      <c r="R78" s="13" t="str">
        <f t="shared" si="14"/>
        <v/>
      </c>
      <c r="S78" s="17">
        <f ca="1">IFERROR(__xludf.DUMMYFUNCTION("""COMPUTED_VALUE"""),150)</f>
        <v>150</v>
      </c>
      <c r="T78" s="14">
        <f ca="1">IFERROR(__xludf.DUMMYFUNCTION("""COMPUTED_VALUE"""),150)</f>
        <v>150</v>
      </c>
      <c r="U78" s="13">
        <f t="shared" ca="1" si="15"/>
        <v>1</v>
      </c>
      <c r="V78" s="19">
        <f ca="1">IFERROR(__xludf.DUMMYFUNCTION("""COMPUTED_VALUE"""),150)</f>
        <v>150</v>
      </c>
      <c r="W78" s="13">
        <f t="shared" ca="1" si="16"/>
        <v>1</v>
      </c>
      <c r="X78" s="19">
        <f ca="1">IFERROR(__xludf.DUMMYFUNCTION("""COMPUTED_VALUE"""),14)</f>
        <v>14</v>
      </c>
      <c r="Y78" s="13">
        <f t="shared" ca="1" si="17"/>
        <v>9.3333333333333338E-2</v>
      </c>
      <c r="Z78" s="2"/>
      <c r="AA78" s="2"/>
      <c r="AB78" s="2"/>
      <c r="AC78" s="2"/>
      <c r="AD78" s="2"/>
      <c r="AE78" s="2"/>
    </row>
    <row r="79" spans="1:31" ht="12.75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</row>
    <row r="80" spans="1:31" ht="12.75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</row>
    <row r="81" spans="1:31" ht="12.75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</row>
    <row r="82" spans="1:31" ht="12.75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</row>
    <row r="83" spans="1:31" ht="12.75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</row>
    <row r="84" spans="1:31" ht="12.75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</row>
    <row r="85" spans="1:31" ht="12.75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</row>
    <row r="86" spans="1:31" ht="12.75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</row>
    <row r="87" spans="1:31" ht="12.75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</row>
    <row r="88" spans="1:31" ht="12.75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</row>
    <row r="89" spans="1:31" ht="12.75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</row>
    <row r="90" spans="1:31" ht="12.75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ht="12.75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92" spans="1:31" ht="12.75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</row>
    <row r="93" spans="1:31" ht="12.75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</row>
    <row r="94" spans="1:31" ht="12.75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</row>
    <row r="95" spans="1:31" ht="12.75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</row>
    <row r="96" spans="1:31" ht="12.75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</row>
    <row r="97" spans="1:31" ht="12.75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</row>
    <row r="98" spans="1:31" ht="12.75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</row>
    <row r="99" spans="1:31" ht="12.75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</row>
    <row r="100" spans="1:31" ht="12.75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</row>
    <row r="101" spans="1:31" ht="12.75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</row>
    <row r="102" spans="1:31" ht="12.75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1:31" ht="12.75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1:31" ht="12.75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1:31" ht="12.75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1:31" ht="12.75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1:31" ht="12.75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</row>
    <row r="108" spans="1:31" ht="12.75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1:31" ht="12.75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 spans="1:31" ht="12.75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1:31" ht="12.75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1:31" ht="12.75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:31" ht="12.75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 ht="12.75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 ht="12.75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 ht="12.75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 ht="12.75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 ht="12.75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 ht="12.75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 ht="12.75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 ht="12.75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 ht="12.75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 ht="12.75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 ht="12.75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 ht="12.75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ht="12.75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ht="12.75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ht="12.75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ht="12.75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ht="12.75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ht="12.75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ht="12.75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ht="12.75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ht="12.75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ht="12.75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ht="12.75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ht="12.75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ht="12.75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ht="12.75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ht="12.75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2.75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2.75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2.75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2.75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2.75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2.75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2.75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2.75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2.75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2.75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2.75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2.75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2.75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2.75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2.75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2.75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2.75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2.75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2.75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2.75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2.75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2.75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2.75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2.75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2.75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2.75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2.75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2.75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2.75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2.75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2.75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2.75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2.75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2.75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2.75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2.75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2.75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2.75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2.75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2.75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2.75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2.75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2.75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2.75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2.75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2.75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2.75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2.75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2.75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2.75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2.75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2.75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2.75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2.75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2.75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2.75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2.75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2.75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2.75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2.75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2.75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2.75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2.75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2.75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2.75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2.75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2.75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2.75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2.75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2.75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2.75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2.75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2.75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2.75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2.75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2.75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2.75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2.75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2.75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2.75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2.75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2.75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2.75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2.75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2.75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2.75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2.75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2.75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2.75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2.75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2.75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2.75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2.75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2.75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2.75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2.75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2.75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2.75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2.75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2.75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2.75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2.75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2.75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2.75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2.75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2.75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2.75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2.75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2.75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2.75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2.75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2.75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2.75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2.75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2.75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2.75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2.75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2.75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2.75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2.75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2.75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2.75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2.75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2.75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2.75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2.75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2.75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2.75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2.75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2.75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2.75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2.75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2.75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2.75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2.75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2.75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2.75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2.75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2.75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2.75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2.75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2.75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2.75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2.75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2.75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2.75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2.75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2.75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2.75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2.75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2.75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2.75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2.75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2.75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2.75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2.75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2.75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2.75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2.75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2.75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2.75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2.75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2.75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2.75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2.75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2.75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2.75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2.75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2.75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2.75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2.75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2.75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2.75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2.75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2.75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2.75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2.75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2.75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2.75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2.75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2.75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2.75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2.75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2.75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2.75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2.75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2.75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2.75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2.75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2.75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2.75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2.75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2.75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2.75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2.75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2.75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2.75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2.75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2.75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2.75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2.75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2.75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2.75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2.75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2.75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2.75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2.75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2.75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2.75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2.75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2.75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2.75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2.75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2.75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2.75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2.75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2.75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2.75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2.75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2.75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2.75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2.75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2.75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2.75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2.75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2.75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2.75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2.75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2.75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2.75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2.75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2.75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2.75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2.75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2.75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2.75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2.75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2.75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2.75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2.75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2.75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2.75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2.75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2.75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2.75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2.75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2.75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2.75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2.75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2.75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2.75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2.75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2.75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2.75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2.75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2.75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2.75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2.75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2.75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2.75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2.75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2.75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2.75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2.75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2.75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2.75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2.75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2.75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2.75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2.75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2.75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2.75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2.75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2.75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2.75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2.75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2.75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2.75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2.75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2.75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2.75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2.75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2.75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2.75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2.75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2.75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2.75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2.75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2.75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2.75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2.75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2.75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2.75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2.75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2.75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2.75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2.75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2.75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2.75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2.75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2.75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2.75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2.75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2.75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2.75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2.75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2.75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2.75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2.75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2.75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2.75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2.75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2.75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2.75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2.75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2.75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2.75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2.75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2.75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2.75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2.75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2.75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2.75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2.75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2.75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2.75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2.75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2.75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2.75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2.75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2.75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2.75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2.75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2.75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2.75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2.75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2.75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2.75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2.75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2.75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2.75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2.75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2.75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2.75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2.75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2.75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2.75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2.75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2.75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2.75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2.75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2.75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2.75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2.75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2.75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2.75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2.75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2.75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2.75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2.75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2.75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2.75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2.75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2.75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2.75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2.75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2.75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2.75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2.75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2.75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2.75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2.75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2.75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2.75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2.75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2.75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2.75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2.75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2.75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2.75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2.75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2.75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2.75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2.75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2.75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2.75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2.75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2.75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2.75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2.75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2.75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2.75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2.75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2.75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2.75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2.75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2.75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2.75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2.75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2.75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2.75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2.75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2.75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2.75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2.75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2.75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2.75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2.75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2.75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2.75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2.75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2.75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2.75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2.75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2.75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2.75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2.75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2.75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2.75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2.75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2.75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2.75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2.75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2.75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2.75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2.75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2.75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2.75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2.75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2.75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2.75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2.75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2.75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2.75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2.75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2.75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2.75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2.75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2.75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2.75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2.75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2.75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2.75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2.75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2.75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2.75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2.75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2.75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2.75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2.75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2.75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2.75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2.75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2.75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2.75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2.75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2.75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2.75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2.75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2.75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2.75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2.75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2.75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2.75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2.75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2.75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2.75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2.75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2.75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2.75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2.75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2.75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2.75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2.75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2.75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2.75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2.75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2.75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2.75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2.75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2.75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2.75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2.75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2.75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2.75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2.75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2.75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2.75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2.75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2.75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2.75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2.75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2.75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2.75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2.75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2.75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2.75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2.75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2.75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2.75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2.75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2.75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2.75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2.75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2.75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2.75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2.75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2.75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2.75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2.75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2.75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2.75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2.75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2.75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2.75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2.75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2.75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2.75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2.75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2.75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2.75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2.75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2.75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2.75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2.75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2.75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2.75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2.75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2.75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2.75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2.75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2.75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2.75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2.75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2.75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2.75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2.75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2.75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2.75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2.75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2.75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2.75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2.75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2.75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2.75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2.75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2.75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2.75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2.75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2.75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2.75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2.75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2.75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2.75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2.75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2.75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2.75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2.75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2.75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2.75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2.75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2.75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2.75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2.75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2.75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2.75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2.75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2.75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2.75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2.75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2.75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2.75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2.75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2.75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2.75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2.75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2.75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2.75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2.75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2.75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2.75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2.75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2.75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2.75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2.75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2.75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2.75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2.75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2.75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2.75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2.75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2.75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2.75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2.75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2.75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2.75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2.75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2.75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2.75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2.75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2.75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2.75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2.75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2.75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2.75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2.75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2.75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2.75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2.75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2.75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2.75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2.75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2.75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2.75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2.75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2.75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2.75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2.75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2.75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2.75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2.75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2.75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2.75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2.75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2.75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2.75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2.75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2.75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2.75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2.75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2.75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2.75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2.75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2.75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2.75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2.75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2.75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2.75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2.75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2.75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2.75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2.75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2.75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2.75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2.75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2.75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2.75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2.75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2.75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2.75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2.75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2.75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2.75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2.75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2.75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2.75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2.75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2.75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2.75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2.75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2.75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2.75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2.75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2.75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2.75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2.75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2.75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2.75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2.75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2.75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2.75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2.75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2.75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2.75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2.75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2.75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2.75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2.75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2.75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2.75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2.75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2.75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2.75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2.75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2.75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2.75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2.75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2.75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2.75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2.75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2.75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2.75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2.75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2.75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2.75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2.75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2.75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2.75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2.75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2.75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2.75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2.75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2.75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2.75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2.75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2.75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2.75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2.75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2.75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2.75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2.75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2.75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2.75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2.75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2.75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2.75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2.75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2.75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2.75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2.75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2.75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2.75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2.75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2.75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2.75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2.75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2.75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2.75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2.75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2.75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2.75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2.75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2.75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2.75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2.75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2.75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2.75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2.75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2.75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2.75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2.75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2.75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2.75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2.75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2.75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2.75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2.75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2.75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2.75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2.75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2.75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2.75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2.75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2.75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2.75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2.75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2.75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2.75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2.75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2.75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2.75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2.75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2.75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2.75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2.75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2.75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2.75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2.75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2.75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2.75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2.75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2.75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2.75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2.75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2.75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2.75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2.75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2.75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2.75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2.75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2.75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2.75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2.75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2.75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2.75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2.75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2.75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2.75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2.75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2.75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2.75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2.75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2.75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2.75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2.75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2.75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2.75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2.75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2.75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2.75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2.75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2.75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2.75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2.75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2.75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2.75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2.75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2.75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2.75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2.75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2.75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2.75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2.75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2.75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2.75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2.75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2.75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2.75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2.75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2.75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2.75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2.75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2.75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2.75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2.75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2.75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2.75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2.75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2.75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2.75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2.75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2.75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2.75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2.75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2.75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2.75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2.75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2.75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2.75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2.75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2.75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2.75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2.75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2.75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2.75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2.75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2.75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2.75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2.75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2.75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2.75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2.75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2.75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2.75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2.75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2.75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2.75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 ht="12.75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 ht="12.75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  <row r="1000" spans="1:31" ht="12.75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</row>
  </sheetData>
  <mergeCells count="22">
    <mergeCell ref="E3:M3"/>
    <mergeCell ref="N3:R3"/>
    <mergeCell ref="S3:Y3"/>
    <mergeCell ref="F4:G4"/>
    <mergeCell ref="H4:I4"/>
    <mergeCell ref="J4:K4"/>
    <mergeCell ref="L4:M4"/>
    <mergeCell ref="O4:P4"/>
    <mergeCell ref="Q4:R4"/>
    <mergeCell ref="T4:U4"/>
    <mergeCell ref="V4:W4"/>
    <mergeCell ref="X4:Y4"/>
    <mergeCell ref="A74:C74"/>
    <mergeCell ref="A76:C76"/>
    <mergeCell ref="A3:A4"/>
    <mergeCell ref="B3:B4"/>
    <mergeCell ref="D3:D4"/>
    <mergeCell ref="C3:C4"/>
    <mergeCell ref="A6:C6"/>
    <mergeCell ref="A36:C36"/>
    <mergeCell ref="A54:C54"/>
    <mergeCell ref="A66:C66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E1000"/>
  <sheetViews>
    <sheetView zoomScale="85" zoomScaleNormal="85" workbookViewId="0">
      <selection activeCell="B21" sqref="B21"/>
    </sheetView>
  </sheetViews>
  <sheetFormatPr defaultColWidth="12.5703125" defaultRowHeight="15.75" customHeight="1" x14ac:dyDescent="0.2"/>
  <cols>
    <col min="1" max="1" width="12.5703125" style="3"/>
    <col min="2" max="2" width="41.42578125" style="3" customWidth="1"/>
    <col min="3" max="4" width="12.5703125" style="3"/>
    <col min="5" max="5" width="10.42578125" style="3" customWidth="1"/>
    <col min="6" max="13" width="8.85546875" style="3" customWidth="1"/>
    <col min="14" max="14" width="10.42578125" style="3" customWidth="1"/>
    <col min="15" max="18" width="8.85546875" style="3" customWidth="1"/>
    <col min="19" max="19" width="10.42578125" style="3" customWidth="1"/>
    <col min="20" max="25" width="8.85546875" style="3" customWidth="1"/>
    <col min="26" max="16384" width="12.5703125" style="3"/>
  </cols>
  <sheetData>
    <row r="1" spans="1:31" ht="26.25" customHeight="1" x14ac:dyDescent="0.2">
      <c r="A1" s="49" t="s">
        <v>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ht="35.25" customHeight="1" x14ac:dyDescent="0.2">
      <c r="A2" s="4" t="s">
        <v>26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</row>
    <row r="3" spans="1:31" ht="30.75" customHeight="1" x14ac:dyDescent="0.2">
      <c r="A3" s="89" t="str">
        <f ca="1">IFERROR(__xludf.DUMMYFUNCTION("IMPORTRANGE(""https://docs.google.com/spreadsheets/d/1giFCfPZvq6d2WPbrXwJ7ksTcnSjmuNbU5G4IRrh5hOk/edit#gid=0"",""Q12!A14:T500"")"),"STT")</f>
        <v>STT</v>
      </c>
      <c r="B3" s="101" t="str">
        <f ca="1">IFERROR(__xludf.DUMMYFUNCTION("""COMPUTED_VALUE"""),"TRƯỜNG")</f>
        <v>TRƯỜNG</v>
      </c>
      <c r="C3" s="101" t="str">
        <f ca="1">IFERROR(__xludf.DUMMYFUNCTION("""COMPUTED_VALUE"""),"BẬC HỌC (MN, TH, THCS, THPT, CB, GDTX)")</f>
        <v>BẬC HỌC (MN, TH, THCS, THPT, CB, GDTX)</v>
      </c>
      <c r="D3" s="101" t="str">
        <f ca="1">IFERROR(__xludf.DUMMYFUNCTION("""COMPUTED_VALUE"""),"THÀNH PHỐ, QUẬN, HUYỆN")</f>
        <v>THÀNH PHỐ, QUẬN, HUYỆN</v>
      </c>
      <c r="E3" s="91" t="str">
        <f ca="1">IFERROR(__xludf.DUMMYFUNCTION("""COMPUTED_VALUE"""),"Cán bộ - Giáo viên - Nhân viên")</f>
        <v>Cán bộ - Giáo viên - Nhân viên</v>
      </c>
      <c r="F3" s="92"/>
      <c r="G3" s="92"/>
      <c r="H3" s="92"/>
      <c r="I3" s="92"/>
      <c r="J3" s="92"/>
      <c r="K3" s="92"/>
      <c r="L3" s="92"/>
      <c r="M3" s="92"/>
      <c r="N3" s="93" t="str">
        <f ca="1">IFERROR(__xludf.DUMMYFUNCTION("""COMPUTED_VALUE"""),"Học sinh từ 5 đến dưới 12 tuổi")</f>
        <v>Học sinh từ 5 đến dưới 12 tuổi</v>
      </c>
      <c r="O3" s="92"/>
      <c r="P3" s="92"/>
      <c r="Q3" s="92"/>
      <c r="R3" s="92"/>
      <c r="S3" s="94" t="str">
        <f ca="1">IFERROR(__xludf.DUMMYFUNCTION("""COMPUTED_VALUE"""),"Học sinh từ 12 đến dưới 18 tuổi")</f>
        <v>Học sinh từ 12 đến dưới 18 tuổi</v>
      </c>
      <c r="T3" s="95"/>
      <c r="U3" s="95"/>
      <c r="V3" s="95"/>
      <c r="W3" s="95"/>
      <c r="X3" s="95"/>
      <c r="Y3" s="95"/>
      <c r="Z3" s="2"/>
      <c r="AA3" s="2"/>
      <c r="AB3" s="2"/>
      <c r="AC3" s="2"/>
      <c r="AD3" s="2"/>
      <c r="AE3" s="2"/>
    </row>
    <row r="4" spans="1:31" ht="27" customHeight="1" x14ac:dyDescent="0.2">
      <c r="A4" s="90"/>
      <c r="B4" s="88"/>
      <c r="C4" s="88"/>
      <c r="D4" s="88"/>
      <c r="E4" s="58" t="str">
        <f ca="1">IFERROR(__xludf.DUMMYFUNCTION("""COMPUTED_VALUE"""),"Tổng CB-GV-NV")</f>
        <v>Tổng CB-GV-NV</v>
      </c>
      <c r="F4" s="96" t="s">
        <v>22</v>
      </c>
      <c r="G4" s="97"/>
      <c r="H4" s="96" t="s">
        <v>23</v>
      </c>
      <c r="I4" s="97"/>
      <c r="J4" s="96" t="s">
        <v>24</v>
      </c>
      <c r="K4" s="97"/>
      <c r="L4" s="96" t="s">
        <v>25</v>
      </c>
      <c r="M4" s="97"/>
      <c r="N4" s="58" t="str">
        <f ca="1">IFERROR(__xludf.DUMMYFUNCTION("""COMPUTED_VALUE"""),"Tổng học sinh")</f>
        <v>Tổng học sinh</v>
      </c>
      <c r="O4" s="96" t="s">
        <v>22</v>
      </c>
      <c r="P4" s="97"/>
      <c r="Q4" s="96" t="s">
        <v>23</v>
      </c>
      <c r="R4" s="97"/>
      <c r="S4" s="58" t="str">
        <f ca="1">IFERROR(__xludf.DUMMYFUNCTION("""COMPUTED_VALUE"""),"Tổng học sinh")</f>
        <v>Tổng học sinh</v>
      </c>
      <c r="T4" s="98" t="s">
        <v>22</v>
      </c>
      <c r="U4" s="99"/>
      <c r="V4" s="98" t="s">
        <v>23</v>
      </c>
      <c r="W4" s="99"/>
      <c r="X4" s="98" t="s">
        <v>24</v>
      </c>
      <c r="Y4" s="99"/>
      <c r="Z4" s="2"/>
      <c r="AA4" s="2"/>
      <c r="AB4" s="2"/>
      <c r="AC4" s="2"/>
      <c r="AD4" s="2"/>
      <c r="AE4" s="2"/>
    </row>
    <row r="5" spans="1:31" ht="12.75" x14ac:dyDescent="0.2">
      <c r="A5" s="62" t="str">
        <f ca="1">IFERROR(__xludf.DUMMYFUNCTION("""COMPUTED_VALUE"""),"TỔNG TOÀN QUẬN/HUYỆN/TP")</f>
        <v>TỔNG TOÀN QUẬN/HUYỆN/TP</v>
      </c>
      <c r="B5" s="63"/>
      <c r="C5" s="64"/>
      <c r="D5" s="64" t="str">
        <f ca="1">IFERROR(__xludf.DUMMYFUNCTION("""COMPUTED_VALUE"""),"QUẬN 12")</f>
        <v>QUẬN 12</v>
      </c>
      <c r="E5" s="15">
        <f ca="1">IFERROR(__xludf.DUMMYFUNCTION("""COMPUTED_VALUE"""),6332)</f>
        <v>6332</v>
      </c>
      <c r="F5" s="15">
        <f ca="1">IFERROR(__xludf.DUMMYFUNCTION("""COMPUTED_VALUE"""),6326)</f>
        <v>6326</v>
      </c>
      <c r="G5" s="51">
        <f ca="1">IFERROR(F5/E5,"")</f>
        <v>0.9990524320909665</v>
      </c>
      <c r="H5" s="15">
        <f ca="1">IFERROR(__xludf.DUMMYFUNCTION("""COMPUTED_VALUE"""),6306)</f>
        <v>6306</v>
      </c>
      <c r="I5" s="51">
        <f ca="1">IFERROR(H5/E5,"")</f>
        <v>0.99589387239418825</v>
      </c>
      <c r="J5" s="15">
        <f ca="1">IFERROR(__xludf.DUMMYFUNCTION("""COMPUTED_VALUE"""),5972)</f>
        <v>5972</v>
      </c>
      <c r="K5" s="51">
        <f ca="1">IFERROR(J5/E5,"")</f>
        <v>0.94314592545799114</v>
      </c>
      <c r="L5" s="15">
        <f ca="1">IFERROR(__xludf.DUMMYFUNCTION("""COMPUTED_VALUE"""),3143)</f>
        <v>3143</v>
      </c>
      <c r="M5" s="51">
        <f ca="1">IFERROR(L5/E5,"")</f>
        <v>0.496367656348705</v>
      </c>
      <c r="N5" s="15">
        <f ca="1">IFERROR(__xludf.DUMMYFUNCTION("""COMPUTED_VALUE"""),61525)</f>
        <v>61525</v>
      </c>
      <c r="O5" s="15">
        <f ca="1">IFERROR(__xludf.DUMMYFUNCTION("""COMPUTED_VALUE"""),27277)</f>
        <v>27277</v>
      </c>
      <c r="P5" s="51">
        <f ca="1">IFERROR(O5/N5,"")</f>
        <v>0.44334823242584315</v>
      </c>
      <c r="Q5" s="15">
        <f ca="1">IFERROR(__xludf.DUMMYFUNCTION("""COMPUTED_VALUE"""),17574)</f>
        <v>17574</v>
      </c>
      <c r="R5" s="51">
        <f ca="1">IFERROR(Q5/N5,"")</f>
        <v>0.28563998374644456</v>
      </c>
      <c r="S5" s="15">
        <f ca="1">IFERROR(__xludf.DUMMYFUNCTION("""COMPUTED_VALUE"""),37139)</f>
        <v>37139</v>
      </c>
      <c r="T5" s="15">
        <f ca="1">IFERROR(__xludf.DUMMYFUNCTION("""COMPUTED_VALUE"""),36031)</f>
        <v>36031</v>
      </c>
      <c r="U5" s="51">
        <f ca="1">IFERROR(T5/S5,"")</f>
        <v>0.9701661326368507</v>
      </c>
      <c r="V5" s="15">
        <f ca="1">IFERROR(__xludf.DUMMYFUNCTION("""COMPUTED_VALUE"""),33941)</f>
        <v>33941</v>
      </c>
      <c r="W5" s="51">
        <f ca="1">IFERROR(V5/S5,"")</f>
        <v>0.91389105791755298</v>
      </c>
      <c r="X5" s="15">
        <f ca="1">IFERROR(__xludf.DUMMYFUNCTION("""COMPUTED_VALUE"""),12205)</f>
        <v>12205</v>
      </c>
      <c r="Y5" s="51">
        <f ca="1">IFERROR(X5/S5,"")</f>
        <v>0.32863028083685614</v>
      </c>
      <c r="Z5" s="1"/>
      <c r="AA5" s="1"/>
      <c r="AB5" s="1"/>
      <c r="AC5" s="1"/>
      <c r="AD5" s="1"/>
      <c r="AE5" s="1"/>
    </row>
    <row r="6" spans="1:31" ht="12.75" x14ac:dyDescent="0.2">
      <c r="A6" s="52" t="str">
        <f ca="1">IFERROR(__xludf.DUMMYFUNCTION("""COMPUTED_VALUE"""),"Mầm non")</f>
        <v>Mầm non</v>
      </c>
      <c r="B6" s="53"/>
      <c r="C6" s="53"/>
      <c r="D6" s="53"/>
      <c r="E6" s="53"/>
      <c r="F6" s="53"/>
      <c r="G6" s="51" t="str">
        <f t="shared" ref="G6:G69" si="0">IFERROR(F6/E6,"")</f>
        <v/>
      </c>
      <c r="H6" s="53"/>
      <c r="I6" s="51" t="str">
        <f t="shared" ref="I6:I69" si="1">IFERROR(H6/E6,"")</f>
        <v/>
      </c>
      <c r="J6" s="53"/>
      <c r="K6" s="51" t="str">
        <f t="shared" ref="K6:K69" si="2">IFERROR(J6/E6,"")</f>
        <v/>
      </c>
      <c r="L6" s="53"/>
      <c r="M6" s="51" t="str">
        <f t="shared" ref="M6:M69" si="3">IFERROR(L6/E6,"")</f>
        <v/>
      </c>
      <c r="N6" s="53"/>
      <c r="O6" s="53"/>
      <c r="P6" s="51" t="str">
        <f t="shared" ref="P6:P69" si="4">IFERROR(O6/N6,"")</f>
        <v/>
      </c>
      <c r="Q6" s="53"/>
      <c r="R6" s="51" t="str">
        <f t="shared" ref="R6:R69" si="5">IFERROR(Q6/N6,"")</f>
        <v/>
      </c>
      <c r="S6" s="53"/>
      <c r="T6" s="53"/>
      <c r="U6" s="51" t="str">
        <f t="shared" ref="U6:U69" si="6">IFERROR(T6/S6,"")</f>
        <v/>
      </c>
      <c r="V6" s="53"/>
      <c r="W6" s="51" t="str">
        <f t="shared" ref="W6:W69" si="7">IFERROR(V6/S6,"")</f>
        <v/>
      </c>
      <c r="X6" s="53"/>
      <c r="Y6" s="51" t="str">
        <f t="shared" ref="Y6:Y69" si="8">IFERROR(X6/S6,"")</f>
        <v/>
      </c>
      <c r="Z6" s="2"/>
      <c r="AA6" s="2"/>
      <c r="AB6" s="2"/>
      <c r="AC6" s="2"/>
      <c r="AD6" s="2"/>
      <c r="AE6" s="2"/>
    </row>
    <row r="7" spans="1:31" ht="12.75" x14ac:dyDescent="0.2">
      <c r="A7" s="53">
        <f ca="1">IFERROR(__xludf.DUMMYFUNCTION("""COMPUTED_VALUE"""),1)</f>
        <v>1</v>
      </c>
      <c r="B7" s="53" t="str">
        <f ca="1">IFERROR(__xludf.DUMMYFUNCTION("""COMPUTED_VALUE"""),"Trường MN Sơn Ca")</f>
        <v>Trường MN Sơn Ca</v>
      </c>
      <c r="C7" s="53" t="str">
        <f ca="1">IFERROR(__xludf.DUMMYFUNCTION("""COMPUTED_VALUE"""),"MN")</f>
        <v>MN</v>
      </c>
      <c r="D7" s="53">
        <f ca="1">IFERROR(__xludf.DUMMYFUNCTION("""COMPUTED_VALUE"""),12)</f>
        <v>12</v>
      </c>
      <c r="E7" s="54">
        <f ca="1">IFERROR(__xludf.DUMMYFUNCTION("""COMPUTED_VALUE"""),28)</f>
        <v>28</v>
      </c>
      <c r="F7" s="54">
        <f ca="1">IFERROR(__xludf.DUMMYFUNCTION("""COMPUTED_VALUE"""),28)</f>
        <v>28</v>
      </c>
      <c r="G7" s="51">
        <f t="shared" ca="1" si="0"/>
        <v>1</v>
      </c>
      <c r="H7" s="54">
        <f ca="1">IFERROR(__xludf.DUMMYFUNCTION("""COMPUTED_VALUE"""),28)</f>
        <v>28</v>
      </c>
      <c r="I7" s="51">
        <f t="shared" ca="1" si="1"/>
        <v>1</v>
      </c>
      <c r="J7" s="54">
        <f ca="1">IFERROR(__xludf.DUMMYFUNCTION("""COMPUTED_VALUE"""),28)</f>
        <v>28</v>
      </c>
      <c r="K7" s="51">
        <f t="shared" ca="1" si="2"/>
        <v>1</v>
      </c>
      <c r="L7" s="54">
        <f ca="1">IFERROR(__xludf.DUMMYFUNCTION("""COMPUTED_VALUE"""),26)</f>
        <v>26</v>
      </c>
      <c r="M7" s="51">
        <f t="shared" ca="1" si="3"/>
        <v>0.9285714285714286</v>
      </c>
      <c r="N7" s="54">
        <f ca="1">IFERROR(__xludf.DUMMYFUNCTION("""COMPUTED_VALUE"""),58)</f>
        <v>58</v>
      </c>
      <c r="O7" s="54">
        <f ca="1">IFERROR(__xludf.DUMMYFUNCTION("""COMPUTED_VALUE"""),6)</f>
        <v>6</v>
      </c>
      <c r="P7" s="51">
        <f t="shared" ca="1" si="4"/>
        <v>0.10344827586206896</v>
      </c>
      <c r="Q7" s="54">
        <f ca="1">IFERROR(__xludf.DUMMYFUNCTION("""COMPUTED_VALUE"""),1)</f>
        <v>1</v>
      </c>
      <c r="R7" s="51">
        <f t="shared" ca="1" si="5"/>
        <v>1.7241379310344827E-2</v>
      </c>
      <c r="S7" s="53"/>
      <c r="T7" s="53"/>
      <c r="U7" s="51" t="str">
        <f t="shared" si="6"/>
        <v/>
      </c>
      <c r="V7" s="53"/>
      <c r="W7" s="51" t="str">
        <f t="shared" si="7"/>
        <v/>
      </c>
      <c r="X7" s="53"/>
      <c r="Y7" s="51" t="str">
        <f t="shared" si="8"/>
        <v/>
      </c>
      <c r="Z7" s="2"/>
      <c r="AA7" s="2"/>
      <c r="AB7" s="2"/>
      <c r="AC7" s="2"/>
      <c r="AD7" s="2"/>
      <c r="AE7" s="2"/>
    </row>
    <row r="8" spans="1:31" ht="12.75" x14ac:dyDescent="0.2">
      <c r="A8" s="53">
        <f ca="1">IFERROR(__xludf.DUMMYFUNCTION("""COMPUTED_VALUE"""),2)</f>
        <v>2</v>
      </c>
      <c r="B8" s="53" t="str">
        <f ca="1">IFERROR(__xludf.DUMMYFUNCTION("""COMPUTED_VALUE"""),"Trường MG Sơn Ca 1")</f>
        <v>Trường MG Sơn Ca 1</v>
      </c>
      <c r="C8" s="53" t="str">
        <f ca="1">IFERROR(__xludf.DUMMYFUNCTION("""COMPUTED_VALUE"""),"MN")</f>
        <v>MN</v>
      </c>
      <c r="D8" s="53">
        <f ca="1">IFERROR(__xludf.DUMMYFUNCTION("""COMPUTED_VALUE"""),12)</f>
        <v>12</v>
      </c>
      <c r="E8" s="54">
        <f ca="1">IFERROR(__xludf.DUMMYFUNCTION("""COMPUTED_VALUE"""),24)</f>
        <v>24</v>
      </c>
      <c r="F8" s="54">
        <f ca="1">IFERROR(__xludf.DUMMYFUNCTION("""COMPUTED_VALUE"""),24)</f>
        <v>24</v>
      </c>
      <c r="G8" s="51">
        <f t="shared" ca="1" si="0"/>
        <v>1</v>
      </c>
      <c r="H8" s="53">
        <f ca="1">IFERROR(__xludf.DUMMYFUNCTION("""COMPUTED_VALUE"""),24)</f>
        <v>24</v>
      </c>
      <c r="I8" s="51">
        <f t="shared" ca="1" si="1"/>
        <v>1</v>
      </c>
      <c r="J8" s="54">
        <f ca="1">IFERROR(__xludf.DUMMYFUNCTION("""COMPUTED_VALUE"""),24)</f>
        <v>24</v>
      </c>
      <c r="K8" s="51">
        <f t="shared" ca="1" si="2"/>
        <v>1</v>
      </c>
      <c r="L8" s="54">
        <f ca="1">IFERROR(__xludf.DUMMYFUNCTION("""COMPUTED_VALUE"""),24)</f>
        <v>24</v>
      </c>
      <c r="M8" s="51">
        <f t="shared" ca="1" si="3"/>
        <v>1</v>
      </c>
      <c r="N8" s="54">
        <f ca="1">IFERROR(__xludf.DUMMYFUNCTION("""COMPUTED_VALUE"""),56)</f>
        <v>56</v>
      </c>
      <c r="O8" s="54">
        <f ca="1">IFERROR(__xludf.DUMMYFUNCTION("""COMPUTED_VALUE"""),0)</f>
        <v>0</v>
      </c>
      <c r="P8" s="51">
        <f t="shared" ca="1" si="4"/>
        <v>0</v>
      </c>
      <c r="Q8" s="54">
        <f ca="1">IFERROR(__xludf.DUMMYFUNCTION("""COMPUTED_VALUE"""),1)</f>
        <v>1</v>
      </c>
      <c r="R8" s="51">
        <f t="shared" ca="1" si="5"/>
        <v>1.7857142857142856E-2</v>
      </c>
      <c r="S8" s="53"/>
      <c r="T8" s="53"/>
      <c r="U8" s="51" t="str">
        <f t="shared" si="6"/>
        <v/>
      </c>
      <c r="V8" s="53"/>
      <c r="W8" s="51" t="str">
        <f t="shared" si="7"/>
        <v/>
      </c>
      <c r="X8" s="53"/>
      <c r="Y8" s="51" t="str">
        <f t="shared" si="8"/>
        <v/>
      </c>
      <c r="Z8" s="2"/>
      <c r="AA8" s="2"/>
      <c r="AB8" s="2"/>
      <c r="AC8" s="2"/>
      <c r="AD8" s="2"/>
      <c r="AE8" s="2"/>
    </row>
    <row r="9" spans="1:31" ht="12.75" x14ac:dyDescent="0.2">
      <c r="A9" s="53">
        <f ca="1">IFERROR(__xludf.DUMMYFUNCTION("""COMPUTED_VALUE"""),3)</f>
        <v>3</v>
      </c>
      <c r="B9" s="53" t="str">
        <f ca="1">IFERROR(__xludf.DUMMYFUNCTION("""COMPUTED_VALUE"""),"Trường MN Sơn Ca 2")</f>
        <v>Trường MN Sơn Ca 2</v>
      </c>
      <c r="C9" s="53" t="str">
        <f ca="1">IFERROR(__xludf.DUMMYFUNCTION("""COMPUTED_VALUE"""),"MN")</f>
        <v>MN</v>
      </c>
      <c r="D9" s="53">
        <f ca="1">IFERROR(__xludf.DUMMYFUNCTION("""COMPUTED_VALUE"""),12)</f>
        <v>12</v>
      </c>
      <c r="E9" s="54">
        <f ca="1">IFERROR(__xludf.DUMMYFUNCTION("""COMPUTED_VALUE"""),18)</f>
        <v>18</v>
      </c>
      <c r="F9" s="54">
        <f ca="1">IFERROR(__xludf.DUMMYFUNCTION("""COMPUTED_VALUE"""),18)</f>
        <v>18</v>
      </c>
      <c r="G9" s="51">
        <f t="shared" ca="1" si="0"/>
        <v>1</v>
      </c>
      <c r="H9" s="54">
        <f ca="1">IFERROR(__xludf.DUMMYFUNCTION("""COMPUTED_VALUE"""),18)</f>
        <v>18</v>
      </c>
      <c r="I9" s="51">
        <f t="shared" ca="1" si="1"/>
        <v>1</v>
      </c>
      <c r="J9" s="54">
        <f ca="1">IFERROR(__xludf.DUMMYFUNCTION("""COMPUTED_VALUE"""),17)</f>
        <v>17</v>
      </c>
      <c r="K9" s="51">
        <f t="shared" ca="1" si="2"/>
        <v>0.94444444444444442</v>
      </c>
      <c r="L9" s="54">
        <f ca="1">IFERROR(__xludf.DUMMYFUNCTION("""COMPUTED_VALUE"""),15)</f>
        <v>15</v>
      </c>
      <c r="M9" s="51">
        <f t="shared" ca="1" si="3"/>
        <v>0.83333333333333337</v>
      </c>
      <c r="N9" s="54">
        <f ca="1">IFERROR(__xludf.DUMMYFUNCTION("""COMPUTED_VALUE"""),46)</f>
        <v>46</v>
      </c>
      <c r="O9" s="54">
        <f ca="1">IFERROR(__xludf.DUMMYFUNCTION("""COMPUTED_VALUE"""),10)</f>
        <v>10</v>
      </c>
      <c r="P9" s="51">
        <f t="shared" ca="1" si="4"/>
        <v>0.21739130434782608</v>
      </c>
      <c r="Q9" s="54">
        <f ca="1">IFERROR(__xludf.DUMMYFUNCTION("""COMPUTED_VALUE"""),7)</f>
        <v>7</v>
      </c>
      <c r="R9" s="51">
        <f t="shared" ca="1" si="5"/>
        <v>0.15217391304347827</v>
      </c>
      <c r="S9" s="53"/>
      <c r="T9" s="53"/>
      <c r="U9" s="51" t="str">
        <f t="shared" si="6"/>
        <v/>
      </c>
      <c r="V9" s="53"/>
      <c r="W9" s="51" t="str">
        <f t="shared" si="7"/>
        <v/>
      </c>
      <c r="X9" s="53"/>
      <c r="Y9" s="51" t="str">
        <f t="shared" si="8"/>
        <v/>
      </c>
      <c r="Z9" s="2"/>
      <c r="AA9" s="2"/>
      <c r="AB9" s="2"/>
      <c r="AC9" s="2"/>
      <c r="AD9" s="2"/>
      <c r="AE9" s="2"/>
    </row>
    <row r="10" spans="1:31" ht="12.75" x14ac:dyDescent="0.2">
      <c r="A10" s="53">
        <f ca="1">IFERROR(__xludf.DUMMYFUNCTION("""COMPUTED_VALUE"""),4)</f>
        <v>4</v>
      </c>
      <c r="B10" s="53" t="str">
        <f ca="1">IFERROR(__xludf.DUMMYFUNCTION("""COMPUTED_VALUE"""),"Trường MN Sơn Ca 3")</f>
        <v>Trường MN Sơn Ca 3</v>
      </c>
      <c r="C10" s="53" t="str">
        <f ca="1">IFERROR(__xludf.DUMMYFUNCTION("""COMPUTED_VALUE"""),"MN")</f>
        <v>MN</v>
      </c>
      <c r="D10" s="53">
        <f ca="1">IFERROR(__xludf.DUMMYFUNCTION("""COMPUTED_VALUE"""),12)</f>
        <v>12</v>
      </c>
      <c r="E10" s="54">
        <f ca="1">IFERROR(__xludf.DUMMYFUNCTION("""COMPUTED_VALUE"""),21)</f>
        <v>21</v>
      </c>
      <c r="F10" s="54">
        <f ca="1">IFERROR(__xludf.DUMMYFUNCTION("""COMPUTED_VALUE"""),21)</f>
        <v>21</v>
      </c>
      <c r="G10" s="51">
        <f t="shared" ca="1" si="0"/>
        <v>1</v>
      </c>
      <c r="H10" s="54">
        <f ca="1">IFERROR(__xludf.DUMMYFUNCTION("""COMPUTED_VALUE"""),21)</f>
        <v>21</v>
      </c>
      <c r="I10" s="51">
        <f t="shared" ca="1" si="1"/>
        <v>1</v>
      </c>
      <c r="J10" s="54">
        <f ca="1">IFERROR(__xludf.DUMMYFUNCTION("""COMPUTED_VALUE"""),21)</f>
        <v>21</v>
      </c>
      <c r="K10" s="51">
        <f t="shared" ca="1" si="2"/>
        <v>1</v>
      </c>
      <c r="L10" s="54">
        <f ca="1">IFERROR(__xludf.DUMMYFUNCTION("""COMPUTED_VALUE"""),20)</f>
        <v>20</v>
      </c>
      <c r="M10" s="51">
        <f t="shared" ca="1" si="3"/>
        <v>0.95238095238095233</v>
      </c>
      <c r="N10" s="54">
        <f ca="1">IFERROR(__xludf.DUMMYFUNCTION("""COMPUTED_VALUE"""),23)</f>
        <v>23</v>
      </c>
      <c r="O10" s="54">
        <f ca="1">IFERROR(__xludf.DUMMYFUNCTION("""COMPUTED_VALUE"""),3)</f>
        <v>3</v>
      </c>
      <c r="P10" s="51">
        <f t="shared" ca="1" si="4"/>
        <v>0.13043478260869565</v>
      </c>
      <c r="Q10" s="54">
        <f ca="1">IFERROR(__xludf.DUMMYFUNCTION("""COMPUTED_VALUE"""),2)</f>
        <v>2</v>
      </c>
      <c r="R10" s="51">
        <f t="shared" ca="1" si="5"/>
        <v>8.6956521739130432E-2</v>
      </c>
      <c r="S10" s="53"/>
      <c r="T10" s="53"/>
      <c r="U10" s="51" t="str">
        <f t="shared" si="6"/>
        <v/>
      </c>
      <c r="V10" s="53"/>
      <c r="W10" s="51" t="str">
        <f t="shared" si="7"/>
        <v/>
      </c>
      <c r="X10" s="53"/>
      <c r="Y10" s="51" t="str">
        <f t="shared" si="8"/>
        <v/>
      </c>
      <c r="Z10" s="2"/>
      <c r="AA10" s="2"/>
      <c r="AB10" s="2"/>
      <c r="AC10" s="2"/>
      <c r="AD10" s="2"/>
      <c r="AE10" s="2"/>
    </row>
    <row r="11" spans="1:31" ht="12.75" x14ac:dyDescent="0.2">
      <c r="A11" s="53">
        <f ca="1">IFERROR(__xludf.DUMMYFUNCTION("""COMPUTED_VALUE"""),5)</f>
        <v>5</v>
      </c>
      <c r="B11" s="53" t="str">
        <f ca="1">IFERROR(__xludf.DUMMYFUNCTION("""COMPUTED_VALUE"""),"Trường MN Sơn Ca 4")</f>
        <v>Trường MN Sơn Ca 4</v>
      </c>
      <c r="C11" s="53" t="str">
        <f ca="1">IFERROR(__xludf.DUMMYFUNCTION("""COMPUTED_VALUE"""),"MN")</f>
        <v>MN</v>
      </c>
      <c r="D11" s="53">
        <f ca="1">IFERROR(__xludf.DUMMYFUNCTION("""COMPUTED_VALUE"""),12)</f>
        <v>12</v>
      </c>
      <c r="E11" s="54">
        <f ca="1">IFERROR(__xludf.DUMMYFUNCTION("""COMPUTED_VALUE"""),18)</f>
        <v>18</v>
      </c>
      <c r="F11" s="54">
        <f ca="1">IFERROR(__xludf.DUMMYFUNCTION("""COMPUTED_VALUE"""),18)</f>
        <v>18</v>
      </c>
      <c r="G11" s="51">
        <f t="shared" ca="1" si="0"/>
        <v>1</v>
      </c>
      <c r="H11" s="54">
        <f ca="1">IFERROR(__xludf.DUMMYFUNCTION("""COMPUTED_VALUE"""),18)</f>
        <v>18</v>
      </c>
      <c r="I11" s="51">
        <f t="shared" ca="1" si="1"/>
        <v>1</v>
      </c>
      <c r="J11" s="54">
        <f ca="1">IFERROR(__xludf.DUMMYFUNCTION("""COMPUTED_VALUE"""),17)</f>
        <v>17</v>
      </c>
      <c r="K11" s="51">
        <f t="shared" ca="1" si="2"/>
        <v>0.94444444444444442</v>
      </c>
      <c r="L11" s="54">
        <f ca="1">IFERROR(__xludf.DUMMYFUNCTION("""COMPUTED_VALUE"""),16)</f>
        <v>16</v>
      </c>
      <c r="M11" s="51">
        <f t="shared" ca="1" si="3"/>
        <v>0.88888888888888884</v>
      </c>
      <c r="N11" s="54">
        <f ca="1">IFERROR(__xludf.DUMMYFUNCTION("""COMPUTED_VALUE"""),56)</f>
        <v>56</v>
      </c>
      <c r="O11" s="54">
        <f ca="1">IFERROR(__xludf.DUMMYFUNCTION("""COMPUTED_VALUE"""),56)</f>
        <v>56</v>
      </c>
      <c r="P11" s="51">
        <f t="shared" ca="1" si="4"/>
        <v>1</v>
      </c>
      <c r="Q11" s="54">
        <f ca="1">IFERROR(__xludf.DUMMYFUNCTION("""COMPUTED_VALUE"""),8)</f>
        <v>8</v>
      </c>
      <c r="R11" s="51">
        <f t="shared" ca="1" si="5"/>
        <v>0.14285714285714285</v>
      </c>
      <c r="S11" s="53"/>
      <c r="T11" s="53"/>
      <c r="U11" s="51" t="str">
        <f t="shared" si="6"/>
        <v/>
      </c>
      <c r="V11" s="53"/>
      <c r="W11" s="51" t="str">
        <f t="shared" si="7"/>
        <v/>
      </c>
      <c r="X11" s="53"/>
      <c r="Y11" s="51" t="str">
        <f t="shared" si="8"/>
        <v/>
      </c>
      <c r="Z11" s="2"/>
      <c r="AA11" s="2"/>
      <c r="AB11" s="2"/>
      <c r="AC11" s="2"/>
      <c r="AD11" s="2"/>
      <c r="AE11" s="2"/>
    </row>
    <row r="12" spans="1:31" ht="12.75" x14ac:dyDescent="0.2">
      <c r="A12" s="53">
        <f ca="1">IFERROR(__xludf.DUMMYFUNCTION("""COMPUTED_VALUE"""),6)</f>
        <v>6</v>
      </c>
      <c r="B12" s="53" t="str">
        <f ca="1">IFERROR(__xludf.DUMMYFUNCTION("""COMPUTED_VALUE"""),"Trường MN Sơn Ca 5")</f>
        <v>Trường MN Sơn Ca 5</v>
      </c>
      <c r="C12" s="53" t="str">
        <f ca="1">IFERROR(__xludf.DUMMYFUNCTION("""COMPUTED_VALUE"""),"MN")</f>
        <v>MN</v>
      </c>
      <c r="D12" s="53">
        <f ca="1">IFERROR(__xludf.DUMMYFUNCTION("""COMPUTED_VALUE"""),12)</f>
        <v>12</v>
      </c>
      <c r="E12" s="54">
        <f ca="1">IFERROR(__xludf.DUMMYFUNCTION("""COMPUTED_VALUE"""),42)</f>
        <v>42</v>
      </c>
      <c r="F12" s="54">
        <f ca="1">IFERROR(__xludf.DUMMYFUNCTION("""COMPUTED_VALUE"""),42)</f>
        <v>42</v>
      </c>
      <c r="G12" s="51">
        <f t="shared" ca="1" si="0"/>
        <v>1</v>
      </c>
      <c r="H12" s="54">
        <f ca="1">IFERROR(__xludf.DUMMYFUNCTION("""COMPUTED_VALUE"""),42)</f>
        <v>42</v>
      </c>
      <c r="I12" s="51">
        <f t="shared" ca="1" si="1"/>
        <v>1</v>
      </c>
      <c r="J12" s="54">
        <f ca="1">IFERROR(__xludf.DUMMYFUNCTION("""COMPUTED_VALUE"""),42)</f>
        <v>42</v>
      </c>
      <c r="K12" s="51">
        <f t="shared" ca="1" si="2"/>
        <v>1</v>
      </c>
      <c r="L12" s="54">
        <f ca="1">IFERROR(__xludf.DUMMYFUNCTION("""COMPUTED_VALUE"""),42)</f>
        <v>42</v>
      </c>
      <c r="M12" s="51">
        <f t="shared" ca="1" si="3"/>
        <v>1</v>
      </c>
      <c r="N12" s="54">
        <f ca="1">IFERROR(__xludf.DUMMYFUNCTION("""COMPUTED_VALUE"""),69)</f>
        <v>69</v>
      </c>
      <c r="O12" s="54">
        <f ca="1">IFERROR(__xludf.DUMMYFUNCTION("""COMPUTED_VALUE"""),69)</f>
        <v>69</v>
      </c>
      <c r="P12" s="51">
        <f t="shared" ca="1" si="4"/>
        <v>1</v>
      </c>
      <c r="Q12" s="54">
        <f ca="1">IFERROR(__xludf.DUMMYFUNCTION("""COMPUTED_VALUE"""),45)</f>
        <v>45</v>
      </c>
      <c r="R12" s="51">
        <f t="shared" ca="1" si="5"/>
        <v>0.65217391304347827</v>
      </c>
      <c r="S12" s="53"/>
      <c r="T12" s="53"/>
      <c r="U12" s="51" t="str">
        <f t="shared" si="6"/>
        <v/>
      </c>
      <c r="V12" s="53"/>
      <c r="W12" s="51" t="str">
        <f t="shared" si="7"/>
        <v/>
      </c>
      <c r="X12" s="53"/>
      <c r="Y12" s="51" t="str">
        <f t="shared" si="8"/>
        <v/>
      </c>
      <c r="Z12" s="2"/>
      <c r="AA12" s="2"/>
      <c r="AB12" s="2"/>
      <c r="AC12" s="2"/>
      <c r="AD12" s="2"/>
      <c r="AE12" s="2"/>
    </row>
    <row r="13" spans="1:31" ht="12.75" x14ac:dyDescent="0.2">
      <c r="A13" s="53">
        <f ca="1">IFERROR(__xludf.DUMMYFUNCTION("""COMPUTED_VALUE"""),7)</f>
        <v>7</v>
      </c>
      <c r="B13" s="53" t="str">
        <f ca="1">IFERROR(__xludf.DUMMYFUNCTION("""COMPUTED_VALUE"""),"Trường MN Sơn Ca 6")</f>
        <v>Trường MN Sơn Ca 6</v>
      </c>
      <c r="C13" s="53" t="str">
        <f ca="1">IFERROR(__xludf.DUMMYFUNCTION("""COMPUTED_VALUE"""),"MN")</f>
        <v>MN</v>
      </c>
      <c r="D13" s="53">
        <f ca="1">IFERROR(__xludf.DUMMYFUNCTION("""COMPUTED_VALUE"""),12)</f>
        <v>12</v>
      </c>
      <c r="E13" s="54">
        <f ca="1">IFERROR(__xludf.DUMMYFUNCTION("""COMPUTED_VALUE"""),61)</f>
        <v>61</v>
      </c>
      <c r="F13" s="54">
        <f ca="1">IFERROR(__xludf.DUMMYFUNCTION("""COMPUTED_VALUE"""),61)</f>
        <v>61</v>
      </c>
      <c r="G13" s="51">
        <f t="shared" ca="1" si="0"/>
        <v>1</v>
      </c>
      <c r="H13" s="54">
        <f ca="1">IFERROR(__xludf.DUMMYFUNCTION("""COMPUTED_VALUE"""),61)</f>
        <v>61</v>
      </c>
      <c r="I13" s="51">
        <f t="shared" ca="1" si="1"/>
        <v>1</v>
      </c>
      <c r="J13" s="54">
        <f ca="1">IFERROR(__xludf.DUMMYFUNCTION("""COMPUTED_VALUE"""),59)</f>
        <v>59</v>
      </c>
      <c r="K13" s="51">
        <f t="shared" ca="1" si="2"/>
        <v>0.96721311475409832</v>
      </c>
      <c r="L13" s="54">
        <f ca="1">IFERROR(__xludf.DUMMYFUNCTION("""COMPUTED_VALUE"""),48)</f>
        <v>48</v>
      </c>
      <c r="M13" s="51">
        <f t="shared" ca="1" si="3"/>
        <v>0.78688524590163933</v>
      </c>
      <c r="N13" s="54">
        <f ca="1">IFERROR(__xludf.DUMMYFUNCTION("""COMPUTED_VALUE"""),210)</f>
        <v>210</v>
      </c>
      <c r="O13" s="54">
        <f ca="1">IFERROR(__xludf.DUMMYFUNCTION("""COMPUTED_VALUE"""),13)</f>
        <v>13</v>
      </c>
      <c r="P13" s="51">
        <f t="shared" ca="1" si="4"/>
        <v>6.1904761904761907E-2</v>
      </c>
      <c r="Q13" s="54">
        <f ca="1">IFERROR(__xludf.DUMMYFUNCTION("""COMPUTED_VALUE"""),5)</f>
        <v>5</v>
      </c>
      <c r="R13" s="51">
        <f t="shared" ca="1" si="5"/>
        <v>2.3809523809523808E-2</v>
      </c>
      <c r="S13" s="53"/>
      <c r="T13" s="53"/>
      <c r="U13" s="51" t="str">
        <f t="shared" si="6"/>
        <v/>
      </c>
      <c r="V13" s="53"/>
      <c r="W13" s="51" t="str">
        <f t="shared" si="7"/>
        <v/>
      </c>
      <c r="X13" s="53"/>
      <c r="Y13" s="51" t="str">
        <f t="shared" si="8"/>
        <v/>
      </c>
      <c r="Z13" s="2"/>
      <c r="AA13" s="2"/>
      <c r="AB13" s="2"/>
      <c r="AC13" s="2"/>
      <c r="AD13" s="2"/>
      <c r="AE13" s="2"/>
    </row>
    <row r="14" spans="1:31" ht="12.75" x14ac:dyDescent="0.2">
      <c r="A14" s="53">
        <f ca="1">IFERROR(__xludf.DUMMYFUNCTION("""COMPUTED_VALUE"""),8)</f>
        <v>8</v>
      </c>
      <c r="B14" s="53" t="str">
        <f ca="1">IFERROR(__xludf.DUMMYFUNCTION("""COMPUTED_VALUE"""),"Trường MN Sơn Ca 7")</f>
        <v>Trường MN Sơn Ca 7</v>
      </c>
      <c r="C14" s="53" t="str">
        <f ca="1">IFERROR(__xludf.DUMMYFUNCTION("""COMPUTED_VALUE"""),"MN")</f>
        <v>MN</v>
      </c>
      <c r="D14" s="53">
        <f ca="1">IFERROR(__xludf.DUMMYFUNCTION("""COMPUTED_VALUE"""),12)</f>
        <v>12</v>
      </c>
      <c r="E14" s="54">
        <f ca="1">IFERROR(__xludf.DUMMYFUNCTION("""COMPUTED_VALUE"""),20)</f>
        <v>20</v>
      </c>
      <c r="F14" s="54">
        <f ca="1">IFERROR(__xludf.DUMMYFUNCTION("""COMPUTED_VALUE"""),20)</f>
        <v>20</v>
      </c>
      <c r="G14" s="51">
        <f t="shared" ca="1" si="0"/>
        <v>1</v>
      </c>
      <c r="H14" s="54">
        <f ca="1">IFERROR(__xludf.DUMMYFUNCTION("""COMPUTED_VALUE"""),20)</f>
        <v>20</v>
      </c>
      <c r="I14" s="51">
        <f t="shared" ca="1" si="1"/>
        <v>1</v>
      </c>
      <c r="J14" s="54">
        <f ca="1">IFERROR(__xludf.DUMMYFUNCTION("""COMPUTED_VALUE"""),20)</f>
        <v>20</v>
      </c>
      <c r="K14" s="51">
        <f t="shared" ca="1" si="2"/>
        <v>1</v>
      </c>
      <c r="L14" s="54">
        <f ca="1">IFERROR(__xludf.DUMMYFUNCTION("""COMPUTED_VALUE"""),10)</f>
        <v>10</v>
      </c>
      <c r="M14" s="51">
        <f t="shared" ca="1" si="3"/>
        <v>0.5</v>
      </c>
      <c r="N14" s="54">
        <f ca="1">IFERROR(__xludf.DUMMYFUNCTION("""COMPUTED_VALUE"""),55)</f>
        <v>55</v>
      </c>
      <c r="O14" s="54">
        <f ca="1">IFERROR(__xludf.DUMMYFUNCTION("""COMPUTED_VALUE"""),1)</f>
        <v>1</v>
      </c>
      <c r="P14" s="51">
        <f t="shared" ca="1" si="4"/>
        <v>1.8181818181818181E-2</v>
      </c>
      <c r="Q14" s="54">
        <f ca="1">IFERROR(__xludf.DUMMYFUNCTION("""COMPUTED_VALUE"""),1)</f>
        <v>1</v>
      </c>
      <c r="R14" s="51">
        <f t="shared" ca="1" si="5"/>
        <v>1.8181818181818181E-2</v>
      </c>
      <c r="S14" s="53"/>
      <c r="T14" s="53"/>
      <c r="U14" s="51" t="str">
        <f t="shared" si="6"/>
        <v/>
      </c>
      <c r="V14" s="53"/>
      <c r="W14" s="51" t="str">
        <f t="shared" si="7"/>
        <v/>
      </c>
      <c r="X14" s="53"/>
      <c r="Y14" s="51" t="str">
        <f t="shared" si="8"/>
        <v/>
      </c>
      <c r="Z14" s="2"/>
      <c r="AA14" s="2"/>
      <c r="AB14" s="2"/>
      <c r="AC14" s="2"/>
      <c r="AD14" s="2"/>
      <c r="AE14" s="2"/>
    </row>
    <row r="15" spans="1:31" ht="12.75" x14ac:dyDescent="0.2">
      <c r="A15" s="53">
        <f ca="1">IFERROR(__xludf.DUMMYFUNCTION("""COMPUTED_VALUE"""),9)</f>
        <v>9</v>
      </c>
      <c r="B15" s="53" t="str">
        <f ca="1">IFERROR(__xludf.DUMMYFUNCTION("""COMPUTED_VALUE"""),"Trường MN Sơn Ca 8")</f>
        <v>Trường MN Sơn Ca 8</v>
      </c>
      <c r="C15" s="53" t="str">
        <f ca="1">IFERROR(__xludf.DUMMYFUNCTION("""COMPUTED_VALUE"""),"MN")</f>
        <v>MN</v>
      </c>
      <c r="D15" s="53">
        <f ca="1">IFERROR(__xludf.DUMMYFUNCTION("""COMPUTED_VALUE"""),12)</f>
        <v>12</v>
      </c>
      <c r="E15" s="54">
        <f ca="1">IFERROR(__xludf.DUMMYFUNCTION("""COMPUTED_VALUE"""),49)</f>
        <v>49</v>
      </c>
      <c r="F15" s="54">
        <f ca="1">IFERROR(__xludf.DUMMYFUNCTION("""COMPUTED_VALUE"""),49)</f>
        <v>49</v>
      </c>
      <c r="G15" s="51">
        <f t="shared" ca="1" si="0"/>
        <v>1</v>
      </c>
      <c r="H15" s="54">
        <f ca="1">IFERROR(__xludf.DUMMYFUNCTION("""COMPUTED_VALUE"""),49)</f>
        <v>49</v>
      </c>
      <c r="I15" s="51">
        <f t="shared" ca="1" si="1"/>
        <v>1</v>
      </c>
      <c r="J15" s="54">
        <f ca="1">IFERROR(__xludf.DUMMYFUNCTION("""COMPUTED_VALUE"""),49)</f>
        <v>49</v>
      </c>
      <c r="K15" s="51">
        <f t="shared" ca="1" si="2"/>
        <v>1</v>
      </c>
      <c r="L15" s="54">
        <f ca="1">IFERROR(__xludf.DUMMYFUNCTION("""COMPUTED_VALUE"""),45)</f>
        <v>45</v>
      </c>
      <c r="M15" s="51">
        <f t="shared" ca="1" si="3"/>
        <v>0.91836734693877553</v>
      </c>
      <c r="N15" s="54">
        <f ca="1">IFERROR(__xludf.DUMMYFUNCTION("""COMPUTED_VALUE"""),78)</f>
        <v>78</v>
      </c>
      <c r="O15" s="54">
        <f ca="1">IFERROR(__xludf.DUMMYFUNCTION("""COMPUTED_VALUE"""),18)</f>
        <v>18</v>
      </c>
      <c r="P15" s="51">
        <f t="shared" ca="1" si="4"/>
        <v>0.23076923076923078</v>
      </c>
      <c r="Q15" s="54">
        <f ca="1">IFERROR(__xludf.DUMMYFUNCTION("""COMPUTED_VALUE"""),3)</f>
        <v>3</v>
      </c>
      <c r="R15" s="51">
        <f t="shared" ca="1" si="5"/>
        <v>3.8461538461538464E-2</v>
      </c>
      <c r="S15" s="53"/>
      <c r="T15" s="53"/>
      <c r="U15" s="51" t="str">
        <f t="shared" si="6"/>
        <v/>
      </c>
      <c r="V15" s="53"/>
      <c r="W15" s="51" t="str">
        <f t="shared" si="7"/>
        <v/>
      </c>
      <c r="X15" s="53"/>
      <c r="Y15" s="51" t="str">
        <f t="shared" si="8"/>
        <v/>
      </c>
      <c r="Z15" s="2"/>
      <c r="AA15" s="2"/>
      <c r="AB15" s="2"/>
      <c r="AC15" s="2"/>
      <c r="AD15" s="2"/>
      <c r="AE15" s="2"/>
    </row>
    <row r="16" spans="1:31" ht="12.75" x14ac:dyDescent="0.2">
      <c r="A16" s="53">
        <f ca="1">IFERROR(__xludf.DUMMYFUNCTION("""COMPUTED_VALUE"""),10)</f>
        <v>10</v>
      </c>
      <c r="B16" s="53" t="str">
        <f ca="1">IFERROR(__xludf.DUMMYFUNCTION("""COMPUTED_VALUE"""),"Trường MN Sơn Ca 9")</f>
        <v>Trường MN Sơn Ca 9</v>
      </c>
      <c r="C16" s="53" t="str">
        <f ca="1">IFERROR(__xludf.DUMMYFUNCTION("""COMPUTED_VALUE"""),"MN")</f>
        <v>MN</v>
      </c>
      <c r="D16" s="53">
        <f ca="1">IFERROR(__xludf.DUMMYFUNCTION("""COMPUTED_VALUE"""),12)</f>
        <v>12</v>
      </c>
      <c r="E16" s="54">
        <f ca="1">IFERROR(__xludf.DUMMYFUNCTION("""COMPUTED_VALUE"""),30)</f>
        <v>30</v>
      </c>
      <c r="F16" s="54">
        <f ca="1">IFERROR(__xludf.DUMMYFUNCTION("""COMPUTED_VALUE"""),30)</f>
        <v>30</v>
      </c>
      <c r="G16" s="51">
        <f t="shared" ca="1" si="0"/>
        <v>1</v>
      </c>
      <c r="H16" s="54">
        <f ca="1">IFERROR(__xludf.DUMMYFUNCTION("""COMPUTED_VALUE"""),30)</f>
        <v>30</v>
      </c>
      <c r="I16" s="51">
        <f t="shared" ca="1" si="1"/>
        <v>1</v>
      </c>
      <c r="J16" s="54">
        <f ca="1">IFERROR(__xludf.DUMMYFUNCTION("""COMPUTED_VALUE"""),30)</f>
        <v>30</v>
      </c>
      <c r="K16" s="51">
        <f t="shared" ca="1" si="2"/>
        <v>1</v>
      </c>
      <c r="L16" s="54">
        <f ca="1">IFERROR(__xludf.DUMMYFUNCTION("""COMPUTED_VALUE"""),24)</f>
        <v>24</v>
      </c>
      <c r="M16" s="51">
        <f t="shared" ca="1" si="3"/>
        <v>0.8</v>
      </c>
      <c r="N16" s="54">
        <f ca="1">IFERROR(__xludf.DUMMYFUNCTION("""COMPUTED_VALUE"""),43)</f>
        <v>43</v>
      </c>
      <c r="O16" s="54">
        <f ca="1">IFERROR(__xludf.DUMMYFUNCTION("""COMPUTED_VALUE"""),0)</f>
        <v>0</v>
      </c>
      <c r="P16" s="51">
        <f t="shared" ca="1" si="4"/>
        <v>0</v>
      </c>
      <c r="Q16" s="54">
        <f ca="1">IFERROR(__xludf.DUMMYFUNCTION("""COMPUTED_VALUE"""),0)</f>
        <v>0</v>
      </c>
      <c r="R16" s="51">
        <f t="shared" ca="1" si="5"/>
        <v>0</v>
      </c>
      <c r="S16" s="53"/>
      <c r="T16" s="53"/>
      <c r="U16" s="51" t="str">
        <f t="shared" si="6"/>
        <v/>
      </c>
      <c r="V16" s="53"/>
      <c r="W16" s="51" t="str">
        <f t="shared" si="7"/>
        <v/>
      </c>
      <c r="X16" s="53"/>
      <c r="Y16" s="51" t="str">
        <f t="shared" si="8"/>
        <v/>
      </c>
      <c r="Z16" s="2"/>
      <c r="AA16" s="2"/>
      <c r="AB16" s="2"/>
      <c r="AC16" s="2"/>
      <c r="AD16" s="2"/>
      <c r="AE16" s="2"/>
    </row>
    <row r="17" spans="1:31" ht="12.75" x14ac:dyDescent="0.2">
      <c r="A17" s="53">
        <f ca="1">IFERROR(__xludf.DUMMYFUNCTION("""COMPUTED_VALUE"""),11)</f>
        <v>11</v>
      </c>
      <c r="B17" s="53" t="str">
        <f ca="1">IFERROR(__xludf.DUMMYFUNCTION("""COMPUTED_VALUE"""),"Trường Mầm non Bông sen")</f>
        <v>Trường Mầm non Bông sen</v>
      </c>
      <c r="C17" s="53" t="str">
        <f ca="1">IFERROR(__xludf.DUMMYFUNCTION("""COMPUTED_VALUE"""),"MN")</f>
        <v>MN</v>
      </c>
      <c r="D17" s="53">
        <f ca="1">IFERROR(__xludf.DUMMYFUNCTION("""COMPUTED_VALUE"""),12)</f>
        <v>12</v>
      </c>
      <c r="E17" s="54">
        <f ca="1">IFERROR(__xludf.DUMMYFUNCTION("""COMPUTED_VALUE"""),53)</f>
        <v>53</v>
      </c>
      <c r="F17" s="54">
        <f ca="1">IFERROR(__xludf.DUMMYFUNCTION("""COMPUTED_VALUE"""),53)</f>
        <v>53</v>
      </c>
      <c r="G17" s="51">
        <f t="shared" ca="1" si="0"/>
        <v>1</v>
      </c>
      <c r="H17" s="54">
        <f ca="1">IFERROR(__xludf.DUMMYFUNCTION("""COMPUTED_VALUE"""),53)</f>
        <v>53</v>
      </c>
      <c r="I17" s="51">
        <f t="shared" ca="1" si="1"/>
        <v>1</v>
      </c>
      <c r="J17" s="54">
        <f ca="1">IFERROR(__xludf.DUMMYFUNCTION("""COMPUTED_VALUE"""),49)</f>
        <v>49</v>
      </c>
      <c r="K17" s="51">
        <f t="shared" ca="1" si="2"/>
        <v>0.92452830188679247</v>
      </c>
      <c r="L17" s="54">
        <f ca="1">IFERROR(__xludf.DUMMYFUNCTION("""COMPUTED_VALUE"""),38)</f>
        <v>38</v>
      </c>
      <c r="M17" s="51">
        <f t="shared" ca="1" si="3"/>
        <v>0.71698113207547165</v>
      </c>
      <c r="N17" s="54">
        <f ca="1">IFERROR(__xludf.DUMMYFUNCTION("""COMPUTED_VALUE"""),349)</f>
        <v>349</v>
      </c>
      <c r="O17" s="54">
        <f ca="1">IFERROR(__xludf.DUMMYFUNCTION("""COMPUTED_VALUE"""),20)</f>
        <v>20</v>
      </c>
      <c r="P17" s="51">
        <f t="shared" ca="1" si="4"/>
        <v>5.730659025787966E-2</v>
      </c>
      <c r="Q17" s="54">
        <f ca="1">IFERROR(__xludf.DUMMYFUNCTION("""COMPUTED_VALUE"""),0)</f>
        <v>0</v>
      </c>
      <c r="R17" s="51">
        <f t="shared" ca="1" si="5"/>
        <v>0</v>
      </c>
      <c r="S17" s="53"/>
      <c r="T17" s="53"/>
      <c r="U17" s="51" t="str">
        <f t="shared" si="6"/>
        <v/>
      </c>
      <c r="V17" s="53"/>
      <c r="W17" s="51" t="str">
        <f t="shared" si="7"/>
        <v/>
      </c>
      <c r="X17" s="53"/>
      <c r="Y17" s="51" t="str">
        <f t="shared" si="8"/>
        <v/>
      </c>
      <c r="Z17" s="2"/>
      <c r="AA17" s="2"/>
      <c r="AB17" s="2"/>
      <c r="AC17" s="2"/>
      <c r="AD17" s="2"/>
      <c r="AE17" s="2"/>
    </row>
    <row r="18" spans="1:31" ht="12.75" x14ac:dyDescent="0.2">
      <c r="A18" s="53">
        <f ca="1">IFERROR(__xludf.DUMMYFUNCTION("""COMPUTED_VALUE"""),12)</f>
        <v>12</v>
      </c>
      <c r="B18" s="53" t="str">
        <f ca="1">IFERROR(__xludf.DUMMYFUNCTION("""COMPUTED_VALUE"""),"Trường MN Bé Ngoan")</f>
        <v>Trường MN Bé Ngoan</v>
      </c>
      <c r="C18" s="53" t="str">
        <f ca="1">IFERROR(__xludf.DUMMYFUNCTION("""COMPUTED_VALUE"""),"MN")</f>
        <v>MN</v>
      </c>
      <c r="D18" s="53">
        <f ca="1">IFERROR(__xludf.DUMMYFUNCTION("""COMPUTED_VALUE"""),12)</f>
        <v>12</v>
      </c>
      <c r="E18" s="54">
        <f ca="1">IFERROR(__xludf.DUMMYFUNCTION("""COMPUTED_VALUE"""),32)</f>
        <v>32</v>
      </c>
      <c r="F18" s="54">
        <f ca="1">IFERROR(__xludf.DUMMYFUNCTION("""COMPUTED_VALUE"""),32)</f>
        <v>32</v>
      </c>
      <c r="G18" s="51">
        <f t="shared" ca="1" si="0"/>
        <v>1</v>
      </c>
      <c r="H18" s="54">
        <f ca="1">IFERROR(__xludf.DUMMYFUNCTION("""COMPUTED_VALUE"""),32)</f>
        <v>32</v>
      </c>
      <c r="I18" s="51">
        <f t="shared" ca="1" si="1"/>
        <v>1</v>
      </c>
      <c r="J18" s="54">
        <f ca="1">IFERROR(__xludf.DUMMYFUNCTION("""COMPUTED_VALUE"""),32)</f>
        <v>32</v>
      </c>
      <c r="K18" s="51">
        <f t="shared" ca="1" si="2"/>
        <v>1</v>
      </c>
      <c r="L18" s="54">
        <f ca="1">IFERROR(__xludf.DUMMYFUNCTION("""COMPUTED_VALUE"""),31)</f>
        <v>31</v>
      </c>
      <c r="M18" s="51">
        <f t="shared" ca="1" si="3"/>
        <v>0.96875</v>
      </c>
      <c r="N18" s="54">
        <f ca="1">IFERROR(__xludf.DUMMYFUNCTION("""COMPUTED_VALUE"""),162)</f>
        <v>162</v>
      </c>
      <c r="O18" s="54">
        <f ca="1">IFERROR(__xludf.DUMMYFUNCTION("""COMPUTED_VALUE"""),11)</f>
        <v>11</v>
      </c>
      <c r="P18" s="51">
        <f t="shared" ca="1" si="4"/>
        <v>6.7901234567901231E-2</v>
      </c>
      <c r="Q18" s="54">
        <f ca="1">IFERROR(__xludf.DUMMYFUNCTION("""COMPUTED_VALUE"""),3)</f>
        <v>3</v>
      </c>
      <c r="R18" s="51">
        <f t="shared" ca="1" si="5"/>
        <v>1.8518518518518517E-2</v>
      </c>
      <c r="S18" s="53"/>
      <c r="T18" s="53"/>
      <c r="U18" s="51" t="str">
        <f t="shared" si="6"/>
        <v/>
      </c>
      <c r="V18" s="53"/>
      <c r="W18" s="51" t="str">
        <f t="shared" si="7"/>
        <v/>
      </c>
      <c r="X18" s="53"/>
      <c r="Y18" s="51" t="str">
        <f t="shared" si="8"/>
        <v/>
      </c>
      <c r="Z18" s="2"/>
      <c r="AA18" s="2"/>
      <c r="AB18" s="2"/>
      <c r="AC18" s="2"/>
      <c r="AD18" s="2"/>
      <c r="AE18" s="2"/>
    </row>
    <row r="19" spans="1:31" ht="12.75" x14ac:dyDescent="0.2">
      <c r="A19" s="53">
        <f ca="1">IFERROR(__xludf.DUMMYFUNCTION("""COMPUTED_VALUE"""),13)</f>
        <v>13</v>
      </c>
      <c r="B19" s="53" t="str">
        <f ca="1">IFERROR(__xludf.DUMMYFUNCTION("""COMPUTED_VALUE"""),"Trường MN Bông Hồng")</f>
        <v>Trường MN Bông Hồng</v>
      </c>
      <c r="C19" s="53" t="str">
        <f ca="1">IFERROR(__xludf.DUMMYFUNCTION("""COMPUTED_VALUE"""),"MN")</f>
        <v>MN</v>
      </c>
      <c r="D19" s="53">
        <f ca="1">IFERROR(__xludf.DUMMYFUNCTION("""COMPUTED_VALUE"""),12)</f>
        <v>12</v>
      </c>
      <c r="E19" s="54">
        <f ca="1">IFERROR(__xludf.DUMMYFUNCTION("""COMPUTED_VALUE"""),40)</f>
        <v>40</v>
      </c>
      <c r="F19" s="54">
        <f ca="1">IFERROR(__xludf.DUMMYFUNCTION("""COMPUTED_VALUE"""),40)</f>
        <v>40</v>
      </c>
      <c r="G19" s="51">
        <f t="shared" ca="1" si="0"/>
        <v>1</v>
      </c>
      <c r="H19" s="54">
        <f ca="1">IFERROR(__xludf.DUMMYFUNCTION("""COMPUTED_VALUE"""),40)</f>
        <v>40</v>
      </c>
      <c r="I19" s="51">
        <f t="shared" ca="1" si="1"/>
        <v>1</v>
      </c>
      <c r="J19" s="54">
        <f ca="1">IFERROR(__xludf.DUMMYFUNCTION("""COMPUTED_VALUE"""),40)</f>
        <v>40</v>
      </c>
      <c r="K19" s="51">
        <f t="shared" ca="1" si="2"/>
        <v>1</v>
      </c>
      <c r="L19" s="54">
        <f ca="1">IFERROR(__xludf.DUMMYFUNCTION("""COMPUTED_VALUE"""),38)</f>
        <v>38</v>
      </c>
      <c r="M19" s="51">
        <f t="shared" ca="1" si="3"/>
        <v>0.95</v>
      </c>
      <c r="N19" s="54">
        <f ca="1">IFERROR(__xludf.DUMMYFUNCTION("""COMPUTED_VALUE"""),110)</f>
        <v>110</v>
      </c>
      <c r="O19" s="54">
        <f ca="1">IFERROR(__xludf.DUMMYFUNCTION("""COMPUTED_VALUE"""),24)</f>
        <v>24</v>
      </c>
      <c r="P19" s="51">
        <f t="shared" ca="1" si="4"/>
        <v>0.21818181818181817</v>
      </c>
      <c r="Q19" s="54">
        <f ca="1">IFERROR(__xludf.DUMMYFUNCTION("""COMPUTED_VALUE"""),4)</f>
        <v>4</v>
      </c>
      <c r="R19" s="51">
        <f t="shared" ca="1" si="5"/>
        <v>3.6363636363636362E-2</v>
      </c>
      <c r="S19" s="53"/>
      <c r="T19" s="53"/>
      <c r="U19" s="51" t="str">
        <f t="shared" si="6"/>
        <v/>
      </c>
      <c r="V19" s="53"/>
      <c r="W19" s="51" t="str">
        <f t="shared" si="7"/>
        <v/>
      </c>
      <c r="X19" s="53"/>
      <c r="Y19" s="51" t="str">
        <f t="shared" si="8"/>
        <v/>
      </c>
      <c r="Z19" s="2"/>
      <c r="AA19" s="2"/>
      <c r="AB19" s="2"/>
      <c r="AC19" s="2"/>
      <c r="AD19" s="2"/>
      <c r="AE19" s="2"/>
    </row>
    <row r="20" spans="1:31" ht="12.75" x14ac:dyDescent="0.2">
      <c r="A20" s="53">
        <f ca="1">IFERROR(__xludf.DUMMYFUNCTION("""COMPUTED_VALUE"""),14)</f>
        <v>14</v>
      </c>
      <c r="B20" s="53" t="str">
        <f ca="1">IFERROR(__xludf.DUMMYFUNCTION("""COMPUTED_VALUE"""),"Trường MN Họa Mi 1")</f>
        <v>Trường MN Họa Mi 1</v>
      </c>
      <c r="C20" s="53" t="str">
        <f ca="1">IFERROR(__xludf.DUMMYFUNCTION("""COMPUTED_VALUE"""),"MN")</f>
        <v>MN</v>
      </c>
      <c r="D20" s="53">
        <f ca="1">IFERROR(__xludf.DUMMYFUNCTION("""COMPUTED_VALUE"""),12)</f>
        <v>12</v>
      </c>
      <c r="E20" s="54">
        <f ca="1">IFERROR(__xludf.DUMMYFUNCTION("""COMPUTED_VALUE"""),50)</f>
        <v>50</v>
      </c>
      <c r="F20" s="54">
        <f ca="1">IFERROR(__xludf.DUMMYFUNCTION("""COMPUTED_VALUE"""),50)</f>
        <v>50</v>
      </c>
      <c r="G20" s="51">
        <f t="shared" ca="1" si="0"/>
        <v>1</v>
      </c>
      <c r="H20" s="54">
        <f ca="1">IFERROR(__xludf.DUMMYFUNCTION("""COMPUTED_VALUE"""),50)</f>
        <v>50</v>
      </c>
      <c r="I20" s="51">
        <f t="shared" ca="1" si="1"/>
        <v>1</v>
      </c>
      <c r="J20" s="54">
        <f ca="1">IFERROR(__xludf.DUMMYFUNCTION("""COMPUTED_VALUE"""),50)</f>
        <v>50</v>
      </c>
      <c r="K20" s="51">
        <f t="shared" ca="1" si="2"/>
        <v>1</v>
      </c>
      <c r="L20" s="54">
        <f ca="1">IFERROR(__xludf.DUMMYFUNCTION("""COMPUTED_VALUE"""),35)</f>
        <v>35</v>
      </c>
      <c r="M20" s="51">
        <f t="shared" ca="1" si="3"/>
        <v>0.7</v>
      </c>
      <c r="N20" s="54">
        <f ca="1">IFERROR(__xludf.DUMMYFUNCTION("""COMPUTED_VALUE"""),185)</f>
        <v>185</v>
      </c>
      <c r="O20" s="54">
        <f ca="1">IFERROR(__xludf.DUMMYFUNCTION("""COMPUTED_VALUE"""),28)</f>
        <v>28</v>
      </c>
      <c r="P20" s="51">
        <f t="shared" ca="1" si="4"/>
        <v>0.15135135135135136</v>
      </c>
      <c r="Q20" s="54">
        <f ca="1">IFERROR(__xludf.DUMMYFUNCTION("""COMPUTED_VALUE"""),8)</f>
        <v>8</v>
      </c>
      <c r="R20" s="51">
        <f t="shared" ca="1" si="5"/>
        <v>4.3243243243243246E-2</v>
      </c>
      <c r="S20" s="53"/>
      <c r="T20" s="53"/>
      <c r="U20" s="51" t="str">
        <f t="shared" si="6"/>
        <v/>
      </c>
      <c r="V20" s="53"/>
      <c r="W20" s="51" t="str">
        <f t="shared" si="7"/>
        <v/>
      </c>
      <c r="X20" s="53"/>
      <c r="Y20" s="51" t="str">
        <f t="shared" si="8"/>
        <v/>
      </c>
      <c r="Z20" s="2"/>
      <c r="AA20" s="2"/>
      <c r="AB20" s="2"/>
      <c r="AC20" s="2"/>
      <c r="AD20" s="2"/>
      <c r="AE20" s="2"/>
    </row>
    <row r="21" spans="1:31" ht="12.75" x14ac:dyDescent="0.2">
      <c r="A21" s="53">
        <f ca="1">IFERROR(__xludf.DUMMYFUNCTION("""COMPUTED_VALUE"""),15)</f>
        <v>15</v>
      </c>
      <c r="B21" s="53" t="str">
        <f ca="1">IFERROR(__xludf.DUMMYFUNCTION("""COMPUTED_VALUE"""),"Trường MN Họa Mi 2")</f>
        <v>Trường MN Họa Mi 2</v>
      </c>
      <c r="C21" s="53" t="str">
        <f ca="1">IFERROR(__xludf.DUMMYFUNCTION("""COMPUTED_VALUE"""),"MN")</f>
        <v>MN</v>
      </c>
      <c r="D21" s="53">
        <f ca="1">IFERROR(__xludf.DUMMYFUNCTION("""COMPUTED_VALUE"""),12)</f>
        <v>12</v>
      </c>
      <c r="E21" s="54">
        <f ca="1">IFERROR(__xludf.DUMMYFUNCTION("""COMPUTED_VALUE"""),46)</f>
        <v>46</v>
      </c>
      <c r="F21" s="54">
        <f ca="1">IFERROR(__xludf.DUMMYFUNCTION("""COMPUTED_VALUE"""),46)</f>
        <v>46</v>
      </c>
      <c r="G21" s="51">
        <f t="shared" ca="1" si="0"/>
        <v>1</v>
      </c>
      <c r="H21" s="54">
        <f ca="1">IFERROR(__xludf.DUMMYFUNCTION("""COMPUTED_VALUE"""),46)</f>
        <v>46</v>
      </c>
      <c r="I21" s="51">
        <f t="shared" ca="1" si="1"/>
        <v>1</v>
      </c>
      <c r="J21" s="54">
        <f ca="1">IFERROR(__xludf.DUMMYFUNCTION("""COMPUTED_VALUE"""),44)</f>
        <v>44</v>
      </c>
      <c r="K21" s="51">
        <f t="shared" ca="1" si="2"/>
        <v>0.95652173913043481</v>
      </c>
      <c r="L21" s="54">
        <f ca="1">IFERROR(__xludf.DUMMYFUNCTION("""COMPUTED_VALUE"""),39)</f>
        <v>39</v>
      </c>
      <c r="M21" s="51">
        <f t="shared" ca="1" si="3"/>
        <v>0.84782608695652173</v>
      </c>
      <c r="N21" s="54">
        <f ca="1">IFERROR(__xludf.DUMMYFUNCTION("""COMPUTED_VALUE"""),172)</f>
        <v>172</v>
      </c>
      <c r="O21" s="54">
        <f ca="1">IFERROR(__xludf.DUMMYFUNCTION("""COMPUTED_VALUE"""),80)</f>
        <v>80</v>
      </c>
      <c r="P21" s="51">
        <f t="shared" ca="1" si="4"/>
        <v>0.46511627906976744</v>
      </c>
      <c r="Q21" s="54">
        <f ca="1">IFERROR(__xludf.DUMMYFUNCTION("""COMPUTED_VALUE"""),51)</f>
        <v>51</v>
      </c>
      <c r="R21" s="51">
        <f t="shared" ca="1" si="5"/>
        <v>0.29651162790697677</v>
      </c>
      <c r="S21" s="53"/>
      <c r="T21" s="53"/>
      <c r="U21" s="51" t="str">
        <f t="shared" si="6"/>
        <v/>
      </c>
      <c r="V21" s="53"/>
      <c r="W21" s="51" t="str">
        <f t="shared" si="7"/>
        <v/>
      </c>
      <c r="X21" s="53"/>
      <c r="Y21" s="51" t="str">
        <f t="shared" si="8"/>
        <v/>
      </c>
      <c r="Z21" s="2"/>
      <c r="AA21" s="2"/>
      <c r="AB21" s="2"/>
      <c r="AC21" s="2"/>
      <c r="AD21" s="2"/>
      <c r="AE21" s="2"/>
    </row>
    <row r="22" spans="1:31" ht="12.75" x14ac:dyDescent="0.2">
      <c r="A22" s="53">
        <f ca="1">IFERROR(__xludf.DUMMYFUNCTION("""COMPUTED_VALUE"""),16)</f>
        <v>16</v>
      </c>
      <c r="B22" s="53" t="str">
        <f ca="1">IFERROR(__xludf.DUMMYFUNCTION("""COMPUTED_VALUE"""),"Trường MN Hồng Yến")</f>
        <v>Trường MN Hồng Yến</v>
      </c>
      <c r="C22" s="53" t="str">
        <f ca="1">IFERROR(__xludf.DUMMYFUNCTION("""COMPUTED_VALUE"""),"MN")</f>
        <v>MN</v>
      </c>
      <c r="D22" s="53">
        <f ca="1">IFERROR(__xludf.DUMMYFUNCTION("""COMPUTED_VALUE"""),12)</f>
        <v>12</v>
      </c>
      <c r="E22" s="54">
        <f ca="1">IFERROR(__xludf.DUMMYFUNCTION("""COMPUTED_VALUE"""),53)</f>
        <v>53</v>
      </c>
      <c r="F22" s="54">
        <f ca="1">IFERROR(__xludf.DUMMYFUNCTION("""COMPUTED_VALUE"""),53)</f>
        <v>53</v>
      </c>
      <c r="G22" s="51">
        <f t="shared" ca="1" si="0"/>
        <v>1</v>
      </c>
      <c r="H22" s="54">
        <f ca="1">IFERROR(__xludf.DUMMYFUNCTION("""COMPUTED_VALUE"""),53)</f>
        <v>53</v>
      </c>
      <c r="I22" s="51">
        <f t="shared" ca="1" si="1"/>
        <v>1</v>
      </c>
      <c r="J22" s="54">
        <f ca="1">IFERROR(__xludf.DUMMYFUNCTION("""COMPUTED_VALUE"""),53)</f>
        <v>53</v>
      </c>
      <c r="K22" s="51">
        <f t="shared" ca="1" si="2"/>
        <v>1</v>
      </c>
      <c r="L22" s="54">
        <f ca="1">IFERROR(__xludf.DUMMYFUNCTION("""COMPUTED_VALUE"""),52)</f>
        <v>52</v>
      </c>
      <c r="M22" s="51">
        <f t="shared" ca="1" si="3"/>
        <v>0.98113207547169812</v>
      </c>
      <c r="N22" s="54">
        <f ca="1">IFERROR(__xludf.DUMMYFUNCTION("""COMPUTED_VALUE"""),134)</f>
        <v>134</v>
      </c>
      <c r="O22" s="54">
        <f ca="1">IFERROR(__xludf.DUMMYFUNCTION("""COMPUTED_VALUE"""),31)</f>
        <v>31</v>
      </c>
      <c r="P22" s="51">
        <f t="shared" ca="1" si="4"/>
        <v>0.23134328358208955</v>
      </c>
      <c r="Q22" s="54">
        <f ca="1">IFERROR(__xludf.DUMMYFUNCTION("""COMPUTED_VALUE"""),9)</f>
        <v>9</v>
      </c>
      <c r="R22" s="51">
        <f t="shared" ca="1" si="5"/>
        <v>6.7164179104477612E-2</v>
      </c>
      <c r="S22" s="53"/>
      <c r="T22" s="53"/>
      <c r="U22" s="51" t="str">
        <f t="shared" si="6"/>
        <v/>
      </c>
      <c r="V22" s="53"/>
      <c r="W22" s="51" t="str">
        <f t="shared" si="7"/>
        <v/>
      </c>
      <c r="X22" s="53"/>
      <c r="Y22" s="51" t="str">
        <f t="shared" si="8"/>
        <v/>
      </c>
      <c r="Z22" s="2"/>
      <c r="AA22" s="2"/>
      <c r="AB22" s="2"/>
      <c r="AC22" s="2"/>
      <c r="AD22" s="2"/>
      <c r="AE22" s="2"/>
    </row>
    <row r="23" spans="1:31" ht="12.75" x14ac:dyDescent="0.2">
      <c r="A23" s="53">
        <f ca="1">IFERROR(__xludf.DUMMYFUNCTION("""COMPUTED_VALUE"""),17)</f>
        <v>17</v>
      </c>
      <c r="B23" s="53" t="str">
        <f ca="1">IFERROR(__xludf.DUMMYFUNCTION("""COMPUTED_VALUE"""),"Trường MN Vàng Anh")</f>
        <v>Trường MN Vàng Anh</v>
      </c>
      <c r="C23" s="53" t="str">
        <f ca="1">IFERROR(__xludf.DUMMYFUNCTION("""COMPUTED_VALUE"""),"MN")</f>
        <v>MN</v>
      </c>
      <c r="D23" s="53">
        <f ca="1">IFERROR(__xludf.DUMMYFUNCTION("""COMPUTED_VALUE"""),12)</f>
        <v>12</v>
      </c>
      <c r="E23" s="54">
        <f ca="1">IFERROR(__xludf.DUMMYFUNCTION("""COMPUTED_VALUE"""),31)</f>
        <v>31</v>
      </c>
      <c r="F23" s="54">
        <f ca="1">IFERROR(__xludf.DUMMYFUNCTION("""COMPUTED_VALUE"""),31)</f>
        <v>31</v>
      </c>
      <c r="G23" s="51">
        <f t="shared" ca="1" si="0"/>
        <v>1</v>
      </c>
      <c r="H23" s="54">
        <f ca="1">IFERROR(__xludf.DUMMYFUNCTION("""COMPUTED_VALUE"""),31)</f>
        <v>31</v>
      </c>
      <c r="I23" s="51">
        <f t="shared" ca="1" si="1"/>
        <v>1</v>
      </c>
      <c r="J23" s="54">
        <f ca="1">IFERROR(__xludf.DUMMYFUNCTION("""COMPUTED_VALUE"""),31)</f>
        <v>31</v>
      </c>
      <c r="K23" s="51">
        <f t="shared" ca="1" si="2"/>
        <v>1</v>
      </c>
      <c r="L23" s="54">
        <f ca="1">IFERROR(__xludf.DUMMYFUNCTION("""COMPUTED_VALUE"""),31)</f>
        <v>31</v>
      </c>
      <c r="M23" s="51">
        <f t="shared" ca="1" si="3"/>
        <v>1</v>
      </c>
      <c r="N23" s="54">
        <f ca="1">IFERROR(__xludf.DUMMYFUNCTION("""COMPUTED_VALUE"""),70)</f>
        <v>70</v>
      </c>
      <c r="O23" s="54">
        <f ca="1">IFERROR(__xludf.DUMMYFUNCTION("""COMPUTED_VALUE"""),6)</f>
        <v>6</v>
      </c>
      <c r="P23" s="51">
        <f t="shared" ca="1" si="4"/>
        <v>8.5714285714285715E-2</v>
      </c>
      <c r="Q23" s="54">
        <f ca="1">IFERROR(__xludf.DUMMYFUNCTION("""COMPUTED_VALUE"""),6)</f>
        <v>6</v>
      </c>
      <c r="R23" s="51">
        <f t="shared" ca="1" si="5"/>
        <v>8.5714285714285715E-2</v>
      </c>
      <c r="S23" s="53"/>
      <c r="T23" s="53"/>
      <c r="U23" s="51" t="str">
        <f t="shared" si="6"/>
        <v/>
      </c>
      <c r="V23" s="53"/>
      <c r="W23" s="51" t="str">
        <f t="shared" si="7"/>
        <v/>
      </c>
      <c r="X23" s="53"/>
      <c r="Y23" s="51" t="str">
        <f t="shared" si="8"/>
        <v/>
      </c>
      <c r="Z23" s="2"/>
      <c r="AA23" s="2"/>
      <c r="AB23" s="2"/>
      <c r="AC23" s="2"/>
      <c r="AD23" s="2"/>
      <c r="AE23" s="2"/>
    </row>
    <row r="24" spans="1:31" ht="12.75" x14ac:dyDescent="0.2">
      <c r="A24" s="53">
        <f ca="1">IFERROR(__xludf.DUMMYFUNCTION("""COMPUTED_VALUE"""),18)</f>
        <v>18</v>
      </c>
      <c r="B24" s="53" t="str">
        <f ca="1">IFERROR(__xludf.DUMMYFUNCTION("""COMPUTED_VALUE"""),"Trường MN Hoa Đào")</f>
        <v>Trường MN Hoa Đào</v>
      </c>
      <c r="C24" s="53" t="str">
        <f ca="1">IFERROR(__xludf.DUMMYFUNCTION("""COMPUTED_VALUE"""),"MN")</f>
        <v>MN</v>
      </c>
      <c r="D24" s="53">
        <f ca="1">IFERROR(__xludf.DUMMYFUNCTION("""COMPUTED_VALUE"""),12)</f>
        <v>12</v>
      </c>
      <c r="E24" s="54">
        <f ca="1">IFERROR(__xludf.DUMMYFUNCTION("""COMPUTED_VALUE"""),57)</f>
        <v>57</v>
      </c>
      <c r="F24" s="54">
        <f ca="1">IFERROR(__xludf.DUMMYFUNCTION("""COMPUTED_VALUE"""),57)</f>
        <v>57</v>
      </c>
      <c r="G24" s="51">
        <f t="shared" ca="1" si="0"/>
        <v>1</v>
      </c>
      <c r="H24" s="54">
        <f ca="1">IFERROR(__xludf.DUMMYFUNCTION("""COMPUTED_VALUE"""),57)</f>
        <v>57</v>
      </c>
      <c r="I24" s="51">
        <f t="shared" ca="1" si="1"/>
        <v>1</v>
      </c>
      <c r="J24" s="54">
        <f ca="1">IFERROR(__xludf.DUMMYFUNCTION("""COMPUTED_VALUE"""),57)</f>
        <v>57</v>
      </c>
      <c r="K24" s="51">
        <f t="shared" ca="1" si="2"/>
        <v>1</v>
      </c>
      <c r="L24" s="54">
        <f ca="1">IFERROR(__xludf.DUMMYFUNCTION("""COMPUTED_VALUE"""),45)</f>
        <v>45</v>
      </c>
      <c r="M24" s="51">
        <f t="shared" ca="1" si="3"/>
        <v>0.78947368421052633</v>
      </c>
      <c r="N24" s="54">
        <f ca="1">IFERROR(__xludf.DUMMYFUNCTION("""COMPUTED_VALUE"""),184)</f>
        <v>184</v>
      </c>
      <c r="O24" s="54">
        <f ca="1">IFERROR(__xludf.DUMMYFUNCTION("""COMPUTED_VALUE"""),1)</f>
        <v>1</v>
      </c>
      <c r="P24" s="51">
        <f t="shared" ca="1" si="4"/>
        <v>5.434782608695652E-3</v>
      </c>
      <c r="Q24" s="54">
        <f ca="1">IFERROR(__xludf.DUMMYFUNCTION("""COMPUTED_VALUE"""),0)</f>
        <v>0</v>
      </c>
      <c r="R24" s="51">
        <f t="shared" ca="1" si="5"/>
        <v>0</v>
      </c>
      <c r="S24" s="53"/>
      <c r="T24" s="53"/>
      <c r="U24" s="51" t="str">
        <f t="shared" si="6"/>
        <v/>
      </c>
      <c r="V24" s="53"/>
      <c r="W24" s="51" t="str">
        <f t="shared" si="7"/>
        <v/>
      </c>
      <c r="X24" s="53"/>
      <c r="Y24" s="51" t="str">
        <f t="shared" si="8"/>
        <v/>
      </c>
      <c r="Z24" s="2"/>
      <c r="AA24" s="2"/>
      <c r="AB24" s="2"/>
      <c r="AC24" s="2"/>
      <c r="AD24" s="2"/>
      <c r="AE24" s="2"/>
    </row>
    <row r="25" spans="1:31" ht="12.75" x14ac:dyDescent="0.2">
      <c r="A25" s="53">
        <f ca="1">IFERROR(__xludf.DUMMYFUNCTION("""COMPUTED_VALUE"""),19)</f>
        <v>19</v>
      </c>
      <c r="B25" s="53" t="str">
        <f ca="1">IFERROR(__xludf.DUMMYFUNCTION("""COMPUTED_VALUE"""),"Trường MN Ngọc Lan")</f>
        <v>Trường MN Ngọc Lan</v>
      </c>
      <c r="C25" s="53" t="str">
        <f ca="1">IFERROR(__xludf.DUMMYFUNCTION("""COMPUTED_VALUE"""),"MN")</f>
        <v>MN</v>
      </c>
      <c r="D25" s="53">
        <f ca="1">IFERROR(__xludf.DUMMYFUNCTION("""COMPUTED_VALUE"""),12)</f>
        <v>12</v>
      </c>
      <c r="E25" s="54">
        <f ca="1">IFERROR(__xludf.DUMMYFUNCTION("""COMPUTED_VALUE"""),36)</f>
        <v>36</v>
      </c>
      <c r="F25" s="54">
        <f ca="1">IFERROR(__xludf.DUMMYFUNCTION("""COMPUTED_VALUE"""),36)</f>
        <v>36</v>
      </c>
      <c r="G25" s="51">
        <f t="shared" ca="1" si="0"/>
        <v>1</v>
      </c>
      <c r="H25" s="54">
        <f ca="1">IFERROR(__xludf.DUMMYFUNCTION("""COMPUTED_VALUE"""),36)</f>
        <v>36</v>
      </c>
      <c r="I25" s="51">
        <f t="shared" ca="1" si="1"/>
        <v>1</v>
      </c>
      <c r="J25" s="54">
        <f ca="1">IFERROR(__xludf.DUMMYFUNCTION("""COMPUTED_VALUE"""),35)</f>
        <v>35</v>
      </c>
      <c r="K25" s="51">
        <f t="shared" ca="1" si="2"/>
        <v>0.97222222222222221</v>
      </c>
      <c r="L25" s="54">
        <f ca="1">IFERROR(__xludf.DUMMYFUNCTION("""COMPUTED_VALUE"""),28)</f>
        <v>28</v>
      </c>
      <c r="M25" s="51">
        <f t="shared" ca="1" si="3"/>
        <v>0.77777777777777779</v>
      </c>
      <c r="N25" s="54">
        <f ca="1">IFERROR(__xludf.DUMMYFUNCTION("""COMPUTED_VALUE"""),55)</f>
        <v>55</v>
      </c>
      <c r="O25" s="54">
        <f ca="1">IFERROR(__xludf.DUMMYFUNCTION("""COMPUTED_VALUE"""),3)</f>
        <v>3</v>
      </c>
      <c r="P25" s="51">
        <f t="shared" ca="1" si="4"/>
        <v>5.4545454545454543E-2</v>
      </c>
      <c r="Q25" s="54">
        <f ca="1">IFERROR(__xludf.DUMMYFUNCTION("""COMPUTED_VALUE"""),8)</f>
        <v>8</v>
      </c>
      <c r="R25" s="51">
        <f t="shared" ca="1" si="5"/>
        <v>0.14545454545454545</v>
      </c>
      <c r="S25" s="53"/>
      <c r="T25" s="53"/>
      <c r="U25" s="51" t="str">
        <f t="shared" si="6"/>
        <v/>
      </c>
      <c r="V25" s="53"/>
      <c r="W25" s="51" t="str">
        <f t="shared" si="7"/>
        <v/>
      </c>
      <c r="X25" s="53"/>
      <c r="Y25" s="51" t="str">
        <f t="shared" si="8"/>
        <v/>
      </c>
      <c r="Z25" s="2"/>
      <c r="AA25" s="2"/>
      <c r="AB25" s="2"/>
      <c r="AC25" s="2"/>
      <c r="AD25" s="2"/>
      <c r="AE25" s="2"/>
    </row>
    <row r="26" spans="1:31" ht="12.75" x14ac:dyDescent="0.2">
      <c r="A26" s="53">
        <f ca="1">IFERROR(__xludf.DUMMYFUNCTION("""COMPUTED_VALUE"""),20)</f>
        <v>20</v>
      </c>
      <c r="B26" s="53" t="str">
        <f ca="1">IFERROR(__xludf.DUMMYFUNCTION("""COMPUTED_VALUE"""),"Trường MN Mai Vàng")</f>
        <v>Trường MN Mai Vàng</v>
      </c>
      <c r="C26" s="53" t="str">
        <f ca="1">IFERROR(__xludf.DUMMYFUNCTION("""COMPUTED_VALUE"""),"MN")</f>
        <v>MN</v>
      </c>
      <c r="D26" s="53">
        <f ca="1">IFERROR(__xludf.DUMMYFUNCTION("""COMPUTED_VALUE"""),12)</f>
        <v>12</v>
      </c>
      <c r="E26" s="54">
        <f ca="1">IFERROR(__xludf.DUMMYFUNCTION("""COMPUTED_VALUE"""),22)</f>
        <v>22</v>
      </c>
      <c r="F26" s="54">
        <f ca="1">IFERROR(__xludf.DUMMYFUNCTION("""COMPUTED_VALUE"""),21)</f>
        <v>21</v>
      </c>
      <c r="G26" s="51">
        <f t="shared" ca="1" si="0"/>
        <v>0.95454545454545459</v>
      </c>
      <c r="H26" s="54">
        <f ca="1">IFERROR(__xludf.DUMMYFUNCTION("""COMPUTED_VALUE"""),21)</f>
        <v>21</v>
      </c>
      <c r="I26" s="51">
        <f t="shared" ca="1" si="1"/>
        <v>0.95454545454545459</v>
      </c>
      <c r="J26" s="54">
        <f ca="1">IFERROR(__xludf.DUMMYFUNCTION("""COMPUTED_VALUE"""),21)</f>
        <v>21</v>
      </c>
      <c r="K26" s="51">
        <f t="shared" ca="1" si="2"/>
        <v>0.95454545454545459</v>
      </c>
      <c r="L26" s="54">
        <f ca="1">IFERROR(__xludf.DUMMYFUNCTION("""COMPUTED_VALUE"""),21)</f>
        <v>21</v>
      </c>
      <c r="M26" s="51">
        <f t="shared" ca="1" si="3"/>
        <v>0.95454545454545459</v>
      </c>
      <c r="N26" s="54">
        <f ca="1">IFERROR(__xludf.DUMMYFUNCTION("""COMPUTED_VALUE"""),41)</f>
        <v>41</v>
      </c>
      <c r="O26" s="54">
        <f ca="1">IFERROR(__xludf.DUMMYFUNCTION("""COMPUTED_VALUE"""),0)</f>
        <v>0</v>
      </c>
      <c r="P26" s="51">
        <f t="shared" ca="1" si="4"/>
        <v>0</v>
      </c>
      <c r="Q26" s="54">
        <f ca="1">IFERROR(__xludf.DUMMYFUNCTION("""COMPUTED_VALUE"""),0)</f>
        <v>0</v>
      </c>
      <c r="R26" s="51">
        <f t="shared" ca="1" si="5"/>
        <v>0</v>
      </c>
      <c r="S26" s="53"/>
      <c r="T26" s="53"/>
      <c r="U26" s="51" t="str">
        <f t="shared" si="6"/>
        <v/>
      </c>
      <c r="V26" s="53"/>
      <c r="W26" s="51" t="str">
        <f t="shared" si="7"/>
        <v/>
      </c>
      <c r="X26" s="53"/>
      <c r="Y26" s="51" t="str">
        <f t="shared" si="8"/>
        <v/>
      </c>
      <c r="Z26" s="2"/>
      <c r="AA26" s="2"/>
      <c r="AB26" s="2"/>
      <c r="AC26" s="2"/>
      <c r="AD26" s="2"/>
      <c r="AE26" s="2"/>
    </row>
    <row r="27" spans="1:31" ht="12.75" x14ac:dyDescent="0.2">
      <c r="A27" s="53">
        <f ca="1">IFERROR(__xludf.DUMMYFUNCTION("""COMPUTED_VALUE"""),21)</f>
        <v>21</v>
      </c>
      <c r="B27" s="53" t="str">
        <f ca="1">IFERROR(__xludf.DUMMYFUNCTION("""COMPUTED_VALUE"""),"Trường Hoa Đỗ Quyên")</f>
        <v>Trường Hoa Đỗ Quyên</v>
      </c>
      <c r="C27" s="53" t="str">
        <f ca="1">IFERROR(__xludf.DUMMYFUNCTION("""COMPUTED_VALUE"""),"MN")</f>
        <v>MN</v>
      </c>
      <c r="D27" s="53">
        <f ca="1">IFERROR(__xludf.DUMMYFUNCTION("""COMPUTED_VALUE"""),12)</f>
        <v>12</v>
      </c>
      <c r="E27" s="54">
        <f ca="1">IFERROR(__xludf.DUMMYFUNCTION("""COMPUTED_VALUE"""),32)</f>
        <v>32</v>
      </c>
      <c r="F27" s="54">
        <f ca="1">IFERROR(__xludf.DUMMYFUNCTION("""COMPUTED_VALUE"""),32)</f>
        <v>32</v>
      </c>
      <c r="G27" s="51">
        <f t="shared" ca="1" si="0"/>
        <v>1</v>
      </c>
      <c r="H27" s="54">
        <f ca="1">IFERROR(__xludf.DUMMYFUNCTION("""COMPUTED_VALUE"""),32)</f>
        <v>32</v>
      </c>
      <c r="I27" s="51">
        <f t="shared" ca="1" si="1"/>
        <v>1</v>
      </c>
      <c r="J27" s="54">
        <f ca="1">IFERROR(__xludf.DUMMYFUNCTION("""COMPUTED_VALUE"""),32)</f>
        <v>32</v>
      </c>
      <c r="K27" s="51">
        <f t="shared" ca="1" si="2"/>
        <v>1</v>
      </c>
      <c r="L27" s="54">
        <f ca="1">IFERROR(__xludf.DUMMYFUNCTION("""COMPUTED_VALUE"""),27)</f>
        <v>27</v>
      </c>
      <c r="M27" s="51">
        <f t="shared" ca="1" si="3"/>
        <v>0.84375</v>
      </c>
      <c r="N27" s="54">
        <f ca="1">IFERROR(__xludf.DUMMYFUNCTION("""COMPUTED_VALUE"""),83)</f>
        <v>83</v>
      </c>
      <c r="O27" s="54">
        <f ca="1">IFERROR(__xludf.DUMMYFUNCTION("""COMPUTED_VALUE"""),10)</f>
        <v>10</v>
      </c>
      <c r="P27" s="51">
        <f t="shared" ca="1" si="4"/>
        <v>0.12048192771084337</v>
      </c>
      <c r="Q27" s="54">
        <f ca="1">IFERROR(__xludf.DUMMYFUNCTION("""COMPUTED_VALUE"""),4)</f>
        <v>4</v>
      </c>
      <c r="R27" s="51">
        <f t="shared" ca="1" si="5"/>
        <v>4.8192771084337352E-2</v>
      </c>
      <c r="S27" s="53"/>
      <c r="T27" s="53"/>
      <c r="U27" s="51" t="str">
        <f t="shared" si="6"/>
        <v/>
      </c>
      <c r="V27" s="53"/>
      <c r="W27" s="51" t="str">
        <f t="shared" si="7"/>
        <v/>
      </c>
      <c r="X27" s="53"/>
      <c r="Y27" s="51" t="str">
        <f t="shared" si="8"/>
        <v/>
      </c>
      <c r="Z27" s="2"/>
      <c r="AA27" s="2"/>
      <c r="AB27" s="2"/>
      <c r="AC27" s="2"/>
      <c r="AD27" s="2"/>
      <c r="AE27" s="2"/>
    </row>
    <row r="28" spans="1:31" ht="12.75" x14ac:dyDescent="0.2">
      <c r="A28" s="53">
        <f ca="1">IFERROR(__xludf.DUMMYFUNCTION("""COMPUTED_VALUE"""),22)</f>
        <v>22</v>
      </c>
      <c r="B28" s="53" t="str">
        <f ca="1">IFERROR(__xludf.DUMMYFUNCTION("""COMPUTED_VALUE"""),"Trường Hoa Phong Lan")</f>
        <v>Trường Hoa Phong Lan</v>
      </c>
      <c r="C28" s="53" t="str">
        <f ca="1">IFERROR(__xludf.DUMMYFUNCTION("""COMPUTED_VALUE"""),"MN")</f>
        <v>MN</v>
      </c>
      <c r="D28" s="53">
        <f ca="1">IFERROR(__xludf.DUMMYFUNCTION("""COMPUTED_VALUE"""),12)</f>
        <v>12</v>
      </c>
      <c r="E28" s="54">
        <f ca="1">IFERROR(__xludf.DUMMYFUNCTION("""COMPUTED_VALUE"""),32)</f>
        <v>32</v>
      </c>
      <c r="F28" s="54">
        <f ca="1">IFERROR(__xludf.DUMMYFUNCTION("""COMPUTED_VALUE"""),32)</f>
        <v>32</v>
      </c>
      <c r="G28" s="51">
        <f t="shared" ca="1" si="0"/>
        <v>1</v>
      </c>
      <c r="H28" s="54">
        <f ca="1">IFERROR(__xludf.DUMMYFUNCTION("""COMPUTED_VALUE"""),32)</f>
        <v>32</v>
      </c>
      <c r="I28" s="51">
        <f t="shared" ca="1" si="1"/>
        <v>1</v>
      </c>
      <c r="J28" s="54">
        <f ca="1">IFERROR(__xludf.DUMMYFUNCTION("""COMPUTED_VALUE"""),32)</f>
        <v>32</v>
      </c>
      <c r="K28" s="51">
        <f t="shared" ca="1" si="2"/>
        <v>1</v>
      </c>
      <c r="L28" s="54">
        <f ca="1">IFERROR(__xludf.DUMMYFUNCTION("""COMPUTED_VALUE"""),31)</f>
        <v>31</v>
      </c>
      <c r="M28" s="51">
        <f t="shared" ca="1" si="3"/>
        <v>0.96875</v>
      </c>
      <c r="N28" s="54">
        <f ca="1">IFERROR(__xludf.DUMMYFUNCTION("""COMPUTED_VALUE"""),132)</f>
        <v>132</v>
      </c>
      <c r="O28" s="54">
        <f ca="1">IFERROR(__xludf.DUMMYFUNCTION("""COMPUTED_VALUE"""),2)</f>
        <v>2</v>
      </c>
      <c r="P28" s="51">
        <f t="shared" ca="1" si="4"/>
        <v>1.5151515151515152E-2</v>
      </c>
      <c r="Q28" s="54">
        <f ca="1">IFERROR(__xludf.DUMMYFUNCTION("""COMPUTED_VALUE"""),0)</f>
        <v>0</v>
      </c>
      <c r="R28" s="51">
        <f t="shared" ca="1" si="5"/>
        <v>0</v>
      </c>
      <c r="S28" s="53"/>
      <c r="T28" s="53"/>
      <c r="U28" s="51" t="str">
        <f t="shared" si="6"/>
        <v/>
      </c>
      <c r="V28" s="53"/>
      <c r="W28" s="51" t="str">
        <f t="shared" si="7"/>
        <v/>
      </c>
      <c r="X28" s="53"/>
      <c r="Y28" s="51" t="str">
        <f t="shared" si="8"/>
        <v/>
      </c>
      <c r="Z28" s="2"/>
      <c r="AA28" s="2"/>
      <c r="AB28" s="2"/>
      <c r="AC28" s="2"/>
      <c r="AD28" s="2"/>
      <c r="AE28" s="2"/>
    </row>
    <row r="29" spans="1:31" ht="12.75" x14ac:dyDescent="0.2">
      <c r="A29" s="53">
        <f ca="1">IFERROR(__xludf.DUMMYFUNCTION("""COMPUTED_VALUE"""),23)</f>
        <v>23</v>
      </c>
      <c r="B29" s="53" t="str">
        <f ca="1">IFERROR(__xludf.DUMMYFUNCTION("""COMPUTED_VALUE"""),"Trường MN 1 tháng 4")</f>
        <v>Trường MN 1 tháng 4</v>
      </c>
      <c r="C29" s="53" t="str">
        <f ca="1">IFERROR(__xludf.DUMMYFUNCTION("""COMPUTED_VALUE"""),"MN")</f>
        <v>MN</v>
      </c>
      <c r="D29" s="53">
        <f ca="1">IFERROR(__xludf.DUMMYFUNCTION("""COMPUTED_VALUE"""),12)</f>
        <v>12</v>
      </c>
      <c r="E29" s="54">
        <f ca="1">IFERROR(__xludf.DUMMYFUNCTION("""COMPUTED_VALUE"""),11)</f>
        <v>11</v>
      </c>
      <c r="F29" s="54">
        <f ca="1">IFERROR(__xludf.DUMMYFUNCTION("""COMPUTED_VALUE"""),11)</f>
        <v>11</v>
      </c>
      <c r="G29" s="51">
        <f t="shared" ca="1" si="0"/>
        <v>1</v>
      </c>
      <c r="H29" s="54">
        <f ca="1">IFERROR(__xludf.DUMMYFUNCTION("""COMPUTED_VALUE"""),11)</f>
        <v>11</v>
      </c>
      <c r="I29" s="51">
        <f t="shared" ca="1" si="1"/>
        <v>1</v>
      </c>
      <c r="J29" s="54">
        <f ca="1">IFERROR(__xludf.DUMMYFUNCTION("""COMPUTED_VALUE"""),9)</f>
        <v>9</v>
      </c>
      <c r="K29" s="51">
        <f t="shared" ca="1" si="2"/>
        <v>0.81818181818181823</v>
      </c>
      <c r="L29" s="54">
        <f ca="1">IFERROR(__xludf.DUMMYFUNCTION("""COMPUTED_VALUE"""),8)</f>
        <v>8</v>
      </c>
      <c r="M29" s="51">
        <f t="shared" ca="1" si="3"/>
        <v>0.72727272727272729</v>
      </c>
      <c r="N29" s="54">
        <f ca="1">IFERROR(__xludf.DUMMYFUNCTION("""COMPUTED_VALUE"""),16)</f>
        <v>16</v>
      </c>
      <c r="O29" s="54">
        <f ca="1">IFERROR(__xludf.DUMMYFUNCTION("""COMPUTED_VALUE"""),1)</f>
        <v>1</v>
      </c>
      <c r="P29" s="51">
        <f t="shared" ca="1" si="4"/>
        <v>6.25E-2</v>
      </c>
      <c r="Q29" s="54">
        <f ca="1">IFERROR(__xludf.DUMMYFUNCTION("""COMPUTED_VALUE"""),0)</f>
        <v>0</v>
      </c>
      <c r="R29" s="51">
        <f t="shared" ca="1" si="5"/>
        <v>0</v>
      </c>
      <c r="S29" s="53"/>
      <c r="T29" s="53"/>
      <c r="U29" s="51" t="str">
        <f t="shared" si="6"/>
        <v/>
      </c>
      <c r="V29" s="53"/>
      <c r="W29" s="51" t="str">
        <f t="shared" si="7"/>
        <v/>
      </c>
      <c r="X29" s="53"/>
      <c r="Y29" s="51" t="str">
        <f t="shared" si="8"/>
        <v/>
      </c>
      <c r="Z29" s="2"/>
      <c r="AA29" s="2"/>
      <c r="AB29" s="2"/>
      <c r="AC29" s="2"/>
      <c r="AD29" s="2"/>
      <c r="AE29" s="2"/>
    </row>
    <row r="30" spans="1:31" ht="12.75" x14ac:dyDescent="0.2">
      <c r="A30" s="53">
        <f ca="1">IFERROR(__xludf.DUMMYFUNCTION("""COMPUTED_VALUE"""),24)</f>
        <v>24</v>
      </c>
      <c r="B30" s="53" t="str">
        <f ca="1">IFERROR(__xludf.DUMMYFUNCTION("""COMPUTED_VALUE"""),"Trường MN Tân Á Châu")</f>
        <v>Trường MN Tân Á Châu</v>
      </c>
      <c r="C30" s="53" t="str">
        <f ca="1">IFERROR(__xludf.DUMMYFUNCTION("""COMPUTED_VALUE"""),"MN")</f>
        <v>MN</v>
      </c>
      <c r="D30" s="53">
        <f ca="1">IFERROR(__xludf.DUMMYFUNCTION("""COMPUTED_VALUE"""),12)</f>
        <v>12</v>
      </c>
      <c r="E30" s="54">
        <f ca="1">IFERROR(__xludf.DUMMYFUNCTION("""COMPUTED_VALUE"""),13)</f>
        <v>13</v>
      </c>
      <c r="F30" s="54">
        <f ca="1">IFERROR(__xludf.DUMMYFUNCTION("""COMPUTED_VALUE"""),13)</f>
        <v>13</v>
      </c>
      <c r="G30" s="51">
        <f t="shared" ca="1" si="0"/>
        <v>1</v>
      </c>
      <c r="H30" s="54">
        <f ca="1">IFERROR(__xludf.DUMMYFUNCTION("""COMPUTED_VALUE"""),13)</f>
        <v>13</v>
      </c>
      <c r="I30" s="51">
        <f t="shared" ca="1" si="1"/>
        <v>1</v>
      </c>
      <c r="J30" s="54">
        <f ca="1">IFERROR(__xludf.DUMMYFUNCTION("""COMPUTED_VALUE"""),13)</f>
        <v>13</v>
      </c>
      <c r="K30" s="51">
        <f t="shared" ca="1" si="2"/>
        <v>1</v>
      </c>
      <c r="L30" s="54">
        <f ca="1">IFERROR(__xludf.DUMMYFUNCTION("""COMPUTED_VALUE"""),10)</f>
        <v>10</v>
      </c>
      <c r="M30" s="51">
        <f t="shared" ca="1" si="3"/>
        <v>0.76923076923076927</v>
      </c>
      <c r="N30" s="54">
        <f ca="1">IFERROR(__xludf.DUMMYFUNCTION("""COMPUTED_VALUE"""),29)</f>
        <v>29</v>
      </c>
      <c r="O30" s="54">
        <f ca="1">IFERROR(__xludf.DUMMYFUNCTION("""COMPUTED_VALUE"""),3)</f>
        <v>3</v>
      </c>
      <c r="P30" s="51">
        <f t="shared" ca="1" si="4"/>
        <v>0.10344827586206896</v>
      </c>
      <c r="Q30" s="54">
        <f ca="1">IFERROR(__xludf.DUMMYFUNCTION("""COMPUTED_VALUE"""),2)</f>
        <v>2</v>
      </c>
      <c r="R30" s="51">
        <f t="shared" ca="1" si="5"/>
        <v>6.8965517241379309E-2</v>
      </c>
      <c r="S30" s="53"/>
      <c r="T30" s="53"/>
      <c r="U30" s="51" t="str">
        <f t="shared" si="6"/>
        <v/>
      </c>
      <c r="V30" s="53"/>
      <c r="W30" s="51" t="str">
        <f t="shared" si="7"/>
        <v/>
      </c>
      <c r="X30" s="53"/>
      <c r="Y30" s="51" t="str">
        <f t="shared" si="8"/>
        <v/>
      </c>
      <c r="Z30" s="2"/>
      <c r="AA30" s="2"/>
      <c r="AB30" s="2"/>
      <c r="AC30" s="2"/>
      <c r="AD30" s="2"/>
      <c r="AE30" s="2"/>
    </row>
    <row r="31" spans="1:31" ht="12.75" x14ac:dyDescent="0.2">
      <c r="A31" s="53">
        <f ca="1">IFERROR(__xludf.DUMMYFUNCTION("""COMPUTED_VALUE"""),25)</f>
        <v>25</v>
      </c>
      <c r="B31" s="53" t="str">
        <f ca="1">IFERROR(__xludf.DUMMYFUNCTION("""COMPUTED_VALUE"""),"Trường MG Thiên Ân")</f>
        <v>Trường MG Thiên Ân</v>
      </c>
      <c r="C31" s="53" t="str">
        <f ca="1">IFERROR(__xludf.DUMMYFUNCTION("""COMPUTED_VALUE"""),"MN")</f>
        <v>MN</v>
      </c>
      <c r="D31" s="53">
        <f ca="1">IFERROR(__xludf.DUMMYFUNCTION("""COMPUTED_VALUE"""),12)</f>
        <v>12</v>
      </c>
      <c r="E31" s="54">
        <f ca="1">IFERROR(__xludf.DUMMYFUNCTION("""COMPUTED_VALUE"""),32)</f>
        <v>32</v>
      </c>
      <c r="F31" s="54">
        <f ca="1">IFERROR(__xludf.DUMMYFUNCTION("""COMPUTED_VALUE"""),32)</f>
        <v>32</v>
      </c>
      <c r="G31" s="51">
        <f t="shared" ca="1" si="0"/>
        <v>1</v>
      </c>
      <c r="H31" s="54">
        <f ca="1">IFERROR(__xludf.DUMMYFUNCTION("""COMPUTED_VALUE"""),32)</f>
        <v>32</v>
      </c>
      <c r="I31" s="51">
        <f t="shared" ca="1" si="1"/>
        <v>1</v>
      </c>
      <c r="J31" s="54">
        <f ca="1">IFERROR(__xludf.DUMMYFUNCTION("""COMPUTED_VALUE"""),19)</f>
        <v>19</v>
      </c>
      <c r="K31" s="51">
        <f t="shared" ca="1" si="2"/>
        <v>0.59375</v>
      </c>
      <c r="L31" s="54">
        <f ca="1">IFERROR(__xludf.DUMMYFUNCTION("""COMPUTED_VALUE"""),3)</f>
        <v>3</v>
      </c>
      <c r="M31" s="51">
        <f t="shared" ca="1" si="3"/>
        <v>9.375E-2</v>
      </c>
      <c r="N31" s="54">
        <f ca="1">IFERROR(__xludf.DUMMYFUNCTION("""COMPUTED_VALUE"""),128)</f>
        <v>128</v>
      </c>
      <c r="O31" s="54">
        <f ca="1">IFERROR(__xludf.DUMMYFUNCTION("""COMPUTED_VALUE"""),4)</f>
        <v>4</v>
      </c>
      <c r="P31" s="51">
        <f t="shared" ca="1" si="4"/>
        <v>3.125E-2</v>
      </c>
      <c r="Q31" s="54">
        <f ca="1">IFERROR(__xludf.DUMMYFUNCTION("""COMPUTED_VALUE"""),3)</f>
        <v>3</v>
      </c>
      <c r="R31" s="51">
        <f t="shared" ca="1" si="5"/>
        <v>2.34375E-2</v>
      </c>
      <c r="S31" s="53"/>
      <c r="T31" s="53"/>
      <c r="U31" s="51" t="str">
        <f t="shared" si="6"/>
        <v/>
      </c>
      <c r="V31" s="53"/>
      <c r="W31" s="51" t="str">
        <f t="shared" si="7"/>
        <v/>
      </c>
      <c r="X31" s="53"/>
      <c r="Y31" s="51" t="str">
        <f t="shared" si="8"/>
        <v/>
      </c>
      <c r="Z31" s="2"/>
      <c r="AA31" s="2"/>
      <c r="AB31" s="2"/>
      <c r="AC31" s="2"/>
      <c r="AD31" s="2"/>
      <c r="AE31" s="2"/>
    </row>
    <row r="32" spans="1:31" ht="12.75" x14ac:dyDescent="0.2">
      <c r="A32" s="53">
        <f ca="1">IFERROR(__xludf.DUMMYFUNCTION("""COMPUTED_VALUE"""),26)</f>
        <v>26</v>
      </c>
      <c r="B32" s="53" t="str">
        <f ca="1">IFERROR(__xludf.DUMMYFUNCTION("""COMPUTED_VALUE"""),"Trường MN 19 Tháng 5")</f>
        <v>Trường MN 19 Tháng 5</v>
      </c>
      <c r="C32" s="53" t="str">
        <f ca="1">IFERROR(__xludf.DUMMYFUNCTION("""COMPUTED_VALUE"""),"MN")</f>
        <v>MN</v>
      </c>
      <c r="D32" s="53">
        <f ca="1">IFERROR(__xludf.DUMMYFUNCTION("""COMPUTED_VALUE"""),12)</f>
        <v>12</v>
      </c>
      <c r="E32" s="54">
        <f ca="1">IFERROR(__xludf.DUMMYFUNCTION("""COMPUTED_VALUE"""),20)</f>
        <v>20</v>
      </c>
      <c r="F32" s="54">
        <f ca="1">IFERROR(__xludf.DUMMYFUNCTION("""COMPUTED_VALUE"""),20)</f>
        <v>20</v>
      </c>
      <c r="G32" s="51">
        <f t="shared" ca="1" si="0"/>
        <v>1</v>
      </c>
      <c r="H32" s="54">
        <f ca="1">IFERROR(__xludf.DUMMYFUNCTION("""COMPUTED_VALUE"""),20)</f>
        <v>20</v>
      </c>
      <c r="I32" s="51">
        <f t="shared" ca="1" si="1"/>
        <v>1</v>
      </c>
      <c r="J32" s="54">
        <f ca="1">IFERROR(__xludf.DUMMYFUNCTION("""COMPUTED_VALUE"""),20)</f>
        <v>20</v>
      </c>
      <c r="K32" s="51">
        <f t="shared" ca="1" si="2"/>
        <v>1</v>
      </c>
      <c r="L32" s="54">
        <f ca="1">IFERROR(__xludf.DUMMYFUNCTION("""COMPUTED_VALUE"""),8)</f>
        <v>8</v>
      </c>
      <c r="M32" s="51">
        <f t="shared" ca="1" si="3"/>
        <v>0.4</v>
      </c>
      <c r="N32" s="54">
        <f ca="1">IFERROR(__xludf.DUMMYFUNCTION("""COMPUTED_VALUE"""),151)</f>
        <v>151</v>
      </c>
      <c r="O32" s="54">
        <f ca="1">IFERROR(__xludf.DUMMYFUNCTION("""COMPUTED_VALUE"""),0)</f>
        <v>0</v>
      </c>
      <c r="P32" s="51">
        <f t="shared" ca="1" si="4"/>
        <v>0</v>
      </c>
      <c r="Q32" s="54">
        <f ca="1">IFERROR(__xludf.DUMMYFUNCTION("""COMPUTED_VALUE"""),0)</f>
        <v>0</v>
      </c>
      <c r="R32" s="51">
        <f t="shared" ca="1" si="5"/>
        <v>0</v>
      </c>
      <c r="S32" s="53"/>
      <c r="T32" s="53"/>
      <c r="U32" s="51" t="str">
        <f t="shared" si="6"/>
        <v/>
      </c>
      <c r="V32" s="53"/>
      <c r="W32" s="51" t="str">
        <f t="shared" si="7"/>
        <v/>
      </c>
      <c r="X32" s="53"/>
      <c r="Y32" s="51" t="str">
        <f t="shared" si="8"/>
        <v/>
      </c>
      <c r="Z32" s="2"/>
      <c r="AA32" s="2"/>
      <c r="AB32" s="2"/>
      <c r="AC32" s="2"/>
      <c r="AD32" s="2"/>
      <c r="AE32" s="2"/>
    </row>
    <row r="33" spans="1:31" ht="12.75" x14ac:dyDescent="0.2">
      <c r="A33" s="53">
        <f ca="1">IFERROR(__xludf.DUMMYFUNCTION("""COMPUTED_VALUE"""),27)</f>
        <v>27</v>
      </c>
      <c r="B33" s="53" t="str">
        <f ca="1">IFERROR(__xludf.DUMMYFUNCTION("""COMPUTED_VALUE"""),"Trường MN Anh Đào")</f>
        <v>Trường MN Anh Đào</v>
      </c>
      <c r="C33" s="53" t="str">
        <f ca="1">IFERROR(__xludf.DUMMYFUNCTION("""COMPUTED_VALUE"""),"MN")</f>
        <v>MN</v>
      </c>
      <c r="D33" s="53">
        <f ca="1">IFERROR(__xludf.DUMMYFUNCTION("""COMPUTED_VALUE"""),12)</f>
        <v>12</v>
      </c>
      <c r="E33" s="54">
        <f ca="1">IFERROR(__xludf.DUMMYFUNCTION("""COMPUTED_VALUE"""),40)</f>
        <v>40</v>
      </c>
      <c r="F33" s="54">
        <f ca="1">IFERROR(__xludf.DUMMYFUNCTION("""COMPUTED_VALUE"""),40)</f>
        <v>40</v>
      </c>
      <c r="G33" s="51">
        <f t="shared" ca="1" si="0"/>
        <v>1</v>
      </c>
      <c r="H33" s="54">
        <f ca="1">IFERROR(__xludf.DUMMYFUNCTION("""COMPUTED_VALUE"""),40)</f>
        <v>40</v>
      </c>
      <c r="I33" s="51">
        <f t="shared" ca="1" si="1"/>
        <v>1</v>
      </c>
      <c r="J33" s="54">
        <f ca="1">IFERROR(__xludf.DUMMYFUNCTION("""COMPUTED_VALUE"""),40)</f>
        <v>40</v>
      </c>
      <c r="K33" s="51">
        <f t="shared" ca="1" si="2"/>
        <v>1</v>
      </c>
      <c r="L33" s="54">
        <f ca="1">IFERROR(__xludf.DUMMYFUNCTION("""COMPUTED_VALUE"""),35)</f>
        <v>35</v>
      </c>
      <c r="M33" s="51">
        <f t="shared" ca="1" si="3"/>
        <v>0.875</v>
      </c>
      <c r="N33" s="54">
        <f ca="1">IFERROR(__xludf.DUMMYFUNCTION("""COMPUTED_VALUE"""),70)</f>
        <v>70</v>
      </c>
      <c r="O33" s="54">
        <f ca="1">IFERROR(__xludf.DUMMYFUNCTION("""COMPUTED_VALUE"""),0)</f>
        <v>0</v>
      </c>
      <c r="P33" s="51">
        <f t="shared" ca="1" si="4"/>
        <v>0</v>
      </c>
      <c r="Q33" s="54">
        <f ca="1">IFERROR(__xludf.DUMMYFUNCTION("""COMPUTED_VALUE"""),0)</f>
        <v>0</v>
      </c>
      <c r="R33" s="51">
        <f t="shared" ca="1" si="5"/>
        <v>0</v>
      </c>
      <c r="S33" s="53"/>
      <c r="T33" s="53"/>
      <c r="U33" s="51" t="str">
        <f t="shared" si="6"/>
        <v/>
      </c>
      <c r="V33" s="53"/>
      <c r="W33" s="51" t="str">
        <f t="shared" si="7"/>
        <v/>
      </c>
      <c r="X33" s="53"/>
      <c r="Y33" s="51" t="str">
        <f t="shared" si="8"/>
        <v/>
      </c>
      <c r="Z33" s="2"/>
      <c r="AA33" s="2"/>
      <c r="AB33" s="2"/>
      <c r="AC33" s="2"/>
      <c r="AD33" s="2"/>
      <c r="AE33" s="2"/>
    </row>
    <row r="34" spans="1:31" ht="12.75" x14ac:dyDescent="0.2">
      <c r="A34" s="53">
        <f ca="1">IFERROR(__xludf.DUMMYFUNCTION("""COMPUTED_VALUE"""),28)</f>
        <v>28</v>
      </c>
      <c r="B34" s="53" t="str">
        <f ca="1">IFERROR(__xludf.DUMMYFUNCTION("""COMPUTED_VALUE"""),"Trường MN Anh Đức")</f>
        <v>Trường MN Anh Đức</v>
      </c>
      <c r="C34" s="53" t="str">
        <f ca="1">IFERROR(__xludf.DUMMYFUNCTION("""COMPUTED_VALUE"""),"MN")</f>
        <v>MN</v>
      </c>
      <c r="D34" s="53">
        <f ca="1">IFERROR(__xludf.DUMMYFUNCTION("""COMPUTED_VALUE"""),12)</f>
        <v>12</v>
      </c>
      <c r="E34" s="54">
        <f ca="1">IFERROR(__xludf.DUMMYFUNCTION("""COMPUTED_VALUE"""),9)</f>
        <v>9</v>
      </c>
      <c r="F34" s="54">
        <f ca="1">IFERROR(__xludf.DUMMYFUNCTION("""COMPUTED_VALUE"""),9)</f>
        <v>9</v>
      </c>
      <c r="G34" s="51">
        <f t="shared" ca="1" si="0"/>
        <v>1</v>
      </c>
      <c r="H34" s="54">
        <f ca="1">IFERROR(__xludf.DUMMYFUNCTION("""COMPUTED_VALUE"""),9)</f>
        <v>9</v>
      </c>
      <c r="I34" s="51">
        <f t="shared" ca="1" si="1"/>
        <v>1</v>
      </c>
      <c r="J34" s="54">
        <f ca="1">IFERROR(__xludf.DUMMYFUNCTION("""COMPUTED_VALUE"""),9)</f>
        <v>9</v>
      </c>
      <c r="K34" s="51">
        <f t="shared" ca="1" si="2"/>
        <v>1</v>
      </c>
      <c r="L34" s="54">
        <f ca="1">IFERROR(__xludf.DUMMYFUNCTION("""COMPUTED_VALUE"""),0)</f>
        <v>0</v>
      </c>
      <c r="M34" s="51">
        <f t="shared" ca="1" si="3"/>
        <v>0</v>
      </c>
      <c r="N34" s="54">
        <f ca="1">IFERROR(__xludf.DUMMYFUNCTION("""COMPUTED_VALUE"""),10)</f>
        <v>10</v>
      </c>
      <c r="O34" s="54">
        <f ca="1">IFERROR(__xludf.DUMMYFUNCTION("""COMPUTED_VALUE"""),0)</f>
        <v>0</v>
      </c>
      <c r="P34" s="51">
        <f t="shared" ca="1" si="4"/>
        <v>0</v>
      </c>
      <c r="Q34" s="54">
        <f ca="1">IFERROR(__xludf.DUMMYFUNCTION("""COMPUTED_VALUE"""),0)</f>
        <v>0</v>
      </c>
      <c r="R34" s="51">
        <f t="shared" ca="1" si="5"/>
        <v>0</v>
      </c>
      <c r="S34" s="53"/>
      <c r="T34" s="53"/>
      <c r="U34" s="51" t="str">
        <f t="shared" si="6"/>
        <v/>
      </c>
      <c r="V34" s="53"/>
      <c r="W34" s="51" t="str">
        <f t="shared" si="7"/>
        <v/>
      </c>
      <c r="X34" s="53"/>
      <c r="Y34" s="51" t="str">
        <f t="shared" si="8"/>
        <v/>
      </c>
      <c r="Z34" s="2"/>
      <c r="AA34" s="2"/>
      <c r="AB34" s="2"/>
      <c r="AC34" s="2"/>
      <c r="AD34" s="2"/>
      <c r="AE34" s="2"/>
    </row>
    <row r="35" spans="1:31" ht="12.75" x14ac:dyDescent="0.2">
      <c r="A35" s="53">
        <f ca="1">IFERROR(__xludf.DUMMYFUNCTION("""COMPUTED_VALUE"""),29)</f>
        <v>29</v>
      </c>
      <c r="B35" s="53" t="str">
        <f ca="1">IFERROR(__xludf.DUMMYFUNCTION("""COMPUTED_VALUE"""),"Trường MN Ánh Hồng")</f>
        <v>Trường MN Ánh Hồng</v>
      </c>
      <c r="C35" s="53" t="str">
        <f ca="1">IFERROR(__xludf.DUMMYFUNCTION("""COMPUTED_VALUE"""),"MN")</f>
        <v>MN</v>
      </c>
      <c r="D35" s="53">
        <f ca="1">IFERROR(__xludf.DUMMYFUNCTION("""COMPUTED_VALUE"""),12)</f>
        <v>12</v>
      </c>
      <c r="E35" s="54">
        <f ca="1">IFERROR(__xludf.DUMMYFUNCTION("""COMPUTED_VALUE"""),20)</f>
        <v>20</v>
      </c>
      <c r="F35" s="54">
        <f ca="1">IFERROR(__xludf.DUMMYFUNCTION("""COMPUTED_VALUE"""),20)</f>
        <v>20</v>
      </c>
      <c r="G35" s="51">
        <f t="shared" ca="1" si="0"/>
        <v>1</v>
      </c>
      <c r="H35" s="54">
        <f ca="1">IFERROR(__xludf.DUMMYFUNCTION("""COMPUTED_VALUE"""),20)</f>
        <v>20</v>
      </c>
      <c r="I35" s="51">
        <f t="shared" ca="1" si="1"/>
        <v>1</v>
      </c>
      <c r="J35" s="54">
        <f ca="1">IFERROR(__xludf.DUMMYFUNCTION("""COMPUTED_VALUE"""),20)</f>
        <v>20</v>
      </c>
      <c r="K35" s="51">
        <f t="shared" ca="1" si="2"/>
        <v>1</v>
      </c>
      <c r="L35" s="54">
        <f ca="1">IFERROR(__xludf.DUMMYFUNCTION("""COMPUTED_VALUE"""),6)</f>
        <v>6</v>
      </c>
      <c r="M35" s="51">
        <f t="shared" ca="1" si="3"/>
        <v>0.3</v>
      </c>
      <c r="N35" s="54">
        <f ca="1">IFERROR(__xludf.DUMMYFUNCTION("""COMPUTED_VALUE"""),32)</f>
        <v>32</v>
      </c>
      <c r="O35" s="54">
        <f ca="1">IFERROR(__xludf.DUMMYFUNCTION("""COMPUTED_VALUE"""),8)</f>
        <v>8</v>
      </c>
      <c r="P35" s="51">
        <f t="shared" ca="1" si="4"/>
        <v>0.25</v>
      </c>
      <c r="Q35" s="54">
        <f ca="1">IFERROR(__xludf.DUMMYFUNCTION("""COMPUTED_VALUE"""),0)</f>
        <v>0</v>
      </c>
      <c r="R35" s="51">
        <f t="shared" ca="1" si="5"/>
        <v>0</v>
      </c>
      <c r="S35" s="53"/>
      <c r="T35" s="53"/>
      <c r="U35" s="51" t="str">
        <f t="shared" si="6"/>
        <v/>
      </c>
      <c r="V35" s="53"/>
      <c r="W35" s="51" t="str">
        <f t="shared" si="7"/>
        <v/>
      </c>
      <c r="X35" s="53"/>
      <c r="Y35" s="51" t="str">
        <f t="shared" si="8"/>
        <v/>
      </c>
      <c r="Z35" s="2"/>
      <c r="AA35" s="2"/>
      <c r="AB35" s="2"/>
      <c r="AC35" s="2"/>
      <c r="AD35" s="2"/>
      <c r="AE35" s="2"/>
    </row>
    <row r="36" spans="1:31" ht="12.75" x14ac:dyDescent="0.2">
      <c r="A36" s="53">
        <f ca="1">IFERROR(__xludf.DUMMYFUNCTION("""COMPUTED_VALUE"""),30)</f>
        <v>30</v>
      </c>
      <c r="B36" s="53"/>
      <c r="C36" s="53"/>
      <c r="D36" s="53">
        <f ca="1">IFERROR(__xludf.DUMMYFUNCTION("""COMPUTED_VALUE"""),12)</f>
        <v>12</v>
      </c>
      <c r="E36" s="54">
        <f ca="1">IFERROR(__xludf.DUMMYFUNCTION("""COMPUTED_VALUE"""),16)</f>
        <v>16</v>
      </c>
      <c r="F36" s="54">
        <f ca="1">IFERROR(__xludf.DUMMYFUNCTION("""COMPUTED_VALUE"""),16)</f>
        <v>16</v>
      </c>
      <c r="G36" s="51">
        <f t="shared" ca="1" si="0"/>
        <v>1</v>
      </c>
      <c r="H36" s="54">
        <f ca="1">IFERROR(__xludf.DUMMYFUNCTION("""COMPUTED_VALUE"""),16)</f>
        <v>16</v>
      </c>
      <c r="I36" s="51">
        <f t="shared" ca="1" si="1"/>
        <v>1</v>
      </c>
      <c r="J36" s="54">
        <f ca="1">IFERROR(__xludf.DUMMYFUNCTION("""COMPUTED_VALUE"""),16)</f>
        <v>16</v>
      </c>
      <c r="K36" s="51">
        <f t="shared" ca="1" si="2"/>
        <v>1</v>
      </c>
      <c r="L36" s="54">
        <f ca="1">IFERROR(__xludf.DUMMYFUNCTION("""COMPUTED_VALUE"""),15)</f>
        <v>15</v>
      </c>
      <c r="M36" s="51">
        <f t="shared" ca="1" si="3"/>
        <v>0.9375</v>
      </c>
      <c r="N36" s="54">
        <f ca="1">IFERROR(__xludf.DUMMYFUNCTION("""COMPUTED_VALUE"""),27)</f>
        <v>27</v>
      </c>
      <c r="O36" s="54">
        <f ca="1">IFERROR(__xludf.DUMMYFUNCTION("""COMPUTED_VALUE"""),0)</f>
        <v>0</v>
      </c>
      <c r="P36" s="51">
        <f t="shared" ca="1" si="4"/>
        <v>0</v>
      </c>
      <c r="Q36" s="54">
        <f ca="1">IFERROR(__xludf.DUMMYFUNCTION("""COMPUTED_VALUE"""),0)</f>
        <v>0</v>
      </c>
      <c r="R36" s="51">
        <f t="shared" ca="1" si="5"/>
        <v>0</v>
      </c>
      <c r="S36" s="53"/>
      <c r="T36" s="53"/>
      <c r="U36" s="51" t="str">
        <f t="shared" si="6"/>
        <v/>
      </c>
      <c r="V36" s="53"/>
      <c r="W36" s="51" t="str">
        <f t="shared" si="7"/>
        <v/>
      </c>
      <c r="X36" s="53"/>
      <c r="Y36" s="51" t="str">
        <f t="shared" si="8"/>
        <v/>
      </c>
      <c r="Z36" s="2"/>
      <c r="AA36" s="2"/>
      <c r="AB36" s="2"/>
      <c r="AC36" s="2"/>
      <c r="AD36" s="2"/>
      <c r="AE36" s="2"/>
    </row>
    <row r="37" spans="1:31" ht="12.75" x14ac:dyDescent="0.2">
      <c r="A37" s="53">
        <f ca="1">IFERROR(__xludf.DUMMYFUNCTION("""COMPUTED_VALUE"""),31)</f>
        <v>31</v>
      </c>
      <c r="B37" s="53" t="str">
        <f ca="1">IFERROR(__xludf.DUMMYFUNCTION("""COMPUTED_VALUE"""),"Trường MN Ánh S Mai")</f>
        <v>Trường MN Ánh S Mai</v>
      </c>
      <c r="C37" s="53" t="str">
        <f ca="1">IFERROR(__xludf.DUMMYFUNCTION("""COMPUTED_VALUE"""),"MN")</f>
        <v>MN</v>
      </c>
      <c r="D37" s="53">
        <f ca="1">IFERROR(__xludf.DUMMYFUNCTION("""COMPUTED_VALUE"""),12)</f>
        <v>12</v>
      </c>
      <c r="E37" s="54">
        <f ca="1">IFERROR(__xludf.DUMMYFUNCTION("""COMPUTED_VALUE"""),26)</f>
        <v>26</v>
      </c>
      <c r="F37" s="54">
        <f ca="1">IFERROR(__xludf.DUMMYFUNCTION("""COMPUTED_VALUE"""),26)</f>
        <v>26</v>
      </c>
      <c r="G37" s="51">
        <f t="shared" ca="1" si="0"/>
        <v>1</v>
      </c>
      <c r="H37" s="54">
        <f ca="1">IFERROR(__xludf.DUMMYFUNCTION("""COMPUTED_VALUE"""),26)</f>
        <v>26</v>
      </c>
      <c r="I37" s="51">
        <f t="shared" ca="1" si="1"/>
        <v>1</v>
      </c>
      <c r="J37" s="54">
        <f ca="1">IFERROR(__xludf.DUMMYFUNCTION("""COMPUTED_VALUE"""),25)</f>
        <v>25</v>
      </c>
      <c r="K37" s="51">
        <f t="shared" ca="1" si="2"/>
        <v>0.96153846153846156</v>
      </c>
      <c r="L37" s="54">
        <f ca="1">IFERROR(__xludf.DUMMYFUNCTION("""COMPUTED_VALUE"""),2)</f>
        <v>2</v>
      </c>
      <c r="M37" s="51">
        <f t="shared" ca="1" si="3"/>
        <v>7.6923076923076927E-2</v>
      </c>
      <c r="N37" s="54">
        <f ca="1">IFERROR(__xludf.DUMMYFUNCTION("""COMPUTED_VALUE"""),58)</f>
        <v>58</v>
      </c>
      <c r="O37" s="54">
        <f ca="1">IFERROR(__xludf.DUMMYFUNCTION("""COMPUTED_VALUE"""),0)</f>
        <v>0</v>
      </c>
      <c r="P37" s="51">
        <f t="shared" ca="1" si="4"/>
        <v>0</v>
      </c>
      <c r="Q37" s="54">
        <f ca="1">IFERROR(__xludf.DUMMYFUNCTION("""COMPUTED_VALUE"""),0)</f>
        <v>0</v>
      </c>
      <c r="R37" s="51">
        <f t="shared" ca="1" si="5"/>
        <v>0</v>
      </c>
      <c r="S37" s="53"/>
      <c r="T37" s="53"/>
      <c r="U37" s="51" t="str">
        <f t="shared" si="6"/>
        <v/>
      </c>
      <c r="V37" s="53"/>
      <c r="W37" s="51" t="str">
        <f t="shared" si="7"/>
        <v/>
      </c>
      <c r="X37" s="53"/>
      <c r="Y37" s="51" t="str">
        <f t="shared" si="8"/>
        <v/>
      </c>
      <c r="Z37" s="2"/>
      <c r="AA37" s="2"/>
      <c r="AB37" s="2"/>
      <c r="AC37" s="2"/>
      <c r="AD37" s="2"/>
      <c r="AE37" s="2"/>
    </row>
    <row r="38" spans="1:31" ht="12.75" x14ac:dyDescent="0.2">
      <c r="A38" s="53">
        <f ca="1">IFERROR(__xludf.DUMMYFUNCTION("""COMPUTED_VALUE"""),32)</f>
        <v>32</v>
      </c>
      <c r="B38" s="53" t="str">
        <f ca="1">IFERROR(__xludf.DUMMYFUNCTION("""COMPUTED_VALUE"""),"Trường MN Ánh Sáng")</f>
        <v>Trường MN Ánh Sáng</v>
      </c>
      <c r="C38" s="53" t="str">
        <f ca="1">IFERROR(__xludf.DUMMYFUNCTION("""COMPUTED_VALUE"""),"MN")</f>
        <v>MN</v>
      </c>
      <c r="D38" s="53">
        <f ca="1">IFERROR(__xludf.DUMMYFUNCTION("""COMPUTED_VALUE"""),12)</f>
        <v>12</v>
      </c>
      <c r="E38" s="54">
        <f ca="1">IFERROR(__xludf.DUMMYFUNCTION("""COMPUTED_VALUE"""),35)</f>
        <v>35</v>
      </c>
      <c r="F38" s="54">
        <f ca="1">IFERROR(__xludf.DUMMYFUNCTION("""COMPUTED_VALUE"""),35)</f>
        <v>35</v>
      </c>
      <c r="G38" s="51">
        <f t="shared" ca="1" si="0"/>
        <v>1</v>
      </c>
      <c r="H38" s="54">
        <f ca="1">IFERROR(__xludf.DUMMYFUNCTION("""COMPUTED_VALUE"""),35)</f>
        <v>35</v>
      </c>
      <c r="I38" s="51">
        <f t="shared" ca="1" si="1"/>
        <v>1</v>
      </c>
      <c r="J38" s="54">
        <f ca="1">IFERROR(__xludf.DUMMYFUNCTION("""COMPUTED_VALUE"""),33)</f>
        <v>33</v>
      </c>
      <c r="K38" s="51">
        <f t="shared" ca="1" si="2"/>
        <v>0.94285714285714284</v>
      </c>
      <c r="L38" s="54">
        <f ca="1">IFERROR(__xludf.DUMMYFUNCTION("""COMPUTED_VALUE"""),12)</f>
        <v>12</v>
      </c>
      <c r="M38" s="51">
        <f t="shared" ca="1" si="3"/>
        <v>0.34285714285714286</v>
      </c>
      <c r="N38" s="54">
        <f ca="1">IFERROR(__xludf.DUMMYFUNCTION("""COMPUTED_VALUE"""),130)</f>
        <v>130</v>
      </c>
      <c r="O38" s="54">
        <f ca="1">IFERROR(__xludf.DUMMYFUNCTION("""COMPUTED_VALUE"""),5)</f>
        <v>5</v>
      </c>
      <c r="P38" s="51">
        <f t="shared" ca="1" si="4"/>
        <v>3.8461538461538464E-2</v>
      </c>
      <c r="Q38" s="54">
        <f ca="1">IFERROR(__xludf.DUMMYFUNCTION("""COMPUTED_VALUE"""),0)</f>
        <v>0</v>
      </c>
      <c r="R38" s="51">
        <f t="shared" ca="1" si="5"/>
        <v>0</v>
      </c>
      <c r="S38" s="53"/>
      <c r="T38" s="53"/>
      <c r="U38" s="51" t="str">
        <f t="shared" si="6"/>
        <v/>
      </c>
      <c r="V38" s="53"/>
      <c r="W38" s="51" t="str">
        <f t="shared" si="7"/>
        <v/>
      </c>
      <c r="X38" s="53"/>
      <c r="Y38" s="51" t="str">
        <f t="shared" si="8"/>
        <v/>
      </c>
      <c r="Z38" s="2"/>
      <c r="AA38" s="2"/>
      <c r="AB38" s="2"/>
      <c r="AC38" s="2"/>
      <c r="AD38" s="2"/>
      <c r="AE38" s="2"/>
    </row>
    <row r="39" spans="1:31" ht="12.75" x14ac:dyDescent="0.2">
      <c r="A39" s="53">
        <f ca="1">IFERROR(__xludf.DUMMYFUNCTION("""COMPUTED_VALUE"""),33)</f>
        <v>33</v>
      </c>
      <c r="B39" s="53" t="str">
        <f ca="1">IFERROR(__xludf.DUMMYFUNCTION("""COMPUTED_VALUE"""),"Trường MN Ban Mai")</f>
        <v>Trường MN Ban Mai</v>
      </c>
      <c r="C39" s="53" t="str">
        <f ca="1">IFERROR(__xludf.DUMMYFUNCTION("""COMPUTED_VALUE"""),"MN")</f>
        <v>MN</v>
      </c>
      <c r="D39" s="53">
        <f ca="1">IFERROR(__xludf.DUMMYFUNCTION("""COMPUTED_VALUE"""),12)</f>
        <v>12</v>
      </c>
      <c r="E39" s="54">
        <f ca="1">IFERROR(__xludf.DUMMYFUNCTION("""COMPUTED_VALUE"""),12)</f>
        <v>12</v>
      </c>
      <c r="F39" s="54">
        <f ca="1">IFERROR(__xludf.DUMMYFUNCTION("""COMPUTED_VALUE"""),12)</f>
        <v>12</v>
      </c>
      <c r="G39" s="51">
        <f t="shared" ca="1" si="0"/>
        <v>1</v>
      </c>
      <c r="H39" s="54">
        <f ca="1">IFERROR(__xludf.DUMMYFUNCTION("""COMPUTED_VALUE"""),12)</f>
        <v>12</v>
      </c>
      <c r="I39" s="51">
        <f t="shared" ca="1" si="1"/>
        <v>1</v>
      </c>
      <c r="J39" s="54">
        <f ca="1">IFERROR(__xludf.DUMMYFUNCTION("""COMPUTED_VALUE"""),12)</f>
        <v>12</v>
      </c>
      <c r="K39" s="51">
        <f t="shared" ca="1" si="2"/>
        <v>1</v>
      </c>
      <c r="L39" s="54">
        <f ca="1">IFERROR(__xludf.DUMMYFUNCTION("""COMPUTED_VALUE"""),0)</f>
        <v>0</v>
      </c>
      <c r="M39" s="51">
        <f t="shared" ca="1" si="3"/>
        <v>0</v>
      </c>
      <c r="N39" s="54">
        <f ca="1">IFERROR(__xludf.DUMMYFUNCTION("""COMPUTED_VALUE"""),14)</f>
        <v>14</v>
      </c>
      <c r="O39" s="54">
        <f ca="1">IFERROR(__xludf.DUMMYFUNCTION("""COMPUTED_VALUE"""),0)</f>
        <v>0</v>
      </c>
      <c r="P39" s="51">
        <f t="shared" ca="1" si="4"/>
        <v>0</v>
      </c>
      <c r="Q39" s="54">
        <f ca="1">IFERROR(__xludf.DUMMYFUNCTION("""COMPUTED_VALUE"""),0)</f>
        <v>0</v>
      </c>
      <c r="R39" s="51">
        <f t="shared" ca="1" si="5"/>
        <v>0</v>
      </c>
      <c r="S39" s="53"/>
      <c r="T39" s="53"/>
      <c r="U39" s="51" t="str">
        <f t="shared" si="6"/>
        <v/>
      </c>
      <c r="V39" s="53"/>
      <c r="W39" s="51" t="str">
        <f t="shared" si="7"/>
        <v/>
      </c>
      <c r="X39" s="53"/>
      <c r="Y39" s="51" t="str">
        <f t="shared" si="8"/>
        <v/>
      </c>
      <c r="Z39" s="2"/>
      <c r="AA39" s="2"/>
      <c r="AB39" s="2"/>
      <c r="AC39" s="2"/>
      <c r="AD39" s="2"/>
      <c r="AE39" s="2"/>
    </row>
    <row r="40" spans="1:31" ht="12.75" x14ac:dyDescent="0.2">
      <c r="A40" s="53">
        <f ca="1">IFERROR(__xludf.DUMMYFUNCTION("""COMPUTED_VALUE"""),34)</f>
        <v>34</v>
      </c>
      <c r="B40" s="53" t="str">
        <f ca="1">IFERROR(__xludf.DUMMYFUNCTION("""COMPUTED_VALUE"""),"Trường MN Bảo Thư ")</f>
        <v xml:space="preserve">Trường MN Bảo Thư </v>
      </c>
      <c r="C40" s="53" t="str">
        <f ca="1">IFERROR(__xludf.DUMMYFUNCTION("""COMPUTED_VALUE"""),"MN")</f>
        <v>MN</v>
      </c>
      <c r="D40" s="53">
        <f ca="1">IFERROR(__xludf.DUMMYFUNCTION("""COMPUTED_VALUE"""),12)</f>
        <v>12</v>
      </c>
      <c r="E40" s="53"/>
      <c r="F40" s="53"/>
      <c r="G40" s="51" t="str">
        <f t="shared" si="0"/>
        <v/>
      </c>
      <c r="H40" s="53"/>
      <c r="I40" s="51" t="str">
        <f t="shared" si="1"/>
        <v/>
      </c>
      <c r="J40" s="53"/>
      <c r="K40" s="51" t="str">
        <f t="shared" si="2"/>
        <v/>
      </c>
      <c r="L40" s="53"/>
      <c r="M40" s="51" t="str">
        <f t="shared" si="3"/>
        <v/>
      </c>
      <c r="N40" s="53"/>
      <c r="O40" s="53"/>
      <c r="P40" s="51" t="str">
        <f t="shared" si="4"/>
        <v/>
      </c>
      <c r="Q40" s="53"/>
      <c r="R40" s="51" t="str">
        <f t="shared" si="5"/>
        <v/>
      </c>
      <c r="S40" s="53"/>
      <c r="T40" s="53"/>
      <c r="U40" s="51" t="str">
        <f t="shared" si="6"/>
        <v/>
      </c>
      <c r="V40" s="53"/>
      <c r="W40" s="51" t="str">
        <f t="shared" si="7"/>
        <v/>
      </c>
      <c r="X40" s="53"/>
      <c r="Y40" s="51" t="str">
        <f t="shared" si="8"/>
        <v/>
      </c>
      <c r="Z40" s="2"/>
      <c r="AA40" s="2"/>
      <c r="AB40" s="2"/>
      <c r="AC40" s="2"/>
      <c r="AD40" s="2"/>
      <c r="AE40" s="2"/>
    </row>
    <row r="41" spans="1:31" ht="12.75" x14ac:dyDescent="0.2">
      <c r="A41" s="53">
        <f ca="1">IFERROR(__xludf.DUMMYFUNCTION("""COMPUTED_VALUE"""),35)</f>
        <v>35</v>
      </c>
      <c r="B41" s="53" t="str">
        <f ca="1">IFERROR(__xludf.DUMMYFUNCTION("""COMPUTED_VALUE"""),"Trường MN Bé Xuka")</f>
        <v>Trường MN Bé Xuka</v>
      </c>
      <c r="C41" s="53" t="str">
        <f ca="1">IFERROR(__xludf.DUMMYFUNCTION("""COMPUTED_VALUE"""),"MN")</f>
        <v>MN</v>
      </c>
      <c r="D41" s="53">
        <f ca="1">IFERROR(__xludf.DUMMYFUNCTION("""COMPUTED_VALUE"""),12)</f>
        <v>12</v>
      </c>
      <c r="E41" s="54">
        <f ca="1">IFERROR(__xludf.DUMMYFUNCTION("""COMPUTED_VALUE"""),26)</f>
        <v>26</v>
      </c>
      <c r="F41" s="54">
        <f ca="1">IFERROR(__xludf.DUMMYFUNCTION("""COMPUTED_VALUE"""),26)</f>
        <v>26</v>
      </c>
      <c r="G41" s="51">
        <f t="shared" ca="1" si="0"/>
        <v>1</v>
      </c>
      <c r="H41" s="54">
        <f ca="1">IFERROR(__xludf.DUMMYFUNCTION("""COMPUTED_VALUE"""),26)</f>
        <v>26</v>
      </c>
      <c r="I41" s="51">
        <f t="shared" ca="1" si="1"/>
        <v>1</v>
      </c>
      <c r="J41" s="54">
        <f ca="1">IFERROR(__xludf.DUMMYFUNCTION("""COMPUTED_VALUE"""),26)</f>
        <v>26</v>
      </c>
      <c r="K41" s="51">
        <f t="shared" ca="1" si="2"/>
        <v>1</v>
      </c>
      <c r="L41" s="54">
        <f ca="1">IFERROR(__xludf.DUMMYFUNCTION("""COMPUTED_VALUE"""),3)</f>
        <v>3</v>
      </c>
      <c r="M41" s="51">
        <f t="shared" ca="1" si="3"/>
        <v>0.11538461538461539</v>
      </c>
      <c r="N41" s="54">
        <f ca="1">IFERROR(__xludf.DUMMYFUNCTION("""COMPUTED_VALUE"""),38)</f>
        <v>38</v>
      </c>
      <c r="O41" s="54">
        <f ca="1">IFERROR(__xludf.DUMMYFUNCTION("""COMPUTED_VALUE"""),0)</f>
        <v>0</v>
      </c>
      <c r="P41" s="51">
        <f t="shared" ca="1" si="4"/>
        <v>0</v>
      </c>
      <c r="Q41" s="54">
        <f ca="1">IFERROR(__xludf.DUMMYFUNCTION("""COMPUTED_VALUE"""),0)</f>
        <v>0</v>
      </c>
      <c r="R41" s="51">
        <f t="shared" ca="1" si="5"/>
        <v>0</v>
      </c>
      <c r="S41" s="53"/>
      <c r="T41" s="53"/>
      <c r="U41" s="51" t="str">
        <f t="shared" si="6"/>
        <v/>
      </c>
      <c r="V41" s="53"/>
      <c r="W41" s="51" t="str">
        <f t="shared" si="7"/>
        <v/>
      </c>
      <c r="X41" s="53"/>
      <c r="Y41" s="51" t="str">
        <f t="shared" si="8"/>
        <v/>
      </c>
      <c r="Z41" s="2"/>
      <c r="AA41" s="2"/>
      <c r="AB41" s="2"/>
      <c r="AC41" s="2"/>
      <c r="AD41" s="2"/>
      <c r="AE41" s="2"/>
    </row>
    <row r="42" spans="1:31" ht="12.75" x14ac:dyDescent="0.2">
      <c r="A42" s="53">
        <f ca="1">IFERROR(__xludf.DUMMYFUNCTION("""COMPUTED_VALUE"""),36)</f>
        <v>36</v>
      </c>
      <c r="B42" s="53" t="str">
        <f ca="1">IFERROR(__xludf.DUMMYFUNCTION("""COMPUTED_VALUE"""),"Trường MN Bí Ngô")</f>
        <v>Trường MN Bí Ngô</v>
      </c>
      <c r="C42" s="53" t="str">
        <f ca="1">IFERROR(__xludf.DUMMYFUNCTION("""COMPUTED_VALUE"""),"MN")</f>
        <v>MN</v>
      </c>
      <c r="D42" s="53">
        <f ca="1">IFERROR(__xludf.DUMMYFUNCTION("""COMPUTED_VALUE"""),12)</f>
        <v>12</v>
      </c>
      <c r="E42" s="54">
        <f ca="1">IFERROR(__xludf.DUMMYFUNCTION("""COMPUTED_VALUE"""),12)</f>
        <v>12</v>
      </c>
      <c r="F42" s="54">
        <f ca="1">IFERROR(__xludf.DUMMYFUNCTION("""COMPUTED_VALUE"""),12)</f>
        <v>12</v>
      </c>
      <c r="G42" s="51">
        <f t="shared" ca="1" si="0"/>
        <v>1</v>
      </c>
      <c r="H42" s="54">
        <f ca="1">IFERROR(__xludf.DUMMYFUNCTION("""COMPUTED_VALUE"""),12)</f>
        <v>12</v>
      </c>
      <c r="I42" s="51">
        <f t="shared" ca="1" si="1"/>
        <v>1</v>
      </c>
      <c r="J42" s="54">
        <f ca="1">IFERROR(__xludf.DUMMYFUNCTION("""COMPUTED_VALUE"""),12)</f>
        <v>12</v>
      </c>
      <c r="K42" s="51">
        <f t="shared" ca="1" si="2"/>
        <v>1</v>
      </c>
      <c r="L42" s="54">
        <f ca="1">IFERROR(__xludf.DUMMYFUNCTION("""COMPUTED_VALUE"""),4)</f>
        <v>4</v>
      </c>
      <c r="M42" s="51">
        <f t="shared" ca="1" si="3"/>
        <v>0.33333333333333331</v>
      </c>
      <c r="N42" s="54">
        <f ca="1">IFERROR(__xludf.DUMMYFUNCTION("""COMPUTED_VALUE"""),40)</f>
        <v>40</v>
      </c>
      <c r="O42" s="54">
        <f ca="1">IFERROR(__xludf.DUMMYFUNCTION("""COMPUTED_VALUE"""),0)</f>
        <v>0</v>
      </c>
      <c r="P42" s="51">
        <f t="shared" ca="1" si="4"/>
        <v>0</v>
      </c>
      <c r="Q42" s="54">
        <f ca="1">IFERROR(__xludf.DUMMYFUNCTION("""COMPUTED_VALUE"""),0)</f>
        <v>0</v>
      </c>
      <c r="R42" s="51">
        <f t="shared" ca="1" si="5"/>
        <v>0</v>
      </c>
      <c r="S42" s="53"/>
      <c r="T42" s="53"/>
      <c r="U42" s="51" t="str">
        <f t="shared" si="6"/>
        <v/>
      </c>
      <c r="V42" s="53"/>
      <c r="W42" s="51" t="str">
        <f t="shared" si="7"/>
        <v/>
      </c>
      <c r="X42" s="53"/>
      <c r="Y42" s="51" t="str">
        <f t="shared" si="8"/>
        <v/>
      </c>
      <c r="Z42" s="2"/>
      <c r="AA42" s="2"/>
      <c r="AB42" s="2"/>
      <c r="AC42" s="2"/>
      <c r="AD42" s="2"/>
      <c r="AE42" s="2"/>
    </row>
    <row r="43" spans="1:31" ht="12.75" x14ac:dyDescent="0.2">
      <c r="A43" s="53">
        <f ca="1">IFERROR(__xludf.DUMMYFUNCTION("""COMPUTED_VALUE"""),37)</f>
        <v>37</v>
      </c>
      <c r="B43" s="53" t="str">
        <f ca="1">IFERROR(__xludf.DUMMYFUNCTION("""COMPUTED_VALUE"""),"Trường MN Bình Minh")</f>
        <v>Trường MN Bình Minh</v>
      </c>
      <c r="C43" s="53" t="str">
        <f ca="1">IFERROR(__xludf.DUMMYFUNCTION("""COMPUTED_VALUE"""),"MN")</f>
        <v>MN</v>
      </c>
      <c r="D43" s="53">
        <f ca="1">IFERROR(__xludf.DUMMYFUNCTION("""COMPUTED_VALUE"""),12)</f>
        <v>12</v>
      </c>
      <c r="E43" s="54">
        <f ca="1">IFERROR(__xludf.DUMMYFUNCTION("""COMPUTED_VALUE"""),19)</f>
        <v>19</v>
      </c>
      <c r="F43" s="54">
        <f ca="1">IFERROR(__xludf.DUMMYFUNCTION("""COMPUTED_VALUE"""),19)</f>
        <v>19</v>
      </c>
      <c r="G43" s="51">
        <f t="shared" ca="1" si="0"/>
        <v>1</v>
      </c>
      <c r="H43" s="54">
        <f ca="1">IFERROR(__xludf.DUMMYFUNCTION("""COMPUTED_VALUE"""),19)</f>
        <v>19</v>
      </c>
      <c r="I43" s="51">
        <f t="shared" ca="1" si="1"/>
        <v>1</v>
      </c>
      <c r="J43" s="54">
        <f ca="1">IFERROR(__xludf.DUMMYFUNCTION("""COMPUTED_VALUE"""),18)</f>
        <v>18</v>
      </c>
      <c r="K43" s="51">
        <f t="shared" ca="1" si="2"/>
        <v>0.94736842105263153</v>
      </c>
      <c r="L43" s="54">
        <f ca="1">IFERROR(__xludf.DUMMYFUNCTION("""COMPUTED_VALUE"""),3)</f>
        <v>3</v>
      </c>
      <c r="M43" s="51">
        <f t="shared" ca="1" si="3"/>
        <v>0.15789473684210525</v>
      </c>
      <c r="N43" s="54">
        <f ca="1">IFERROR(__xludf.DUMMYFUNCTION("""COMPUTED_VALUE"""),79)</f>
        <v>79</v>
      </c>
      <c r="O43" s="54">
        <f ca="1">IFERROR(__xludf.DUMMYFUNCTION("""COMPUTED_VALUE"""),17)</f>
        <v>17</v>
      </c>
      <c r="P43" s="51">
        <f t="shared" ca="1" si="4"/>
        <v>0.21518987341772153</v>
      </c>
      <c r="Q43" s="54">
        <f ca="1">IFERROR(__xludf.DUMMYFUNCTION("""COMPUTED_VALUE"""),13)</f>
        <v>13</v>
      </c>
      <c r="R43" s="51">
        <f t="shared" ca="1" si="5"/>
        <v>0.16455696202531644</v>
      </c>
      <c r="S43" s="53"/>
      <c r="T43" s="53"/>
      <c r="U43" s="51" t="str">
        <f t="shared" si="6"/>
        <v/>
      </c>
      <c r="V43" s="53"/>
      <c r="W43" s="51" t="str">
        <f t="shared" si="7"/>
        <v/>
      </c>
      <c r="X43" s="53"/>
      <c r="Y43" s="51" t="str">
        <f t="shared" si="8"/>
        <v/>
      </c>
      <c r="Z43" s="2"/>
      <c r="AA43" s="2"/>
      <c r="AB43" s="2"/>
      <c r="AC43" s="2"/>
      <c r="AD43" s="2"/>
      <c r="AE43" s="2"/>
    </row>
    <row r="44" spans="1:31" ht="12.75" x14ac:dyDescent="0.2">
      <c r="A44" s="53">
        <f ca="1">IFERROR(__xludf.DUMMYFUNCTION("""COMPUTED_VALUE"""),38)</f>
        <v>38</v>
      </c>
      <c r="B44" s="53" t="str">
        <f ca="1">IFERROR(__xludf.DUMMYFUNCTION("""COMPUTED_VALUE"""),"Trường MN Bông S Xanh")</f>
        <v>Trường MN Bông S Xanh</v>
      </c>
      <c r="C44" s="53" t="str">
        <f ca="1">IFERROR(__xludf.DUMMYFUNCTION("""COMPUTED_VALUE"""),"MN")</f>
        <v>MN</v>
      </c>
      <c r="D44" s="53">
        <f ca="1">IFERROR(__xludf.DUMMYFUNCTION("""COMPUTED_VALUE"""),12)</f>
        <v>12</v>
      </c>
      <c r="E44" s="54">
        <f ca="1">IFERROR(__xludf.DUMMYFUNCTION("""COMPUTED_VALUE"""),14)</f>
        <v>14</v>
      </c>
      <c r="F44" s="54">
        <f ca="1">IFERROR(__xludf.DUMMYFUNCTION("""COMPUTED_VALUE"""),14)</f>
        <v>14</v>
      </c>
      <c r="G44" s="51">
        <f t="shared" ca="1" si="0"/>
        <v>1</v>
      </c>
      <c r="H44" s="54">
        <f ca="1">IFERROR(__xludf.DUMMYFUNCTION("""COMPUTED_VALUE"""),14)</f>
        <v>14</v>
      </c>
      <c r="I44" s="51">
        <f t="shared" ca="1" si="1"/>
        <v>1</v>
      </c>
      <c r="J44" s="54">
        <f ca="1">IFERROR(__xludf.DUMMYFUNCTION("""COMPUTED_VALUE"""),14)</f>
        <v>14</v>
      </c>
      <c r="K44" s="51">
        <f t="shared" ca="1" si="2"/>
        <v>1</v>
      </c>
      <c r="L44" s="54">
        <f ca="1">IFERROR(__xludf.DUMMYFUNCTION("""COMPUTED_VALUE"""),4)</f>
        <v>4</v>
      </c>
      <c r="M44" s="51">
        <f t="shared" ca="1" si="3"/>
        <v>0.2857142857142857</v>
      </c>
      <c r="N44" s="54">
        <f ca="1">IFERROR(__xludf.DUMMYFUNCTION("""COMPUTED_VALUE"""),19)</f>
        <v>19</v>
      </c>
      <c r="O44" s="54">
        <f ca="1">IFERROR(__xludf.DUMMYFUNCTION("""COMPUTED_VALUE"""),0)</f>
        <v>0</v>
      </c>
      <c r="P44" s="51">
        <f t="shared" ca="1" si="4"/>
        <v>0</v>
      </c>
      <c r="Q44" s="54">
        <f ca="1">IFERROR(__xludf.DUMMYFUNCTION("""COMPUTED_VALUE"""),0)</f>
        <v>0</v>
      </c>
      <c r="R44" s="51">
        <f t="shared" ca="1" si="5"/>
        <v>0</v>
      </c>
      <c r="S44" s="53"/>
      <c r="T44" s="53"/>
      <c r="U44" s="51" t="str">
        <f t="shared" si="6"/>
        <v/>
      </c>
      <c r="V44" s="53"/>
      <c r="W44" s="51" t="str">
        <f t="shared" si="7"/>
        <v/>
      </c>
      <c r="X44" s="53"/>
      <c r="Y44" s="51" t="str">
        <f t="shared" si="8"/>
        <v/>
      </c>
      <c r="Z44" s="2"/>
      <c r="AA44" s="2"/>
      <c r="AB44" s="2"/>
      <c r="AC44" s="2"/>
      <c r="AD44" s="2"/>
      <c r="AE44" s="2"/>
    </row>
    <row r="45" spans="1:31" ht="12.75" x14ac:dyDescent="0.2">
      <c r="A45" s="53">
        <f ca="1">IFERROR(__xludf.DUMMYFUNCTION("""COMPUTED_VALUE"""),39)</f>
        <v>39</v>
      </c>
      <c r="B45" s="53" t="str">
        <f ca="1">IFERROR(__xludf.DUMMYFUNCTION("""COMPUTED_VALUE"""),"Trường MN Con đường tuệ đức")</f>
        <v>Trường MN Con đường tuệ đức</v>
      </c>
      <c r="C45" s="53" t="str">
        <f ca="1">IFERROR(__xludf.DUMMYFUNCTION("""COMPUTED_VALUE"""),"MN")</f>
        <v>MN</v>
      </c>
      <c r="D45" s="53">
        <f ca="1">IFERROR(__xludf.DUMMYFUNCTION("""COMPUTED_VALUE"""),12)</f>
        <v>12</v>
      </c>
      <c r="E45" s="54">
        <f ca="1">IFERROR(__xludf.DUMMYFUNCTION("""COMPUTED_VALUE"""),52)</f>
        <v>52</v>
      </c>
      <c r="F45" s="54">
        <f ca="1">IFERROR(__xludf.DUMMYFUNCTION("""COMPUTED_VALUE"""),52)</f>
        <v>52</v>
      </c>
      <c r="G45" s="51">
        <f t="shared" ca="1" si="0"/>
        <v>1</v>
      </c>
      <c r="H45" s="54">
        <f ca="1">IFERROR(__xludf.DUMMYFUNCTION("""COMPUTED_VALUE"""),51)</f>
        <v>51</v>
      </c>
      <c r="I45" s="51">
        <f t="shared" ca="1" si="1"/>
        <v>0.98076923076923073</v>
      </c>
      <c r="J45" s="54">
        <f ca="1">IFERROR(__xludf.DUMMYFUNCTION("""COMPUTED_VALUE"""),43)</f>
        <v>43</v>
      </c>
      <c r="K45" s="51">
        <f t="shared" ca="1" si="2"/>
        <v>0.82692307692307687</v>
      </c>
      <c r="L45" s="54">
        <f ca="1">IFERROR(__xludf.DUMMYFUNCTION("""COMPUTED_VALUE"""),8)</f>
        <v>8</v>
      </c>
      <c r="M45" s="51">
        <f t="shared" ca="1" si="3"/>
        <v>0.15384615384615385</v>
      </c>
      <c r="N45" s="54">
        <f ca="1">IFERROR(__xludf.DUMMYFUNCTION("""COMPUTED_VALUE"""),31)</f>
        <v>31</v>
      </c>
      <c r="O45" s="54">
        <f ca="1">IFERROR(__xludf.DUMMYFUNCTION("""COMPUTED_VALUE"""),0)</f>
        <v>0</v>
      </c>
      <c r="P45" s="51">
        <f t="shared" ca="1" si="4"/>
        <v>0</v>
      </c>
      <c r="Q45" s="54">
        <f ca="1">IFERROR(__xludf.DUMMYFUNCTION("""COMPUTED_VALUE"""),0)</f>
        <v>0</v>
      </c>
      <c r="R45" s="51">
        <f t="shared" ca="1" si="5"/>
        <v>0</v>
      </c>
      <c r="S45" s="53"/>
      <c r="T45" s="53"/>
      <c r="U45" s="51" t="str">
        <f t="shared" si="6"/>
        <v/>
      </c>
      <c r="V45" s="53"/>
      <c r="W45" s="51" t="str">
        <f t="shared" si="7"/>
        <v/>
      </c>
      <c r="X45" s="53"/>
      <c r="Y45" s="51" t="str">
        <f t="shared" si="8"/>
        <v/>
      </c>
      <c r="Z45" s="2"/>
      <c r="AA45" s="2"/>
      <c r="AB45" s="2"/>
      <c r="AC45" s="2"/>
      <c r="AD45" s="2"/>
      <c r="AE45" s="2"/>
    </row>
    <row r="46" spans="1:31" ht="12.75" x14ac:dyDescent="0.2">
      <c r="A46" s="53">
        <f ca="1">IFERROR(__xludf.DUMMYFUNCTION("""COMPUTED_VALUE"""),40)</f>
        <v>40</v>
      </c>
      <c r="B46" s="53" t="str">
        <f ca="1">IFERROR(__xludf.DUMMYFUNCTION("""COMPUTED_VALUE"""),"Trường MN Đông Phương")</f>
        <v>Trường MN Đông Phương</v>
      </c>
      <c r="C46" s="53" t="str">
        <f ca="1">IFERROR(__xludf.DUMMYFUNCTION("""COMPUTED_VALUE"""),"MN")</f>
        <v>MN</v>
      </c>
      <c r="D46" s="53">
        <f ca="1">IFERROR(__xludf.DUMMYFUNCTION("""COMPUTED_VALUE"""),12)</f>
        <v>12</v>
      </c>
      <c r="E46" s="54">
        <f ca="1">IFERROR(__xludf.DUMMYFUNCTION("""COMPUTED_VALUE"""),9)</f>
        <v>9</v>
      </c>
      <c r="F46" s="54">
        <f ca="1">IFERROR(__xludf.DUMMYFUNCTION("""COMPUTED_VALUE"""),9)</f>
        <v>9</v>
      </c>
      <c r="G46" s="51">
        <f t="shared" ca="1" si="0"/>
        <v>1</v>
      </c>
      <c r="H46" s="54">
        <f ca="1">IFERROR(__xludf.DUMMYFUNCTION("""COMPUTED_VALUE"""),9)</f>
        <v>9</v>
      </c>
      <c r="I46" s="51">
        <f t="shared" ca="1" si="1"/>
        <v>1</v>
      </c>
      <c r="J46" s="54">
        <f ca="1">IFERROR(__xludf.DUMMYFUNCTION("""COMPUTED_VALUE"""),9)</f>
        <v>9</v>
      </c>
      <c r="K46" s="51">
        <f t="shared" ca="1" si="2"/>
        <v>1</v>
      </c>
      <c r="L46" s="54">
        <f ca="1">IFERROR(__xludf.DUMMYFUNCTION("""COMPUTED_VALUE"""),0)</f>
        <v>0</v>
      </c>
      <c r="M46" s="51">
        <f t="shared" ca="1" si="3"/>
        <v>0</v>
      </c>
      <c r="N46" s="54">
        <f ca="1">IFERROR(__xludf.DUMMYFUNCTION("""COMPUTED_VALUE"""),20)</f>
        <v>20</v>
      </c>
      <c r="O46" s="54">
        <f ca="1">IFERROR(__xludf.DUMMYFUNCTION("""COMPUTED_VALUE"""),1)</f>
        <v>1</v>
      </c>
      <c r="P46" s="51">
        <f t="shared" ca="1" si="4"/>
        <v>0.05</v>
      </c>
      <c r="Q46" s="54">
        <f ca="1">IFERROR(__xludf.DUMMYFUNCTION("""COMPUTED_VALUE"""),1)</f>
        <v>1</v>
      </c>
      <c r="R46" s="51">
        <f t="shared" ca="1" si="5"/>
        <v>0.05</v>
      </c>
      <c r="S46" s="53"/>
      <c r="T46" s="53"/>
      <c r="U46" s="51" t="str">
        <f t="shared" si="6"/>
        <v/>
      </c>
      <c r="V46" s="53"/>
      <c r="W46" s="51" t="str">
        <f t="shared" si="7"/>
        <v/>
      </c>
      <c r="X46" s="53"/>
      <c r="Y46" s="51" t="str">
        <f t="shared" si="8"/>
        <v/>
      </c>
      <c r="Z46" s="2"/>
      <c r="AA46" s="2"/>
      <c r="AB46" s="2"/>
      <c r="AC46" s="2"/>
      <c r="AD46" s="2"/>
      <c r="AE46" s="2"/>
    </row>
    <row r="47" spans="1:31" ht="12.75" x14ac:dyDescent="0.2">
      <c r="A47" s="53">
        <f ca="1">IFERROR(__xludf.DUMMYFUNCTION("""COMPUTED_VALUE"""),41)</f>
        <v>41</v>
      </c>
      <c r="B47" s="53" t="str">
        <f ca="1">IFERROR(__xludf.DUMMYFUNCTION("""COMPUTED_VALUE"""),"Trường MN Đức Quỳnh")</f>
        <v>Trường MN Đức Quỳnh</v>
      </c>
      <c r="C47" s="53" t="str">
        <f ca="1">IFERROR(__xludf.DUMMYFUNCTION("""COMPUTED_VALUE"""),"MN")</f>
        <v>MN</v>
      </c>
      <c r="D47" s="53">
        <f ca="1">IFERROR(__xludf.DUMMYFUNCTION("""COMPUTED_VALUE"""),12)</f>
        <v>12</v>
      </c>
      <c r="E47" s="54">
        <f ca="1">IFERROR(__xludf.DUMMYFUNCTION("""COMPUTED_VALUE"""),19)</f>
        <v>19</v>
      </c>
      <c r="F47" s="54">
        <f ca="1">IFERROR(__xludf.DUMMYFUNCTION("""COMPUTED_VALUE"""),19)</f>
        <v>19</v>
      </c>
      <c r="G47" s="51">
        <f t="shared" ca="1" si="0"/>
        <v>1</v>
      </c>
      <c r="H47" s="54">
        <f ca="1">IFERROR(__xludf.DUMMYFUNCTION("""COMPUTED_VALUE"""),19)</f>
        <v>19</v>
      </c>
      <c r="I47" s="51">
        <f t="shared" ca="1" si="1"/>
        <v>1</v>
      </c>
      <c r="J47" s="54">
        <f ca="1">IFERROR(__xludf.DUMMYFUNCTION("""COMPUTED_VALUE"""),19)</f>
        <v>19</v>
      </c>
      <c r="K47" s="51">
        <f t="shared" ca="1" si="2"/>
        <v>1</v>
      </c>
      <c r="L47" s="54">
        <f ca="1">IFERROR(__xludf.DUMMYFUNCTION("""COMPUTED_VALUE"""),10)</f>
        <v>10</v>
      </c>
      <c r="M47" s="51">
        <f t="shared" ca="1" si="3"/>
        <v>0.52631578947368418</v>
      </c>
      <c r="N47" s="54">
        <f ca="1">IFERROR(__xludf.DUMMYFUNCTION("""COMPUTED_VALUE"""),45)</f>
        <v>45</v>
      </c>
      <c r="O47" s="54">
        <f ca="1">IFERROR(__xludf.DUMMYFUNCTION("""COMPUTED_VALUE"""),0)</f>
        <v>0</v>
      </c>
      <c r="P47" s="51">
        <f t="shared" ca="1" si="4"/>
        <v>0</v>
      </c>
      <c r="Q47" s="54">
        <f ca="1">IFERROR(__xludf.DUMMYFUNCTION("""COMPUTED_VALUE"""),0)</f>
        <v>0</v>
      </c>
      <c r="R47" s="51">
        <f t="shared" ca="1" si="5"/>
        <v>0</v>
      </c>
      <c r="S47" s="53"/>
      <c r="T47" s="53"/>
      <c r="U47" s="51" t="str">
        <f t="shared" si="6"/>
        <v/>
      </c>
      <c r="V47" s="53"/>
      <c r="W47" s="51" t="str">
        <f t="shared" si="7"/>
        <v/>
      </c>
      <c r="X47" s="53"/>
      <c r="Y47" s="51" t="str">
        <f t="shared" si="8"/>
        <v/>
      </c>
      <c r="Z47" s="2"/>
      <c r="AA47" s="2"/>
      <c r="AB47" s="2"/>
      <c r="AC47" s="2"/>
      <c r="AD47" s="2"/>
      <c r="AE47" s="2"/>
    </row>
    <row r="48" spans="1:31" ht="12.75" x14ac:dyDescent="0.2">
      <c r="A48" s="53">
        <f ca="1">IFERROR(__xludf.DUMMYFUNCTION("""COMPUTED_VALUE"""),42)</f>
        <v>42</v>
      </c>
      <c r="B48" s="53" t="str">
        <f ca="1">IFERROR(__xludf.DUMMYFUNCTION("""COMPUTED_VALUE"""),"Trường MN Duy Nhật Tân")</f>
        <v>Trường MN Duy Nhật Tân</v>
      </c>
      <c r="C48" s="53" t="str">
        <f ca="1">IFERROR(__xludf.DUMMYFUNCTION("""COMPUTED_VALUE"""),"MN")</f>
        <v>MN</v>
      </c>
      <c r="D48" s="53">
        <f ca="1">IFERROR(__xludf.DUMMYFUNCTION("""COMPUTED_VALUE"""),12)</f>
        <v>12</v>
      </c>
      <c r="E48" s="54">
        <f ca="1">IFERROR(__xludf.DUMMYFUNCTION("""COMPUTED_VALUE"""),38)</f>
        <v>38</v>
      </c>
      <c r="F48" s="54">
        <f ca="1">IFERROR(__xludf.DUMMYFUNCTION("""COMPUTED_VALUE"""),38)</f>
        <v>38</v>
      </c>
      <c r="G48" s="51">
        <f t="shared" ca="1" si="0"/>
        <v>1</v>
      </c>
      <c r="H48" s="54">
        <f ca="1">IFERROR(__xludf.DUMMYFUNCTION("""COMPUTED_VALUE"""),38)</f>
        <v>38</v>
      </c>
      <c r="I48" s="51">
        <f t="shared" ca="1" si="1"/>
        <v>1</v>
      </c>
      <c r="J48" s="54">
        <f ca="1">IFERROR(__xludf.DUMMYFUNCTION("""COMPUTED_VALUE"""),38)</f>
        <v>38</v>
      </c>
      <c r="K48" s="51">
        <f t="shared" ca="1" si="2"/>
        <v>1</v>
      </c>
      <c r="L48" s="54">
        <f ca="1">IFERROR(__xludf.DUMMYFUNCTION("""COMPUTED_VALUE"""),35)</f>
        <v>35</v>
      </c>
      <c r="M48" s="51">
        <f t="shared" ca="1" si="3"/>
        <v>0.92105263157894735</v>
      </c>
      <c r="N48" s="54">
        <f ca="1">IFERROR(__xludf.DUMMYFUNCTION("""COMPUTED_VALUE"""),65)</f>
        <v>65</v>
      </c>
      <c r="O48" s="54">
        <f ca="1">IFERROR(__xludf.DUMMYFUNCTION("""COMPUTED_VALUE"""),0)</f>
        <v>0</v>
      </c>
      <c r="P48" s="51">
        <f t="shared" ca="1" si="4"/>
        <v>0</v>
      </c>
      <c r="Q48" s="54">
        <f ca="1">IFERROR(__xludf.DUMMYFUNCTION("""COMPUTED_VALUE"""),0)</f>
        <v>0</v>
      </c>
      <c r="R48" s="51">
        <f t="shared" ca="1" si="5"/>
        <v>0</v>
      </c>
      <c r="S48" s="53"/>
      <c r="T48" s="53"/>
      <c r="U48" s="51" t="str">
        <f t="shared" si="6"/>
        <v/>
      </c>
      <c r="V48" s="53"/>
      <c r="W48" s="51" t="str">
        <f t="shared" si="7"/>
        <v/>
      </c>
      <c r="X48" s="53"/>
      <c r="Y48" s="51" t="str">
        <f t="shared" si="8"/>
        <v/>
      </c>
      <c r="Z48" s="2"/>
      <c r="AA48" s="2"/>
      <c r="AB48" s="2"/>
      <c r="AC48" s="2"/>
      <c r="AD48" s="2"/>
      <c r="AE48" s="2"/>
    </row>
    <row r="49" spans="1:31" ht="12.75" x14ac:dyDescent="0.2">
      <c r="A49" s="53">
        <f ca="1">IFERROR(__xludf.DUMMYFUNCTION("""COMPUTED_VALUE"""),43)</f>
        <v>43</v>
      </c>
      <c r="B49" s="53" t="str">
        <f ca="1">IFERROR(__xludf.DUMMYFUNCTION("""COMPUTED_VALUE"""),"Trường MN Gia Anh")</f>
        <v>Trường MN Gia Anh</v>
      </c>
      <c r="C49" s="53" t="str">
        <f ca="1">IFERROR(__xludf.DUMMYFUNCTION("""COMPUTED_VALUE"""),"MN")</f>
        <v>MN</v>
      </c>
      <c r="D49" s="53">
        <f ca="1">IFERROR(__xludf.DUMMYFUNCTION("""COMPUTED_VALUE"""),12)</f>
        <v>12</v>
      </c>
      <c r="E49" s="54">
        <f ca="1">IFERROR(__xludf.DUMMYFUNCTION("""COMPUTED_VALUE"""),11)</f>
        <v>11</v>
      </c>
      <c r="F49" s="54">
        <f ca="1">IFERROR(__xludf.DUMMYFUNCTION("""COMPUTED_VALUE"""),11)</f>
        <v>11</v>
      </c>
      <c r="G49" s="51">
        <f t="shared" ca="1" si="0"/>
        <v>1</v>
      </c>
      <c r="H49" s="54">
        <f ca="1">IFERROR(__xludf.DUMMYFUNCTION("""COMPUTED_VALUE"""),11)</f>
        <v>11</v>
      </c>
      <c r="I49" s="51">
        <f t="shared" ca="1" si="1"/>
        <v>1</v>
      </c>
      <c r="J49" s="54">
        <f ca="1">IFERROR(__xludf.DUMMYFUNCTION("""COMPUTED_VALUE"""),11)</f>
        <v>11</v>
      </c>
      <c r="K49" s="51">
        <f t="shared" ca="1" si="2"/>
        <v>1</v>
      </c>
      <c r="L49" s="54">
        <f ca="1">IFERROR(__xludf.DUMMYFUNCTION("""COMPUTED_VALUE"""),2)</f>
        <v>2</v>
      </c>
      <c r="M49" s="51">
        <f t="shared" ca="1" si="3"/>
        <v>0.18181818181818182</v>
      </c>
      <c r="N49" s="54">
        <f ca="1">IFERROR(__xludf.DUMMYFUNCTION("""COMPUTED_VALUE"""),24)</f>
        <v>24</v>
      </c>
      <c r="O49" s="54">
        <f ca="1">IFERROR(__xludf.DUMMYFUNCTION("""COMPUTED_VALUE"""),0)</f>
        <v>0</v>
      </c>
      <c r="P49" s="51">
        <f t="shared" ca="1" si="4"/>
        <v>0</v>
      </c>
      <c r="Q49" s="54">
        <f ca="1">IFERROR(__xludf.DUMMYFUNCTION("""COMPUTED_VALUE"""),0)</f>
        <v>0</v>
      </c>
      <c r="R49" s="51">
        <f t="shared" ca="1" si="5"/>
        <v>0</v>
      </c>
      <c r="S49" s="53"/>
      <c r="T49" s="53"/>
      <c r="U49" s="51" t="str">
        <f t="shared" si="6"/>
        <v/>
      </c>
      <c r="V49" s="53"/>
      <c r="W49" s="51" t="str">
        <f t="shared" si="7"/>
        <v/>
      </c>
      <c r="X49" s="53"/>
      <c r="Y49" s="51" t="str">
        <f t="shared" si="8"/>
        <v/>
      </c>
      <c r="Z49" s="2"/>
      <c r="AA49" s="2"/>
      <c r="AB49" s="2"/>
      <c r="AC49" s="2"/>
      <c r="AD49" s="2"/>
      <c r="AE49" s="2"/>
    </row>
    <row r="50" spans="1:31" ht="12.75" x14ac:dyDescent="0.2">
      <c r="A50" s="53">
        <f ca="1">IFERROR(__xludf.DUMMYFUNCTION("""COMPUTED_VALUE"""),44)</f>
        <v>44</v>
      </c>
      <c r="B50" s="53" t="str">
        <f ca="1">IFERROR(__xludf.DUMMYFUNCTION("""COMPUTED_VALUE"""),"Trường MN Gia Đình Nhỏ")</f>
        <v>Trường MN Gia Đình Nhỏ</v>
      </c>
      <c r="C50" s="53" t="str">
        <f ca="1">IFERROR(__xludf.DUMMYFUNCTION("""COMPUTED_VALUE"""),"MN")</f>
        <v>MN</v>
      </c>
      <c r="D50" s="53">
        <f ca="1">IFERROR(__xludf.DUMMYFUNCTION("""COMPUTED_VALUE"""),12)</f>
        <v>12</v>
      </c>
      <c r="E50" s="54">
        <f ca="1">IFERROR(__xludf.DUMMYFUNCTION("""COMPUTED_VALUE"""),13)</f>
        <v>13</v>
      </c>
      <c r="F50" s="54">
        <f ca="1">IFERROR(__xludf.DUMMYFUNCTION("""COMPUTED_VALUE"""),13)</f>
        <v>13</v>
      </c>
      <c r="G50" s="51">
        <f t="shared" ca="1" si="0"/>
        <v>1</v>
      </c>
      <c r="H50" s="54">
        <f ca="1">IFERROR(__xludf.DUMMYFUNCTION("""COMPUTED_VALUE"""),13)</f>
        <v>13</v>
      </c>
      <c r="I50" s="51">
        <f t="shared" ca="1" si="1"/>
        <v>1</v>
      </c>
      <c r="J50" s="54">
        <f ca="1">IFERROR(__xludf.DUMMYFUNCTION("""COMPUTED_VALUE"""),12)</f>
        <v>12</v>
      </c>
      <c r="K50" s="51">
        <f t="shared" ca="1" si="2"/>
        <v>0.92307692307692313</v>
      </c>
      <c r="L50" s="54">
        <f ca="1">IFERROR(__xludf.DUMMYFUNCTION("""COMPUTED_VALUE"""),11)</f>
        <v>11</v>
      </c>
      <c r="M50" s="51">
        <f t="shared" ca="1" si="3"/>
        <v>0.84615384615384615</v>
      </c>
      <c r="N50" s="54">
        <f ca="1">IFERROR(__xludf.DUMMYFUNCTION("""COMPUTED_VALUE"""),80)</f>
        <v>80</v>
      </c>
      <c r="O50" s="54">
        <f ca="1">IFERROR(__xludf.DUMMYFUNCTION("""COMPUTED_VALUE"""),0)</f>
        <v>0</v>
      </c>
      <c r="P50" s="51">
        <f t="shared" ca="1" si="4"/>
        <v>0</v>
      </c>
      <c r="Q50" s="54">
        <f ca="1">IFERROR(__xludf.DUMMYFUNCTION("""COMPUTED_VALUE"""),0)</f>
        <v>0</v>
      </c>
      <c r="R50" s="51">
        <f t="shared" ca="1" si="5"/>
        <v>0</v>
      </c>
      <c r="S50" s="53"/>
      <c r="T50" s="53"/>
      <c r="U50" s="51" t="str">
        <f t="shared" si="6"/>
        <v/>
      </c>
      <c r="V50" s="53"/>
      <c r="W50" s="51" t="str">
        <f t="shared" si="7"/>
        <v/>
      </c>
      <c r="X50" s="53"/>
      <c r="Y50" s="51" t="str">
        <f t="shared" si="8"/>
        <v/>
      </c>
      <c r="Z50" s="2"/>
      <c r="AA50" s="2"/>
      <c r="AB50" s="2"/>
      <c r="AC50" s="2"/>
      <c r="AD50" s="2"/>
      <c r="AE50" s="2"/>
    </row>
    <row r="51" spans="1:31" ht="12.75" x14ac:dyDescent="0.2">
      <c r="A51" s="53">
        <f ca="1">IFERROR(__xludf.DUMMYFUNCTION("""COMPUTED_VALUE"""),45)</f>
        <v>45</v>
      </c>
      <c r="B51" s="53" t="str">
        <f ca="1">IFERROR(__xludf.DUMMYFUNCTION("""COMPUTED_VALUE"""),"Trường MN Hiệp Thành")</f>
        <v>Trường MN Hiệp Thành</v>
      </c>
      <c r="C51" s="53" t="str">
        <f ca="1">IFERROR(__xludf.DUMMYFUNCTION("""COMPUTED_VALUE"""),"MN")</f>
        <v>MN</v>
      </c>
      <c r="D51" s="53">
        <f ca="1">IFERROR(__xludf.DUMMYFUNCTION("""COMPUTED_VALUE"""),12)</f>
        <v>12</v>
      </c>
      <c r="E51" s="54">
        <f ca="1">IFERROR(__xludf.DUMMYFUNCTION("""COMPUTED_VALUE"""),44)</f>
        <v>44</v>
      </c>
      <c r="F51" s="54">
        <f ca="1">IFERROR(__xludf.DUMMYFUNCTION("""COMPUTED_VALUE"""),44)</f>
        <v>44</v>
      </c>
      <c r="G51" s="51">
        <f t="shared" ca="1" si="0"/>
        <v>1</v>
      </c>
      <c r="H51" s="54">
        <f ca="1">IFERROR(__xludf.DUMMYFUNCTION("""COMPUTED_VALUE"""),44)</f>
        <v>44</v>
      </c>
      <c r="I51" s="51">
        <f t="shared" ca="1" si="1"/>
        <v>1</v>
      </c>
      <c r="J51" s="54">
        <f ca="1">IFERROR(__xludf.DUMMYFUNCTION("""COMPUTED_VALUE"""),44)</f>
        <v>44</v>
      </c>
      <c r="K51" s="51">
        <f t="shared" ca="1" si="2"/>
        <v>1</v>
      </c>
      <c r="L51" s="54">
        <f ca="1">IFERROR(__xludf.DUMMYFUNCTION("""COMPUTED_VALUE"""),9)</f>
        <v>9</v>
      </c>
      <c r="M51" s="51">
        <f t="shared" ca="1" si="3"/>
        <v>0.20454545454545456</v>
      </c>
      <c r="N51" s="54">
        <f ca="1">IFERROR(__xludf.DUMMYFUNCTION("""COMPUTED_VALUE"""),129)</f>
        <v>129</v>
      </c>
      <c r="O51" s="54">
        <f ca="1">IFERROR(__xludf.DUMMYFUNCTION("""COMPUTED_VALUE"""),10)</f>
        <v>10</v>
      </c>
      <c r="P51" s="51">
        <f t="shared" ca="1" si="4"/>
        <v>7.7519379844961239E-2</v>
      </c>
      <c r="Q51" s="54">
        <f ca="1">IFERROR(__xludf.DUMMYFUNCTION("""COMPUTED_VALUE"""),0)</f>
        <v>0</v>
      </c>
      <c r="R51" s="51">
        <f t="shared" ca="1" si="5"/>
        <v>0</v>
      </c>
      <c r="S51" s="53"/>
      <c r="T51" s="53"/>
      <c r="U51" s="51" t="str">
        <f t="shared" si="6"/>
        <v/>
      </c>
      <c r="V51" s="53"/>
      <c r="W51" s="51" t="str">
        <f t="shared" si="7"/>
        <v/>
      </c>
      <c r="X51" s="53"/>
      <c r="Y51" s="51" t="str">
        <f t="shared" si="8"/>
        <v/>
      </c>
      <c r="Z51" s="2"/>
      <c r="AA51" s="2"/>
      <c r="AB51" s="2"/>
      <c r="AC51" s="2"/>
      <c r="AD51" s="2"/>
      <c r="AE51" s="2"/>
    </row>
    <row r="52" spans="1:31" ht="12.75" x14ac:dyDescent="0.2">
      <c r="A52" s="53">
        <f ca="1">IFERROR(__xludf.DUMMYFUNCTION("""COMPUTED_VALUE"""),46)</f>
        <v>46</v>
      </c>
      <c r="B52" s="53" t="str">
        <f ca="1">IFERROR(__xludf.DUMMYFUNCTION("""COMPUTED_VALUE"""),"Trường MN Hoa Hồng")</f>
        <v>Trường MN Hoa Hồng</v>
      </c>
      <c r="C52" s="53" t="str">
        <f ca="1">IFERROR(__xludf.DUMMYFUNCTION("""COMPUTED_VALUE"""),"MN")</f>
        <v>MN</v>
      </c>
      <c r="D52" s="53">
        <f ca="1">IFERROR(__xludf.DUMMYFUNCTION("""COMPUTED_VALUE"""),12)</f>
        <v>12</v>
      </c>
      <c r="E52" s="54">
        <f ca="1">IFERROR(__xludf.DUMMYFUNCTION("""COMPUTED_VALUE"""),21)</f>
        <v>21</v>
      </c>
      <c r="F52" s="54">
        <f ca="1">IFERROR(__xludf.DUMMYFUNCTION("""COMPUTED_VALUE"""),21)</f>
        <v>21</v>
      </c>
      <c r="G52" s="51">
        <f t="shared" ca="1" si="0"/>
        <v>1</v>
      </c>
      <c r="H52" s="54">
        <f ca="1">IFERROR(__xludf.DUMMYFUNCTION("""COMPUTED_VALUE"""),21)</f>
        <v>21</v>
      </c>
      <c r="I52" s="51">
        <f t="shared" ca="1" si="1"/>
        <v>1</v>
      </c>
      <c r="J52" s="54">
        <f ca="1">IFERROR(__xludf.DUMMYFUNCTION("""COMPUTED_VALUE"""),21)</f>
        <v>21</v>
      </c>
      <c r="K52" s="51">
        <f t="shared" ca="1" si="2"/>
        <v>1</v>
      </c>
      <c r="L52" s="54">
        <f ca="1">IFERROR(__xludf.DUMMYFUNCTION("""COMPUTED_VALUE"""),15)</f>
        <v>15</v>
      </c>
      <c r="M52" s="51">
        <f t="shared" ca="1" si="3"/>
        <v>0.7142857142857143</v>
      </c>
      <c r="N52" s="54">
        <f ca="1">IFERROR(__xludf.DUMMYFUNCTION("""COMPUTED_VALUE"""),34)</f>
        <v>34</v>
      </c>
      <c r="O52" s="54">
        <f ca="1">IFERROR(__xludf.DUMMYFUNCTION("""COMPUTED_VALUE"""),9)</f>
        <v>9</v>
      </c>
      <c r="P52" s="51">
        <f t="shared" ca="1" si="4"/>
        <v>0.26470588235294118</v>
      </c>
      <c r="Q52" s="54">
        <f ca="1">IFERROR(__xludf.DUMMYFUNCTION("""COMPUTED_VALUE"""),1)</f>
        <v>1</v>
      </c>
      <c r="R52" s="51">
        <f t="shared" ca="1" si="5"/>
        <v>2.9411764705882353E-2</v>
      </c>
      <c r="S52" s="53"/>
      <c r="T52" s="53"/>
      <c r="U52" s="51" t="str">
        <f t="shared" si="6"/>
        <v/>
      </c>
      <c r="V52" s="53"/>
      <c r="W52" s="51" t="str">
        <f t="shared" si="7"/>
        <v/>
      </c>
      <c r="X52" s="53"/>
      <c r="Y52" s="51" t="str">
        <f t="shared" si="8"/>
        <v/>
      </c>
      <c r="Z52" s="2"/>
      <c r="AA52" s="2"/>
      <c r="AB52" s="2"/>
      <c r="AC52" s="2"/>
      <c r="AD52" s="2"/>
      <c r="AE52" s="2"/>
    </row>
    <row r="53" spans="1:31" ht="12.75" x14ac:dyDescent="0.2">
      <c r="A53" s="53">
        <f ca="1">IFERROR(__xludf.DUMMYFUNCTION("""COMPUTED_VALUE"""),47)</f>
        <v>47</v>
      </c>
      <c r="B53" s="53" t="str">
        <f ca="1">IFERROR(__xludf.DUMMYFUNCTION("""COMPUTED_VALUE"""),"Trường MN Hoa Mai 2")</f>
        <v>Trường MN Hoa Mai 2</v>
      </c>
      <c r="C53" s="53" t="str">
        <f ca="1">IFERROR(__xludf.DUMMYFUNCTION("""COMPUTED_VALUE"""),"MN")</f>
        <v>MN</v>
      </c>
      <c r="D53" s="53">
        <f ca="1">IFERROR(__xludf.DUMMYFUNCTION("""COMPUTED_VALUE"""),12)</f>
        <v>12</v>
      </c>
      <c r="E53" s="54">
        <f ca="1">IFERROR(__xludf.DUMMYFUNCTION("""COMPUTED_VALUE"""),65)</f>
        <v>65</v>
      </c>
      <c r="F53" s="54">
        <f ca="1">IFERROR(__xludf.DUMMYFUNCTION("""COMPUTED_VALUE"""),65)</f>
        <v>65</v>
      </c>
      <c r="G53" s="51">
        <f t="shared" ca="1" si="0"/>
        <v>1</v>
      </c>
      <c r="H53" s="54">
        <f ca="1">IFERROR(__xludf.DUMMYFUNCTION("""COMPUTED_VALUE"""),65)</f>
        <v>65</v>
      </c>
      <c r="I53" s="51">
        <f t="shared" ca="1" si="1"/>
        <v>1</v>
      </c>
      <c r="J53" s="54">
        <f ca="1">IFERROR(__xludf.DUMMYFUNCTION("""COMPUTED_VALUE"""),65)</f>
        <v>65</v>
      </c>
      <c r="K53" s="51">
        <f t="shared" ca="1" si="2"/>
        <v>1</v>
      </c>
      <c r="L53" s="54">
        <f ca="1">IFERROR(__xludf.DUMMYFUNCTION("""COMPUTED_VALUE"""),52)</f>
        <v>52</v>
      </c>
      <c r="M53" s="51">
        <f t="shared" ca="1" si="3"/>
        <v>0.8</v>
      </c>
      <c r="N53" s="54">
        <f ca="1">IFERROR(__xludf.DUMMYFUNCTION("""COMPUTED_VALUE"""),157)</f>
        <v>157</v>
      </c>
      <c r="O53" s="54">
        <f ca="1">IFERROR(__xludf.DUMMYFUNCTION("""COMPUTED_VALUE"""),20)</f>
        <v>20</v>
      </c>
      <c r="P53" s="51">
        <f t="shared" ca="1" si="4"/>
        <v>0.12738853503184713</v>
      </c>
      <c r="Q53" s="54">
        <f ca="1">IFERROR(__xludf.DUMMYFUNCTION("""COMPUTED_VALUE"""),19)</f>
        <v>19</v>
      </c>
      <c r="R53" s="51">
        <f t="shared" ca="1" si="5"/>
        <v>0.12101910828025478</v>
      </c>
      <c r="S53" s="53"/>
      <c r="T53" s="53"/>
      <c r="U53" s="51" t="str">
        <f t="shared" si="6"/>
        <v/>
      </c>
      <c r="V53" s="53"/>
      <c r="W53" s="51" t="str">
        <f t="shared" si="7"/>
        <v/>
      </c>
      <c r="X53" s="53"/>
      <c r="Y53" s="51" t="str">
        <f t="shared" si="8"/>
        <v/>
      </c>
      <c r="Z53" s="2"/>
      <c r="AA53" s="2"/>
      <c r="AB53" s="2"/>
      <c r="AC53" s="2"/>
      <c r="AD53" s="2"/>
      <c r="AE53" s="2"/>
    </row>
    <row r="54" spans="1:31" ht="12.75" x14ac:dyDescent="0.2">
      <c r="A54" s="53">
        <f ca="1">IFERROR(__xludf.DUMMYFUNCTION("""COMPUTED_VALUE"""),48)</f>
        <v>48</v>
      </c>
      <c r="B54" s="53"/>
      <c r="C54" s="53"/>
      <c r="D54" s="53">
        <f ca="1">IFERROR(__xludf.DUMMYFUNCTION("""COMPUTED_VALUE"""),12)</f>
        <v>12</v>
      </c>
      <c r="E54" s="54">
        <f ca="1">IFERROR(__xludf.DUMMYFUNCTION("""COMPUTED_VALUE"""),35)</f>
        <v>35</v>
      </c>
      <c r="F54" s="54">
        <f ca="1">IFERROR(__xludf.DUMMYFUNCTION("""COMPUTED_VALUE"""),35)</f>
        <v>35</v>
      </c>
      <c r="G54" s="51">
        <f t="shared" ca="1" si="0"/>
        <v>1</v>
      </c>
      <c r="H54" s="54">
        <f ca="1">IFERROR(__xludf.DUMMYFUNCTION("""COMPUTED_VALUE"""),35)</f>
        <v>35</v>
      </c>
      <c r="I54" s="51">
        <f t="shared" ca="1" si="1"/>
        <v>1</v>
      </c>
      <c r="J54" s="54">
        <f ca="1">IFERROR(__xludf.DUMMYFUNCTION("""COMPUTED_VALUE"""),34)</f>
        <v>34</v>
      </c>
      <c r="K54" s="51">
        <f t="shared" ca="1" si="2"/>
        <v>0.97142857142857142</v>
      </c>
      <c r="L54" s="54">
        <f ca="1">IFERROR(__xludf.DUMMYFUNCTION("""COMPUTED_VALUE"""),18)</f>
        <v>18</v>
      </c>
      <c r="M54" s="51">
        <f t="shared" ca="1" si="3"/>
        <v>0.51428571428571423</v>
      </c>
      <c r="N54" s="54">
        <f ca="1">IFERROR(__xludf.DUMMYFUNCTION("""COMPUTED_VALUE"""),60)</f>
        <v>60</v>
      </c>
      <c r="O54" s="54">
        <f ca="1">IFERROR(__xludf.DUMMYFUNCTION("""COMPUTED_VALUE"""),0)</f>
        <v>0</v>
      </c>
      <c r="P54" s="51">
        <f t="shared" ca="1" si="4"/>
        <v>0</v>
      </c>
      <c r="Q54" s="54">
        <f ca="1">IFERROR(__xludf.DUMMYFUNCTION("""COMPUTED_VALUE"""),0)</f>
        <v>0</v>
      </c>
      <c r="R54" s="51">
        <f t="shared" ca="1" si="5"/>
        <v>0</v>
      </c>
      <c r="S54" s="53"/>
      <c r="T54" s="53"/>
      <c r="U54" s="51" t="str">
        <f t="shared" si="6"/>
        <v/>
      </c>
      <c r="V54" s="53"/>
      <c r="W54" s="51" t="str">
        <f t="shared" si="7"/>
        <v/>
      </c>
      <c r="X54" s="53"/>
      <c r="Y54" s="51" t="str">
        <f t="shared" si="8"/>
        <v/>
      </c>
      <c r="Z54" s="2"/>
      <c r="AA54" s="2"/>
      <c r="AB54" s="2"/>
      <c r="AC54" s="2"/>
      <c r="AD54" s="2"/>
      <c r="AE54" s="2"/>
    </row>
    <row r="55" spans="1:31" ht="12.75" x14ac:dyDescent="0.2">
      <c r="A55" s="53">
        <f ca="1">IFERROR(__xludf.DUMMYFUNCTION("""COMPUTED_VALUE"""),49)</f>
        <v>49</v>
      </c>
      <c r="B55" s="53" t="str">
        <f ca="1">IFERROR(__xludf.DUMMYFUNCTION("""COMPUTED_VALUE"""),"Trường MN Hoàng Lan Anh")</f>
        <v>Trường MN Hoàng Lan Anh</v>
      </c>
      <c r="C55" s="53" t="str">
        <f ca="1">IFERROR(__xludf.DUMMYFUNCTION("""COMPUTED_VALUE"""),"MN")</f>
        <v>MN</v>
      </c>
      <c r="D55" s="53">
        <f ca="1">IFERROR(__xludf.DUMMYFUNCTION("""COMPUTED_VALUE"""),12)</f>
        <v>12</v>
      </c>
      <c r="E55" s="54">
        <f ca="1">IFERROR(__xludf.DUMMYFUNCTION("""COMPUTED_VALUE"""),13)</f>
        <v>13</v>
      </c>
      <c r="F55" s="54">
        <f ca="1">IFERROR(__xludf.DUMMYFUNCTION("""COMPUTED_VALUE"""),13)</f>
        <v>13</v>
      </c>
      <c r="G55" s="51">
        <f t="shared" ca="1" si="0"/>
        <v>1</v>
      </c>
      <c r="H55" s="54">
        <f ca="1">IFERROR(__xludf.DUMMYFUNCTION("""COMPUTED_VALUE"""),13)</f>
        <v>13</v>
      </c>
      <c r="I55" s="51">
        <f t="shared" ca="1" si="1"/>
        <v>1</v>
      </c>
      <c r="J55" s="54">
        <f ca="1">IFERROR(__xludf.DUMMYFUNCTION("""COMPUTED_VALUE"""),13)</f>
        <v>13</v>
      </c>
      <c r="K55" s="51">
        <f t="shared" ca="1" si="2"/>
        <v>1</v>
      </c>
      <c r="L55" s="54">
        <f ca="1">IFERROR(__xludf.DUMMYFUNCTION("""COMPUTED_VALUE"""),4)</f>
        <v>4</v>
      </c>
      <c r="M55" s="51">
        <f t="shared" ca="1" si="3"/>
        <v>0.30769230769230771</v>
      </c>
      <c r="N55" s="54">
        <f ca="1">IFERROR(__xludf.DUMMYFUNCTION("""COMPUTED_VALUE"""),11)</f>
        <v>11</v>
      </c>
      <c r="O55" s="54">
        <f ca="1">IFERROR(__xludf.DUMMYFUNCTION("""COMPUTED_VALUE"""),0)</f>
        <v>0</v>
      </c>
      <c r="P55" s="51">
        <f t="shared" ca="1" si="4"/>
        <v>0</v>
      </c>
      <c r="Q55" s="54">
        <f ca="1">IFERROR(__xludf.DUMMYFUNCTION("""COMPUTED_VALUE"""),0)</f>
        <v>0</v>
      </c>
      <c r="R55" s="51">
        <f t="shared" ca="1" si="5"/>
        <v>0</v>
      </c>
      <c r="S55" s="53"/>
      <c r="T55" s="53"/>
      <c r="U55" s="51" t="str">
        <f t="shared" si="6"/>
        <v/>
      </c>
      <c r="V55" s="53"/>
      <c r="W55" s="51" t="str">
        <f t="shared" si="7"/>
        <v/>
      </c>
      <c r="X55" s="53"/>
      <c r="Y55" s="51" t="str">
        <f t="shared" si="8"/>
        <v/>
      </c>
      <c r="Z55" s="2"/>
      <c r="AA55" s="2"/>
      <c r="AB55" s="2"/>
      <c r="AC55" s="2"/>
      <c r="AD55" s="2"/>
      <c r="AE55" s="2"/>
    </row>
    <row r="56" spans="1:31" ht="12.75" x14ac:dyDescent="0.2">
      <c r="A56" s="53">
        <f ca="1">IFERROR(__xludf.DUMMYFUNCTION("""COMPUTED_VALUE"""),50)</f>
        <v>50</v>
      </c>
      <c r="B56" s="53" t="str">
        <f ca="1">IFERROR(__xludf.DUMMYFUNCTION("""COMPUTED_VALUE"""),"Trường MN Hoa Ti Gôn")</f>
        <v>Trường MN Hoa Ti Gôn</v>
      </c>
      <c r="C56" s="53" t="str">
        <f ca="1">IFERROR(__xludf.DUMMYFUNCTION("""COMPUTED_VALUE"""),"MN")</f>
        <v>MN</v>
      </c>
      <c r="D56" s="53">
        <f ca="1">IFERROR(__xludf.DUMMYFUNCTION("""COMPUTED_VALUE"""),12)</f>
        <v>12</v>
      </c>
      <c r="E56" s="54">
        <f ca="1">IFERROR(__xludf.DUMMYFUNCTION("""COMPUTED_VALUE"""),18)</f>
        <v>18</v>
      </c>
      <c r="F56" s="54">
        <f ca="1">IFERROR(__xludf.DUMMYFUNCTION("""COMPUTED_VALUE"""),18)</f>
        <v>18</v>
      </c>
      <c r="G56" s="51">
        <f t="shared" ca="1" si="0"/>
        <v>1</v>
      </c>
      <c r="H56" s="54">
        <f ca="1">IFERROR(__xludf.DUMMYFUNCTION("""COMPUTED_VALUE"""),18)</f>
        <v>18</v>
      </c>
      <c r="I56" s="51">
        <f t="shared" ca="1" si="1"/>
        <v>1</v>
      </c>
      <c r="J56" s="54">
        <f ca="1">IFERROR(__xludf.DUMMYFUNCTION("""COMPUTED_VALUE"""),18)</f>
        <v>18</v>
      </c>
      <c r="K56" s="51">
        <f t="shared" ca="1" si="2"/>
        <v>1</v>
      </c>
      <c r="L56" s="54">
        <f ca="1">IFERROR(__xludf.DUMMYFUNCTION("""COMPUTED_VALUE"""),7)</f>
        <v>7</v>
      </c>
      <c r="M56" s="51">
        <f t="shared" ca="1" si="3"/>
        <v>0.3888888888888889</v>
      </c>
      <c r="N56" s="54">
        <f ca="1">IFERROR(__xludf.DUMMYFUNCTION("""COMPUTED_VALUE"""),45)</f>
        <v>45</v>
      </c>
      <c r="O56" s="54">
        <f ca="1">IFERROR(__xludf.DUMMYFUNCTION("""COMPUTED_VALUE"""),0)</f>
        <v>0</v>
      </c>
      <c r="P56" s="51">
        <f t="shared" ca="1" si="4"/>
        <v>0</v>
      </c>
      <c r="Q56" s="54">
        <f ca="1">IFERROR(__xludf.DUMMYFUNCTION("""COMPUTED_VALUE"""),0)</f>
        <v>0</v>
      </c>
      <c r="R56" s="51">
        <f t="shared" ca="1" si="5"/>
        <v>0</v>
      </c>
      <c r="S56" s="53"/>
      <c r="T56" s="53"/>
      <c r="U56" s="51" t="str">
        <f t="shared" si="6"/>
        <v/>
      </c>
      <c r="V56" s="53"/>
      <c r="W56" s="51" t="str">
        <f t="shared" si="7"/>
        <v/>
      </c>
      <c r="X56" s="53"/>
      <c r="Y56" s="51" t="str">
        <f t="shared" si="8"/>
        <v/>
      </c>
      <c r="Z56" s="2"/>
      <c r="AA56" s="2"/>
      <c r="AB56" s="2"/>
      <c r="AC56" s="2"/>
      <c r="AD56" s="2"/>
      <c r="AE56" s="2"/>
    </row>
    <row r="57" spans="1:31" ht="12.75" x14ac:dyDescent="0.2">
      <c r="A57" s="53">
        <f ca="1">IFERROR(__xludf.DUMMYFUNCTION("""COMPUTED_VALUE"""),51)</f>
        <v>51</v>
      </c>
      <c r="B57" s="53" t="str">
        <f ca="1">IFERROR(__xludf.DUMMYFUNCTION("""COMPUTED_VALUE"""),"Trường MN Hoài Anh")</f>
        <v>Trường MN Hoài Anh</v>
      </c>
      <c r="C57" s="53" t="str">
        <f ca="1">IFERROR(__xludf.DUMMYFUNCTION("""COMPUTED_VALUE"""),"MN")</f>
        <v>MN</v>
      </c>
      <c r="D57" s="53">
        <f ca="1">IFERROR(__xludf.DUMMYFUNCTION("""COMPUTED_VALUE"""),12)</f>
        <v>12</v>
      </c>
      <c r="E57" s="54">
        <f ca="1">IFERROR(__xludf.DUMMYFUNCTION("""COMPUTED_VALUE"""),17)</f>
        <v>17</v>
      </c>
      <c r="F57" s="54">
        <f ca="1">IFERROR(__xludf.DUMMYFUNCTION("""COMPUTED_VALUE"""),15)</f>
        <v>15</v>
      </c>
      <c r="G57" s="51">
        <f t="shared" ca="1" si="0"/>
        <v>0.88235294117647056</v>
      </c>
      <c r="H57" s="54">
        <f ca="1">IFERROR(__xludf.DUMMYFUNCTION("""COMPUTED_VALUE"""),16)</f>
        <v>16</v>
      </c>
      <c r="I57" s="51">
        <f t="shared" ca="1" si="1"/>
        <v>0.94117647058823528</v>
      </c>
      <c r="J57" s="54">
        <f ca="1">IFERROR(__xludf.DUMMYFUNCTION("""COMPUTED_VALUE"""),15)</f>
        <v>15</v>
      </c>
      <c r="K57" s="51">
        <f t="shared" ca="1" si="2"/>
        <v>0.88235294117647056</v>
      </c>
      <c r="L57" s="54">
        <f ca="1">IFERROR(__xludf.DUMMYFUNCTION("""COMPUTED_VALUE"""),16)</f>
        <v>16</v>
      </c>
      <c r="M57" s="51">
        <f t="shared" ca="1" si="3"/>
        <v>0.94117647058823528</v>
      </c>
      <c r="N57" s="54">
        <f ca="1">IFERROR(__xludf.DUMMYFUNCTION("""COMPUTED_VALUE"""),26)</f>
        <v>26</v>
      </c>
      <c r="O57" s="54">
        <f ca="1">IFERROR(__xludf.DUMMYFUNCTION("""COMPUTED_VALUE"""),0)</f>
        <v>0</v>
      </c>
      <c r="P57" s="51">
        <f t="shared" ca="1" si="4"/>
        <v>0</v>
      </c>
      <c r="Q57" s="54">
        <f ca="1">IFERROR(__xludf.DUMMYFUNCTION("""COMPUTED_VALUE"""),0)</f>
        <v>0</v>
      </c>
      <c r="R57" s="51">
        <f t="shared" ca="1" si="5"/>
        <v>0</v>
      </c>
      <c r="S57" s="53"/>
      <c r="T57" s="53"/>
      <c r="U57" s="51" t="str">
        <f t="shared" si="6"/>
        <v/>
      </c>
      <c r="V57" s="53"/>
      <c r="W57" s="51" t="str">
        <f t="shared" si="7"/>
        <v/>
      </c>
      <c r="X57" s="53"/>
      <c r="Y57" s="51" t="str">
        <f t="shared" si="8"/>
        <v/>
      </c>
      <c r="Z57" s="2"/>
      <c r="AA57" s="2"/>
      <c r="AB57" s="2"/>
      <c r="AC57" s="2"/>
      <c r="AD57" s="2"/>
      <c r="AE57" s="2"/>
    </row>
    <row r="58" spans="1:31" ht="12.75" x14ac:dyDescent="0.2">
      <c r="A58" s="53">
        <f ca="1">IFERROR(__xludf.DUMMYFUNCTION("""COMPUTED_VALUE"""),52)</f>
        <v>52</v>
      </c>
      <c r="B58" s="53" t="str">
        <f ca="1">IFERROR(__xludf.DUMMYFUNCTION("""COMPUTED_VALUE"""),"Trường MN Hoàng Anh 2")</f>
        <v>Trường MN Hoàng Anh 2</v>
      </c>
      <c r="C58" s="53" t="str">
        <f ca="1">IFERROR(__xludf.DUMMYFUNCTION("""COMPUTED_VALUE"""),"MN")</f>
        <v>MN</v>
      </c>
      <c r="D58" s="53">
        <f ca="1">IFERROR(__xludf.DUMMYFUNCTION("""COMPUTED_VALUE"""),12)</f>
        <v>12</v>
      </c>
      <c r="E58" s="54">
        <f ca="1">IFERROR(__xludf.DUMMYFUNCTION("""COMPUTED_VALUE"""),23)</f>
        <v>23</v>
      </c>
      <c r="F58" s="54">
        <f ca="1">IFERROR(__xludf.DUMMYFUNCTION("""COMPUTED_VALUE"""),23)</f>
        <v>23</v>
      </c>
      <c r="G58" s="51">
        <f t="shared" ca="1" si="0"/>
        <v>1</v>
      </c>
      <c r="H58" s="54">
        <f ca="1">IFERROR(__xludf.DUMMYFUNCTION("""COMPUTED_VALUE"""),23)</f>
        <v>23</v>
      </c>
      <c r="I58" s="51">
        <f t="shared" ca="1" si="1"/>
        <v>1</v>
      </c>
      <c r="J58" s="54">
        <f ca="1">IFERROR(__xludf.DUMMYFUNCTION("""COMPUTED_VALUE"""),22)</f>
        <v>22</v>
      </c>
      <c r="K58" s="51">
        <f t="shared" ca="1" si="2"/>
        <v>0.95652173913043481</v>
      </c>
      <c r="L58" s="54">
        <f ca="1">IFERROR(__xludf.DUMMYFUNCTION("""COMPUTED_VALUE"""),1)</f>
        <v>1</v>
      </c>
      <c r="M58" s="51">
        <f t="shared" ca="1" si="3"/>
        <v>4.3478260869565216E-2</v>
      </c>
      <c r="N58" s="54">
        <f ca="1">IFERROR(__xludf.DUMMYFUNCTION("""COMPUTED_VALUE"""),50)</f>
        <v>50</v>
      </c>
      <c r="O58" s="54">
        <f ca="1">IFERROR(__xludf.DUMMYFUNCTION("""COMPUTED_VALUE"""),0)</f>
        <v>0</v>
      </c>
      <c r="P58" s="51">
        <f t="shared" ca="1" si="4"/>
        <v>0</v>
      </c>
      <c r="Q58" s="54">
        <f ca="1">IFERROR(__xludf.DUMMYFUNCTION("""COMPUTED_VALUE"""),0)</f>
        <v>0</v>
      </c>
      <c r="R58" s="51">
        <f t="shared" ca="1" si="5"/>
        <v>0</v>
      </c>
      <c r="S58" s="53"/>
      <c r="T58" s="53"/>
      <c r="U58" s="51" t="str">
        <f t="shared" si="6"/>
        <v/>
      </c>
      <c r="V58" s="53"/>
      <c r="W58" s="51" t="str">
        <f t="shared" si="7"/>
        <v/>
      </c>
      <c r="X58" s="53"/>
      <c r="Y58" s="51" t="str">
        <f t="shared" si="8"/>
        <v/>
      </c>
      <c r="Z58" s="2"/>
      <c r="AA58" s="2"/>
      <c r="AB58" s="2"/>
      <c r="AC58" s="2"/>
      <c r="AD58" s="2"/>
      <c r="AE58" s="2"/>
    </row>
    <row r="59" spans="1:31" ht="12.75" x14ac:dyDescent="0.2">
      <c r="A59" s="53">
        <f ca="1">IFERROR(__xludf.DUMMYFUNCTION("""COMPUTED_VALUE"""),53)</f>
        <v>53</v>
      </c>
      <c r="B59" s="53" t="str">
        <f ca="1">IFERROR(__xludf.DUMMYFUNCTION("""COMPUTED_VALUE"""),"Trường MN Hoàng Yến")</f>
        <v>Trường MN Hoàng Yến</v>
      </c>
      <c r="C59" s="53" t="str">
        <f ca="1">IFERROR(__xludf.DUMMYFUNCTION("""COMPUTED_VALUE"""),"MN")</f>
        <v>MN</v>
      </c>
      <c r="D59" s="53">
        <f ca="1">IFERROR(__xludf.DUMMYFUNCTION("""COMPUTED_VALUE"""),12)</f>
        <v>12</v>
      </c>
      <c r="E59" s="54">
        <f ca="1">IFERROR(__xludf.DUMMYFUNCTION("""COMPUTED_VALUE"""),35)</f>
        <v>35</v>
      </c>
      <c r="F59" s="54">
        <f ca="1">IFERROR(__xludf.DUMMYFUNCTION("""COMPUTED_VALUE"""),35)</f>
        <v>35</v>
      </c>
      <c r="G59" s="51">
        <f t="shared" ca="1" si="0"/>
        <v>1</v>
      </c>
      <c r="H59" s="54">
        <f ca="1">IFERROR(__xludf.DUMMYFUNCTION("""COMPUTED_VALUE"""),35)</f>
        <v>35</v>
      </c>
      <c r="I59" s="51">
        <f t="shared" ca="1" si="1"/>
        <v>1</v>
      </c>
      <c r="J59" s="54">
        <f ca="1">IFERROR(__xludf.DUMMYFUNCTION("""COMPUTED_VALUE"""),35)</f>
        <v>35</v>
      </c>
      <c r="K59" s="51">
        <f t="shared" ca="1" si="2"/>
        <v>1</v>
      </c>
      <c r="L59" s="54">
        <f ca="1">IFERROR(__xludf.DUMMYFUNCTION("""COMPUTED_VALUE"""),7)</f>
        <v>7</v>
      </c>
      <c r="M59" s="51">
        <f t="shared" ca="1" si="3"/>
        <v>0.2</v>
      </c>
      <c r="N59" s="54">
        <f ca="1">IFERROR(__xludf.DUMMYFUNCTION("""COMPUTED_VALUE"""),121)</f>
        <v>121</v>
      </c>
      <c r="O59" s="54">
        <f ca="1">IFERROR(__xludf.DUMMYFUNCTION("""COMPUTED_VALUE"""),12)</f>
        <v>12</v>
      </c>
      <c r="P59" s="51">
        <f t="shared" ca="1" si="4"/>
        <v>9.9173553719008267E-2</v>
      </c>
      <c r="Q59" s="54">
        <f ca="1">IFERROR(__xludf.DUMMYFUNCTION("""COMPUTED_VALUE"""),0)</f>
        <v>0</v>
      </c>
      <c r="R59" s="51">
        <f t="shared" ca="1" si="5"/>
        <v>0</v>
      </c>
      <c r="S59" s="53"/>
      <c r="T59" s="53"/>
      <c r="U59" s="51" t="str">
        <f t="shared" si="6"/>
        <v/>
      </c>
      <c r="V59" s="53"/>
      <c r="W59" s="51" t="str">
        <f t="shared" si="7"/>
        <v/>
      </c>
      <c r="X59" s="53"/>
      <c r="Y59" s="51" t="str">
        <f t="shared" si="8"/>
        <v/>
      </c>
      <c r="Z59" s="2"/>
      <c r="AA59" s="2"/>
      <c r="AB59" s="2"/>
      <c r="AC59" s="2"/>
      <c r="AD59" s="2"/>
      <c r="AE59" s="2"/>
    </row>
    <row r="60" spans="1:31" ht="12.75" x14ac:dyDescent="0.2">
      <c r="A60" s="53">
        <f ca="1">IFERROR(__xludf.DUMMYFUNCTION("""COMPUTED_VALUE"""),54)</f>
        <v>54</v>
      </c>
      <c r="B60" s="53" t="str">
        <f ca="1">IFERROR(__xludf.DUMMYFUNCTION("""COMPUTED_VALUE"""),"Trường MN Hồng Lam")</f>
        <v>Trường MN Hồng Lam</v>
      </c>
      <c r="C60" s="53" t="str">
        <f ca="1">IFERROR(__xludf.DUMMYFUNCTION("""COMPUTED_VALUE"""),"MN")</f>
        <v>MN</v>
      </c>
      <c r="D60" s="53">
        <f ca="1">IFERROR(__xludf.DUMMYFUNCTION("""COMPUTED_VALUE"""),12)</f>
        <v>12</v>
      </c>
      <c r="E60" s="54">
        <f ca="1">IFERROR(__xludf.DUMMYFUNCTION("""COMPUTED_VALUE"""),22)</f>
        <v>22</v>
      </c>
      <c r="F60" s="54">
        <f ca="1">IFERROR(__xludf.DUMMYFUNCTION("""COMPUTED_VALUE"""),22)</f>
        <v>22</v>
      </c>
      <c r="G60" s="51">
        <f t="shared" ca="1" si="0"/>
        <v>1</v>
      </c>
      <c r="H60" s="54">
        <f ca="1">IFERROR(__xludf.DUMMYFUNCTION("""COMPUTED_VALUE"""),22)</f>
        <v>22</v>
      </c>
      <c r="I60" s="51">
        <f t="shared" ca="1" si="1"/>
        <v>1</v>
      </c>
      <c r="J60" s="54">
        <f ca="1">IFERROR(__xludf.DUMMYFUNCTION("""COMPUTED_VALUE"""),22)</f>
        <v>22</v>
      </c>
      <c r="K60" s="51">
        <f t="shared" ca="1" si="2"/>
        <v>1</v>
      </c>
      <c r="L60" s="54">
        <f ca="1">IFERROR(__xludf.DUMMYFUNCTION("""COMPUTED_VALUE"""),14)</f>
        <v>14</v>
      </c>
      <c r="M60" s="51">
        <f t="shared" ca="1" si="3"/>
        <v>0.63636363636363635</v>
      </c>
      <c r="N60" s="54">
        <f ca="1">IFERROR(__xludf.DUMMYFUNCTION("""COMPUTED_VALUE"""),48)</f>
        <v>48</v>
      </c>
      <c r="O60" s="54">
        <f ca="1">IFERROR(__xludf.DUMMYFUNCTION("""COMPUTED_VALUE"""),19)</f>
        <v>19</v>
      </c>
      <c r="P60" s="51">
        <f t="shared" ca="1" si="4"/>
        <v>0.39583333333333331</v>
      </c>
      <c r="Q60" s="54">
        <f ca="1">IFERROR(__xludf.DUMMYFUNCTION("""COMPUTED_VALUE"""),10)</f>
        <v>10</v>
      </c>
      <c r="R60" s="51">
        <f t="shared" ca="1" si="5"/>
        <v>0.20833333333333334</v>
      </c>
      <c r="S60" s="53"/>
      <c r="T60" s="53"/>
      <c r="U60" s="51" t="str">
        <f t="shared" si="6"/>
        <v/>
      </c>
      <c r="V60" s="53"/>
      <c r="W60" s="51" t="str">
        <f t="shared" si="7"/>
        <v/>
      </c>
      <c r="X60" s="53"/>
      <c r="Y60" s="51" t="str">
        <f t="shared" si="8"/>
        <v/>
      </c>
      <c r="Z60" s="2"/>
      <c r="AA60" s="2"/>
      <c r="AB60" s="2"/>
      <c r="AC60" s="2"/>
      <c r="AD60" s="2"/>
      <c r="AE60" s="2"/>
    </row>
    <row r="61" spans="1:31" ht="12.75" x14ac:dyDescent="0.2">
      <c r="A61" s="53">
        <f ca="1">IFERROR(__xludf.DUMMYFUNCTION("""COMPUTED_VALUE"""),55)</f>
        <v>55</v>
      </c>
      <c r="B61" s="53" t="str">
        <f ca="1">IFERROR(__xludf.DUMMYFUNCTION("""COMPUTED_VALUE"""),"Trường MN Hy Vọng")</f>
        <v>Trường MN Hy Vọng</v>
      </c>
      <c r="C61" s="53" t="str">
        <f ca="1">IFERROR(__xludf.DUMMYFUNCTION("""COMPUTED_VALUE"""),"MN")</f>
        <v>MN</v>
      </c>
      <c r="D61" s="53">
        <f ca="1">IFERROR(__xludf.DUMMYFUNCTION("""COMPUTED_VALUE"""),12)</f>
        <v>12</v>
      </c>
      <c r="E61" s="54">
        <f ca="1">IFERROR(__xludf.DUMMYFUNCTION("""COMPUTED_VALUE"""),7)</f>
        <v>7</v>
      </c>
      <c r="F61" s="54">
        <f ca="1">IFERROR(__xludf.DUMMYFUNCTION("""COMPUTED_VALUE"""),7)</f>
        <v>7</v>
      </c>
      <c r="G61" s="51">
        <f t="shared" ca="1" si="0"/>
        <v>1</v>
      </c>
      <c r="H61" s="54">
        <f ca="1">IFERROR(__xludf.DUMMYFUNCTION("""COMPUTED_VALUE"""),7)</f>
        <v>7</v>
      </c>
      <c r="I61" s="51">
        <f t="shared" ca="1" si="1"/>
        <v>1</v>
      </c>
      <c r="J61" s="54">
        <f ca="1">IFERROR(__xludf.DUMMYFUNCTION("""COMPUTED_VALUE"""),7)</f>
        <v>7</v>
      </c>
      <c r="K61" s="51">
        <f t="shared" ca="1" si="2"/>
        <v>1</v>
      </c>
      <c r="L61" s="54">
        <f ca="1">IFERROR(__xludf.DUMMYFUNCTION("""COMPUTED_VALUE"""),1)</f>
        <v>1</v>
      </c>
      <c r="M61" s="51">
        <f t="shared" ca="1" si="3"/>
        <v>0.14285714285714285</v>
      </c>
      <c r="N61" s="54">
        <f ca="1">IFERROR(__xludf.DUMMYFUNCTION("""COMPUTED_VALUE"""),8)</f>
        <v>8</v>
      </c>
      <c r="O61" s="54">
        <f ca="1">IFERROR(__xludf.DUMMYFUNCTION("""COMPUTED_VALUE"""),0)</f>
        <v>0</v>
      </c>
      <c r="P61" s="51">
        <f t="shared" ca="1" si="4"/>
        <v>0</v>
      </c>
      <c r="Q61" s="54">
        <f ca="1">IFERROR(__xludf.DUMMYFUNCTION("""COMPUTED_VALUE"""),0)</f>
        <v>0</v>
      </c>
      <c r="R61" s="51">
        <f t="shared" ca="1" si="5"/>
        <v>0</v>
      </c>
      <c r="S61" s="53"/>
      <c r="T61" s="53"/>
      <c r="U61" s="51" t="str">
        <f t="shared" si="6"/>
        <v/>
      </c>
      <c r="V61" s="53"/>
      <c r="W61" s="51" t="str">
        <f t="shared" si="7"/>
        <v/>
      </c>
      <c r="X61" s="53"/>
      <c r="Y61" s="51" t="str">
        <f t="shared" si="8"/>
        <v/>
      </c>
      <c r="Z61" s="2"/>
      <c r="AA61" s="2"/>
      <c r="AB61" s="2"/>
      <c r="AC61" s="2"/>
      <c r="AD61" s="2"/>
      <c r="AE61" s="2"/>
    </row>
    <row r="62" spans="1:31" ht="12.75" x14ac:dyDescent="0.2">
      <c r="A62" s="53">
        <f ca="1">IFERROR(__xludf.DUMMYFUNCTION("""COMPUTED_VALUE"""),56)</f>
        <v>56</v>
      </c>
      <c r="B62" s="53" t="str">
        <f ca="1">IFERROR(__xludf.DUMMYFUNCTION("""COMPUTED_VALUE"""),"Trường MN Khương Đức")</f>
        <v>Trường MN Khương Đức</v>
      </c>
      <c r="C62" s="53" t="str">
        <f ca="1">IFERROR(__xludf.DUMMYFUNCTION("""COMPUTED_VALUE"""),"MN")</f>
        <v>MN</v>
      </c>
      <c r="D62" s="53">
        <f ca="1">IFERROR(__xludf.DUMMYFUNCTION("""COMPUTED_VALUE"""),12)</f>
        <v>12</v>
      </c>
      <c r="E62" s="54">
        <f ca="1">IFERROR(__xludf.DUMMYFUNCTION("""COMPUTED_VALUE"""),18)</f>
        <v>18</v>
      </c>
      <c r="F62" s="54">
        <f ca="1">IFERROR(__xludf.DUMMYFUNCTION("""COMPUTED_VALUE"""),18)</f>
        <v>18</v>
      </c>
      <c r="G62" s="51">
        <f t="shared" ca="1" si="0"/>
        <v>1</v>
      </c>
      <c r="H62" s="54">
        <f ca="1">IFERROR(__xludf.DUMMYFUNCTION("""COMPUTED_VALUE"""),18)</f>
        <v>18</v>
      </c>
      <c r="I62" s="51">
        <f t="shared" ca="1" si="1"/>
        <v>1</v>
      </c>
      <c r="J62" s="54">
        <f ca="1">IFERROR(__xludf.DUMMYFUNCTION("""COMPUTED_VALUE"""),18)</f>
        <v>18</v>
      </c>
      <c r="K62" s="51">
        <f t="shared" ca="1" si="2"/>
        <v>1</v>
      </c>
      <c r="L62" s="54">
        <f ca="1">IFERROR(__xludf.DUMMYFUNCTION("""COMPUTED_VALUE"""),15)</f>
        <v>15</v>
      </c>
      <c r="M62" s="51">
        <f t="shared" ca="1" si="3"/>
        <v>0.83333333333333337</v>
      </c>
      <c r="N62" s="54">
        <f ca="1">IFERROR(__xludf.DUMMYFUNCTION("""COMPUTED_VALUE"""),10)</f>
        <v>10</v>
      </c>
      <c r="O62" s="54">
        <f ca="1">IFERROR(__xludf.DUMMYFUNCTION("""COMPUTED_VALUE"""),4)</f>
        <v>4</v>
      </c>
      <c r="P62" s="51">
        <f t="shared" ca="1" si="4"/>
        <v>0.4</v>
      </c>
      <c r="Q62" s="54">
        <f ca="1">IFERROR(__xludf.DUMMYFUNCTION("""COMPUTED_VALUE"""),0)</f>
        <v>0</v>
      </c>
      <c r="R62" s="51">
        <f t="shared" ca="1" si="5"/>
        <v>0</v>
      </c>
      <c r="S62" s="53"/>
      <c r="T62" s="53"/>
      <c r="U62" s="51" t="str">
        <f t="shared" si="6"/>
        <v/>
      </c>
      <c r="V62" s="53"/>
      <c r="W62" s="51" t="str">
        <f t="shared" si="7"/>
        <v/>
      </c>
      <c r="X62" s="53"/>
      <c r="Y62" s="51" t="str">
        <f t="shared" si="8"/>
        <v/>
      </c>
      <c r="Z62" s="2"/>
      <c r="AA62" s="2"/>
      <c r="AB62" s="2"/>
      <c r="AC62" s="2"/>
      <c r="AD62" s="2"/>
      <c r="AE62" s="2"/>
    </row>
    <row r="63" spans="1:31" ht="12.75" x14ac:dyDescent="0.2">
      <c r="A63" s="53">
        <f ca="1">IFERROR(__xludf.DUMMYFUNCTION("""COMPUTED_VALUE"""),57)</f>
        <v>57</v>
      </c>
      <c r="B63" s="53" t="str">
        <f ca="1">IFERROR(__xludf.DUMMYFUNCTION("""COMPUTED_VALUE"""),"Trường MN Mặt Trời Bé Con 3")</f>
        <v>Trường MN Mặt Trời Bé Con 3</v>
      </c>
      <c r="C63" s="53" t="str">
        <f ca="1">IFERROR(__xludf.DUMMYFUNCTION("""COMPUTED_VALUE"""),"MN")</f>
        <v>MN</v>
      </c>
      <c r="D63" s="53">
        <f ca="1">IFERROR(__xludf.DUMMYFUNCTION("""COMPUTED_VALUE"""),12)</f>
        <v>12</v>
      </c>
      <c r="E63" s="54">
        <f ca="1">IFERROR(__xludf.DUMMYFUNCTION("""COMPUTED_VALUE"""),13)</f>
        <v>13</v>
      </c>
      <c r="F63" s="54">
        <f ca="1">IFERROR(__xludf.DUMMYFUNCTION("""COMPUTED_VALUE"""),13)</f>
        <v>13</v>
      </c>
      <c r="G63" s="51">
        <f t="shared" ca="1" si="0"/>
        <v>1</v>
      </c>
      <c r="H63" s="54">
        <f ca="1">IFERROR(__xludf.DUMMYFUNCTION("""COMPUTED_VALUE"""),13)</f>
        <v>13</v>
      </c>
      <c r="I63" s="51">
        <f t="shared" ca="1" si="1"/>
        <v>1</v>
      </c>
      <c r="J63" s="54">
        <f ca="1">IFERROR(__xludf.DUMMYFUNCTION("""COMPUTED_VALUE"""),13)</f>
        <v>13</v>
      </c>
      <c r="K63" s="51">
        <f t="shared" ca="1" si="2"/>
        <v>1</v>
      </c>
      <c r="L63" s="54">
        <f ca="1">IFERROR(__xludf.DUMMYFUNCTION("""COMPUTED_VALUE"""),3)</f>
        <v>3</v>
      </c>
      <c r="M63" s="51">
        <f t="shared" ca="1" si="3"/>
        <v>0.23076923076923078</v>
      </c>
      <c r="N63" s="54">
        <f ca="1">IFERROR(__xludf.DUMMYFUNCTION("""COMPUTED_VALUE"""),13)</f>
        <v>13</v>
      </c>
      <c r="O63" s="54">
        <f ca="1">IFERROR(__xludf.DUMMYFUNCTION("""COMPUTED_VALUE"""),0)</f>
        <v>0</v>
      </c>
      <c r="P63" s="51">
        <f t="shared" ca="1" si="4"/>
        <v>0</v>
      </c>
      <c r="Q63" s="54">
        <f ca="1">IFERROR(__xludf.DUMMYFUNCTION("""COMPUTED_VALUE"""),0)</f>
        <v>0</v>
      </c>
      <c r="R63" s="51">
        <f t="shared" ca="1" si="5"/>
        <v>0</v>
      </c>
      <c r="S63" s="53"/>
      <c r="T63" s="53"/>
      <c r="U63" s="51" t="str">
        <f t="shared" si="6"/>
        <v/>
      </c>
      <c r="V63" s="53"/>
      <c r="W63" s="51" t="str">
        <f t="shared" si="7"/>
        <v/>
      </c>
      <c r="X63" s="53"/>
      <c r="Y63" s="51" t="str">
        <f t="shared" si="8"/>
        <v/>
      </c>
      <c r="Z63" s="2"/>
      <c r="AA63" s="2"/>
      <c r="AB63" s="2"/>
      <c r="AC63" s="2"/>
      <c r="AD63" s="2"/>
      <c r="AE63" s="2"/>
    </row>
    <row r="64" spans="1:31" ht="12.75" x14ac:dyDescent="0.2">
      <c r="A64" s="53">
        <f ca="1">IFERROR(__xludf.DUMMYFUNCTION("""COMPUTED_VALUE"""),58)</f>
        <v>58</v>
      </c>
      <c r="B64" s="53" t="str">
        <f ca="1">IFERROR(__xludf.DUMMYFUNCTION("""COMPUTED_VALUE"""),"Trường MN Minh Quang")</f>
        <v>Trường MN Minh Quang</v>
      </c>
      <c r="C64" s="53" t="str">
        <f ca="1">IFERROR(__xludf.DUMMYFUNCTION("""COMPUTED_VALUE"""),"MN")</f>
        <v>MN</v>
      </c>
      <c r="D64" s="53">
        <f ca="1">IFERROR(__xludf.DUMMYFUNCTION("""COMPUTED_VALUE"""),12)</f>
        <v>12</v>
      </c>
      <c r="E64" s="54">
        <f ca="1">IFERROR(__xludf.DUMMYFUNCTION("""COMPUTED_VALUE"""),11)</f>
        <v>11</v>
      </c>
      <c r="F64" s="54">
        <f ca="1">IFERROR(__xludf.DUMMYFUNCTION("""COMPUTED_VALUE"""),11)</f>
        <v>11</v>
      </c>
      <c r="G64" s="51">
        <f t="shared" ca="1" si="0"/>
        <v>1</v>
      </c>
      <c r="H64" s="54">
        <f ca="1">IFERROR(__xludf.DUMMYFUNCTION("""COMPUTED_VALUE"""),11)</f>
        <v>11</v>
      </c>
      <c r="I64" s="51">
        <f t="shared" ca="1" si="1"/>
        <v>1</v>
      </c>
      <c r="J64" s="54">
        <f ca="1">IFERROR(__xludf.DUMMYFUNCTION("""COMPUTED_VALUE"""),11)</f>
        <v>11</v>
      </c>
      <c r="K64" s="51">
        <f t="shared" ca="1" si="2"/>
        <v>1</v>
      </c>
      <c r="L64" s="54">
        <f ca="1">IFERROR(__xludf.DUMMYFUNCTION("""COMPUTED_VALUE"""),10)</f>
        <v>10</v>
      </c>
      <c r="M64" s="51">
        <f t="shared" ca="1" si="3"/>
        <v>0.90909090909090906</v>
      </c>
      <c r="N64" s="54">
        <f ca="1">IFERROR(__xludf.DUMMYFUNCTION("""COMPUTED_VALUE"""),13)</f>
        <v>13</v>
      </c>
      <c r="O64" s="54">
        <f ca="1">IFERROR(__xludf.DUMMYFUNCTION("""COMPUTED_VALUE"""),0)</f>
        <v>0</v>
      </c>
      <c r="P64" s="51">
        <f t="shared" ca="1" si="4"/>
        <v>0</v>
      </c>
      <c r="Q64" s="54">
        <f ca="1">IFERROR(__xludf.DUMMYFUNCTION("""COMPUTED_VALUE"""),0)</f>
        <v>0</v>
      </c>
      <c r="R64" s="51">
        <f t="shared" ca="1" si="5"/>
        <v>0</v>
      </c>
      <c r="S64" s="53"/>
      <c r="T64" s="53"/>
      <c r="U64" s="51" t="str">
        <f t="shared" si="6"/>
        <v/>
      </c>
      <c r="V64" s="53"/>
      <c r="W64" s="51" t="str">
        <f t="shared" si="7"/>
        <v/>
      </c>
      <c r="X64" s="53"/>
      <c r="Y64" s="51" t="str">
        <f t="shared" si="8"/>
        <v/>
      </c>
      <c r="Z64" s="2"/>
      <c r="AA64" s="2"/>
      <c r="AB64" s="2"/>
      <c r="AC64" s="2"/>
      <c r="AD64" s="2"/>
      <c r="AE64" s="2"/>
    </row>
    <row r="65" spans="1:31" ht="12.75" x14ac:dyDescent="0.2">
      <c r="A65" s="53">
        <f ca="1">IFERROR(__xludf.DUMMYFUNCTION("""COMPUTED_VALUE"""),59)</f>
        <v>59</v>
      </c>
      <c r="B65" s="53" t="str">
        <f ca="1">IFERROR(__xludf.DUMMYFUNCTION("""COMPUTED_VALUE"""),"trường MN Mỹ Sài Gòn")</f>
        <v>trường MN Mỹ Sài Gòn</v>
      </c>
      <c r="C65" s="53" t="str">
        <f ca="1">IFERROR(__xludf.DUMMYFUNCTION("""COMPUTED_VALUE"""),"MN")</f>
        <v>MN</v>
      </c>
      <c r="D65" s="53">
        <f ca="1">IFERROR(__xludf.DUMMYFUNCTION("""COMPUTED_VALUE"""),12)</f>
        <v>12</v>
      </c>
      <c r="E65" s="53">
        <f ca="1">IFERROR(__xludf.DUMMYFUNCTION("""COMPUTED_VALUE"""),15)</f>
        <v>15</v>
      </c>
      <c r="F65" s="53">
        <f ca="1">IFERROR(__xludf.DUMMYFUNCTION("""COMPUTED_VALUE"""),15)</f>
        <v>15</v>
      </c>
      <c r="G65" s="51">
        <f t="shared" ca="1" si="0"/>
        <v>1</v>
      </c>
      <c r="H65" s="53">
        <f ca="1">IFERROR(__xludf.DUMMYFUNCTION("""COMPUTED_VALUE"""),15)</f>
        <v>15</v>
      </c>
      <c r="I65" s="51">
        <f t="shared" ca="1" si="1"/>
        <v>1</v>
      </c>
      <c r="J65" s="53">
        <f ca="1">IFERROR(__xludf.DUMMYFUNCTION("""COMPUTED_VALUE"""),13)</f>
        <v>13</v>
      </c>
      <c r="K65" s="51">
        <f t="shared" ca="1" si="2"/>
        <v>0.8666666666666667</v>
      </c>
      <c r="L65" s="53">
        <f ca="1">IFERROR(__xludf.DUMMYFUNCTION("""COMPUTED_VALUE"""),6)</f>
        <v>6</v>
      </c>
      <c r="M65" s="51">
        <f t="shared" ca="1" si="3"/>
        <v>0.4</v>
      </c>
      <c r="N65" s="54">
        <f ca="1">IFERROR(__xludf.DUMMYFUNCTION("""COMPUTED_VALUE"""),9)</f>
        <v>9</v>
      </c>
      <c r="O65" s="54">
        <f ca="1">IFERROR(__xludf.DUMMYFUNCTION("""COMPUTED_VALUE"""),0)</f>
        <v>0</v>
      </c>
      <c r="P65" s="51">
        <f t="shared" ca="1" si="4"/>
        <v>0</v>
      </c>
      <c r="Q65" s="54">
        <f ca="1">IFERROR(__xludf.DUMMYFUNCTION("""COMPUTED_VALUE"""),0)</f>
        <v>0</v>
      </c>
      <c r="R65" s="51">
        <f t="shared" ca="1" si="5"/>
        <v>0</v>
      </c>
      <c r="S65" s="53"/>
      <c r="T65" s="53"/>
      <c r="U65" s="51" t="str">
        <f t="shared" si="6"/>
        <v/>
      </c>
      <c r="V65" s="53"/>
      <c r="W65" s="51" t="str">
        <f t="shared" si="7"/>
        <v/>
      </c>
      <c r="X65" s="53"/>
      <c r="Y65" s="51" t="str">
        <f t="shared" si="8"/>
        <v/>
      </c>
      <c r="Z65" s="2"/>
      <c r="AA65" s="2"/>
      <c r="AB65" s="2"/>
      <c r="AC65" s="2"/>
      <c r="AD65" s="2"/>
      <c r="AE65" s="2"/>
    </row>
    <row r="66" spans="1:31" ht="12.75" x14ac:dyDescent="0.2">
      <c r="A66" s="53">
        <f ca="1">IFERROR(__xludf.DUMMYFUNCTION("""COMPUTED_VALUE"""),60)</f>
        <v>60</v>
      </c>
      <c r="B66" s="53"/>
      <c r="C66" s="53"/>
      <c r="D66" s="53">
        <f ca="1">IFERROR(__xludf.DUMMYFUNCTION("""COMPUTED_VALUE"""),12)</f>
        <v>12</v>
      </c>
      <c r="E66" s="53"/>
      <c r="F66" s="53"/>
      <c r="G66" s="51" t="str">
        <f t="shared" si="0"/>
        <v/>
      </c>
      <c r="H66" s="53"/>
      <c r="I66" s="51" t="str">
        <f t="shared" si="1"/>
        <v/>
      </c>
      <c r="J66" s="53"/>
      <c r="K66" s="51" t="str">
        <f t="shared" si="2"/>
        <v/>
      </c>
      <c r="L66" s="53"/>
      <c r="M66" s="51" t="str">
        <f t="shared" si="3"/>
        <v/>
      </c>
      <c r="N66" s="53"/>
      <c r="O66" s="53"/>
      <c r="P66" s="51" t="str">
        <f t="shared" si="4"/>
        <v/>
      </c>
      <c r="Q66" s="53"/>
      <c r="R66" s="51" t="str">
        <f t="shared" si="5"/>
        <v/>
      </c>
      <c r="S66" s="53"/>
      <c r="T66" s="53"/>
      <c r="U66" s="51" t="str">
        <f t="shared" si="6"/>
        <v/>
      </c>
      <c r="V66" s="53"/>
      <c r="W66" s="51" t="str">
        <f t="shared" si="7"/>
        <v/>
      </c>
      <c r="X66" s="53"/>
      <c r="Y66" s="51" t="str">
        <f t="shared" si="8"/>
        <v/>
      </c>
      <c r="Z66" s="2"/>
      <c r="AA66" s="2"/>
      <c r="AB66" s="2"/>
      <c r="AC66" s="2"/>
      <c r="AD66" s="2"/>
      <c r="AE66" s="2"/>
    </row>
    <row r="67" spans="1:31" ht="12.75" x14ac:dyDescent="0.2">
      <c r="A67" s="53">
        <f ca="1">IFERROR(__xludf.DUMMYFUNCTION("""COMPUTED_VALUE"""),61)</f>
        <v>61</v>
      </c>
      <c r="B67" s="53" t="str">
        <f ca="1">IFERROR(__xludf.DUMMYFUNCTION("""COMPUTED_VALUE"""),"Trường MN Ngọc Thuỷ")</f>
        <v>Trường MN Ngọc Thuỷ</v>
      </c>
      <c r="C67" s="53" t="str">
        <f ca="1">IFERROR(__xludf.DUMMYFUNCTION("""COMPUTED_VALUE"""),"MN")</f>
        <v>MN</v>
      </c>
      <c r="D67" s="53">
        <f ca="1">IFERROR(__xludf.DUMMYFUNCTION("""COMPUTED_VALUE"""),12)</f>
        <v>12</v>
      </c>
      <c r="E67" s="54">
        <f ca="1">IFERROR(__xludf.DUMMYFUNCTION("""COMPUTED_VALUE"""),9)</f>
        <v>9</v>
      </c>
      <c r="F67" s="54">
        <f ca="1">IFERROR(__xludf.DUMMYFUNCTION("""COMPUTED_VALUE"""),9)</f>
        <v>9</v>
      </c>
      <c r="G67" s="51">
        <f t="shared" ca="1" si="0"/>
        <v>1</v>
      </c>
      <c r="H67" s="54">
        <f ca="1">IFERROR(__xludf.DUMMYFUNCTION("""COMPUTED_VALUE"""),9)</f>
        <v>9</v>
      </c>
      <c r="I67" s="51">
        <f t="shared" ca="1" si="1"/>
        <v>1</v>
      </c>
      <c r="J67" s="54">
        <f ca="1">IFERROR(__xludf.DUMMYFUNCTION("""COMPUTED_VALUE"""),9)</f>
        <v>9</v>
      </c>
      <c r="K67" s="51">
        <f t="shared" ca="1" si="2"/>
        <v>1</v>
      </c>
      <c r="L67" s="54">
        <f ca="1">IFERROR(__xludf.DUMMYFUNCTION("""COMPUTED_VALUE"""),0)</f>
        <v>0</v>
      </c>
      <c r="M67" s="51">
        <f t="shared" ca="1" si="3"/>
        <v>0</v>
      </c>
      <c r="N67" s="54">
        <f ca="1">IFERROR(__xludf.DUMMYFUNCTION("""COMPUTED_VALUE"""),14)</f>
        <v>14</v>
      </c>
      <c r="O67" s="54">
        <f ca="1">IFERROR(__xludf.DUMMYFUNCTION("""COMPUTED_VALUE"""),0)</f>
        <v>0</v>
      </c>
      <c r="P67" s="51">
        <f t="shared" ca="1" si="4"/>
        <v>0</v>
      </c>
      <c r="Q67" s="54">
        <f ca="1">IFERROR(__xludf.DUMMYFUNCTION("""COMPUTED_VALUE"""),0)</f>
        <v>0</v>
      </c>
      <c r="R67" s="51">
        <f t="shared" ca="1" si="5"/>
        <v>0</v>
      </c>
      <c r="S67" s="53"/>
      <c r="T67" s="53"/>
      <c r="U67" s="51" t="str">
        <f t="shared" si="6"/>
        <v/>
      </c>
      <c r="V67" s="53"/>
      <c r="W67" s="51" t="str">
        <f t="shared" si="7"/>
        <v/>
      </c>
      <c r="X67" s="53"/>
      <c r="Y67" s="51" t="str">
        <f t="shared" si="8"/>
        <v/>
      </c>
      <c r="Z67" s="2"/>
      <c r="AA67" s="2"/>
      <c r="AB67" s="2"/>
      <c r="AC67" s="2"/>
      <c r="AD67" s="2"/>
      <c r="AE67" s="2"/>
    </row>
    <row r="68" spans="1:31" ht="12.75" x14ac:dyDescent="0.2">
      <c r="A68" s="53">
        <f ca="1">IFERROR(__xludf.DUMMYFUNCTION("""COMPUTED_VALUE"""),62)</f>
        <v>62</v>
      </c>
      <c r="B68" s="53" t="str">
        <f ca="1">IFERROR(__xludf.DUMMYFUNCTION("""COMPUTED_VALUE"""),"Trường MN Phù Đổng")</f>
        <v>Trường MN Phù Đổng</v>
      </c>
      <c r="C68" s="53" t="str">
        <f ca="1">IFERROR(__xludf.DUMMYFUNCTION("""COMPUTED_VALUE"""),"MN")</f>
        <v>MN</v>
      </c>
      <c r="D68" s="53">
        <f ca="1">IFERROR(__xludf.DUMMYFUNCTION("""COMPUTED_VALUE"""),12)</f>
        <v>12</v>
      </c>
      <c r="E68" s="54">
        <f ca="1">IFERROR(__xludf.DUMMYFUNCTION("""COMPUTED_VALUE"""),26)</f>
        <v>26</v>
      </c>
      <c r="F68" s="54">
        <f ca="1">IFERROR(__xludf.DUMMYFUNCTION("""COMPUTED_VALUE"""),26)</f>
        <v>26</v>
      </c>
      <c r="G68" s="51">
        <f t="shared" ca="1" si="0"/>
        <v>1</v>
      </c>
      <c r="H68" s="54">
        <f ca="1">IFERROR(__xludf.DUMMYFUNCTION("""COMPUTED_VALUE"""),26)</f>
        <v>26</v>
      </c>
      <c r="I68" s="51">
        <f t="shared" ca="1" si="1"/>
        <v>1</v>
      </c>
      <c r="J68" s="54">
        <f ca="1">IFERROR(__xludf.DUMMYFUNCTION("""COMPUTED_VALUE"""),25)</f>
        <v>25</v>
      </c>
      <c r="K68" s="51">
        <f t="shared" ca="1" si="2"/>
        <v>0.96153846153846156</v>
      </c>
      <c r="L68" s="54">
        <f ca="1">IFERROR(__xludf.DUMMYFUNCTION("""COMPUTED_VALUE"""),21)</f>
        <v>21</v>
      </c>
      <c r="M68" s="51">
        <f t="shared" ca="1" si="3"/>
        <v>0.80769230769230771</v>
      </c>
      <c r="N68" s="53"/>
      <c r="O68" s="54">
        <f ca="1">IFERROR(__xludf.DUMMYFUNCTION("""COMPUTED_VALUE"""),11)</f>
        <v>11</v>
      </c>
      <c r="P68" s="51" t="str">
        <f t="shared" ca="1" si="4"/>
        <v/>
      </c>
      <c r="Q68" s="54">
        <f ca="1">IFERROR(__xludf.DUMMYFUNCTION("""COMPUTED_VALUE"""),0)</f>
        <v>0</v>
      </c>
      <c r="R68" s="51" t="str">
        <f t="shared" ca="1" si="5"/>
        <v/>
      </c>
      <c r="S68" s="53"/>
      <c r="T68" s="53"/>
      <c r="U68" s="51" t="str">
        <f t="shared" si="6"/>
        <v/>
      </c>
      <c r="V68" s="53"/>
      <c r="W68" s="51" t="str">
        <f t="shared" si="7"/>
        <v/>
      </c>
      <c r="X68" s="53"/>
      <c r="Y68" s="51" t="str">
        <f t="shared" si="8"/>
        <v/>
      </c>
      <c r="Z68" s="2"/>
      <c r="AA68" s="2"/>
      <c r="AB68" s="2"/>
      <c r="AC68" s="2"/>
      <c r="AD68" s="2"/>
      <c r="AE68" s="2"/>
    </row>
    <row r="69" spans="1:31" ht="12.75" x14ac:dyDescent="0.2">
      <c r="A69" s="53">
        <f ca="1">IFERROR(__xludf.DUMMYFUNCTION("""COMPUTED_VALUE"""),63)</f>
        <v>63</v>
      </c>
      <c r="B69" s="53" t="str">
        <f ca="1">IFERROR(__xludf.DUMMYFUNCTION("""COMPUTED_VALUE"""),"Trường MN Quang Trung")</f>
        <v>Trường MN Quang Trung</v>
      </c>
      <c r="C69" s="53" t="str">
        <f ca="1">IFERROR(__xludf.DUMMYFUNCTION("""COMPUTED_VALUE"""),"MN")</f>
        <v>MN</v>
      </c>
      <c r="D69" s="53">
        <f ca="1">IFERROR(__xludf.DUMMYFUNCTION("""COMPUTED_VALUE"""),12)</f>
        <v>12</v>
      </c>
      <c r="E69" s="54">
        <f ca="1">IFERROR(__xludf.DUMMYFUNCTION("""COMPUTED_VALUE"""),64)</f>
        <v>64</v>
      </c>
      <c r="F69" s="54">
        <f ca="1">IFERROR(__xludf.DUMMYFUNCTION("""COMPUTED_VALUE"""),64)</f>
        <v>64</v>
      </c>
      <c r="G69" s="51">
        <f t="shared" ca="1" si="0"/>
        <v>1</v>
      </c>
      <c r="H69" s="54">
        <f ca="1">IFERROR(__xludf.DUMMYFUNCTION("""COMPUTED_VALUE"""),64)</f>
        <v>64</v>
      </c>
      <c r="I69" s="51">
        <f t="shared" ca="1" si="1"/>
        <v>1</v>
      </c>
      <c r="J69" s="54">
        <f ca="1">IFERROR(__xludf.DUMMYFUNCTION("""COMPUTED_VALUE"""),64)</f>
        <v>64</v>
      </c>
      <c r="K69" s="51">
        <f t="shared" ca="1" si="2"/>
        <v>1</v>
      </c>
      <c r="L69" s="54">
        <f ca="1">IFERROR(__xludf.DUMMYFUNCTION("""COMPUTED_VALUE"""),10)</f>
        <v>10</v>
      </c>
      <c r="M69" s="51">
        <f t="shared" ca="1" si="3"/>
        <v>0.15625</v>
      </c>
      <c r="N69" s="54">
        <f ca="1">IFERROR(__xludf.DUMMYFUNCTION("""COMPUTED_VALUE"""),85)</f>
        <v>85</v>
      </c>
      <c r="O69" s="54">
        <f ca="1">IFERROR(__xludf.DUMMYFUNCTION("""COMPUTED_VALUE"""),11)</f>
        <v>11</v>
      </c>
      <c r="P69" s="51">
        <f t="shared" ca="1" si="4"/>
        <v>0.12941176470588237</v>
      </c>
      <c r="Q69" s="54">
        <f ca="1">IFERROR(__xludf.DUMMYFUNCTION("""COMPUTED_VALUE"""),1)</f>
        <v>1</v>
      </c>
      <c r="R69" s="51">
        <f t="shared" ca="1" si="5"/>
        <v>1.1764705882352941E-2</v>
      </c>
      <c r="S69" s="53"/>
      <c r="T69" s="53"/>
      <c r="U69" s="51" t="str">
        <f t="shared" si="6"/>
        <v/>
      </c>
      <c r="V69" s="53"/>
      <c r="W69" s="51" t="str">
        <f t="shared" si="7"/>
        <v/>
      </c>
      <c r="X69" s="53"/>
      <c r="Y69" s="51" t="str">
        <f t="shared" si="8"/>
        <v/>
      </c>
      <c r="Z69" s="2"/>
      <c r="AA69" s="2"/>
      <c r="AB69" s="2"/>
      <c r="AC69" s="2"/>
      <c r="AD69" s="2"/>
      <c r="AE69" s="2"/>
    </row>
    <row r="70" spans="1:31" ht="12.75" x14ac:dyDescent="0.2">
      <c r="A70" s="53">
        <f ca="1">IFERROR(__xludf.DUMMYFUNCTION("""COMPUTED_VALUE"""),64)</f>
        <v>64</v>
      </c>
      <c r="B70" s="53" t="str">
        <f ca="1">IFERROR(__xludf.DUMMYFUNCTION("""COMPUTED_VALUE"""),"Trường MN Sao Mai 2")</f>
        <v>Trường MN Sao Mai 2</v>
      </c>
      <c r="C70" s="53" t="str">
        <f ca="1">IFERROR(__xludf.DUMMYFUNCTION("""COMPUTED_VALUE"""),"MN")</f>
        <v>MN</v>
      </c>
      <c r="D70" s="53">
        <f ca="1">IFERROR(__xludf.DUMMYFUNCTION("""COMPUTED_VALUE"""),12)</f>
        <v>12</v>
      </c>
      <c r="E70" s="54">
        <f ca="1">IFERROR(__xludf.DUMMYFUNCTION("""COMPUTED_VALUE"""),18)</f>
        <v>18</v>
      </c>
      <c r="F70" s="54">
        <f ca="1">IFERROR(__xludf.DUMMYFUNCTION("""COMPUTED_VALUE"""),18)</f>
        <v>18</v>
      </c>
      <c r="G70" s="51">
        <f t="shared" ref="G70:G78" ca="1" si="9">IFERROR(F70/E70,"")</f>
        <v>1</v>
      </c>
      <c r="H70" s="54">
        <f ca="1">IFERROR(__xludf.DUMMYFUNCTION("""COMPUTED_VALUE"""),18)</f>
        <v>18</v>
      </c>
      <c r="I70" s="51">
        <f t="shared" ref="I70:I78" ca="1" si="10">IFERROR(H70/E70,"")</f>
        <v>1</v>
      </c>
      <c r="J70" s="54">
        <f ca="1">IFERROR(__xludf.DUMMYFUNCTION("""COMPUTED_VALUE"""),18)</f>
        <v>18</v>
      </c>
      <c r="K70" s="51">
        <f t="shared" ref="K70:K78" ca="1" si="11">IFERROR(J70/E70,"")</f>
        <v>1</v>
      </c>
      <c r="L70" s="54">
        <f ca="1">IFERROR(__xludf.DUMMYFUNCTION("""COMPUTED_VALUE"""),7)</f>
        <v>7</v>
      </c>
      <c r="M70" s="51">
        <f t="shared" ref="M70:M78" ca="1" si="12">IFERROR(L70/E70,"")</f>
        <v>0.3888888888888889</v>
      </c>
      <c r="N70" s="54">
        <f ca="1">IFERROR(__xludf.DUMMYFUNCTION("""COMPUTED_VALUE"""),22)</f>
        <v>22</v>
      </c>
      <c r="O70" s="54">
        <f ca="1">IFERROR(__xludf.DUMMYFUNCTION("""COMPUTED_VALUE"""),0)</f>
        <v>0</v>
      </c>
      <c r="P70" s="51">
        <f t="shared" ref="P70:P78" ca="1" si="13">IFERROR(O70/N70,"")</f>
        <v>0</v>
      </c>
      <c r="Q70" s="54">
        <f ca="1">IFERROR(__xludf.DUMMYFUNCTION("""COMPUTED_VALUE"""),0)</f>
        <v>0</v>
      </c>
      <c r="R70" s="51">
        <f t="shared" ref="R70:R78" ca="1" si="14">IFERROR(Q70/N70,"")</f>
        <v>0</v>
      </c>
      <c r="S70" s="53"/>
      <c r="T70" s="53"/>
      <c r="U70" s="51" t="str">
        <f t="shared" ref="U70:U78" si="15">IFERROR(T70/S70,"")</f>
        <v/>
      </c>
      <c r="V70" s="53"/>
      <c r="W70" s="51" t="str">
        <f t="shared" ref="W70:W78" si="16">IFERROR(V70/S70,"")</f>
        <v/>
      </c>
      <c r="X70" s="53"/>
      <c r="Y70" s="51" t="str">
        <f t="shared" ref="Y70:Y78" si="17">IFERROR(X70/S70,"")</f>
        <v/>
      </c>
      <c r="Z70" s="2"/>
      <c r="AA70" s="2"/>
      <c r="AB70" s="2"/>
      <c r="AC70" s="2"/>
      <c r="AD70" s="2"/>
      <c r="AE70" s="2"/>
    </row>
    <row r="71" spans="1:31" ht="12.75" x14ac:dyDescent="0.2">
      <c r="A71" s="53">
        <f ca="1">IFERROR(__xludf.DUMMYFUNCTION("""COMPUTED_VALUE"""),65)</f>
        <v>65</v>
      </c>
      <c r="B71" s="53" t="str">
        <f ca="1">IFERROR(__xludf.DUMMYFUNCTION("""COMPUTED_VALUE"""),"Trường MN Sóc Bông")</f>
        <v>Trường MN Sóc Bông</v>
      </c>
      <c r="C71" s="53" t="str">
        <f ca="1">IFERROR(__xludf.DUMMYFUNCTION("""COMPUTED_VALUE"""),"MN")</f>
        <v>MN</v>
      </c>
      <c r="D71" s="53">
        <f ca="1">IFERROR(__xludf.DUMMYFUNCTION("""COMPUTED_VALUE"""),12)</f>
        <v>12</v>
      </c>
      <c r="E71" s="54">
        <f ca="1">IFERROR(__xludf.DUMMYFUNCTION("""COMPUTED_VALUE"""),24)</f>
        <v>24</v>
      </c>
      <c r="F71" s="54">
        <f ca="1">IFERROR(__xludf.DUMMYFUNCTION("""COMPUTED_VALUE"""),24)</f>
        <v>24</v>
      </c>
      <c r="G71" s="51">
        <f t="shared" ca="1" si="9"/>
        <v>1</v>
      </c>
      <c r="H71" s="54">
        <f ca="1">IFERROR(__xludf.DUMMYFUNCTION("""COMPUTED_VALUE"""),24)</f>
        <v>24</v>
      </c>
      <c r="I71" s="51">
        <f t="shared" ca="1" si="10"/>
        <v>1</v>
      </c>
      <c r="J71" s="54">
        <f ca="1">IFERROR(__xludf.DUMMYFUNCTION("""COMPUTED_VALUE"""),20)</f>
        <v>20</v>
      </c>
      <c r="K71" s="51">
        <f t="shared" ca="1" si="11"/>
        <v>0.83333333333333337</v>
      </c>
      <c r="L71" s="54">
        <f ca="1">IFERROR(__xludf.DUMMYFUNCTION("""COMPUTED_VALUE"""),2)</f>
        <v>2</v>
      </c>
      <c r="M71" s="51">
        <f t="shared" ca="1" si="12"/>
        <v>8.3333333333333329E-2</v>
      </c>
      <c r="N71" s="54">
        <f ca="1">IFERROR(__xludf.DUMMYFUNCTION("""COMPUTED_VALUE"""),26)</f>
        <v>26</v>
      </c>
      <c r="O71" s="54">
        <f ca="1">IFERROR(__xludf.DUMMYFUNCTION("""COMPUTED_VALUE"""),8)</f>
        <v>8</v>
      </c>
      <c r="P71" s="51">
        <f t="shared" ca="1" si="13"/>
        <v>0.30769230769230771</v>
      </c>
      <c r="Q71" s="54">
        <f ca="1">IFERROR(__xludf.DUMMYFUNCTION("""COMPUTED_VALUE"""),0)</f>
        <v>0</v>
      </c>
      <c r="R71" s="51">
        <f t="shared" ca="1" si="14"/>
        <v>0</v>
      </c>
      <c r="S71" s="53"/>
      <c r="T71" s="53"/>
      <c r="U71" s="51" t="str">
        <f t="shared" si="15"/>
        <v/>
      </c>
      <c r="V71" s="53"/>
      <c r="W71" s="51" t="str">
        <f t="shared" si="16"/>
        <v/>
      </c>
      <c r="X71" s="53"/>
      <c r="Y71" s="51" t="str">
        <f t="shared" si="17"/>
        <v/>
      </c>
      <c r="Z71" s="2"/>
      <c r="AA71" s="2"/>
      <c r="AB71" s="2"/>
      <c r="AC71" s="2"/>
      <c r="AD71" s="2"/>
      <c r="AE71" s="2"/>
    </row>
    <row r="72" spans="1:31" ht="12.75" x14ac:dyDescent="0.2">
      <c r="A72" s="53">
        <f ca="1">IFERROR(__xludf.DUMMYFUNCTION("""COMPUTED_VALUE"""),66)</f>
        <v>66</v>
      </c>
      <c r="B72" s="53" t="str">
        <f ca="1">IFERROR(__xludf.DUMMYFUNCTION("""COMPUTED_VALUE"""),"Trường MN Thần Đ Đ Việt")</f>
        <v>Trường MN Thần Đ Đ Việt</v>
      </c>
      <c r="C72" s="53" t="str">
        <f ca="1">IFERROR(__xludf.DUMMYFUNCTION("""COMPUTED_VALUE"""),"MN")</f>
        <v>MN</v>
      </c>
      <c r="D72" s="53">
        <f ca="1">IFERROR(__xludf.DUMMYFUNCTION("""COMPUTED_VALUE"""),12)</f>
        <v>12</v>
      </c>
      <c r="E72" s="54">
        <f ca="1">IFERROR(__xludf.DUMMYFUNCTION("""COMPUTED_VALUE"""),11)</f>
        <v>11</v>
      </c>
      <c r="F72" s="54">
        <f ca="1">IFERROR(__xludf.DUMMYFUNCTION("""COMPUTED_VALUE"""),11)</f>
        <v>11</v>
      </c>
      <c r="G72" s="51">
        <f t="shared" ca="1" si="9"/>
        <v>1</v>
      </c>
      <c r="H72" s="54">
        <f ca="1">IFERROR(__xludf.DUMMYFUNCTION("""COMPUTED_VALUE"""),11)</f>
        <v>11</v>
      </c>
      <c r="I72" s="51">
        <f t="shared" ca="1" si="10"/>
        <v>1</v>
      </c>
      <c r="J72" s="54">
        <f ca="1">IFERROR(__xludf.DUMMYFUNCTION("""COMPUTED_VALUE"""),11)</f>
        <v>11</v>
      </c>
      <c r="K72" s="51">
        <f t="shared" ca="1" si="11"/>
        <v>1</v>
      </c>
      <c r="L72" s="54">
        <f ca="1">IFERROR(__xludf.DUMMYFUNCTION("""COMPUTED_VALUE"""),0)</f>
        <v>0</v>
      </c>
      <c r="M72" s="51">
        <f t="shared" ca="1" si="12"/>
        <v>0</v>
      </c>
      <c r="N72" s="54">
        <f ca="1">IFERROR(__xludf.DUMMYFUNCTION("""COMPUTED_VALUE"""),18)</f>
        <v>18</v>
      </c>
      <c r="O72" s="54">
        <f ca="1">IFERROR(__xludf.DUMMYFUNCTION("""COMPUTED_VALUE"""),1)</f>
        <v>1</v>
      </c>
      <c r="P72" s="51">
        <f t="shared" ca="1" si="13"/>
        <v>5.5555555555555552E-2</v>
      </c>
      <c r="Q72" s="54">
        <f ca="1">IFERROR(__xludf.DUMMYFUNCTION("""COMPUTED_VALUE"""),1)</f>
        <v>1</v>
      </c>
      <c r="R72" s="51">
        <f t="shared" ca="1" si="14"/>
        <v>5.5555555555555552E-2</v>
      </c>
      <c r="S72" s="53"/>
      <c r="T72" s="53"/>
      <c r="U72" s="51" t="str">
        <f t="shared" si="15"/>
        <v/>
      </c>
      <c r="V72" s="53"/>
      <c r="W72" s="51" t="str">
        <f t="shared" si="16"/>
        <v/>
      </c>
      <c r="X72" s="53"/>
      <c r="Y72" s="51" t="str">
        <f t="shared" si="17"/>
        <v/>
      </c>
      <c r="Z72" s="2"/>
      <c r="AA72" s="2"/>
      <c r="AB72" s="2"/>
      <c r="AC72" s="2"/>
      <c r="AD72" s="2"/>
      <c r="AE72" s="2"/>
    </row>
    <row r="73" spans="1:31" ht="12.75" x14ac:dyDescent="0.2">
      <c r="A73" s="53">
        <f ca="1">IFERROR(__xludf.DUMMYFUNCTION("""COMPUTED_VALUE"""),67)</f>
        <v>67</v>
      </c>
      <c r="B73" s="53" t="str">
        <f ca="1">IFERROR(__xludf.DUMMYFUNCTION("""COMPUTED_VALUE"""),"Trường MN Tuổi Ngọc")</f>
        <v>Trường MN Tuổi Ngọc</v>
      </c>
      <c r="C73" s="53" t="str">
        <f ca="1">IFERROR(__xludf.DUMMYFUNCTION("""COMPUTED_VALUE"""),"MN")</f>
        <v>MN</v>
      </c>
      <c r="D73" s="53">
        <f ca="1">IFERROR(__xludf.DUMMYFUNCTION("""COMPUTED_VALUE"""),12)</f>
        <v>12</v>
      </c>
      <c r="E73" s="54">
        <f ca="1">IFERROR(__xludf.DUMMYFUNCTION("""COMPUTED_VALUE"""),36)</f>
        <v>36</v>
      </c>
      <c r="F73" s="54">
        <f ca="1">IFERROR(__xludf.DUMMYFUNCTION("""COMPUTED_VALUE"""),36)</f>
        <v>36</v>
      </c>
      <c r="G73" s="51">
        <f t="shared" ca="1" si="9"/>
        <v>1</v>
      </c>
      <c r="H73" s="54">
        <f ca="1">IFERROR(__xludf.DUMMYFUNCTION("""COMPUTED_VALUE"""),36)</f>
        <v>36</v>
      </c>
      <c r="I73" s="51">
        <f t="shared" ca="1" si="10"/>
        <v>1</v>
      </c>
      <c r="J73" s="54">
        <f ca="1">IFERROR(__xludf.DUMMYFUNCTION("""COMPUTED_VALUE"""),28)</f>
        <v>28</v>
      </c>
      <c r="K73" s="51">
        <f t="shared" ca="1" si="11"/>
        <v>0.77777777777777779</v>
      </c>
      <c r="L73" s="54">
        <f ca="1">IFERROR(__xludf.DUMMYFUNCTION("""COMPUTED_VALUE"""),2)</f>
        <v>2</v>
      </c>
      <c r="M73" s="51">
        <f t="shared" ca="1" si="12"/>
        <v>5.5555555555555552E-2</v>
      </c>
      <c r="N73" s="54">
        <f ca="1">IFERROR(__xludf.DUMMYFUNCTION("""COMPUTED_VALUE"""),70)</f>
        <v>70</v>
      </c>
      <c r="O73" s="54">
        <f ca="1">IFERROR(__xludf.DUMMYFUNCTION("""COMPUTED_VALUE"""),9)</f>
        <v>9</v>
      </c>
      <c r="P73" s="51">
        <f t="shared" ca="1" si="13"/>
        <v>0.12857142857142856</v>
      </c>
      <c r="Q73" s="54">
        <f ca="1">IFERROR(__xludf.DUMMYFUNCTION("""COMPUTED_VALUE"""),0)</f>
        <v>0</v>
      </c>
      <c r="R73" s="51">
        <f t="shared" ca="1" si="14"/>
        <v>0</v>
      </c>
      <c r="S73" s="53"/>
      <c r="T73" s="53"/>
      <c r="U73" s="51" t="str">
        <f t="shared" si="15"/>
        <v/>
      </c>
      <c r="V73" s="53"/>
      <c r="W73" s="51" t="str">
        <f t="shared" si="16"/>
        <v/>
      </c>
      <c r="X73" s="53"/>
      <c r="Y73" s="51" t="str">
        <f t="shared" si="17"/>
        <v/>
      </c>
      <c r="Z73" s="2"/>
      <c r="AA73" s="2"/>
      <c r="AB73" s="2"/>
      <c r="AC73" s="2"/>
      <c r="AD73" s="2"/>
      <c r="AE73" s="2"/>
    </row>
    <row r="74" spans="1:31" ht="12.75" x14ac:dyDescent="0.2">
      <c r="A74" s="53">
        <f ca="1">IFERROR(__xludf.DUMMYFUNCTION("""COMPUTED_VALUE"""),68)</f>
        <v>68</v>
      </c>
      <c r="B74" s="53"/>
      <c r="C74" s="53"/>
      <c r="D74" s="53">
        <f ca="1">IFERROR(__xludf.DUMMYFUNCTION("""COMPUTED_VALUE"""),12)</f>
        <v>12</v>
      </c>
      <c r="E74" s="53"/>
      <c r="F74" s="53"/>
      <c r="G74" s="51" t="str">
        <f t="shared" si="9"/>
        <v/>
      </c>
      <c r="H74" s="53"/>
      <c r="I74" s="51" t="str">
        <f t="shared" si="10"/>
        <v/>
      </c>
      <c r="J74" s="53"/>
      <c r="K74" s="51" t="str">
        <f t="shared" si="11"/>
        <v/>
      </c>
      <c r="L74" s="53"/>
      <c r="M74" s="51" t="str">
        <f t="shared" si="12"/>
        <v/>
      </c>
      <c r="N74" s="53"/>
      <c r="O74" s="53"/>
      <c r="P74" s="51" t="str">
        <f t="shared" si="13"/>
        <v/>
      </c>
      <c r="Q74" s="53"/>
      <c r="R74" s="51" t="str">
        <f t="shared" si="14"/>
        <v/>
      </c>
      <c r="S74" s="53"/>
      <c r="T74" s="53"/>
      <c r="U74" s="51" t="str">
        <f t="shared" si="15"/>
        <v/>
      </c>
      <c r="V74" s="53"/>
      <c r="W74" s="51" t="str">
        <f t="shared" si="16"/>
        <v/>
      </c>
      <c r="X74" s="53"/>
      <c r="Y74" s="51" t="str">
        <f t="shared" si="17"/>
        <v/>
      </c>
      <c r="Z74" s="2"/>
      <c r="AA74" s="2"/>
      <c r="AB74" s="2"/>
      <c r="AC74" s="2"/>
      <c r="AD74" s="2"/>
      <c r="AE74" s="2"/>
    </row>
    <row r="75" spans="1:31" ht="12.75" x14ac:dyDescent="0.2">
      <c r="A75" s="53">
        <f ca="1">IFERROR(__xludf.DUMMYFUNCTION("""COMPUTED_VALUE"""),69)</f>
        <v>69</v>
      </c>
      <c r="B75" s="53" t="str">
        <f ca="1">IFERROR(__xludf.DUMMYFUNCTION("""COMPUTED_VALUE"""),"Trường MN Việt Anh")</f>
        <v>Trường MN Việt Anh</v>
      </c>
      <c r="C75" s="53" t="str">
        <f ca="1">IFERROR(__xludf.DUMMYFUNCTION("""COMPUTED_VALUE"""),"MN")</f>
        <v>MN</v>
      </c>
      <c r="D75" s="53">
        <f ca="1">IFERROR(__xludf.DUMMYFUNCTION("""COMPUTED_VALUE"""),12)</f>
        <v>12</v>
      </c>
      <c r="E75" s="54">
        <f ca="1">IFERROR(__xludf.DUMMYFUNCTION("""COMPUTED_VALUE"""),36)</f>
        <v>36</v>
      </c>
      <c r="F75" s="54">
        <f ca="1">IFERROR(__xludf.DUMMYFUNCTION("""COMPUTED_VALUE"""),36)</f>
        <v>36</v>
      </c>
      <c r="G75" s="51">
        <f t="shared" ca="1" si="9"/>
        <v>1</v>
      </c>
      <c r="H75" s="54">
        <f ca="1">IFERROR(__xludf.DUMMYFUNCTION("""COMPUTED_VALUE"""),36)</f>
        <v>36</v>
      </c>
      <c r="I75" s="51">
        <f t="shared" ca="1" si="10"/>
        <v>1</v>
      </c>
      <c r="J75" s="54">
        <f ca="1">IFERROR(__xludf.DUMMYFUNCTION("""COMPUTED_VALUE"""),30)</f>
        <v>30</v>
      </c>
      <c r="K75" s="51">
        <f t="shared" ca="1" si="11"/>
        <v>0.83333333333333337</v>
      </c>
      <c r="L75" s="54">
        <f ca="1">IFERROR(__xludf.DUMMYFUNCTION("""COMPUTED_VALUE"""),8)</f>
        <v>8</v>
      </c>
      <c r="M75" s="51">
        <f t="shared" ca="1" si="12"/>
        <v>0.22222222222222221</v>
      </c>
      <c r="N75" s="54">
        <f ca="1">IFERROR(__xludf.DUMMYFUNCTION("""COMPUTED_VALUE"""),110)</f>
        <v>110</v>
      </c>
      <c r="O75" s="54">
        <f ca="1">IFERROR(__xludf.DUMMYFUNCTION("""COMPUTED_VALUE"""),10)</f>
        <v>10</v>
      </c>
      <c r="P75" s="51">
        <f t="shared" ca="1" si="13"/>
        <v>9.0909090909090912E-2</v>
      </c>
      <c r="Q75" s="54">
        <f ca="1">IFERROR(__xludf.DUMMYFUNCTION("""COMPUTED_VALUE"""),0)</f>
        <v>0</v>
      </c>
      <c r="R75" s="51">
        <f t="shared" ca="1" si="14"/>
        <v>0</v>
      </c>
      <c r="S75" s="53"/>
      <c r="T75" s="53"/>
      <c r="U75" s="51" t="str">
        <f t="shared" si="15"/>
        <v/>
      </c>
      <c r="V75" s="53"/>
      <c r="W75" s="51" t="str">
        <f t="shared" si="16"/>
        <v/>
      </c>
      <c r="X75" s="53"/>
      <c r="Y75" s="51" t="str">
        <f t="shared" si="17"/>
        <v/>
      </c>
      <c r="Z75" s="2"/>
      <c r="AA75" s="2"/>
      <c r="AB75" s="2"/>
      <c r="AC75" s="2"/>
      <c r="AD75" s="2"/>
      <c r="AE75" s="2"/>
    </row>
    <row r="76" spans="1:31" ht="12.75" x14ac:dyDescent="0.2">
      <c r="A76" s="53">
        <f ca="1">IFERROR(__xludf.DUMMYFUNCTION("""COMPUTED_VALUE"""),70)</f>
        <v>70</v>
      </c>
      <c r="B76" s="53"/>
      <c r="C76" s="53"/>
      <c r="D76" s="53">
        <f ca="1">IFERROR(__xludf.DUMMYFUNCTION("""COMPUTED_VALUE"""),12)</f>
        <v>12</v>
      </c>
      <c r="E76" s="54">
        <f ca="1">IFERROR(__xludf.DUMMYFUNCTION("""COMPUTED_VALUE"""),8)</f>
        <v>8</v>
      </c>
      <c r="F76" s="54">
        <f ca="1">IFERROR(__xludf.DUMMYFUNCTION("""COMPUTED_VALUE"""),8)</f>
        <v>8</v>
      </c>
      <c r="G76" s="51">
        <f t="shared" ca="1" si="9"/>
        <v>1</v>
      </c>
      <c r="H76" s="54">
        <f ca="1">IFERROR(__xludf.DUMMYFUNCTION("""COMPUTED_VALUE"""),8)</f>
        <v>8</v>
      </c>
      <c r="I76" s="51">
        <f t="shared" ca="1" si="10"/>
        <v>1</v>
      </c>
      <c r="J76" s="54">
        <f ca="1">IFERROR(__xludf.DUMMYFUNCTION("""COMPUTED_VALUE"""),8)</f>
        <v>8</v>
      </c>
      <c r="K76" s="51">
        <f t="shared" ca="1" si="11"/>
        <v>1</v>
      </c>
      <c r="L76" s="54">
        <f ca="1">IFERROR(__xludf.DUMMYFUNCTION("""COMPUTED_VALUE"""),6)</f>
        <v>6</v>
      </c>
      <c r="M76" s="51">
        <f t="shared" ca="1" si="12"/>
        <v>0.75</v>
      </c>
      <c r="N76" s="54">
        <f ca="1">IFERROR(__xludf.DUMMYFUNCTION("""COMPUTED_VALUE"""),5)</f>
        <v>5</v>
      </c>
      <c r="O76" s="54">
        <f ca="1">IFERROR(__xludf.DUMMYFUNCTION("""COMPUTED_VALUE"""),5)</f>
        <v>5</v>
      </c>
      <c r="P76" s="51">
        <f t="shared" ca="1" si="13"/>
        <v>1</v>
      </c>
      <c r="Q76" s="54">
        <f ca="1">IFERROR(__xludf.DUMMYFUNCTION("""COMPUTED_VALUE"""),5)</f>
        <v>5</v>
      </c>
      <c r="R76" s="51">
        <f t="shared" ca="1" si="14"/>
        <v>1</v>
      </c>
      <c r="S76" s="53"/>
      <c r="T76" s="53"/>
      <c r="U76" s="51" t="str">
        <f t="shared" si="15"/>
        <v/>
      </c>
      <c r="V76" s="53"/>
      <c r="W76" s="51" t="str">
        <f t="shared" si="16"/>
        <v/>
      </c>
      <c r="X76" s="53"/>
      <c r="Y76" s="51" t="str">
        <f t="shared" si="17"/>
        <v/>
      </c>
      <c r="Z76" s="2"/>
      <c r="AA76" s="2"/>
      <c r="AB76" s="2"/>
      <c r="AC76" s="2"/>
      <c r="AD76" s="2"/>
      <c r="AE76" s="2"/>
    </row>
    <row r="77" spans="1:31" ht="12.75" x14ac:dyDescent="0.2">
      <c r="A77" s="52" t="str">
        <f ca="1">IFERROR(__xludf.DUMMYFUNCTION("""COMPUTED_VALUE"""),"Tiểu học")</f>
        <v>Tiểu học</v>
      </c>
      <c r="B77" s="53"/>
      <c r="C77" s="53"/>
      <c r="D77" s="53"/>
      <c r="E77" s="53"/>
      <c r="F77" s="53"/>
      <c r="G77" s="51" t="str">
        <f t="shared" si="9"/>
        <v/>
      </c>
      <c r="H77" s="53"/>
      <c r="I77" s="51" t="str">
        <f t="shared" si="10"/>
        <v/>
      </c>
      <c r="J77" s="53"/>
      <c r="K77" s="51" t="str">
        <f t="shared" si="11"/>
        <v/>
      </c>
      <c r="L77" s="53"/>
      <c r="M77" s="51" t="str">
        <f t="shared" si="12"/>
        <v/>
      </c>
      <c r="N77" s="53"/>
      <c r="O77" s="53"/>
      <c r="P77" s="51" t="str">
        <f t="shared" si="13"/>
        <v/>
      </c>
      <c r="Q77" s="53"/>
      <c r="R77" s="51" t="str">
        <f t="shared" si="14"/>
        <v/>
      </c>
      <c r="S77" s="53"/>
      <c r="T77" s="53"/>
      <c r="U77" s="51" t="str">
        <f t="shared" si="15"/>
        <v/>
      </c>
      <c r="V77" s="53"/>
      <c r="W77" s="51" t="str">
        <f t="shared" si="16"/>
        <v/>
      </c>
      <c r="X77" s="53"/>
      <c r="Y77" s="51" t="str">
        <f t="shared" si="17"/>
        <v/>
      </c>
      <c r="Z77" s="2"/>
      <c r="AA77" s="2"/>
      <c r="AB77" s="2"/>
      <c r="AC77" s="2"/>
      <c r="AD77" s="2"/>
      <c r="AE77" s="2"/>
    </row>
    <row r="78" spans="1:31" ht="12.75" x14ac:dyDescent="0.2">
      <c r="A78" s="53">
        <f ca="1">IFERROR(__xludf.DUMMYFUNCTION("""COMPUTED_VALUE"""),1)</f>
        <v>1</v>
      </c>
      <c r="B78" s="53" t="str">
        <f ca="1">IFERROR(__xludf.DUMMYFUNCTION("""COMPUTED_VALUE"""),"TH Hà Huy Giáp")</f>
        <v>TH Hà Huy Giáp</v>
      </c>
      <c r="C78" s="53" t="str">
        <f ca="1">IFERROR(__xludf.DUMMYFUNCTION("""COMPUTED_VALUE"""),"TH")</f>
        <v>TH</v>
      </c>
      <c r="D78" s="53">
        <f ca="1">IFERROR(__xludf.DUMMYFUNCTION("""COMPUTED_VALUE"""),12)</f>
        <v>12</v>
      </c>
      <c r="E78" s="54">
        <f ca="1">IFERROR(__xludf.DUMMYFUNCTION("""COMPUTED_VALUE"""),122)</f>
        <v>122</v>
      </c>
      <c r="F78" s="54">
        <f ca="1">IFERROR(__xludf.DUMMYFUNCTION("""COMPUTED_VALUE"""),122)</f>
        <v>122</v>
      </c>
      <c r="G78" s="51">
        <f t="shared" ca="1" si="9"/>
        <v>1</v>
      </c>
      <c r="H78" s="54">
        <f ca="1">IFERROR(__xludf.DUMMYFUNCTION("""COMPUTED_VALUE"""),122)</f>
        <v>122</v>
      </c>
      <c r="I78" s="51">
        <f t="shared" ca="1" si="10"/>
        <v>1</v>
      </c>
      <c r="J78" s="54">
        <f ca="1">IFERROR(__xludf.DUMMYFUNCTION("""COMPUTED_VALUE"""),120)</f>
        <v>120</v>
      </c>
      <c r="K78" s="51">
        <f t="shared" ca="1" si="11"/>
        <v>0.98360655737704916</v>
      </c>
      <c r="L78" s="54">
        <f ca="1">IFERROR(__xludf.DUMMYFUNCTION("""COMPUTED_VALUE"""),48)</f>
        <v>48</v>
      </c>
      <c r="M78" s="51">
        <f t="shared" ca="1" si="12"/>
        <v>0.39344262295081966</v>
      </c>
      <c r="N78" s="54">
        <f ca="1">IFERROR(__xludf.DUMMYFUNCTION("""COMPUTED_VALUE"""),3418)</f>
        <v>3418</v>
      </c>
      <c r="O78" s="54">
        <f ca="1">IFERROR(__xludf.DUMMYFUNCTION("""COMPUTED_VALUE"""),2306)</f>
        <v>2306</v>
      </c>
      <c r="P78" s="51">
        <f t="shared" ca="1" si="13"/>
        <v>0.67466354593329436</v>
      </c>
      <c r="Q78" s="54">
        <f ca="1">IFERROR(__xludf.DUMMYFUNCTION("""COMPUTED_VALUE"""),1162)</f>
        <v>1162</v>
      </c>
      <c r="R78" s="51">
        <f t="shared" ca="1" si="14"/>
        <v>0.33996489174956113</v>
      </c>
      <c r="S78" s="53"/>
      <c r="T78" s="53"/>
      <c r="U78" s="51" t="str">
        <f t="shared" si="15"/>
        <v/>
      </c>
      <c r="V78" s="53"/>
      <c r="W78" s="51" t="str">
        <f t="shared" si="16"/>
        <v/>
      </c>
      <c r="X78" s="53"/>
      <c r="Y78" s="51" t="str">
        <f t="shared" si="17"/>
        <v/>
      </c>
      <c r="Z78" s="2"/>
      <c r="AA78" s="2"/>
      <c r="AB78" s="2"/>
      <c r="AC78" s="2"/>
      <c r="AD78" s="2"/>
      <c r="AE78" s="2"/>
    </row>
    <row r="79" spans="1:31" ht="12.75" x14ac:dyDescent="0.2">
      <c r="A79" s="53">
        <f ca="1">IFERROR(__xludf.DUMMYFUNCTION("""COMPUTED_VALUE"""),2)</f>
        <v>2</v>
      </c>
      <c r="B79" s="53" t="str">
        <f ca="1">IFERROR(__xludf.DUMMYFUNCTION("""COMPUTED_VALUE"""),"TH Hồ Văn Thanh")</f>
        <v>TH Hồ Văn Thanh</v>
      </c>
      <c r="C79" s="53" t="str">
        <f ca="1">IFERROR(__xludf.DUMMYFUNCTION("""COMPUTED_VALUE"""),"TH")</f>
        <v>TH</v>
      </c>
      <c r="D79" s="53">
        <f ca="1">IFERROR(__xludf.DUMMYFUNCTION("""COMPUTED_VALUE"""),12)</f>
        <v>12</v>
      </c>
      <c r="E79" s="54">
        <f ca="1">IFERROR(__xludf.DUMMYFUNCTION("""COMPUTED_VALUE"""),40)</f>
        <v>40</v>
      </c>
      <c r="F79" s="54">
        <f ca="1">IFERROR(__xludf.DUMMYFUNCTION("""COMPUTED_VALUE"""),40)</f>
        <v>40</v>
      </c>
      <c r="G79" s="54"/>
      <c r="H79" s="54">
        <f ca="1">IFERROR(__xludf.DUMMYFUNCTION("""COMPUTED_VALUE"""),40)</f>
        <v>40</v>
      </c>
      <c r="I79" s="54"/>
      <c r="J79" s="54">
        <f ca="1">IFERROR(__xludf.DUMMYFUNCTION("""COMPUTED_VALUE"""),40)</f>
        <v>40</v>
      </c>
      <c r="K79" s="54"/>
      <c r="L79" s="54">
        <f ca="1">IFERROR(__xludf.DUMMYFUNCTION("""COMPUTED_VALUE"""),32)</f>
        <v>32</v>
      </c>
      <c r="M79" s="54"/>
      <c r="N79" s="54">
        <f ca="1">IFERROR(__xludf.DUMMYFUNCTION("""COMPUTED_VALUE"""),1125)</f>
        <v>1125</v>
      </c>
      <c r="O79" s="54">
        <f ca="1">IFERROR(__xludf.DUMMYFUNCTION("""COMPUTED_VALUE"""),525)</f>
        <v>525</v>
      </c>
      <c r="P79" s="54"/>
      <c r="Q79" s="54">
        <f ca="1">IFERROR(__xludf.DUMMYFUNCTION("""COMPUTED_VALUE"""),485)</f>
        <v>485</v>
      </c>
      <c r="R79" s="54"/>
      <c r="S79" s="53"/>
      <c r="T79" s="53"/>
      <c r="U79" s="53"/>
      <c r="V79" s="53"/>
      <c r="W79" s="53"/>
      <c r="X79" s="53"/>
      <c r="Y79" s="53"/>
      <c r="Z79" s="2"/>
      <c r="AA79" s="2"/>
      <c r="AB79" s="2"/>
      <c r="AC79" s="2"/>
      <c r="AD79" s="2"/>
      <c r="AE79" s="2"/>
    </row>
    <row r="80" spans="1:31" ht="12.75" x14ac:dyDescent="0.2">
      <c r="A80" s="53">
        <f ca="1">IFERROR(__xludf.DUMMYFUNCTION("""COMPUTED_VALUE"""),3)</f>
        <v>3</v>
      </c>
      <c r="B80" s="53" t="str">
        <f ca="1">IFERROR(__xludf.DUMMYFUNCTION("""COMPUTED_VALUE"""),"TH Kim Đồng")</f>
        <v>TH Kim Đồng</v>
      </c>
      <c r="C80" s="53" t="str">
        <f ca="1">IFERROR(__xludf.DUMMYFUNCTION("""COMPUTED_VALUE"""),"TH")</f>
        <v>TH</v>
      </c>
      <c r="D80" s="53">
        <f ca="1">IFERROR(__xludf.DUMMYFUNCTION("""COMPUTED_VALUE"""),12)</f>
        <v>12</v>
      </c>
      <c r="E80" s="54">
        <f ca="1">IFERROR(__xludf.DUMMYFUNCTION("""COMPUTED_VALUE"""),88)</f>
        <v>88</v>
      </c>
      <c r="F80" s="54">
        <f ca="1">IFERROR(__xludf.DUMMYFUNCTION("""COMPUTED_VALUE"""),88)</f>
        <v>88</v>
      </c>
      <c r="G80" s="54"/>
      <c r="H80" s="54">
        <f ca="1">IFERROR(__xludf.DUMMYFUNCTION("""COMPUTED_VALUE"""),88)</f>
        <v>88</v>
      </c>
      <c r="I80" s="54"/>
      <c r="J80" s="54">
        <f ca="1">IFERROR(__xludf.DUMMYFUNCTION("""COMPUTED_VALUE"""),86)</f>
        <v>86</v>
      </c>
      <c r="K80" s="54"/>
      <c r="L80" s="54">
        <f ca="1">IFERROR(__xludf.DUMMYFUNCTION("""COMPUTED_VALUE"""),42)</f>
        <v>42</v>
      </c>
      <c r="M80" s="54"/>
      <c r="N80" s="54">
        <f ca="1">IFERROR(__xludf.DUMMYFUNCTION("""COMPUTED_VALUE"""),3072)</f>
        <v>3072</v>
      </c>
      <c r="O80" s="54">
        <f ca="1">IFERROR(__xludf.DUMMYFUNCTION("""COMPUTED_VALUE"""),667)</f>
        <v>667</v>
      </c>
      <c r="P80" s="54"/>
      <c r="Q80" s="54">
        <f ca="1">IFERROR(__xludf.DUMMYFUNCTION("""COMPUTED_VALUE"""),888)</f>
        <v>888</v>
      </c>
      <c r="R80" s="54"/>
      <c r="S80" s="53"/>
      <c r="T80" s="53"/>
      <c r="U80" s="53"/>
      <c r="V80" s="53"/>
      <c r="W80" s="53"/>
      <c r="X80" s="53"/>
      <c r="Y80" s="53"/>
      <c r="Z80" s="2"/>
      <c r="AA80" s="2"/>
      <c r="AB80" s="2"/>
      <c r="AC80" s="2"/>
      <c r="AD80" s="2"/>
      <c r="AE80" s="2"/>
    </row>
    <row r="81" spans="1:31" ht="12.75" x14ac:dyDescent="0.2">
      <c r="A81" s="53">
        <f ca="1">IFERROR(__xludf.DUMMYFUNCTION("""COMPUTED_VALUE"""),4)</f>
        <v>4</v>
      </c>
      <c r="B81" s="53" t="str">
        <f ca="1">IFERROR(__xludf.DUMMYFUNCTION("""COMPUTED_VALUE"""),"TH Lê Văn Thọ")</f>
        <v>TH Lê Văn Thọ</v>
      </c>
      <c r="C81" s="53" t="str">
        <f ca="1">IFERROR(__xludf.DUMMYFUNCTION("""COMPUTED_VALUE"""),"TH")</f>
        <v>TH</v>
      </c>
      <c r="D81" s="53">
        <f ca="1">IFERROR(__xludf.DUMMYFUNCTION("""COMPUTED_VALUE"""),12)</f>
        <v>12</v>
      </c>
      <c r="E81" s="54">
        <f ca="1">IFERROR(__xludf.DUMMYFUNCTION("""COMPUTED_VALUE"""),129)</f>
        <v>129</v>
      </c>
      <c r="F81" s="54">
        <f ca="1">IFERROR(__xludf.DUMMYFUNCTION("""COMPUTED_VALUE"""),129)</f>
        <v>129</v>
      </c>
      <c r="G81" s="54"/>
      <c r="H81" s="54">
        <f ca="1">IFERROR(__xludf.DUMMYFUNCTION("""COMPUTED_VALUE"""),129)</f>
        <v>129</v>
      </c>
      <c r="I81" s="54"/>
      <c r="J81" s="54">
        <f ca="1">IFERROR(__xludf.DUMMYFUNCTION("""COMPUTED_VALUE"""),127)</f>
        <v>127</v>
      </c>
      <c r="K81" s="54"/>
      <c r="L81" s="54">
        <f ca="1">IFERROR(__xludf.DUMMYFUNCTION("""COMPUTED_VALUE"""),54)</f>
        <v>54</v>
      </c>
      <c r="M81" s="54"/>
      <c r="N81" s="54">
        <f ca="1">IFERROR(__xludf.DUMMYFUNCTION("""COMPUTED_VALUE"""),4300)</f>
        <v>4300</v>
      </c>
      <c r="O81" s="54">
        <f ca="1">IFERROR(__xludf.DUMMYFUNCTION("""COMPUTED_VALUE"""),2475)</f>
        <v>2475</v>
      </c>
      <c r="P81" s="54"/>
      <c r="Q81" s="54">
        <f ca="1">IFERROR(__xludf.DUMMYFUNCTION("""COMPUTED_VALUE"""),1356)</f>
        <v>1356</v>
      </c>
      <c r="R81" s="54"/>
      <c r="S81" s="53"/>
      <c r="T81" s="53"/>
      <c r="U81" s="53"/>
      <c r="V81" s="53"/>
      <c r="W81" s="53"/>
      <c r="X81" s="53"/>
      <c r="Y81" s="53"/>
      <c r="Z81" s="2"/>
      <c r="AA81" s="2"/>
      <c r="AB81" s="2"/>
      <c r="AC81" s="2"/>
      <c r="AD81" s="2"/>
      <c r="AE81" s="2"/>
    </row>
    <row r="82" spans="1:31" ht="12.75" x14ac:dyDescent="0.2">
      <c r="A82" s="53">
        <f ca="1">IFERROR(__xludf.DUMMYFUNCTION("""COMPUTED_VALUE"""),5)</f>
        <v>5</v>
      </c>
      <c r="B82" s="53" t="str">
        <f ca="1">IFERROR(__xludf.DUMMYFUNCTION("""COMPUTED_VALUE"""),"TH Lý Tự Trọng")</f>
        <v>TH Lý Tự Trọng</v>
      </c>
      <c r="C82" s="53" t="str">
        <f ca="1">IFERROR(__xludf.DUMMYFUNCTION("""COMPUTED_VALUE"""),"TH")</f>
        <v>TH</v>
      </c>
      <c r="D82" s="53">
        <f ca="1">IFERROR(__xludf.DUMMYFUNCTION("""COMPUTED_VALUE"""),12)</f>
        <v>12</v>
      </c>
      <c r="E82" s="54">
        <f ca="1">IFERROR(__xludf.DUMMYFUNCTION("""COMPUTED_VALUE"""),84)</f>
        <v>84</v>
      </c>
      <c r="F82" s="54">
        <f ca="1">IFERROR(__xludf.DUMMYFUNCTION("""COMPUTED_VALUE"""),84)</f>
        <v>84</v>
      </c>
      <c r="G82" s="54"/>
      <c r="H82" s="54">
        <f ca="1">IFERROR(__xludf.DUMMYFUNCTION("""COMPUTED_VALUE"""),84)</f>
        <v>84</v>
      </c>
      <c r="I82" s="54"/>
      <c r="J82" s="54">
        <f ca="1">IFERROR(__xludf.DUMMYFUNCTION("""COMPUTED_VALUE"""),79)</f>
        <v>79</v>
      </c>
      <c r="K82" s="54"/>
      <c r="L82" s="54">
        <f ca="1">IFERROR(__xludf.DUMMYFUNCTION("""COMPUTED_VALUE"""),34)</f>
        <v>34</v>
      </c>
      <c r="M82" s="54"/>
      <c r="N82" s="54">
        <f ca="1">IFERROR(__xludf.DUMMYFUNCTION("""COMPUTED_VALUE"""),1858)</f>
        <v>1858</v>
      </c>
      <c r="O82" s="54">
        <f ca="1">IFERROR(__xludf.DUMMYFUNCTION("""COMPUTED_VALUE"""),897)</f>
        <v>897</v>
      </c>
      <c r="P82" s="54"/>
      <c r="Q82" s="54">
        <f ca="1">IFERROR(__xludf.DUMMYFUNCTION("""COMPUTED_VALUE"""),511)</f>
        <v>511</v>
      </c>
      <c r="R82" s="54"/>
      <c r="S82" s="53"/>
      <c r="T82" s="53"/>
      <c r="U82" s="53"/>
      <c r="V82" s="53"/>
      <c r="W82" s="53"/>
      <c r="X82" s="53"/>
      <c r="Y82" s="53"/>
      <c r="Z82" s="2"/>
      <c r="AA82" s="2"/>
      <c r="AB82" s="2"/>
      <c r="AC82" s="2"/>
      <c r="AD82" s="2"/>
      <c r="AE82" s="2"/>
    </row>
    <row r="83" spans="1:31" ht="12.75" x14ac:dyDescent="0.2">
      <c r="A83" s="53">
        <f ca="1">IFERROR(__xludf.DUMMYFUNCTION("""COMPUTED_VALUE"""),6)</f>
        <v>6</v>
      </c>
      <c r="B83" s="53" t="str">
        <f ca="1">IFERROR(__xludf.DUMMYFUNCTION("""COMPUTED_VALUE"""),"TH Nguyễn Du")</f>
        <v>TH Nguyễn Du</v>
      </c>
      <c r="C83" s="53" t="str">
        <f ca="1">IFERROR(__xludf.DUMMYFUNCTION("""COMPUTED_VALUE"""),"TH")</f>
        <v>TH</v>
      </c>
      <c r="D83" s="53">
        <f ca="1">IFERROR(__xludf.DUMMYFUNCTION("""COMPUTED_VALUE"""),12)</f>
        <v>12</v>
      </c>
      <c r="E83" s="54">
        <f ca="1">IFERROR(__xludf.DUMMYFUNCTION("""COMPUTED_VALUE"""),86)</f>
        <v>86</v>
      </c>
      <c r="F83" s="54">
        <f ca="1">IFERROR(__xludf.DUMMYFUNCTION("""COMPUTED_VALUE"""),86)</f>
        <v>86</v>
      </c>
      <c r="G83" s="54"/>
      <c r="H83" s="54">
        <f ca="1">IFERROR(__xludf.DUMMYFUNCTION("""COMPUTED_VALUE"""),86)</f>
        <v>86</v>
      </c>
      <c r="I83" s="54"/>
      <c r="J83" s="54">
        <f ca="1">IFERROR(__xludf.DUMMYFUNCTION("""COMPUTED_VALUE"""),86)</f>
        <v>86</v>
      </c>
      <c r="K83" s="54"/>
      <c r="L83" s="54">
        <f ca="1">IFERROR(__xludf.DUMMYFUNCTION("""COMPUTED_VALUE"""),60)</f>
        <v>60</v>
      </c>
      <c r="M83" s="54"/>
      <c r="N83" s="54">
        <f ca="1">IFERROR(__xludf.DUMMYFUNCTION("""COMPUTED_VALUE"""),2206)</f>
        <v>2206</v>
      </c>
      <c r="O83" s="54">
        <f ca="1">IFERROR(__xludf.DUMMYFUNCTION("""COMPUTED_VALUE"""),384)</f>
        <v>384</v>
      </c>
      <c r="P83" s="54"/>
      <c r="Q83" s="54">
        <f ca="1">IFERROR(__xludf.DUMMYFUNCTION("""COMPUTED_VALUE"""),806)</f>
        <v>806</v>
      </c>
      <c r="R83" s="54"/>
      <c r="S83" s="53"/>
      <c r="T83" s="53"/>
      <c r="U83" s="53"/>
      <c r="V83" s="53"/>
      <c r="W83" s="53"/>
      <c r="X83" s="53"/>
      <c r="Y83" s="53"/>
      <c r="Z83" s="2"/>
      <c r="AA83" s="2"/>
      <c r="AB83" s="2"/>
      <c r="AC83" s="2"/>
      <c r="AD83" s="2"/>
      <c r="AE83" s="2"/>
    </row>
    <row r="84" spans="1:31" ht="12.75" x14ac:dyDescent="0.2">
      <c r="A84" s="53">
        <f ca="1">IFERROR(__xludf.DUMMYFUNCTION("""COMPUTED_VALUE"""),7)</f>
        <v>7</v>
      </c>
      <c r="B84" s="53" t="str">
        <f ca="1">IFERROR(__xludf.DUMMYFUNCTION("""COMPUTED_VALUE"""),"TH Nguyễn Khuyến")</f>
        <v>TH Nguyễn Khuyến</v>
      </c>
      <c r="C84" s="53" t="str">
        <f ca="1">IFERROR(__xludf.DUMMYFUNCTION("""COMPUTED_VALUE"""),"TH")</f>
        <v>TH</v>
      </c>
      <c r="D84" s="53">
        <f ca="1">IFERROR(__xludf.DUMMYFUNCTION("""COMPUTED_VALUE"""),12)</f>
        <v>12</v>
      </c>
      <c r="E84" s="54">
        <f ca="1">IFERROR(__xludf.DUMMYFUNCTION("""COMPUTED_VALUE"""),60)</f>
        <v>60</v>
      </c>
      <c r="F84" s="54">
        <f ca="1">IFERROR(__xludf.DUMMYFUNCTION("""COMPUTED_VALUE"""),60)</f>
        <v>60</v>
      </c>
      <c r="G84" s="54"/>
      <c r="H84" s="54">
        <f ca="1">IFERROR(__xludf.DUMMYFUNCTION("""COMPUTED_VALUE"""),60)</f>
        <v>60</v>
      </c>
      <c r="I84" s="54"/>
      <c r="J84" s="54">
        <f ca="1">IFERROR(__xludf.DUMMYFUNCTION("""COMPUTED_VALUE"""),57)</f>
        <v>57</v>
      </c>
      <c r="K84" s="54"/>
      <c r="L84" s="54">
        <f ca="1">IFERROR(__xludf.DUMMYFUNCTION("""COMPUTED_VALUE"""),24)</f>
        <v>24</v>
      </c>
      <c r="M84" s="54"/>
      <c r="N84" s="54">
        <f ca="1">IFERROR(__xludf.DUMMYFUNCTION("""COMPUTED_VALUE"""),1046)</f>
        <v>1046</v>
      </c>
      <c r="O84" s="54">
        <f ca="1">IFERROR(__xludf.DUMMYFUNCTION("""COMPUTED_VALUE"""),425)</f>
        <v>425</v>
      </c>
      <c r="P84" s="54"/>
      <c r="Q84" s="54">
        <f ca="1">IFERROR(__xludf.DUMMYFUNCTION("""COMPUTED_VALUE"""),239)</f>
        <v>239</v>
      </c>
      <c r="R84" s="54"/>
      <c r="S84" s="53"/>
      <c r="T84" s="53"/>
      <c r="U84" s="53"/>
      <c r="V84" s="53"/>
      <c r="W84" s="53"/>
      <c r="X84" s="53"/>
      <c r="Y84" s="53"/>
      <c r="Z84" s="2"/>
      <c r="AA84" s="2"/>
      <c r="AB84" s="2"/>
      <c r="AC84" s="2"/>
      <c r="AD84" s="2"/>
      <c r="AE84" s="2"/>
    </row>
    <row r="85" spans="1:31" ht="12.75" x14ac:dyDescent="0.2">
      <c r="A85" s="53">
        <f ca="1">IFERROR(__xludf.DUMMYFUNCTION("""COMPUTED_VALUE"""),8)</f>
        <v>8</v>
      </c>
      <c r="B85" s="53" t="str">
        <f ca="1">IFERROR(__xludf.DUMMYFUNCTION("""COMPUTED_VALUE"""),"TH Nguyễn Thái Bình")</f>
        <v>TH Nguyễn Thái Bình</v>
      </c>
      <c r="C85" s="53" t="str">
        <f ca="1">IFERROR(__xludf.DUMMYFUNCTION("""COMPUTED_VALUE"""),"TH")</f>
        <v>TH</v>
      </c>
      <c r="D85" s="53">
        <f ca="1">IFERROR(__xludf.DUMMYFUNCTION("""COMPUTED_VALUE"""),12)</f>
        <v>12</v>
      </c>
      <c r="E85" s="54">
        <f ca="1">IFERROR(__xludf.DUMMYFUNCTION("""COMPUTED_VALUE"""),107)</f>
        <v>107</v>
      </c>
      <c r="F85" s="54">
        <f ca="1">IFERROR(__xludf.DUMMYFUNCTION("""COMPUTED_VALUE"""),107)</f>
        <v>107</v>
      </c>
      <c r="G85" s="54"/>
      <c r="H85" s="54">
        <f ca="1">IFERROR(__xludf.DUMMYFUNCTION("""COMPUTED_VALUE"""),107)</f>
        <v>107</v>
      </c>
      <c r="I85" s="54"/>
      <c r="J85" s="54">
        <f ca="1">IFERROR(__xludf.DUMMYFUNCTION("""COMPUTED_VALUE"""),100)</f>
        <v>100</v>
      </c>
      <c r="K85" s="54"/>
      <c r="L85" s="54">
        <f ca="1">IFERROR(__xludf.DUMMYFUNCTION("""COMPUTED_VALUE"""),73)</f>
        <v>73</v>
      </c>
      <c r="M85" s="54"/>
      <c r="N85" s="54">
        <f ca="1">IFERROR(__xludf.DUMMYFUNCTION("""COMPUTED_VALUE"""),3900)</f>
        <v>3900</v>
      </c>
      <c r="O85" s="54">
        <f ca="1">IFERROR(__xludf.DUMMYFUNCTION("""COMPUTED_VALUE"""),2309)</f>
        <v>2309</v>
      </c>
      <c r="P85" s="54"/>
      <c r="Q85" s="54">
        <f ca="1">IFERROR(__xludf.DUMMYFUNCTION("""COMPUTED_VALUE"""),1350)</f>
        <v>1350</v>
      </c>
      <c r="R85" s="54"/>
      <c r="S85" s="53"/>
      <c r="T85" s="53"/>
      <c r="U85" s="53"/>
      <c r="V85" s="53"/>
      <c r="W85" s="53"/>
      <c r="X85" s="53"/>
      <c r="Y85" s="53"/>
      <c r="Z85" s="2"/>
      <c r="AA85" s="2"/>
      <c r="AB85" s="2"/>
      <c r="AC85" s="2"/>
      <c r="AD85" s="2"/>
      <c r="AE85" s="2"/>
    </row>
    <row r="86" spans="1:31" ht="12.75" x14ac:dyDescent="0.2">
      <c r="A86" s="53">
        <f ca="1">IFERROR(__xludf.DUMMYFUNCTION("""COMPUTED_VALUE"""),9)</f>
        <v>9</v>
      </c>
      <c r="B86" s="53" t="str">
        <f ca="1">IFERROR(__xludf.DUMMYFUNCTION("""COMPUTED_VALUE"""),"TH Nguyễn Thị Định")</f>
        <v>TH Nguyễn Thị Định</v>
      </c>
      <c r="C86" s="53" t="str">
        <f ca="1">IFERROR(__xludf.DUMMYFUNCTION("""COMPUTED_VALUE"""),"TH")</f>
        <v>TH</v>
      </c>
      <c r="D86" s="53">
        <f ca="1">IFERROR(__xludf.DUMMYFUNCTION("""COMPUTED_VALUE"""),12)</f>
        <v>12</v>
      </c>
      <c r="E86" s="54">
        <f ca="1">IFERROR(__xludf.DUMMYFUNCTION("""COMPUTED_VALUE"""),63)</f>
        <v>63</v>
      </c>
      <c r="F86" s="54">
        <f ca="1">IFERROR(__xludf.DUMMYFUNCTION("""COMPUTED_VALUE"""),63)</f>
        <v>63</v>
      </c>
      <c r="G86" s="54"/>
      <c r="H86" s="54">
        <f ca="1">IFERROR(__xludf.DUMMYFUNCTION("""COMPUTED_VALUE"""),63)</f>
        <v>63</v>
      </c>
      <c r="I86" s="54"/>
      <c r="J86" s="54">
        <f ca="1">IFERROR(__xludf.DUMMYFUNCTION("""COMPUTED_VALUE"""),51)</f>
        <v>51</v>
      </c>
      <c r="K86" s="54"/>
      <c r="L86" s="54">
        <f ca="1">IFERROR(__xludf.DUMMYFUNCTION("""COMPUTED_VALUE"""),42)</f>
        <v>42</v>
      </c>
      <c r="M86" s="54"/>
      <c r="N86" s="54">
        <f ca="1">IFERROR(__xludf.DUMMYFUNCTION("""COMPUTED_VALUE"""),1702)</f>
        <v>1702</v>
      </c>
      <c r="O86" s="54">
        <f ca="1">IFERROR(__xludf.DUMMYFUNCTION("""COMPUTED_VALUE"""),760)</f>
        <v>760</v>
      </c>
      <c r="P86" s="54"/>
      <c r="Q86" s="54">
        <f ca="1">IFERROR(__xludf.DUMMYFUNCTION("""COMPUTED_VALUE"""),408)</f>
        <v>408</v>
      </c>
      <c r="R86" s="54"/>
      <c r="S86" s="53"/>
      <c r="T86" s="53"/>
      <c r="U86" s="53"/>
      <c r="V86" s="53"/>
      <c r="W86" s="53"/>
      <c r="X86" s="53"/>
      <c r="Y86" s="53"/>
      <c r="Z86" s="2"/>
      <c r="AA86" s="2"/>
      <c r="AB86" s="2"/>
      <c r="AC86" s="2"/>
      <c r="AD86" s="2"/>
      <c r="AE86" s="2"/>
    </row>
    <row r="87" spans="1:31" ht="12.75" x14ac:dyDescent="0.2">
      <c r="A87" s="53">
        <f ca="1">IFERROR(__xludf.DUMMYFUNCTION("""COMPUTED_VALUE"""),10)</f>
        <v>10</v>
      </c>
      <c r="B87" s="53" t="str">
        <f ca="1">IFERROR(__xludf.DUMMYFUNCTION("""COMPUTED_VALUE"""),"TH Nguyễn Thị Minh Khai")</f>
        <v>TH Nguyễn Thị Minh Khai</v>
      </c>
      <c r="C87" s="53" t="str">
        <f ca="1">IFERROR(__xludf.DUMMYFUNCTION("""COMPUTED_VALUE"""),"TH")</f>
        <v>TH</v>
      </c>
      <c r="D87" s="53">
        <f ca="1">IFERROR(__xludf.DUMMYFUNCTION("""COMPUTED_VALUE"""),12)</f>
        <v>12</v>
      </c>
      <c r="E87" s="54">
        <f ca="1">IFERROR(__xludf.DUMMYFUNCTION("""COMPUTED_VALUE"""),57)</f>
        <v>57</v>
      </c>
      <c r="F87" s="54">
        <f ca="1">IFERROR(__xludf.DUMMYFUNCTION("""COMPUTED_VALUE"""),57)</f>
        <v>57</v>
      </c>
      <c r="G87" s="54"/>
      <c r="H87" s="54">
        <f ca="1">IFERROR(__xludf.DUMMYFUNCTION("""COMPUTED_VALUE"""),57)</f>
        <v>57</v>
      </c>
      <c r="I87" s="54"/>
      <c r="J87" s="54">
        <f ca="1">IFERROR(__xludf.DUMMYFUNCTION("""COMPUTED_VALUE"""),43)</f>
        <v>43</v>
      </c>
      <c r="K87" s="54"/>
      <c r="L87" s="54">
        <f ca="1">IFERROR(__xludf.DUMMYFUNCTION("""COMPUTED_VALUE"""),19)</f>
        <v>19</v>
      </c>
      <c r="M87" s="54"/>
      <c r="N87" s="54">
        <f ca="1">IFERROR(__xludf.DUMMYFUNCTION("""COMPUTED_VALUE"""),1257)</f>
        <v>1257</v>
      </c>
      <c r="O87" s="54">
        <f ca="1">IFERROR(__xludf.DUMMYFUNCTION("""COMPUTED_VALUE"""),644)</f>
        <v>644</v>
      </c>
      <c r="P87" s="54"/>
      <c r="Q87" s="54">
        <f ca="1">IFERROR(__xludf.DUMMYFUNCTION("""COMPUTED_VALUE"""),552)</f>
        <v>552</v>
      </c>
      <c r="R87" s="54"/>
      <c r="S87" s="53"/>
      <c r="T87" s="53"/>
      <c r="U87" s="53"/>
      <c r="V87" s="53"/>
      <c r="W87" s="53"/>
      <c r="X87" s="53"/>
      <c r="Y87" s="53"/>
      <c r="Z87" s="2"/>
      <c r="AA87" s="2"/>
      <c r="AB87" s="2"/>
      <c r="AC87" s="2"/>
      <c r="AD87" s="2"/>
      <c r="AE87" s="2"/>
    </row>
    <row r="88" spans="1:31" ht="12.75" x14ac:dyDescent="0.2">
      <c r="A88" s="53">
        <f ca="1">IFERROR(__xludf.DUMMYFUNCTION("""COMPUTED_VALUE"""),11)</f>
        <v>11</v>
      </c>
      <c r="B88" s="53" t="str">
        <f ca="1">IFERROR(__xludf.DUMMYFUNCTION("""COMPUTED_VALUE"""),"TH Nguyễn Trãi")</f>
        <v>TH Nguyễn Trãi</v>
      </c>
      <c r="C88" s="53" t="str">
        <f ca="1">IFERROR(__xludf.DUMMYFUNCTION("""COMPUTED_VALUE"""),"TH")</f>
        <v>TH</v>
      </c>
      <c r="D88" s="53">
        <f ca="1">IFERROR(__xludf.DUMMYFUNCTION("""COMPUTED_VALUE"""),12)</f>
        <v>12</v>
      </c>
      <c r="E88" s="54">
        <f ca="1">IFERROR(__xludf.DUMMYFUNCTION("""COMPUTED_VALUE"""),97)</f>
        <v>97</v>
      </c>
      <c r="F88" s="54">
        <f ca="1">IFERROR(__xludf.DUMMYFUNCTION("""COMPUTED_VALUE"""),97)</f>
        <v>97</v>
      </c>
      <c r="G88" s="54"/>
      <c r="H88" s="54">
        <f ca="1">IFERROR(__xludf.DUMMYFUNCTION("""COMPUTED_VALUE"""),95)</f>
        <v>95</v>
      </c>
      <c r="I88" s="54"/>
      <c r="J88" s="54">
        <f ca="1">IFERROR(__xludf.DUMMYFUNCTION("""COMPUTED_VALUE"""),74)</f>
        <v>74</v>
      </c>
      <c r="K88" s="54"/>
      <c r="L88" s="54">
        <f ca="1">IFERROR(__xludf.DUMMYFUNCTION("""COMPUTED_VALUE"""),49)</f>
        <v>49</v>
      </c>
      <c r="M88" s="54"/>
      <c r="N88" s="54">
        <f ca="1">IFERROR(__xludf.DUMMYFUNCTION("""COMPUTED_VALUE"""),3289)</f>
        <v>3289</v>
      </c>
      <c r="O88" s="54">
        <f ca="1">IFERROR(__xludf.DUMMYFUNCTION("""COMPUTED_VALUE"""),1655)</f>
        <v>1655</v>
      </c>
      <c r="P88" s="54"/>
      <c r="Q88" s="54">
        <f ca="1">IFERROR(__xludf.DUMMYFUNCTION("""COMPUTED_VALUE"""),955)</f>
        <v>955</v>
      </c>
      <c r="R88" s="54"/>
      <c r="S88" s="53"/>
      <c r="T88" s="53"/>
      <c r="U88" s="53"/>
      <c r="V88" s="53"/>
      <c r="W88" s="53"/>
      <c r="X88" s="53"/>
      <c r="Y88" s="53"/>
      <c r="Z88" s="2"/>
      <c r="AA88" s="2"/>
      <c r="AB88" s="2"/>
      <c r="AC88" s="2"/>
      <c r="AD88" s="2"/>
      <c r="AE88" s="2"/>
    </row>
    <row r="89" spans="1:31" ht="12.75" x14ac:dyDescent="0.2">
      <c r="A89" s="53">
        <f ca="1">IFERROR(__xludf.DUMMYFUNCTION("""COMPUTED_VALUE"""),12)</f>
        <v>12</v>
      </c>
      <c r="B89" s="53" t="str">
        <f ca="1">IFERROR(__xludf.DUMMYFUNCTION("""COMPUTED_VALUE"""),"TH Nguyễn Văn Thệ")</f>
        <v>TH Nguyễn Văn Thệ</v>
      </c>
      <c r="C89" s="53" t="str">
        <f ca="1">IFERROR(__xludf.DUMMYFUNCTION("""COMPUTED_VALUE"""),"TH")</f>
        <v>TH</v>
      </c>
      <c r="D89" s="53">
        <f ca="1">IFERROR(__xludf.DUMMYFUNCTION("""COMPUTED_VALUE"""),12)</f>
        <v>12</v>
      </c>
      <c r="E89" s="54">
        <f ca="1">IFERROR(__xludf.DUMMYFUNCTION("""COMPUTED_VALUE"""),65)</f>
        <v>65</v>
      </c>
      <c r="F89" s="54">
        <f ca="1">IFERROR(__xludf.DUMMYFUNCTION("""COMPUTED_VALUE"""),65)</f>
        <v>65</v>
      </c>
      <c r="G89" s="54"/>
      <c r="H89" s="54">
        <f ca="1">IFERROR(__xludf.DUMMYFUNCTION("""COMPUTED_VALUE"""),65)</f>
        <v>65</v>
      </c>
      <c r="I89" s="54"/>
      <c r="J89" s="54">
        <f ca="1">IFERROR(__xludf.DUMMYFUNCTION("""COMPUTED_VALUE"""),65)</f>
        <v>65</v>
      </c>
      <c r="K89" s="54"/>
      <c r="L89" s="54">
        <f ca="1">IFERROR(__xludf.DUMMYFUNCTION("""COMPUTED_VALUE"""),42)</f>
        <v>42</v>
      </c>
      <c r="M89" s="54"/>
      <c r="N89" s="54">
        <f ca="1">IFERROR(__xludf.DUMMYFUNCTION("""COMPUTED_VALUE"""),2149)</f>
        <v>2149</v>
      </c>
      <c r="O89" s="54">
        <f ca="1">IFERROR(__xludf.DUMMYFUNCTION("""COMPUTED_VALUE"""),1100)</f>
        <v>1100</v>
      </c>
      <c r="P89" s="54"/>
      <c r="Q89" s="54">
        <f ca="1">IFERROR(__xludf.DUMMYFUNCTION("""COMPUTED_VALUE"""),330)</f>
        <v>330</v>
      </c>
      <c r="R89" s="54"/>
      <c r="S89" s="53"/>
      <c r="T89" s="53"/>
      <c r="U89" s="53"/>
      <c r="V89" s="53"/>
      <c r="W89" s="53"/>
      <c r="X89" s="53"/>
      <c r="Y89" s="53"/>
      <c r="Z89" s="2"/>
      <c r="AA89" s="2"/>
      <c r="AB89" s="2"/>
      <c r="AC89" s="2"/>
      <c r="AD89" s="2"/>
      <c r="AE89" s="2"/>
    </row>
    <row r="90" spans="1:31" ht="12.75" x14ac:dyDescent="0.2">
      <c r="A90" s="53">
        <f ca="1">IFERROR(__xludf.DUMMYFUNCTION("""COMPUTED_VALUE"""),13)</f>
        <v>13</v>
      </c>
      <c r="B90" s="53" t="str">
        <f ca="1">IFERROR(__xludf.DUMMYFUNCTION("""COMPUTED_VALUE"""),"TH Phạm Văn Chiêu")</f>
        <v>TH Phạm Văn Chiêu</v>
      </c>
      <c r="C90" s="53" t="str">
        <f ca="1">IFERROR(__xludf.DUMMYFUNCTION("""COMPUTED_VALUE"""),"TH")</f>
        <v>TH</v>
      </c>
      <c r="D90" s="53">
        <f ca="1">IFERROR(__xludf.DUMMYFUNCTION("""COMPUTED_VALUE"""),12)</f>
        <v>12</v>
      </c>
      <c r="E90" s="54">
        <f ca="1">IFERROR(__xludf.DUMMYFUNCTION("""COMPUTED_VALUE"""),60)</f>
        <v>60</v>
      </c>
      <c r="F90" s="54">
        <f ca="1">IFERROR(__xludf.DUMMYFUNCTION("""COMPUTED_VALUE"""),60)</f>
        <v>60</v>
      </c>
      <c r="G90" s="54"/>
      <c r="H90" s="54">
        <f ca="1">IFERROR(__xludf.DUMMYFUNCTION("""COMPUTED_VALUE"""),60)</f>
        <v>60</v>
      </c>
      <c r="I90" s="54"/>
      <c r="J90" s="54">
        <f ca="1">IFERROR(__xludf.DUMMYFUNCTION("""COMPUTED_VALUE"""),56)</f>
        <v>56</v>
      </c>
      <c r="K90" s="54"/>
      <c r="L90" s="54">
        <f ca="1">IFERROR(__xludf.DUMMYFUNCTION("""COMPUTED_VALUE"""),26)</f>
        <v>26</v>
      </c>
      <c r="M90" s="54"/>
      <c r="N90" s="54">
        <f ca="1">IFERROR(__xludf.DUMMYFUNCTION("""COMPUTED_VALUE"""),1676)</f>
        <v>1676</v>
      </c>
      <c r="O90" s="54">
        <f ca="1">IFERROR(__xludf.DUMMYFUNCTION("""COMPUTED_VALUE"""),1074)</f>
        <v>1074</v>
      </c>
      <c r="P90" s="54"/>
      <c r="Q90" s="54">
        <f ca="1">IFERROR(__xludf.DUMMYFUNCTION("""COMPUTED_VALUE"""),549)</f>
        <v>549</v>
      </c>
      <c r="R90" s="54"/>
      <c r="S90" s="53"/>
      <c r="T90" s="53"/>
      <c r="U90" s="53"/>
      <c r="V90" s="53"/>
      <c r="W90" s="53"/>
      <c r="X90" s="53"/>
      <c r="Y90" s="53"/>
      <c r="Z90" s="2"/>
      <c r="AA90" s="2"/>
      <c r="AB90" s="2"/>
      <c r="AC90" s="2"/>
      <c r="AD90" s="2"/>
      <c r="AE90" s="2"/>
    </row>
    <row r="91" spans="1:31" ht="12.75" x14ac:dyDescent="0.2">
      <c r="A91" s="53">
        <f ca="1">IFERROR(__xludf.DUMMYFUNCTION("""COMPUTED_VALUE"""),14)</f>
        <v>14</v>
      </c>
      <c r="B91" s="53" t="str">
        <f ca="1">IFERROR(__xludf.DUMMYFUNCTION("""COMPUTED_VALUE"""),"TH Quang Trung")</f>
        <v>TH Quang Trung</v>
      </c>
      <c r="C91" s="53" t="str">
        <f ca="1">IFERROR(__xludf.DUMMYFUNCTION("""COMPUTED_VALUE"""),"TH")</f>
        <v>TH</v>
      </c>
      <c r="D91" s="53">
        <f ca="1">IFERROR(__xludf.DUMMYFUNCTION("""COMPUTED_VALUE"""),12)</f>
        <v>12</v>
      </c>
      <c r="E91" s="54">
        <f ca="1">IFERROR(__xludf.DUMMYFUNCTION("""COMPUTED_VALUE"""),59)</f>
        <v>59</v>
      </c>
      <c r="F91" s="54">
        <f ca="1">IFERROR(__xludf.DUMMYFUNCTION("""COMPUTED_VALUE"""),59)</f>
        <v>59</v>
      </c>
      <c r="G91" s="54"/>
      <c r="H91" s="54">
        <f ca="1">IFERROR(__xludf.DUMMYFUNCTION("""COMPUTED_VALUE"""),59)</f>
        <v>59</v>
      </c>
      <c r="I91" s="54"/>
      <c r="J91" s="54">
        <f ca="1">IFERROR(__xludf.DUMMYFUNCTION("""COMPUTED_VALUE"""),54)</f>
        <v>54</v>
      </c>
      <c r="K91" s="54"/>
      <c r="L91" s="54">
        <f ca="1">IFERROR(__xludf.DUMMYFUNCTION("""COMPUTED_VALUE"""),32)</f>
        <v>32</v>
      </c>
      <c r="M91" s="54"/>
      <c r="N91" s="54">
        <f ca="1">IFERROR(__xludf.DUMMYFUNCTION("""COMPUTED_VALUE"""),1562)</f>
        <v>1562</v>
      </c>
      <c r="O91" s="54">
        <f ca="1">IFERROR(__xludf.DUMMYFUNCTION("""COMPUTED_VALUE"""),1056)</f>
        <v>1056</v>
      </c>
      <c r="P91" s="54"/>
      <c r="Q91" s="54">
        <f ca="1">IFERROR(__xludf.DUMMYFUNCTION("""COMPUTED_VALUE"""),530)</f>
        <v>530</v>
      </c>
      <c r="R91" s="54"/>
      <c r="S91" s="53"/>
      <c r="T91" s="53"/>
      <c r="U91" s="53"/>
      <c r="V91" s="53"/>
      <c r="W91" s="53"/>
      <c r="X91" s="53"/>
      <c r="Y91" s="53"/>
      <c r="Z91" s="2"/>
      <c r="AA91" s="2"/>
      <c r="AB91" s="2"/>
      <c r="AC91" s="2"/>
      <c r="AD91" s="2"/>
      <c r="AE91" s="2"/>
    </row>
    <row r="92" spans="1:31" ht="12.75" x14ac:dyDescent="0.2">
      <c r="A92" s="53">
        <f ca="1">IFERROR(__xludf.DUMMYFUNCTION("""COMPUTED_VALUE"""),15)</f>
        <v>15</v>
      </c>
      <c r="B92" s="53" t="str">
        <f ca="1">IFERROR(__xludf.DUMMYFUNCTION("""COMPUTED_VALUE"""),"TH Quới Xuân")</f>
        <v>TH Quới Xuân</v>
      </c>
      <c r="C92" s="53" t="str">
        <f ca="1">IFERROR(__xludf.DUMMYFUNCTION("""COMPUTED_VALUE"""),"TH")</f>
        <v>TH</v>
      </c>
      <c r="D92" s="53">
        <f ca="1">IFERROR(__xludf.DUMMYFUNCTION("""COMPUTED_VALUE"""),12)</f>
        <v>12</v>
      </c>
      <c r="E92" s="54">
        <f ca="1">IFERROR(__xludf.DUMMYFUNCTION("""COMPUTED_VALUE"""),76)</f>
        <v>76</v>
      </c>
      <c r="F92" s="54">
        <f ca="1">IFERROR(__xludf.DUMMYFUNCTION("""COMPUTED_VALUE"""),76)</f>
        <v>76</v>
      </c>
      <c r="G92" s="54"/>
      <c r="H92" s="54">
        <f ca="1">IFERROR(__xludf.DUMMYFUNCTION("""COMPUTED_VALUE"""),76)</f>
        <v>76</v>
      </c>
      <c r="I92" s="54"/>
      <c r="J92" s="54">
        <f ca="1">IFERROR(__xludf.DUMMYFUNCTION("""COMPUTED_VALUE"""),76)</f>
        <v>76</v>
      </c>
      <c r="K92" s="54"/>
      <c r="L92" s="54">
        <f ca="1">IFERROR(__xludf.DUMMYFUNCTION("""COMPUTED_VALUE"""),58)</f>
        <v>58</v>
      </c>
      <c r="M92" s="54"/>
      <c r="N92" s="54">
        <f ca="1">IFERROR(__xludf.DUMMYFUNCTION("""COMPUTED_VALUE"""),2125)</f>
        <v>2125</v>
      </c>
      <c r="O92" s="54">
        <f ca="1">IFERROR(__xludf.DUMMYFUNCTION("""COMPUTED_VALUE"""),605)</f>
        <v>605</v>
      </c>
      <c r="P92" s="54"/>
      <c r="Q92" s="54">
        <f ca="1">IFERROR(__xludf.DUMMYFUNCTION("""COMPUTED_VALUE"""),539)</f>
        <v>539</v>
      </c>
      <c r="R92" s="54"/>
      <c r="S92" s="53"/>
      <c r="T92" s="53"/>
      <c r="U92" s="53"/>
      <c r="V92" s="53"/>
      <c r="W92" s="53"/>
      <c r="X92" s="53"/>
      <c r="Y92" s="53"/>
      <c r="Z92" s="2"/>
      <c r="AA92" s="2"/>
      <c r="AB92" s="2"/>
      <c r="AC92" s="2"/>
      <c r="AD92" s="2"/>
      <c r="AE92" s="2"/>
    </row>
    <row r="93" spans="1:31" ht="12.75" x14ac:dyDescent="0.2">
      <c r="A93" s="53">
        <f ca="1">IFERROR(__xludf.DUMMYFUNCTION("""COMPUTED_VALUE"""),16)</f>
        <v>16</v>
      </c>
      <c r="B93" s="53" t="str">
        <f ca="1">IFERROR(__xludf.DUMMYFUNCTION("""COMPUTED_VALUE"""),"TH Thuận Kiều")</f>
        <v>TH Thuận Kiều</v>
      </c>
      <c r="C93" s="53" t="str">
        <f ca="1">IFERROR(__xludf.DUMMYFUNCTION("""COMPUTED_VALUE"""),"TH")</f>
        <v>TH</v>
      </c>
      <c r="D93" s="53">
        <f ca="1">IFERROR(__xludf.DUMMYFUNCTION("""COMPUTED_VALUE"""),12)</f>
        <v>12</v>
      </c>
      <c r="E93" s="54">
        <f ca="1">IFERROR(__xludf.DUMMYFUNCTION("""COMPUTED_VALUE"""),54)</f>
        <v>54</v>
      </c>
      <c r="F93" s="54">
        <f ca="1">IFERROR(__xludf.DUMMYFUNCTION("""COMPUTED_VALUE"""),54)</f>
        <v>54</v>
      </c>
      <c r="G93" s="54"/>
      <c r="H93" s="54">
        <f ca="1">IFERROR(__xludf.DUMMYFUNCTION("""COMPUTED_VALUE"""),54)</f>
        <v>54</v>
      </c>
      <c r="I93" s="54"/>
      <c r="J93" s="54">
        <f ca="1">IFERROR(__xludf.DUMMYFUNCTION("""COMPUTED_VALUE"""),49)</f>
        <v>49</v>
      </c>
      <c r="K93" s="54"/>
      <c r="L93" s="54">
        <f ca="1">IFERROR(__xludf.DUMMYFUNCTION("""COMPUTED_VALUE"""),28)</f>
        <v>28</v>
      </c>
      <c r="M93" s="54"/>
      <c r="N93" s="54">
        <f ca="1">IFERROR(__xludf.DUMMYFUNCTION("""COMPUTED_VALUE"""),1303)</f>
        <v>1303</v>
      </c>
      <c r="O93" s="54">
        <f ca="1">IFERROR(__xludf.DUMMYFUNCTION("""COMPUTED_VALUE"""),748)</f>
        <v>748</v>
      </c>
      <c r="P93" s="54"/>
      <c r="Q93" s="53">
        <f ca="1">IFERROR(__xludf.DUMMYFUNCTION("""COMPUTED_VALUE"""),423)</f>
        <v>423</v>
      </c>
      <c r="R93" s="53"/>
      <c r="S93" s="53"/>
      <c r="T93" s="53"/>
      <c r="U93" s="53"/>
      <c r="V93" s="53"/>
      <c r="W93" s="53"/>
      <c r="X93" s="53"/>
      <c r="Y93" s="53"/>
      <c r="Z93" s="2"/>
      <c r="AA93" s="2"/>
      <c r="AB93" s="2"/>
      <c r="AC93" s="2"/>
      <c r="AD93" s="2"/>
      <c r="AE93" s="2"/>
    </row>
    <row r="94" spans="1:31" ht="12.75" x14ac:dyDescent="0.2">
      <c r="A94" s="53">
        <f ca="1">IFERROR(__xludf.DUMMYFUNCTION("""COMPUTED_VALUE"""),17)</f>
        <v>17</v>
      </c>
      <c r="B94" s="53" t="str">
        <f ca="1">IFERROR(__xludf.DUMMYFUNCTION("""COMPUTED_VALUE"""),"TH Trần Quang Cơ")</f>
        <v>TH Trần Quang Cơ</v>
      </c>
      <c r="C94" s="53" t="str">
        <f ca="1">IFERROR(__xludf.DUMMYFUNCTION("""COMPUTED_VALUE"""),"TH")</f>
        <v>TH</v>
      </c>
      <c r="D94" s="53">
        <f ca="1">IFERROR(__xludf.DUMMYFUNCTION("""COMPUTED_VALUE"""),12)</f>
        <v>12</v>
      </c>
      <c r="E94" s="54">
        <f ca="1">IFERROR(__xludf.DUMMYFUNCTION("""COMPUTED_VALUE"""),92)</f>
        <v>92</v>
      </c>
      <c r="F94" s="54">
        <f ca="1">IFERROR(__xludf.DUMMYFUNCTION("""COMPUTED_VALUE"""),92)</f>
        <v>92</v>
      </c>
      <c r="G94" s="54"/>
      <c r="H94" s="54">
        <f ca="1">IFERROR(__xludf.DUMMYFUNCTION("""COMPUTED_VALUE"""),92)</f>
        <v>92</v>
      </c>
      <c r="I94" s="54"/>
      <c r="J94" s="54">
        <f ca="1">IFERROR(__xludf.DUMMYFUNCTION("""COMPUTED_VALUE"""),85)</f>
        <v>85</v>
      </c>
      <c r="K94" s="54"/>
      <c r="L94" s="54">
        <f ca="1">IFERROR(__xludf.DUMMYFUNCTION("""COMPUTED_VALUE"""),47)</f>
        <v>47</v>
      </c>
      <c r="M94" s="54"/>
      <c r="N94" s="54">
        <f ca="1">IFERROR(__xludf.DUMMYFUNCTION("""COMPUTED_VALUE"""),2969)</f>
        <v>2969</v>
      </c>
      <c r="O94" s="54">
        <f ca="1">IFERROR(__xludf.DUMMYFUNCTION("""COMPUTED_VALUE"""),1714)</f>
        <v>1714</v>
      </c>
      <c r="P94" s="54"/>
      <c r="Q94" s="53">
        <f ca="1">IFERROR(__xludf.DUMMYFUNCTION("""COMPUTED_VALUE"""),1168)</f>
        <v>1168</v>
      </c>
      <c r="R94" s="53"/>
      <c r="S94" s="53"/>
      <c r="T94" s="53"/>
      <c r="U94" s="53"/>
      <c r="V94" s="53"/>
      <c r="W94" s="53"/>
      <c r="X94" s="53"/>
      <c r="Y94" s="53"/>
      <c r="Z94" s="2"/>
      <c r="AA94" s="2"/>
      <c r="AB94" s="2"/>
      <c r="AC94" s="2"/>
      <c r="AD94" s="2"/>
      <c r="AE94" s="2"/>
    </row>
    <row r="95" spans="1:31" ht="12.75" x14ac:dyDescent="0.2">
      <c r="A95" s="53">
        <f ca="1">IFERROR(__xludf.DUMMYFUNCTION("""COMPUTED_VALUE"""),18)</f>
        <v>18</v>
      </c>
      <c r="B95" s="53" t="str">
        <f ca="1">IFERROR(__xludf.DUMMYFUNCTION("""COMPUTED_VALUE"""),"TH Trần Văn Ơn")</f>
        <v>TH Trần Văn Ơn</v>
      </c>
      <c r="C95" s="53" t="str">
        <f ca="1">IFERROR(__xludf.DUMMYFUNCTION("""COMPUTED_VALUE"""),"TH")</f>
        <v>TH</v>
      </c>
      <c r="D95" s="53">
        <f ca="1">IFERROR(__xludf.DUMMYFUNCTION("""COMPUTED_VALUE"""),12)</f>
        <v>12</v>
      </c>
      <c r="E95" s="54">
        <f ca="1">IFERROR(__xludf.DUMMYFUNCTION("""COMPUTED_VALUE"""),60)</f>
        <v>60</v>
      </c>
      <c r="F95" s="54">
        <f ca="1">IFERROR(__xludf.DUMMYFUNCTION("""COMPUTED_VALUE"""),60)</f>
        <v>60</v>
      </c>
      <c r="G95" s="54"/>
      <c r="H95" s="54">
        <f ca="1">IFERROR(__xludf.DUMMYFUNCTION("""COMPUTED_VALUE"""),60)</f>
        <v>60</v>
      </c>
      <c r="I95" s="54"/>
      <c r="J95" s="54">
        <f ca="1">IFERROR(__xludf.DUMMYFUNCTION("""COMPUTED_VALUE"""),58)</f>
        <v>58</v>
      </c>
      <c r="K95" s="54"/>
      <c r="L95" s="54">
        <f ca="1">IFERROR(__xludf.DUMMYFUNCTION("""COMPUTED_VALUE"""),45)</f>
        <v>45</v>
      </c>
      <c r="M95" s="54"/>
      <c r="N95" s="54">
        <f ca="1">IFERROR(__xludf.DUMMYFUNCTION("""COMPUTED_VALUE"""),1920)</f>
        <v>1920</v>
      </c>
      <c r="O95" s="54">
        <f ca="1">IFERROR(__xludf.DUMMYFUNCTION("""COMPUTED_VALUE"""),525)</f>
        <v>525</v>
      </c>
      <c r="P95" s="54"/>
      <c r="Q95" s="54">
        <f ca="1">IFERROR(__xludf.DUMMYFUNCTION("""COMPUTED_VALUE"""),650)</f>
        <v>650</v>
      </c>
      <c r="R95" s="54"/>
      <c r="S95" s="53"/>
      <c r="T95" s="53"/>
      <c r="U95" s="53"/>
      <c r="V95" s="53"/>
      <c r="W95" s="53"/>
      <c r="X95" s="53"/>
      <c r="Y95" s="53"/>
      <c r="Z95" s="2"/>
      <c r="AA95" s="2"/>
      <c r="AB95" s="2"/>
      <c r="AC95" s="2"/>
      <c r="AD95" s="2"/>
      <c r="AE95" s="2"/>
    </row>
    <row r="96" spans="1:31" ht="12.75" x14ac:dyDescent="0.2">
      <c r="A96" s="53">
        <f ca="1">IFERROR(__xludf.DUMMYFUNCTION("""COMPUTED_VALUE"""),19)</f>
        <v>19</v>
      </c>
      <c r="B96" s="53" t="str">
        <f ca="1">IFERROR(__xludf.DUMMYFUNCTION("""COMPUTED_VALUE"""),"TH Trương Định")</f>
        <v>TH Trương Định</v>
      </c>
      <c r="C96" s="53" t="str">
        <f ca="1">IFERROR(__xludf.DUMMYFUNCTION("""COMPUTED_VALUE"""),"TH")</f>
        <v>TH</v>
      </c>
      <c r="D96" s="53">
        <f ca="1">IFERROR(__xludf.DUMMYFUNCTION("""COMPUTED_VALUE"""),12)</f>
        <v>12</v>
      </c>
      <c r="E96" s="54">
        <f ca="1">IFERROR(__xludf.DUMMYFUNCTION("""COMPUTED_VALUE"""),39)</f>
        <v>39</v>
      </c>
      <c r="F96" s="54">
        <f ca="1">IFERROR(__xludf.DUMMYFUNCTION("""COMPUTED_VALUE"""),39)</f>
        <v>39</v>
      </c>
      <c r="G96" s="54"/>
      <c r="H96" s="54">
        <f ca="1">IFERROR(__xludf.DUMMYFUNCTION("""COMPUTED_VALUE"""),39)</f>
        <v>39</v>
      </c>
      <c r="I96" s="54"/>
      <c r="J96" s="54">
        <f ca="1">IFERROR(__xludf.DUMMYFUNCTION("""COMPUTED_VALUE"""),39)</f>
        <v>39</v>
      </c>
      <c r="K96" s="54"/>
      <c r="L96" s="54">
        <f ca="1">IFERROR(__xludf.DUMMYFUNCTION("""COMPUTED_VALUE"""),38)</f>
        <v>38</v>
      </c>
      <c r="M96" s="54"/>
      <c r="N96" s="54">
        <f ca="1">IFERROR(__xludf.DUMMYFUNCTION("""COMPUTED_VALUE"""),927)</f>
        <v>927</v>
      </c>
      <c r="O96" s="54">
        <f ca="1">IFERROR(__xludf.DUMMYFUNCTION("""COMPUTED_VALUE"""),223)</f>
        <v>223</v>
      </c>
      <c r="P96" s="54"/>
      <c r="Q96" s="54">
        <f ca="1">IFERROR(__xludf.DUMMYFUNCTION("""COMPUTED_VALUE"""),260)</f>
        <v>260</v>
      </c>
      <c r="R96" s="54"/>
      <c r="S96" s="53"/>
      <c r="T96" s="53"/>
      <c r="U96" s="53"/>
      <c r="V96" s="53"/>
      <c r="W96" s="53"/>
      <c r="X96" s="53"/>
      <c r="Y96" s="53"/>
      <c r="Z96" s="2"/>
      <c r="AA96" s="2"/>
      <c r="AB96" s="2"/>
      <c r="AC96" s="2"/>
      <c r="AD96" s="2"/>
      <c r="AE96" s="2"/>
    </row>
    <row r="97" spans="1:31" ht="12.75" x14ac:dyDescent="0.2">
      <c r="A97" s="53">
        <f ca="1">IFERROR(__xludf.DUMMYFUNCTION("""COMPUTED_VALUE"""),20)</f>
        <v>20</v>
      </c>
      <c r="B97" s="53" t="str">
        <f ca="1">IFERROR(__xludf.DUMMYFUNCTION("""COMPUTED_VALUE"""),"TH Võ Thị Sáu")</f>
        <v>TH Võ Thị Sáu</v>
      </c>
      <c r="C97" s="53" t="str">
        <f ca="1">IFERROR(__xludf.DUMMYFUNCTION("""COMPUTED_VALUE"""),"TH")</f>
        <v>TH</v>
      </c>
      <c r="D97" s="53">
        <f ca="1">IFERROR(__xludf.DUMMYFUNCTION("""COMPUTED_VALUE"""),12)</f>
        <v>12</v>
      </c>
      <c r="E97" s="54">
        <f ca="1">IFERROR(__xludf.DUMMYFUNCTION("""COMPUTED_VALUE"""),83)</f>
        <v>83</v>
      </c>
      <c r="F97" s="54">
        <f ca="1">IFERROR(__xludf.DUMMYFUNCTION("""COMPUTED_VALUE"""),83)</f>
        <v>83</v>
      </c>
      <c r="G97" s="54"/>
      <c r="H97" s="54">
        <f ca="1">IFERROR(__xludf.DUMMYFUNCTION("""COMPUTED_VALUE"""),83)</f>
        <v>83</v>
      </c>
      <c r="I97" s="54"/>
      <c r="J97" s="54">
        <f ca="1">IFERROR(__xludf.DUMMYFUNCTION("""COMPUTED_VALUE"""),81)</f>
        <v>81</v>
      </c>
      <c r="K97" s="54"/>
      <c r="L97" s="54">
        <f ca="1">IFERROR(__xludf.DUMMYFUNCTION("""COMPUTED_VALUE"""),58)</f>
        <v>58</v>
      </c>
      <c r="M97" s="54"/>
      <c r="N97" s="54">
        <f ca="1">IFERROR(__xludf.DUMMYFUNCTION("""COMPUTED_VALUE"""),978)</f>
        <v>978</v>
      </c>
      <c r="O97" s="54">
        <f ca="1">IFERROR(__xludf.DUMMYFUNCTION("""COMPUTED_VALUE"""),424)</f>
        <v>424</v>
      </c>
      <c r="P97" s="54"/>
      <c r="Q97" s="54">
        <f ca="1">IFERROR(__xludf.DUMMYFUNCTION("""COMPUTED_VALUE"""),168)</f>
        <v>168</v>
      </c>
      <c r="R97" s="54"/>
      <c r="S97" s="53"/>
      <c r="T97" s="53"/>
      <c r="U97" s="53"/>
      <c r="V97" s="53"/>
      <c r="W97" s="53"/>
      <c r="X97" s="53"/>
      <c r="Y97" s="53"/>
      <c r="Z97" s="2"/>
      <c r="AA97" s="2"/>
      <c r="AB97" s="2"/>
      <c r="AC97" s="2"/>
      <c r="AD97" s="2"/>
      <c r="AE97" s="2"/>
    </row>
    <row r="98" spans="1:31" ht="12.75" x14ac:dyDescent="0.2">
      <c r="A98" s="53">
        <f ca="1">IFERROR(__xludf.DUMMYFUNCTION("""COMPUTED_VALUE"""),21)</f>
        <v>21</v>
      </c>
      <c r="B98" s="53" t="str">
        <f ca="1">IFERROR(__xludf.DUMMYFUNCTION("""COMPUTED_VALUE"""),"TH Võ Thị Thừa")</f>
        <v>TH Võ Thị Thừa</v>
      </c>
      <c r="C98" s="53" t="str">
        <f ca="1">IFERROR(__xludf.DUMMYFUNCTION("""COMPUTED_VALUE"""),"TH")</f>
        <v>TH</v>
      </c>
      <c r="D98" s="53">
        <f ca="1">IFERROR(__xludf.DUMMYFUNCTION("""COMPUTED_VALUE"""),12)</f>
        <v>12</v>
      </c>
      <c r="E98" s="54">
        <f ca="1">IFERROR(__xludf.DUMMYFUNCTION("""COMPUTED_VALUE"""),48)</f>
        <v>48</v>
      </c>
      <c r="F98" s="54">
        <f ca="1">IFERROR(__xludf.DUMMYFUNCTION("""COMPUTED_VALUE"""),48)</f>
        <v>48</v>
      </c>
      <c r="G98" s="54"/>
      <c r="H98" s="54">
        <f ca="1">IFERROR(__xludf.DUMMYFUNCTION("""COMPUTED_VALUE"""),48)</f>
        <v>48</v>
      </c>
      <c r="I98" s="54"/>
      <c r="J98" s="54">
        <f ca="1">IFERROR(__xludf.DUMMYFUNCTION("""COMPUTED_VALUE"""),48)</f>
        <v>48</v>
      </c>
      <c r="K98" s="54"/>
      <c r="L98" s="54">
        <f ca="1">IFERROR(__xludf.DUMMYFUNCTION("""COMPUTED_VALUE"""),15)</f>
        <v>15</v>
      </c>
      <c r="M98" s="54"/>
      <c r="N98" s="54">
        <f ca="1">IFERROR(__xludf.DUMMYFUNCTION("""COMPUTED_VALUE"""),1228)</f>
        <v>1228</v>
      </c>
      <c r="O98" s="54">
        <f ca="1">IFERROR(__xludf.DUMMYFUNCTION("""COMPUTED_VALUE"""),749)</f>
        <v>749</v>
      </c>
      <c r="P98" s="54"/>
      <c r="Q98" s="54">
        <f ca="1">IFERROR(__xludf.DUMMYFUNCTION("""COMPUTED_VALUE"""),500)</f>
        <v>500</v>
      </c>
      <c r="R98" s="54"/>
      <c r="S98" s="53"/>
      <c r="T98" s="53"/>
      <c r="U98" s="53"/>
      <c r="V98" s="53"/>
      <c r="W98" s="53"/>
      <c r="X98" s="53"/>
      <c r="Y98" s="53"/>
      <c r="Z98" s="2"/>
      <c r="AA98" s="2"/>
      <c r="AB98" s="2"/>
      <c r="AC98" s="2"/>
      <c r="AD98" s="2"/>
      <c r="AE98" s="2"/>
    </row>
    <row r="99" spans="1:31" ht="12.75" x14ac:dyDescent="0.2">
      <c r="A99" s="53">
        <f ca="1">IFERROR(__xludf.DUMMYFUNCTION("""COMPUTED_VALUE"""),22)</f>
        <v>22</v>
      </c>
      <c r="B99" s="53" t="str">
        <f ca="1">IFERROR(__xludf.DUMMYFUNCTION("""COMPUTED_VALUE"""),"TH Võ Văn Tần")</f>
        <v>TH Võ Văn Tần</v>
      </c>
      <c r="C99" s="53" t="str">
        <f ca="1">IFERROR(__xludf.DUMMYFUNCTION("""COMPUTED_VALUE"""),"TH")</f>
        <v>TH</v>
      </c>
      <c r="D99" s="53">
        <f ca="1">IFERROR(__xludf.DUMMYFUNCTION("""COMPUTED_VALUE"""),12)</f>
        <v>12</v>
      </c>
      <c r="E99" s="54">
        <f ca="1">IFERROR(__xludf.DUMMYFUNCTION("""COMPUTED_VALUE"""),69)</f>
        <v>69</v>
      </c>
      <c r="F99" s="54">
        <f ca="1">IFERROR(__xludf.DUMMYFUNCTION("""COMPUTED_VALUE"""),69)</f>
        <v>69</v>
      </c>
      <c r="G99" s="54"/>
      <c r="H99" s="54">
        <f ca="1">IFERROR(__xludf.DUMMYFUNCTION("""COMPUTED_VALUE"""),69)</f>
        <v>69</v>
      </c>
      <c r="I99" s="54"/>
      <c r="J99" s="54">
        <f ca="1">IFERROR(__xludf.DUMMYFUNCTION("""COMPUTED_VALUE"""),64)</f>
        <v>64</v>
      </c>
      <c r="K99" s="54"/>
      <c r="L99" s="54">
        <f ca="1">IFERROR(__xludf.DUMMYFUNCTION("""COMPUTED_VALUE"""),36)</f>
        <v>36</v>
      </c>
      <c r="M99" s="54"/>
      <c r="N99" s="54">
        <f ca="1">IFERROR(__xludf.DUMMYFUNCTION("""COMPUTED_VALUE"""),2148)</f>
        <v>2148</v>
      </c>
      <c r="O99" s="54">
        <f ca="1">IFERROR(__xludf.DUMMYFUNCTION("""COMPUTED_VALUE"""),1056)</f>
        <v>1056</v>
      </c>
      <c r="P99" s="54"/>
      <c r="Q99" s="54">
        <f ca="1">IFERROR(__xludf.DUMMYFUNCTION("""COMPUTED_VALUE"""),593)</f>
        <v>593</v>
      </c>
      <c r="R99" s="54"/>
      <c r="S99" s="53"/>
      <c r="T99" s="53"/>
      <c r="U99" s="53"/>
      <c r="V99" s="53"/>
      <c r="W99" s="53"/>
      <c r="X99" s="53"/>
      <c r="Y99" s="53"/>
      <c r="Z99" s="2"/>
      <c r="AA99" s="2"/>
      <c r="AB99" s="2"/>
      <c r="AC99" s="2"/>
      <c r="AD99" s="2"/>
      <c r="AE99" s="2"/>
    </row>
    <row r="100" spans="1:31" ht="12.75" x14ac:dyDescent="0.2">
      <c r="A100" s="53">
        <f ca="1">IFERROR(__xludf.DUMMYFUNCTION("""COMPUTED_VALUE"""),23)</f>
        <v>23</v>
      </c>
      <c r="B100" s="53" t="str">
        <f ca="1">IFERROR(__xludf.DUMMYFUNCTION("""COMPUTED_VALUE"""),"TH Nguyễn An Khương")</f>
        <v>TH Nguyễn An Khương</v>
      </c>
      <c r="C100" s="53" t="str">
        <f ca="1">IFERROR(__xludf.DUMMYFUNCTION("""COMPUTED_VALUE"""),"TH")</f>
        <v>TH</v>
      </c>
      <c r="D100" s="53">
        <f ca="1">IFERROR(__xludf.DUMMYFUNCTION("""COMPUTED_VALUE"""),12)</f>
        <v>12</v>
      </c>
      <c r="E100" s="54">
        <f ca="1">IFERROR(__xludf.DUMMYFUNCTION("""COMPUTED_VALUE"""),24)</f>
        <v>24</v>
      </c>
      <c r="F100" s="54">
        <f ca="1">IFERROR(__xludf.DUMMYFUNCTION("""COMPUTED_VALUE"""),24)</f>
        <v>24</v>
      </c>
      <c r="G100" s="54"/>
      <c r="H100" s="54">
        <f ca="1">IFERROR(__xludf.DUMMYFUNCTION("""COMPUTED_VALUE"""),24)</f>
        <v>24</v>
      </c>
      <c r="I100" s="54"/>
      <c r="J100" s="54">
        <f ca="1">IFERROR(__xludf.DUMMYFUNCTION("""COMPUTED_VALUE"""),16)</f>
        <v>16</v>
      </c>
      <c r="K100" s="54"/>
      <c r="L100" s="54">
        <f ca="1">IFERROR(__xludf.DUMMYFUNCTION("""COMPUTED_VALUE"""),7)</f>
        <v>7</v>
      </c>
      <c r="M100" s="54"/>
      <c r="N100" s="54">
        <f ca="1">IFERROR(__xludf.DUMMYFUNCTION("""COMPUTED_VALUE"""),307)</f>
        <v>307</v>
      </c>
      <c r="O100" s="54">
        <f ca="1">IFERROR(__xludf.DUMMYFUNCTION("""COMPUTED_VALUE"""),46)</f>
        <v>46</v>
      </c>
      <c r="P100" s="54"/>
      <c r="Q100" s="54">
        <f ca="1">IFERROR(__xludf.DUMMYFUNCTION("""COMPUTED_VALUE"""),28)</f>
        <v>28</v>
      </c>
      <c r="R100" s="54"/>
      <c r="S100" s="53"/>
      <c r="T100" s="53"/>
      <c r="U100" s="53"/>
      <c r="V100" s="53"/>
      <c r="W100" s="53"/>
      <c r="X100" s="53"/>
      <c r="Y100" s="53"/>
      <c r="Z100" s="2"/>
      <c r="AA100" s="2"/>
      <c r="AB100" s="2"/>
      <c r="AC100" s="2"/>
      <c r="AD100" s="2"/>
      <c r="AE100" s="2"/>
    </row>
    <row r="101" spans="1:31" ht="12.75" x14ac:dyDescent="0.2">
      <c r="A101" s="53">
        <f ca="1">IFERROR(__xludf.DUMMYFUNCTION("""COMPUTED_VALUE"""),24)</f>
        <v>24</v>
      </c>
      <c r="B101" s="53" t="str">
        <f ca="1">IFERROR(__xludf.DUMMYFUNCTION("""COMPUTED_VALUE"""),"TH Nam Việt")</f>
        <v>TH Nam Việt</v>
      </c>
      <c r="C101" s="53" t="str">
        <f ca="1">IFERROR(__xludf.DUMMYFUNCTION("""COMPUTED_VALUE"""),"TH")</f>
        <v>TH</v>
      </c>
      <c r="D101" s="53">
        <f ca="1">IFERROR(__xludf.DUMMYFUNCTION("""COMPUTED_VALUE"""),12)</f>
        <v>12</v>
      </c>
      <c r="E101" s="54">
        <f ca="1">IFERROR(__xludf.DUMMYFUNCTION("""COMPUTED_VALUE"""),37)</f>
        <v>37</v>
      </c>
      <c r="F101" s="54">
        <f ca="1">IFERROR(__xludf.DUMMYFUNCTION("""COMPUTED_VALUE"""),37)</f>
        <v>37</v>
      </c>
      <c r="G101" s="54"/>
      <c r="H101" s="54">
        <f ca="1">IFERROR(__xludf.DUMMYFUNCTION("""COMPUTED_VALUE"""),36)</f>
        <v>36</v>
      </c>
      <c r="I101" s="54"/>
      <c r="J101" s="54">
        <f ca="1">IFERROR(__xludf.DUMMYFUNCTION("""COMPUTED_VALUE"""),34)</f>
        <v>34</v>
      </c>
      <c r="K101" s="54"/>
      <c r="L101" s="54">
        <f ca="1">IFERROR(__xludf.DUMMYFUNCTION("""COMPUTED_VALUE"""),27)</f>
        <v>27</v>
      </c>
      <c r="M101" s="54"/>
      <c r="N101" s="54">
        <f ca="1">IFERROR(__xludf.DUMMYFUNCTION("""COMPUTED_VALUE"""),223)</f>
        <v>223</v>
      </c>
      <c r="O101" s="54">
        <f ca="1">IFERROR(__xludf.DUMMYFUNCTION("""COMPUTED_VALUE"""),47)</f>
        <v>47</v>
      </c>
      <c r="P101" s="54"/>
      <c r="Q101" s="54">
        <f ca="1">IFERROR(__xludf.DUMMYFUNCTION("""COMPUTED_VALUE"""),48)</f>
        <v>48</v>
      </c>
      <c r="R101" s="54"/>
      <c r="S101" s="53"/>
      <c r="T101" s="53"/>
      <c r="U101" s="53"/>
      <c r="V101" s="53"/>
      <c r="W101" s="53"/>
      <c r="X101" s="53"/>
      <c r="Y101" s="53"/>
      <c r="Z101" s="2"/>
      <c r="AA101" s="2"/>
      <c r="AB101" s="2"/>
      <c r="AC101" s="2"/>
      <c r="AD101" s="2"/>
      <c r="AE101" s="2"/>
    </row>
    <row r="102" spans="1:31" ht="12.75" x14ac:dyDescent="0.2">
      <c r="A102" s="53">
        <f ca="1">IFERROR(__xludf.DUMMYFUNCTION("""COMPUTED_VALUE"""),25)</f>
        <v>25</v>
      </c>
      <c r="B102" s="53" t="str">
        <f ca="1">IFERROR(__xludf.DUMMYFUNCTION("""COMPUTED_VALUE"""),"TH Tre Việt")</f>
        <v>TH Tre Việt</v>
      </c>
      <c r="C102" s="53" t="str">
        <f ca="1">IFERROR(__xludf.DUMMYFUNCTION("""COMPUTED_VALUE"""),"TH")</f>
        <v>TH</v>
      </c>
      <c r="D102" s="53">
        <f ca="1">IFERROR(__xludf.DUMMYFUNCTION("""COMPUTED_VALUE"""),12)</f>
        <v>12</v>
      </c>
      <c r="E102" s="54">
        <f ca="1">IFERROR(__xludf.DUMMYFUNCTION("""COMPUTED_VALUE"""),30)</f>
        <v>30</v>
      </c>
      <c r="F102" s="54">
        <f ca="1">IFERROR(__xludf.DUMMYFUNCTION("""COMPUTED_VALUE"""),30)</f>
        <v>30</v>
      </c>
      <c r="G102" s="54"/>
      <c r="H102" s="54">
        <f ca="1">IFERROR(__xludf.DUMMYFUNCTION("""COMPUTED_VALUE"""),29)</f>
        <v>29</v>
      </c>
      <c r="I102" s="54"/>
      <c r="J102" s="54">
        <f ca="1">IFERROR(__xludf.DUMMYFUNCTION("""COMPUTED_VALUE"""),20)</f>
        <v>20</v>
      </c>
      <c r="K102" s="54"/>
      <c r="L102" s="54">
        <f ca="1">IFERROR(__xludf.DUMMYFUNCTION("""COMPUTED_VALUE"""),2)</f>
        <v>2</v>
      </c>
      <c r="M102" s="54"/>
      <c r="N102" s="54">
        <f ca="1">IFERROR(__xludf.DUMMYFUNCTION("""COMPUTED_VALUE"""),205)</f>
        <v>205</v>
      </c>
      <c r="O102" s="54">
        <f ca="1">IFERROR(__xludf.DUMMYFUNCTION("""COMPUTED_VALUE"""),33)</f>
        <v>33</v>
      </c>
      <c r="P102" s="54"/>
      <c r="Q102" s="54">
        <f ca="1">IFERROR(__xludf.DUMMYFUNCTION("""COMPUTED_VALUE"""),11)</f>
        <v>11</v>
      </c>
      <c r="R102" s="54"/>
      <c r="S102" s="53"/>
      <c r="T102" s="53"/>
      <c r="U102" s="53"/>
      <c r="V102" s="53"/>
      <c r="W102" s="53"/>
      <c r="X102" s="53"/>
      <c r="Y102" s="53"/>
      <c r="Z102" s="2"/>
      <c r="AA102" s="2"/>
      <c r="AB102" s="2"/>
      <c r="AC102" s="2"/>
      <c r="AD102" s="2"/>
      <c r="AE102" s="2"/>
    </row>
    <row r="103" spans="1:31" ht="12.75" x14ac:dyDescent="0.2">
      <c r="A103" s="53">
        <f ca="1">IFERROR(__xludf.DUMMYFUNCTION("""COMPUTED_VALUE"""),26)</f>
        <v>26</v>
      </c>
      <c r="B103" s="53" t="str">
        <f ca="1">IFERROR(__xludf.DUMMYFUNCTION("""COMPUTED_VALUE"""),"TH Tuệ Đức")</f>
        <v>TH Tuệ Đức</v>
      </c>
      <c r="C103" s="53" t="str">
        <f ca="1">IFERROR(__xludf.DUMMYFUNCTION("""COMPUTED_VALUE"""),"TH")</f>
        <v>TH</v>
      </c>
      <c r="D103" s="53">
        <f ca="1">IFERROR(__xludf.DUMMYFUNCTION("""COMPUTED_VALUE"""),12)</f>
        <v>12</v>
      </c>
      <c r="E103" s="54">
        <f ca="1">IFERROR(__xludf.DUMMYFUNCTION("""COMPUTED_VALUE"""),32)</f>
        <v>32</v>
      </c>
      <c r="F103" s="54">
        <f ca="1">IFERROR(__xludf.DUMMYFUNCTION("""COMPUTED_VALUE"""),32)</f>
        <v>32</v>
      </c>
      <c r="G103" s="54"/>
      <c r="H103" s="54">
        <f ca="1">IFERROR(__xludf.DUMMYFUNCTION("""COMPUTED_VALUE"""),32)</f>
        <v>32</v>
      </c>
      <c r="I103" s="54"/>
      <c r="J103" s="54">
        <f ca="1">IFERROR(__xludf.DUMMYFUNCTION("""COMPUTED_VALUE"""),27)</f>
        <v>27</v>
      </c>
      <c r="K103" s="54"/>
      <c r="L103" s="54">
        <f ca="1">IFERROR(__xludf.DUMMYFUNCTION("""COMPUTED_VALUE"""),10)</f>
        <v>10</v>
      </c>
      <c r="M103" s="54"/>
      <c r="N103" s="54">
        <f ca="1">IFERROR(__xludf.DUMMYFUNCTION("""COMPUTED_VALUE"""),102)</f>
        <v>102</v>
      </c>
      <c r="O103" s="54">
        <f ca="1">IFERROR(__xludf.DUMMYFUNCTION("""COMPUTED_VALUE"""),19)</f>
        <v>19</v>
      </c>
      <c r="P103" s="54"/>
      <c r="Q103" s="54">
        <f ca="1">IFERROR(__xludf.DUMMYFUNCTION("""COMPUTED_VALUE"""),4)</f>
        <v>4</v>
      </c>
      <c r="R103" s="54"/>
      <c r="S103" s="53"/>
      <c r="T103" s="53"/>
      <c r="U103" s="53"/>
      <c r="V103" s="53"/>
      <c r="W103" s="53"/>
      <c r="X103" s="53"/>
      <c r="Y103" s="53"/>
      <c r="Z103" s="2"/>
      <c r="AA103" s="2"/>
      <c r="AB103" s="2"/>
      <c r="AC103" s="2"/>
      <c r="AD103" s="2"/>
      <c r="AE103" s="2"/>
    </row>
    <row r="104" spans="1:31" ht="12.75" x14ac:dyDescent="0.2">
      <c r="A104" s="53">
        <f ca="1">IFERROR(__xludf.DUMMYFUNCTION("""COMPUTED_VALUE"""),27)</f>
        <v>27</v>
      </c>
      <c r="B104" s="53" t="str">
        <f ca="1">IFERROR(__xludf.DUMMYFUNCTION("""COMPUTED_VALUE"""),"TH Thần Đồng")</f>
        <v>TH Thần Đồng</v>
      </c>
      <c r="C104" s="53" t="str">
        <f ca="1">IFERROR(__xludf.DUMMYFUNCTION("""COMPUTED_VALUE"""),"TH")</f>
        <v>TH</v>
      </c>
      <c r="D104" s="53">
        <f ca="1">IFERROR(__xludf.DUMMYFUNCTION("""COMPUTED_VALUE"""),12)</f>
        <v>12</v>
      </c>
      <c r="E104" s="54">
        <f ca="1">IFERROR(__xludf.DUMMYFUNCTION("""COMPUTED_VALUE"""),30)</f>
        <v>30</v>
      </c>
      <c r="F104" s="54">
        <f ca="1">IFERROR(__xludf.DUMMYFUNCTION("""COMPUTED_VALUE"""),30)</f>
        <v>30</v>
      </c>
      <c r="G104" s="54"/>
      <c r="H104" s="54">
        <f ca="1">IFERROR(__xludf.DUMMYFUNCTION("""COMPUTED_VALUE"""),30)</f>
        <v>30</v>
      </c>
      <c r="I104" s="54"/>
      <c r="J104" s="54">
        <f ca="1">IFERROR(__xludf.DUMMYFUNCTION("""COMPUTED_VALUE"""),30)</f>
        <v>30</v>
      </c>
      <c r="K104" s="54"/>
      <c r="L104" s="54">
        <f ca="1">IFERROR(__xludf.DUMMYFUNCTION("""COMPUTED_VALUE"""),21)</f>
        <v>21</v>
      </c>
      <c r="M104" s="54"/>
      <c r="N104" s="54">
        <f ca="1">IFERROR(__xludf.DUMMYFUNCTION("""COMPUTED_VALUE"""),273)</f>
        <v>273</v>
      </c>
      <c r="O104" s="54">
        <f ca="1">IFERROR(__xludf.DUMMYFUNCTION("""COMPUTED_VALUE"""),106)</f>
        <v>106</v>
      </c>
      <c r="P104" s="54"/>
      <c r="Q104" s="54">
        <f ca="1">IFERROR(__xludf.DUMMYFUNCTION("""COMPUTED_VALUE"""),64)</f>
        <v>64</v>
      </c>
      <c r="R104" s="54"/>
      <c r="S104" s="53"/>
      <c r="T104" s="53"/>
      <c r="U104" s="53"/>
      <c r="V104" s="53"/>
      <c r="W104" s="53"/>
      <c r="X104" s="53"/>
      <c r="Y104" s="53"/>
      <c r="Z104" s="2"/>
      <c r="AA104" s="2"/>
      <c r="AB104" s="2"/>
      <c r="AC104" s="2"/>
      <c r="AD104" s="2"/>
      <c r="AE104" s="2"/>
    </row>
    <row r="105" spans="1:31" ht="12.75" x14ac:dyDescent="0.2">
      <c r="A105" s="53">
        <f ca="1">IFERROR(__xludf.DUMMYFUNCTION("""COMPUTED_VALUE"""),28)</f>
        <v>28</v>
      </c>
      <c r="B105" s="53" t="str">
        <f ca="1">IFERROR(__xludf.DUMMYFUNCTION("""COMPUTED_VALUE"""),"TiH, THCS, THPT Tuệ Đức")</f>
        <v>TiH, THCS, THPT Tuệ Đức</v>
      </c>
      <c r="C105" s="53" t="str">
        <f ca="1">IFERROR(__xludf.DUMMYFUNCTION("""COMPUTED_VALUE"""),"TH")</f>
        <v>TH</v>
      </c>
      <c r="D105" s="53">
        <f ca="1">IFERROR(__xludf.DUMMYFUNCTION("""COMPUTED_VALUE"""),12)</f>
        <v>12</v>
      </c>
      <c r="E105" s="54">
        <f ca="1">IFERROR(__xludf.DUMMYFUNCTION("""COMPUTED_VALUE"""),119)</f>
        <v>119</v>
      </c>
      <c r="F105" s="54">
        <f ca="1">IFERROR(__xludf.DUMMYFUNCTION("""COMPUTED_VALUE"""),119)</f>
        <v>119</v>
      </c>
      <c r="G105" s="54"/>
      <c r="H105" s="54">
        <f ca="1">IFERROR(__xludf.DUMMYFUNCTION("""COMPUTED_VALUE"""),119)</f>
        <v>119</v>
      </c>
      <c r="I105" s="54"/>
      <c r="J105" s="54">
        <f ca="1">IFERROR(__xludf.DUMMYFUNCTION("""COMPUTED_VALUE"""),100)</f>
        <v>100</v>
      </c>
      <c r="K105" s="54"/>
      <c r="L105" s="54">
        <f ca="1">IFERROR(__xludf.DUMMYFUNCTION("""COMPUTED_VALUE"""),7)</f>
        <v>7</v>
      </c>
      <c r="M105" s="54"/>
      <c r="N105" s="54">
        <f ca="1">IFERROR(__xludf.DUMMYFUNCTION("""COMPUTED_VALUE"""),667)</f>
        <v>667</v>
      </c>
      <c r="O105" s="54">
        <f ca="1">IFERROR(__xludf.DUMMYFUNCTION("""COMPUTED_VALUE"""),37)</f>
        <v>37</v>
      </c>
      <c r="P105" s="54"/>
      <c r="Q105" s="54">
        <f ca="1">IFERROR(__xludf.DUMMYFUNCTION("""COMPUTED_VALUE"""),10)</f>
        <v>10</v>
      </c>
      <c r="R105" s="54"/>
      <c r="S105" s="53"/>
      <c r="T105" s="53"/>
      <c r="U105" s="53"/>
      <c r="V105" s="53"/>
      <c r="W105" s="53"/>
      <c r="X105" s="53"/>
      <c r="Y105" s="53"/>
      <c r="Z105" s="2"/>
      <c r="AA105" s="2"/>
      <c r="AB105" s="2"/>
      <c r="AC105" s="2"/>
      <c r="AD105" s="2"/>
      <c r="AE105" s="2"/>
    </row>
    <row r="106" spans="1:31" ht="12.75" x14ac:dyDescent="0.2">
      <c r="A106" s="52" t="str">
        <f ca="1">IFERROR(__xludf.DUMMYFUNCTION("""COMPUTED_VALUE"""),"THCS")</f>
        <v>THCS</v>
      </c>
      <c r="B106" s="53"/>
      <c r="C106" s="53"/>
      <c r="D106" s="53"/>
      <c r="E106" s="53"/>
      <c r="F106" s="53"/>
      <c r="G106" s="53"/>
      <c r="H106" s="53"/>
      <c r="I106" s="53"/>
      <c r="J106" s="53"/>
      <c r="K106" s="53"/>
      <c r="L106" s="53"/>
      <c r="M106" s="53"/>
      <c r="N106" s="53"/>
      <c r="O106" s="53"/>
      <c r="P106" s="53"/>
      <c r="Q106" s="53"/>
      <c r="R106" s="53"/>
      <c r="S106" s="53"/>
      <c r="T106" s="53"/>
      <c r="U106" s="53"/>
      <c r="V106" s="53"/>
      <c r="W106" s="53"/>
      <c r="X106" s="53"/>
      <c r="Y106" s="53"/>
      <c r="Z106" s="2"/>
      <c r="AA106" s="2"/>
      <c r="AB106" s="2"/>
      <c r="AC106" s="2"/>
      <c r="AD106" s="2"/>
      <c r="AE106" s="2"/>
    </row>
    <row r="107" spans="1:31" ht="12.75" x14ac:dyDescent="0.2">
      <c r="A107" s="53">
        <f ca="1">IFERROR(__xludf.DUMMYFUNCTION("""COMPUTED_VALUE"""),1)</f>
        <v>1</v>
      </c>
      <c r="B107" s="53" t="str">
        <f ca="1">IFERROR(__xludf.DUMMYFUNCTION("""COMPUTED_VALUE"""),"THCS An Phú Đông")</f>
        <v>THCS An Phú Đông</v>
      </c>
      <c r="C107" s="53" t="str">
        <f ca="1">IFERROR(__xludf.DUMMYFUNCTION("""COMPUTED_VALUE"""),"THCS")</f>
        <v>THCS</v>
      </c>
      <c r="D107" s="53">
        <f ca="1">IFERROR(__xludf.DUMMYFUNCTION("""COMPUTED_VALUE"""),12)</f>
        <v>12</v>
      </c>
      <c r="E107" s="54">
        <f ca="1">IFERROR(__xludf.DUMMYFUNCTION("""COMPUTED_VALUE"""),81)</f>
        <v>81</v>
      </c>
      <c r="F107" s="54">
        <f ca="1">IFERROR(__xludf.DUMMYFUNCTION("""COMPUTED_VALUE"""),81)</f>
        <v>81</v>
      </c>
      <c r="G107" s="54"/>
      <c r="H107" s="54">
        <f ca="1">IFERROR(__xludf.DUMMYFUNCTION("""COMPUTED_VALUE"""),81)</f>
        <v>81</v>
      </c>
      <c r="I107" s="54"/>
      <c r="J107" s="54">
        <f ca="1">IFERROR(__xludf.DUMMYFUNCTION("""COMPUTED_VALUE"""),80)</f>
        <v>80</v>
      </c>
      <c r="K107" s="54"/>
      <c r="L107" s="54">
        <f ca="1">IFERROR(__xludf.DUMMYFUNCTION("""COMPUTED_VALUE"""),40)</f>
        <v>40</v>
      </c>
      <c r="M107" s="54"/>
      <c r="N107" s="54">
        <f ca="1">IFERROR(__xludf.DUMMYFUNCTION("""COMPUTED_VALUE"""),494)</f>
        <v>494</v>
      </c>
      <c r="O107" s="54">
        <f ca="1">IFERROR(__xludf.DUMMYFUNCTION("""COMPUTED_VALUE"""),333)</f>
        <v>333</v>
      </c>
      <c r="P107" s="54"/>
      <c r="Q107" s="54">
        <f ca="1">IFERROR(__xludf.DUMMYFUNCTION("""COMPUTED_VALUE"""),226)</f>
        <v>226</v>
      </c>
      <c r="R107" s="54"/>
      <c r="S107" s="54">
        <f ca="1">IFERROR(__xludf.DUMMYFUNCTION("""COMPUTED_VALUE"""),1207)</f>
        <v>1207</v>
      </c>
      <c r="T107" s="53">
        <f ca="1">IFERROR(__xludf.DUMMYFUNCTION("""COMPUTED_VALUE"""),1099)</f>
        <v>1099</v>
      </c>
      <c r="U107" s="53"/>
      <c r="V107" s="54">
        <f ca="1">IFERROR(__xludf.DUMMYFUNCTION("""COMPUTED_VALUE"""),998)</f>
        <v>998</v>
      </c>
      <c r="W107" s="54"/>
      <c r="X107" s="54">
        <f ca="1">IFERROR(__xludf.DUMMYFUNCTION("""COMPUTED_VALUE"""),414)</f>
        <v>414</v>
      </c>
      <c r="Y107" s="54"/>
      <c r="Z107" s="2"/>
      <c r="AA107" s="2"/>
      <c r="AB107" s="2"/>
      <c r="AC107" s="2"/>
      <c r="AD107" s="2"/>
      <c r="AE107" s="2"/>
    </row>
    <row r="108" spans="1:31" ht="12.75" x14ac:dyDescent="0.2">
      <c r="A108" s="53">
        <f ca="1">IFERROR(__xludf.DUMMYFUNCTION("""COMPUTED_VALUE"""),2)</f>
        <v>2</v>
      </c>
      <c r="B108" s="53" t="str">
        <f ca="1">IFERROR(__xludf.DUMMYFUNCTION("""COMPUTED_VALUE"""),"THCS Nguyễn An Ninh")</f>
        <v>THCS Nguyễn An Ninh</v>
      </c>
      <c r="C108" s="53" t="str">
        <f ca="1">IFERROR(__xludf.DUMMYFUNCTION("""COMPUTED_VALUE"""),"THCS")</f>
        <v>THCS</v>
      </c>
      <c r="D108" s="53">
        <f ca="1">IFERROR(__xludf.DUMMYFUNCTION("""COMPUTED_VALUE"""),12)</f>
        <v>12</v>
      </c>
      <c r="E108" s="54">
        <f ca="1">IFERROR(__xludf.DUMMYFUNCTION("""COMPUTED_VALUE"""),137)</f>
        <v>137</v>
      </c>
      <c r="F108" s="54">
        <f ca="1">IFERROR(__xludf.DUMMYFUNCTION("""COMPUTED_VALUE"""),137)</f>
        <v>137</v>
      </c>
      <c r="G108" s="54"/>
      <c r="H108" s="54">
        <f ca="1">IFERROR(__xludf.DUMMYFUNCTION("""COMPUTED_VALUE"""),137)</f>
        <v>137</v>
      </c>
      <c r="I108" s="54"/>
      <c r="J108" s="54">
        <f ca="1">IFERROR(__xludf.DUMMYFUNCTION("""COMPUTED_VALUE"""),130)</f>
        <v>130</v>
      </c>
      <c r="K108" s="54"/>
      <c r="L108" s="54">
        <f ca="1">IFERROR(__xludf.DUMMYFUNCTION("""COMPUTED_VALUE"""),77)</f>
        <v>77</v>
      </c>
      <c r="M108" s="54"/>
      <c r="N108" s="54">
        <f ca="1">IFERROR(__xludf.DUMMYFUNCTION("""COMPUTED_VALUE"""),740)</f>
        <v>740</v>
      </c>
      <c r="O108" s="54">
        <f ca="1">IFERROR(__xludf.DUMMYFUNCTION("""COMPUTED_VALUE"""),538)</f>
        <v>538</v>
      </c>
      <c r="P108" s="54"/>
      <c r="Q108" s="54">
        <f ca="1">IFERROR(__xludf.DUMMYFUNCTION("""COMPUTED_VALUE"""),324)</f>
        <v>324</v>
      </c>
      <c r="R108" s="54"/>
      <c r="S108" s="54">
        <f ca="1">IFERROR(__xludf.DUMMYFUNCTION("""COMPUTED_VALUE"""),2296)</f>
        <v>2296</v>
      </c>
      <c r="T108" s="53">
        <f ca="1">IFERROR(__xludf.DUMMYFUNCTION("""COMPUTED_VALUE"""),2176)</f>
        <v>2176</v>
      </c>
      <c r="U108" s="53"/>
      <c r="V108" s="54">
        <f ca="1">IFERROR(__xludf.DUMMYFUNCTION("""COMPUTED_VALUE"""),1932)</f>
        <v>1932</v>
      </c>
      <c r="W108" s="54"/>
      <c r="X108" s="54">
        <f ca="1">IFERROR(__xludf.DUMMYFUNCTION("""COMPUTED_VALUE"""),659)</f>
        <v>659</v>
      </c>
      <c r="Y108" s="54"/>
      <c r="Z108" s="2"/>
      <c r="AA108" s="2"/>
      <c r="AB108" s="2"/>
      <c r="AC108" s="2"/>
      <c r="AD108" s="2"/>
      <c r="AE108" s="2"/>
    </row>
    <row r="109" spans="1:31" ht="12.75" x14ac:dyDescent="0.2">
      <c r="A109" s="53">
        <f ca="1">IFERROR(__xludf.DUMMYFUNCTION("""COMPUTED_VALUE"""),3)</f>
        <v>3</v>
      </c>
      <c r="B109" s="53" t="str">
        <f ca="1">IFERROR(__xludf.DUMMYFUNCTION("""COMPUTED_VALUE"""),"THCS Lương Thế Vinh")</f>
        <v>THCS Lương Thế Vinh</v>
      </c>
      <c r="C109" s="53" t="str">
        <f ca="1">IFERROR(__xludf.DUMMYFUNCTION("""COMPUTED_VALUE"""),"THCS")</f>
        <v>THCS</v>
      </c>
      <c r="D109" s="53">
        <f ca="1">IFERROR(__xludf.DUMMYFUNCTION("""COMPUTED_VALUE"""),12)</f>
        <v>12</v>
      </c>
      <c r="E109" s="54">
        <f ca="1">IFERROR(__xludf.DUMMYFUNCTION("""COMPUTED_VALUE"""),67)</f>
        <v>67</v>
      </c>
      <c r="F109" s="54">
        <f ca="1">IFERROR(__xludf.DUMMYFUNCTION("""COMPUTED_VALUE"""),67)</f>
        <v>67</v>
      </c>
      <c r="G109" s="54"/>
      <c r="H109" s="54">
        <f ca="1">IFERROR(__xludf.DUMMYFUNCTION("""COMPUTED_VALUE"""),67)</f>
        <v>67</v>
      </c>
      <c r="I109" s="54"/>
      <c r="J109" s="54">
        <f ca="1">IFERROR(__xludf.DUMMYFUNCTION("""COMPUTED_VALUE"""),67)</f>
        <v>67</v>
      </c>
      <c r="K109" s="54"/>
      <c r="L109" s="54">
        <f ca="1">IFERROR(__xludf.DUMMYFUNCTION("""COMPUTED_VALUE"""),29)</f>
        <v>29</v>
      </c>
      <c r="M109" s="54"/>
      <c r="N109" s="54">
        <f ca="1">IFERROR(__xludf.DUMMYFUNCTION("""COMPUTED_VALUE"""),288)</f>
        <v>288</v>
      </c>
      <c r="O109" s="54">
        <f ca="1">IFERROR(__xludf.DUMMYFUNCTION("""COMPUTED_VALUE"""),172)</f>
        <v>172</v>
      </c>
      <c r="P109" s="54"/>
      <c r="Q109" s="54">
        <f ca="1">IFERROR(__xludf.DUMMYFUNCTION("""COMPUTED_VALUE"""),62)</f>
        <v>62</v>
      </c>
      <c r="R109" s="54"/>
      <c r="S109" s="54">
        <f ca="1">IFERROR(__xludf.DUMMYFUNCTION("""COMPUTED_VALUE"""),1270)</f>
        <v>1270</v>
      </c>
      <c r="T109" s="53">
        <f ca="1">IFERROR(__xludf.DUMMYFUNCTION("""COMPUTED_VALUE"""),1148)</f>
        <v>1148</v>
      </c>
      <c r="U109" s="53"/>
      <c r="V109" s="54">
        <f ca="1">IFERROR(__xludf.DUMMYFUNCTION("""COMPUTED_VALUE"""),907)</f>
        <v>907</v>
      </c>
      <c r="W109" s="54"/>
      <c r="X109" s="54">
        <f ca="1">IFERROR(__xludf.DUMMYFUNCTION("""COMPUTED_VALUE"""),426)</f>
        <v>426</v>
      </c>
      <c r="Y109" s="54"/>
      <c r="Z109" s="2"/>
      <c r="AA109" s="2"/>
      <c r="AB109" s="2"/>
      <c r="AC109" s="2"/>
      <c r="AD109" s="2"/>
      <c r="AE109" s="2"/>
    </row>
    <row r="110" spans="1:31" ht="12.75" x14ac:dyDescent="0.2">
      <c r="A110" s="53">
        <f ca="1">IFERROR(__xludf.DUMMYFUNCTION("""COMPUTED_VALUE"""),4)</f>
        <v>4</v>
      </c>
      <c r="B110" s="53" t="str">
        <f ca="1">IFERROR(__xludf.DUMMYFUNCTION("""COMPUTED_VALUE"""),"THCS Phan Bội Châu")</f>
        <v>THCS Phan Bội Châu</v>
      </c>
      <c r="C110" s="53" t="str">
        <f ca="1">IFERROR(__xludf.DUMMYFUNCTION("""COMPUTED_VALUE"""),"THCS")</f>
        <v>THCS</v>
      </c>
      <c r="D110" s="53">
        <f ca="1">IFERROR(__xludf.DUMMYFUNCTION("""COMPUTED_VALUE"""),12)</f>
        <v>12</v>
      </c>
      <c r="E110" s="54">
        <f ca="1">IFERROR(__xludf.DUMMYFUNCTION("""COMPUTED_VALUE"""),120)</f>
        <v>120</v>
      </c>
      <c r="F110" s="54">
        <f ca="1">IFERROR(__xludf.DUMMYFUNCTION("""COMPUTED_VALUE"""),120)</f>
        <v>120</v>
      </c>
      <c r="G110" s="54"/>
      <c r="H110" s="54">
        <f ca="1">IFERROR(__xludf.DUMMYFUNCTION("""COMPUTED_VALUE"""),120)</f>
        <v>120</v>
      </c>
      <c r="I110" s="54"/>
      <c r="J110" s="54">
        <f ca="1">IFERROR(__xludf.DUMMYFUNCTION("""COMPUTED_VALUE"""),107)</f>
        <v>107</v>
      </c>
      <c r="K110" s="54"/>
      <c r="L110" s="53"/>
      <c r="M110" s="53"/>
      <c r="N110" s="54">
        <f ca="1">IFERROR(__xludf.DUMMYFUNCTION("""COMPUTED_VALUE"""),654)</f>
        <v>654</v>
      </c>
      <c r="O110" s="54">
        <f ca="1">IFERROR(__xludf.DUMMYFUNCTION("""COMPUTED_VALUE"""),318)</f>
        <v>318</v>
      </c>
      <c r="P110" s="54"/>
      <c r="Q110" s="54">
        <f ca="1">IFERROR(__xludf.DUMMYFUNCTION("""COMPUTED_VALUE"""),275)</f>
        <v>275</v>
      </c>
      <c r="R110" s="54"/>
      <c r="S110" s="54">
        <f ca="1">IFERROR(__xludf.DUMMYFUNCTION("""COMPUTED_VALUE"""),1745)</f>
        <v>1745</v>
      </c>
      <c r="T110" s="53">
        <f ca="1">IFERROR(__xludf.DUMMYFUNCTION("""COMPUTED_VALUE"""),1497)</f>
        <v>1497</v>
      </c>
      <c r="U110" s="53"/>
      <c r="V110" s="54">
        <f ca="1">IFERROR(__xludf.DUMMYFUNCTION("""COMPUTED_VALUE"""),1368)</f>
        <v>1368</v>
      </c>
      <c r="W110" s="54"/>
      <c r="X110" s="54">
        <f ca="1">IFERROR(__xludf.DUMMYFUNCTION("""COMPUTED_VALUE"""),326)</f>
        <v>326</v>
      </c>
      <c r="Y110" s="54"/>
      <c r="Z110" s="2"/>
      <c r="AA110" s="2"/>
      <c r="AB110" s="2"/>
      <c r="AC110" s="2"/>
      <c r="AD110" s="2"/>
      <c r="AE110" s="2"/>
    </row>
    <row r="111" spans="1:31" ht="12.75" x14ac:dyDescent="0.2">
      <c r="A111" s="53">
        <f ca="1">IFERROR(__xludf.DUMMYFUNCTION("""COMPUTED_VALUE"""),5)</f>
        <v>5</v>
      </c>
      <c r="B111" s="53" t="str">
        <f ca="1">IFERROR(__xludf.DUMMYFUNCTION("""COMPUTED_VALUE"""),"THCS Nguyễn Ảnh Thủ")</f>
        <v>THCS Nguyễn Ảnh Thủ</v>
      </c>
      <c r="C111" s="53" t="str">
        <f ca="1">IFERROR(__xludf.DUMMYFUNCTION("""COMPUTED_VALUE"""),"THCS")</f>
        <v>THCS</v>
      </c>
      <c r="D111" s="53">
        <f ca="1">IFERROR(__xludf.DUMMYFUNCTION("""COMPUTED_VALUE"""),12)</f>
        <v>12</v>
      </c>
      <c r="E111" s="54">
        <f ca="1">IFERROR(__xludf.DUMMYFUNCTION("""COMPUTED_VALUE"""),46)</f>
        <v>46</v>
      </c>
      <c r="F111" s="54">
        <f ca="1">IFERROR(__xludf.DUMMYFUNCTION("""COMPUTED_VALUE"""),46)</f>
        <v>46</v>
      </c>
      <c r="G111" s="54"/>
      <c r="H111" s="54">
        <f ca="1">IFERROR(__xludf.DUMMYFUNCTION("""COMPUTED_VALUE"""),46)</f>
        <v>46</v>
      </c>
      <c r="I111" s="54"/>
      <c r="J111" s="54">
        <f ca="1">IFERROR(__xludf.DUMMYFUNCTION("""COMPUTED_VALUE"""),46)</f>
        <v>46</v>
      </c>
      <c r="K111" s="54"/>
      <c r="L111" s="54">
        <f ca="1">IFERROR(__xludf.DUMMYFUNCTION("""COMPUTED_VALUE"""),43)</f>
        <v>43</v>
      </c>
      <c r="M111" s="54"/>
      <c r="N111" s="54">
        <f ca="1">IFERROR(__xludf.DUMMYFUNCTION("""COMPUTED_VALUE"""),260)</f>
        <v>260</v>
      </c>
      <c r="O111" s="54">
        <f ca="1">IFERROR(__xludf.DUMMYFUNCTION("""COMPUTED_VALUE"""),200)</f>
        <v>200</v>
      </c>
      <c r="P111" s="54"/>
      <c r="Q111" s="54">
        <f ca="1">IFERROR(__xludf.DUMMYFUNCTION("""COMPUTED_VALUE"""),130)</f>
        <v>130</v>
      </c>
      <c r="R111" s="54"/>
      <c r="S111" s="54">
        <f ca="1">IFERROR(__xludf.DUMMYFUNCTION("""COMPUTED_VALUE"""),699)</f>
        <v>699</v>
      </c>
      <c r="T111" s="54">
        <f ca="1">IFERROR(__xludf.DUMMYFUNCTION("""COMPUTED_VALUE"""),695)</f>
        <v>695</v>
      </c>
      <c r="U111" s="54"/>
      <c r="V111" s="54">
        <f ca="1">IFERROR(__xludf.DUMMYFUNCTION("""COMPUTED_VALUE"""),691)</f>
        <v>691</v>
      </c>
      <c r="W111" s="54"/>
      <c r="X111" s="54">
        <f ca="1">IFERROR(__xludf.DUMMYFUNCTION("""COMPUTED_VALUE"""),217)</f>
        <v>217</v>
      </c>
      <c r="Y111" s="54"/>
      <c r="Z111" s="2"/>
      <c r="AA111" s="2"/>
      <c r="AB111" s="2"/>
      <c r="AC111" s="2"/>
      <c r="AD111" s="2"/>
      <c r="AE111" s="2"/>
    </row>
    <row r="112" spans="1:31" ht="12.75" x14ac:dyDescent="0.2">
      <c r="A112" s="53">
        <f ca="1">IFERROR(__xludf.DUMMYFUNCTION("""COMPUTED_VALUE"""),6)</f>
        <v>6</v>
      </c>
      <c r="B112" s="53" t="str">
        <f ca="1">IFERROR(__xludf.DUMMYFUNCTION("""COMPUTED_VALUE"""),"THCS Nguyễn Vĩnh Nghiệp")</f>
        <v>THCS Nguyễn Vĩnh Nghiệp</v>
      </c>
      <c r="C112" s="53" t="str">
        <f ca="1">IFERROR(__xludf.DUMMYFUNCTION("""COMPUTED_VALUE"""),"THCS")</f>
        <v>THCS</v>
      </c>
      <c r="D112" s="53">
        <f ca="1">IFERROR(__xludf.DUMMYFUNCTION("""COMPUTED_VALUE"""),12)</f>
        <v>12</v>
      </c>
      <c r="E112" s="54">
        <f ca="1">IFERROR(__xludf.DUMMYFUNCTION("""COMPUTED_VALUE"""),65)</f>
        <v>65</v>
      </c>
      <c r="F112" s="54">
        <f ca="1">IFERROR(__xludf.DUMMYFUNCTION("""COMPUTED_VALUE"""),64)</f>
        <v>64</v>
      </c>
      <c r="G112" s="54"/>
      <c r="H112" s="54">
        <f ca="1">IFERROR(__xludf.DUMMYFUNCTION("""COMPUTED_VALUE"""),65)</f>
        <v>65</v>
      </c>
      <c r="I112" s="54"/>
      <c r="J112" s="54">
        <f ca="1">IFERROR(__xludf.DUMMYFUNCTION("""COMPUTED_VALUE"""),45)</f>
        <v>45</v>
      </c>
      <c r="K112" s="54"/>
      <c r="L112" s="54">
        <f ca="1">IFERROR(__xludf.DUMMYFUNCTION("""COMPUTED_VALUE"""),21)</f>
        <v>21</v>
      </c>
      <c r="M112" s="54"/>
      <c r="N112" s="54">
        <f ca="1">IFERROR(__xludf.DUMMYFUNCTION("""COMPUTED_VALUE"""),205)</f>
        <v>205</v>
      </c>
      <c r="O112" s="54">
        <f ca="1">IFERROR(__xludf.DUMMYFUNCTION("""COMPUTED_VALUE"""),148)</f>
        <v>148</v>
      </c>
      <c r="P112" s="54"/>
      <c r="Q112" s="54">
        <f ca="1">IFERROR(__xludf.DUMMYFUNCTION("""COMPUTED_VALUE"""),112)</f>
        <v>112</v>
      </c>
      <c r="R112" s="54"/>
      <c r="S112" s="53">
        <f ca="1">IFERROR(__xludf.DUMMYFUNCTION("""COMPUTED_VALUE"""),899)</f>
        <v>899</v>
      </c>
      <c r="T112" s="53">
        <f ca="1">IFERROR(__xludf.DUMMYFUNCTION("""COMPUTED_VALUE"""),846)</f>
        <v>846</v>
      </c>
      <c r="U112" s="53"/>
      <c r="V112" s="65">
        <f ca="1">IFERROR(__xludf.DUMMYFUNCTION("""COMPUTED_VALUE"""),827)</f>
        <v>827</v>
      </c>
      <c r="W112" s="65"/>
      <c r="X112" s="53">
        <f ca="1">IFERROR(__xludf.DUMMYFUNCTION("""COMPUTED_VALUE"""),228)</f>
        <v>228</v>
      </c>
      <c r="Y112" s="53"/>
      <c r="Z112" s="2"/>
      <c r="AA112" s="2"/>
      <c r="AB112" s="2"/>
      <c r="AC112" s="2"/>
      <c r="AD112" s="2"/>
      <c r="AE112" s="2"/>
    </row>
    <row r="113" spans="1:31" ht="12.75" x14ac:dyDescent="0.2">
      <c r="A113" s="53">
        <f ca="1">IFERROR(__xludf.DUMMYFUNCTION("""COMPUTED_VALUE"""),7)</f>
        <v>7</v>
      </c>
      <c r="B113" s="53" t="str">
        <f ca="1">IFERROR(__xludf.DUMMYFUNCTION("""COMPUTED_VALUE"""),"THCS Nguyễn Hiền")</f>
        <v>THCS Nguyễn Hiền</v>
      </c>
      <c r="C113" s="53" t="str">
        <f ca="1">IFERROR(__xludf.DUMMYFUNCTION("""COMPUTED_VALUE"""),"THCS")</f>
        <v>THCS</v>
      </c>
      <c r="D113" s="53">
        <f ca="1">IFERROR(__xludf.DUMMYFUNCTION("""COMPUTED_VALUE"""),12)</f>
        <v>12</v>
      </c>
      <c r="E113" s="54">
        <f ca="1">IFERROR(__xludf.DUMMYFUNCTION("""COMPUTED_VALUE"""),137)</f>
        <v>137</v>
      </c>
      <c r="F113" s="54">
        <f ca="1">IFERROR(__xludf.DUMMYFUNCTION("""COMPUTED_VALUE"""),137)</f>
        <v>137</v>
      </c>
      <c r="G113" s="54"/>
      <c r="H113" s="54">
        <f ca="1">IFERROR(__xludf.DUMMYFUNCTION("""COMPUTED_VALUE"""),137)</f>
        <v>137</v>
      </c>
      <c r="I113" s="54"/>
      <c r="J113" s="54">
        <f ca="1">IFERROR(__xludf.DUMMYFUNCTION("""COMPUTED_VALUE"""),134)</f>
        <v>134</v>
      </c>
      <c r="K113" s="54"/>
      <c r="L113" s="54">
        <f ca="1">IFERROR(__xludf.DUMMYFUNCTION("""COMPUTED_VALUE"""),77)</f>
        <v>77</v>
      </c>
      <c r="M113" s="54"/>
      <c r="N113" s="54">
        <f ca="1">IFERROR(__xludf.DUMMYFUNCTION("""COMPUTED_VALUE"""),1737)</f>
        <v>1737</v>
      </c>
      <c r="O113" s="54">
        <f ca="1">IFERROR(__xludf.DUMMYFUNCTION("""COMPUTED_VALUE"""),230)</f>
        <v>230</v>
      </c>
      <c r="P113" s="54"/>
      <c r="Q113" s="54">
        <f ca="1">IFERROR(__xludf.DUMMYFUNCTION("""COMPUTED_VALUE"""),89)</f>
        <v>89</v>
      </c>
      <c r="R113" s="54"/>
      <c r="S113" s="54">
        <f ca="1">IFERROR(__xludf.DUMMYFUNCTION("""COMPUTED_VALUE"""),2015)</f>
        <v>2015</v>
      </c>
      <c r="T113" s="53">
        <f ca="1">IFERROR(__xludf.DUMMYFUNCTION("""COMPUTED_VALUE"""),2982)</f>
        <v>2982</v>
      </c>
      <c r="U113" s="53"/>
      <c r="V113" s="54">
        <f ca="1">IFERROR(__xludf.DUMMYFUNCTION("""COMPUTED_VALUE"""),2772)</f>
        <v>2772</v>
      </c>
      <c r="W113" s="54"/>
      <c r="X113" s="54">
        <f ca="1">IFERROR(__xludf.DUMMYFUNCTION("""COMPUTED_VALUE"""),808)</f>
        <v>808</v>
      </c>
      <c r="Y113" s="54"/>
      <c r="Z113" s="2"/>
      <c r="AA113" s="2"/>
      <c r="AB113" s="2"/>
      <c r="AC113" s="2"/>
      <c r="AD113" s="2"/>
      <c r="AE113" s="2"/>
    </row>
    <row r="114" spans="1:31" ht="12.75" x14ac:dyDescent="0.2">
      <c r="A114" s="53">
        <f ca="1">IFERROR(__xludf.DUMMYFUNCTION("""COMPUTED_VALUE"""),8)</f>
        <v>8</v>
      </c>
      <c r="B114" s="53" t="str">
        <f ca="1">IFERROR(__xludf.DUMMYFUNCTION("""COMPUTED_VALUE"""),"THCS Trần Quang Khải")</f>
        <v>THCS Trần Quang Khải</v>
      </c>
      <c r="C114" s="53" t="str">
        <f ca="1">IFERROR(__xludf.DUMMYFUNCTION("""COMPUTED_VALUE"""),"THCS")</f>
        <v>THCS</v>
      </c>
      <c r="D114" s="53">
        <f ca="1">IFERROR(__xludf.DUMMYFUNCTION("""COMPUTED_VALUE"""),12)</f>
        <v>12</v>
      </c>
      <c r="E114" s="54">
        <f ca="1">IFERROR(__xludf.DUMMYFUNCTION("""COMPUTED_VALUE"""),121)</f>
        <v>121</v>
      </c>
      <c r="F114" s="54">
        <f ca="1">IFERROR(__xludf.DUMMYFUNCTION("""COMPUTED_VALUE"""),121)</f>
        <v>121</v>
      </c>
      <c r="G114" s="54"/>
      <c r="H114" s="54">
        <f ca="1">IFERROR(__xludf.DUMMYFUNCTION("""COMPUTED_VALUE"""),121)</f>
        <v>121</v>
      </c>
      <c r="I114" s="54"/>
      <c r="J114" s="54">
        <f ca="1">IFERROR(__xludf.DUMMYFUNCTION("""COMPUTED_VALUE"""),121)</f>
        <v>121</v>
      </c>
      <c r="K114" s="54"/>
      <c r="L114" s="54">
        <f ca="1">IFERROR(__xludf.DUMMYFUNCTION("""COMPUTED_VALUE"""),55)</f>
        <v>55</v>
      </c>
      <c r="M114" s="54"/>
      <c r="N114" s="54">
        <f ca="1">IFERROR(__xludf.DUMMYFUNCTION("""COMPUTED_VALUE"""),804)</f>
        <v>804</v>
      </c>
      <c r="O114" s="54">
        <f ca="1">IFERROR(__xludf.DUMMYFUNCTION("""COMPUTED_VALUE"""),523)</f>
        <v>523</v>
      </c>
      <c r="P114" s="54"/>
      <c r="Q114" s="54">
        <f ca="1">IFERROR(__xludf.DUMMYFUNCTION("""COMPUTED_VALUE"""),353)</f>
        <v>353</v>
      </c>
      <c r="R114" s="54"/>
      <c r="S114" s="54">
        <f ca="1">IFERROR(__xludf.DUMMYFUNCTION("""COMPUTED_VALUE"""),1908)</f>
        <v>1908</v>
      </c>
      <c r="T114" s="54">
        <f ca="1">IFERROR(__xludf.DUMMYFUNCTION("""COMPUTED_VALUE"""),1646)</f>
        <v>1646</v>
      </c>
      <c r="U114" s="54"/>
      <c r="V114" s="54">
        <f ca="1">IFERROR(__xludf.DUMMYFUNCTION("""COMPUTED_VALUE"""),1526)</f>
        <v>1526</v>
      </c>
      <c r="W114" s="54"/>
      <c r="X114" s="54">
        <f ca="1">IFERROR(__xludf.DUMMYFUNCTION("""COMPUTED_VALUE"""),384)</f>
        <v>384</v>
      </c>
      <c r="Y114" s="54"/>
      <c r="Z114" s="2"/>
      <c r="AA114" s="2"/>
      <c r="AB114" s="2"/>
      <c r="AC114" s="2"/>
      <c r="AD114" s="2"/>
      <c r="AE114" s="2"/>
    </row>
    <row r="115" spans="1:31" ht="12.75" x14ac:dyDescent="0.2">
      <c r="A115" s="53">
        <f ca="1">IFERROR(__xludf.DUMMYFUNCTION("""COMPUTED_VALUE"""),9)</f>
        <v>9</v>
      </c>
      <c r="B115" s="53" t="str">
        <f ca="1">IFERROR(__xludf.DUMMYFUNCTION("""COMPUTED_VALUE"""),"THCS Nguyễn Huệ")</f>
        <v>THCS Nguyễn Huệ</v>
      </c>
      <c r="C115" s="53" t="str">
        <f ca="1">IFERROR(__xludf.DUMMYFUNCTION("""COMPUTED_VALUE"""),"THCS")</f>
        <v>THCS</v>
      </c>
      <c r="D115" s="53">
        <f ca="1">IFERROR(__xludf.DUMMYFUNCTION("""COMPUTED_VALUE"""),12)</f>
        <v>12</v>
      </c>
      <c r="E115" s="54">
        <f ca="1">IFERROR(__xludf.DUMMYFUNCTION("""COMPUTED_VALUE"""),141)</f>
        <v>141</v>
      </c>
      <c r="F115" s="54">
        <f ca="1">IFERROR(__xludf.DUMMYFUNCTION("""COMPUTED_VALUE"""),141)</f>
        <v>141</v>
      </c>
      <c r="G115" s="54"/>
      <c r="H115" s="54">
        <f ca="1">IFERROR(__xludf.DUMMYFUNCTION("""COMPUTED_VALUE"""),140)</f>
        <v>140</v>
      </c>
      <c r="I115" s="54"/>
      <c r="J115" s="54">
        <f ca="1">IFERROR(__xludf.DUMMYFUNCTION("""COMPUTED_VALUE"""),138)</f>
        <v>138</v>
      </c>
      <c r="K115" s="54"/>
      <c r="L115" s="54">
        <f ca="1">IFERROR(__xludf.DUMMYFUNCTION("""COMPUTED_VALUE"""),74)</f>
        <v>74</v>
      </c>
      <c r="M115" s="54"/>
      <c r="N115" s="54">
        <f ca="1">IFERROR(__xludf.DUMMYFUNCTION("""COMPUTED_VALUE"""),857)</f>
        <v>857</v>
      </c>
      <c r="O115" s="54">
        <f ca="1">IFERROR(__xludf.DUMMYFUNCTION("""COMPUTED_VALUE"""),324)</f>
        <v>324</v>
      </c>
      <c r="P115" s="54"/>
      <c r="Q115" s="54">
        <f ca="1">IFERROR(__xludf.DUMMYFUNCTION("""COMPUTED_VALUE"""),263)</f>
        <v>263</v>
      </c>
      <c r="R115" s="54"/>
      <c r="S115" s="54">
        <f ca="1">IFERROR(__xludf.DUMMYFUNCTION("""COMPUTED_VALUE"""),2569)</f>
        <v>2569</v>
      </c>
      <c r="T115" s="53">
        <f ca="1">IFERROR(__xludf.DUMMYFUNCTION("""COMPUTED_VALUE"""),2419)</f>
        <v>2419</v>
      </c>
      <c r="U115" s="53"/>
      <c r="V115" s="54">
        <f ca="1">IFERROR(__xludf.DUMMYFUNCTION("""COMPUTED_VALUE"""),2227)</f>
        <v>2227</v>
      </c>
      <c r="W115" s="54"/>
      <c r="X115" s="54">
        <f ca="1">IFERROR(__xludf.DUMMYFUNCTION("""COMPUTED_VALUE"""),661)</f>
        <v>661</v>
      </c>
      <c r="Y115" s="54"/>
      <c r="Z115" s="2"/>
      <c r="AA115" s="2"/>
      <c r="AB115" s="2"/>
      <c r="AC115" s="2"/>
      <c r="AD115" s="2"/>
      <c r="AE115" s="2"/>
    </row>
    <row r="116" spans="1:31" ht="12.75" x14ac:dyDescent="0.2">
      <c r="A116" s="53">
        <f ca="1">IFERROR(__xludf.DUMMYFUNCTION("""COMPUTED_VALUE"""),10)</f>
        <v>10</v>
      </c>
      <c r="B116" s="53" t="str">
        <f ca="1">IFERROR(__xludf.DUMMYFUNCTION("""COMPUTED_VALUE"""),"THCS Trần Hưng Đạo")</f>
        <v>THCS Trần Hưng Đạo</v>
      </c>
      <c r="C116" s="53" t="str">
        <f ca="1">IFERROR(__xludf.DUMMYFUNCTION("""COMPUTED_VALUE"""),"THCS")</f>
        <v>THCS</v>
      </c>
      <c r="D116" s="53">
        <f ca="1">IFERROR(__xludf.DUMMYFUNCTION("""COMPUTED_VALUE"""),12)</f>
        <v>12</v>
      </c>
      <c r="E116" s="54">
        <f ca="1">IFERROR(__xludf.DUMMYFUNCTION("""COMPUTED_VALUE"""),90)</f>
        <v>90</v>
      </c>
      <c r="F116" s="54">
        <f ca="1">IFERROR(__xludf.DUMMYFUNCTION("""COMPUTED_VALUE"""),90)</f>
        <v>90</v>
      </c>
      <c r="G116" s="54"/>
      <c r="H116" s="54">
        <f ca="1">IFERROR(__xludf.DUMMYFUNCTION("""COMPUTED_VALUE"""),90)</f>
        <v>90</v>
      </c>
      <c r="I116" s="54"/>
      <c r="J116" s="54">
        <f ca="1">IFERROR(__xludf.DUMMYFUNCTION("""COMPUTED_VALUE"""),88)</f>
        <v>88</v>
      </c>
      <c r="K116" s="54"/>
      <c r="L116" s="54">
        <f ca="1">IFERROR(__xludf.DUMMYFUNCTION("""COMPUTED_VALUE"""),42)</f>
        <v>42</v>
      </c>
      <c r="M116" s="54"/>
      <c r="N116" s="54">
        <f ca="1">IFERROR(__xludf.DUMMYFUNCTION("""COMPUTED_VALUE"""),497)</f>
        <v>497</v>
      </c>
      <c r="O116" s="54">
        <f ca="1">IFERROR(__xludf.DUMMYFUNCTION("""COMPUTED_VALUE"""),310)</f>
        <v>310</v>
      </c>
      <c r="P116" s="54"/>
      <c r="Q116" s="54">
        <f ca="1">IFERROR(__xludf.DUMMYFUNCTION("""COMPUTED_VALUE"""),220)</f>
        <v>220</v>
      </c>
      <c r="R116" s="54"/>
      <c r="S116" s="54">
        <f ca="1">IFERROR(__xludf.DUMMYFUNCTION("""COMPUTED_VALUE"""),1526)</f>
        <v>1526</v>
      </c>
      <c r="T116" s="54">
        <f ca="1">IFERROR(__xludf.DUMMYFUNCTION("""COMPUTED_VALUE"""),1488)</f>
        <v>1488</v>
      </c>
      <c r="U116" s="54"/>
      <c r="V116" s="54">
        <f ca="1">IFERROR(__xludf.DUMMYFUNCTION("""COMPUTED_VALUE"""),1465)</f>
        <v>1465</v>
      </c>
      <c r="W116" s="54"/>
      <c r="X116" s="54">
        <f ca="1">IFERROR(__xludf.DUMMYFUNCTION("""COMPUTED_VALUE"""),430)</f>
        <v>430</v>
      </c>
      <c r="Y116" s="54"/>
      <c r="Z116" s="2"/>
      <c r="AA116" s="2"/>
      <c r="AB116" s="2"/>
      <c r="AC116" s="2"/>
      <c r="AD116" s="2"/>
      <c r="AE116" s="2"/>
    </row>
    <row r="117" spans="1:31" ht="12.75" x14ac:dyDescent="0.2">
      <c r="A117" s="53">
        <f ca="1">IFERROR(__xludf.DUMMYFUNCTION("""COMPUTED_VALUE"""),11)</f>
        <v>11</v>
      </c>
      <c r="B117" s="53" t="str">
        <f ca="1">IFERROR(__xludf.DUMMYFUNCTION("""COMPUTED_VALUE"""),"THCS Nguyễn Trung Trực")</f>
        <v>THCS Nguyễn Trung Trực</v>
      </c>
      <c r="C117" s="53" t="str">
        <f ca="1">IFERROR(__xludf.DUMMYFUNCTION("""COMPUTED_VALUE"""),"THCS")</f>
        <v>THCS</v>
      </c>
      <c r="D117" s="53">
        <f ca="1">IFERROR(__xludf.DUMMYFUNCTION("""COMPUTED_VALUE"""),12)</f>
        <v>12</v>
      </c>
      <c r="E117" s="54">
        <f ca="1">IFERROR(__xludf.DUMMYFUNCTION("""COMPUTED_VALUE"""),94)</f>
        <v>94</v>
      </c>
      <c r="F117" s="54">
        <f ca="1">IFERROR(__xludf.DUMMYFUNCTION("""COMPUTED_VALUE"""),94)</f>
        <v>94</v>
      </c>
      <c r="G117" s="54"/>
      <c r="H117" s="54">
        <f ca="1">IFERROR(__xludf.DUMMYFUNCTION("""COMPUTED_VALUE"""),94)</f>
        <v>94</v>
      </c>
      <c r="I117" s="54"/>
      <c r="J117" s="54">
        <f ca="1">IFERROR(__xludf.DUMMYFUNCTION("""COMPUTED_VALUE"""),90)</f>
        <v>90</v>
      </c>
      <c r="K117" s="54"/>
      <c r="L117" s="54">
        <f ca="1">IFERROR(__xludf.DUMMYFUNCTION("""COMPUTED_VALUE"""),50)</f>
        <v>50</v>
      </c>
      <c r="M117" s="54"/>
      <c r="N117" s="54">
        <f ca="1">IFERROR(__xludf.DUMMYFUNCTION("""COMPUTED_VALUE"""),207)</f>
        <v>207</v>
      </c>
      <c r="O117" s="54">
        <f ca="1">IFERROR(__xludf.DUMMYFUNCTION("""COMPUTED_VALUE"""),145)</f>
        <v>145</v>
      </c>
      <c r="P117" s="54"/>
      <c r="Q117" s="54">
        <f ca="1">IFERROR(__xludf.DUMMYFUNCTION("""COMPUTED_VALUE"""),50)</f>
        <v>50</v>
      </c>
      <c r="R117" s="54"/>
      <c r="S117" s="54">
        <f ca="1">IFERROR(__xludf.DUMMYFUNCTION("""COMPUTED_VALUE"""),2228)</f>
        <v>2228</v>
      </c>
      <c r="T117" s="54">
        <f ca="1">IFERROR(__xludf.DUMMYFUNCTION("""COMPUTED_VALUE"""),2063)</f>
        <v>2063</v>
      </c>
      <c r="U117" s="54"/>
      <c r="V117" s="54">
        <f ca="1">IFERROR(__xludf.DUMMYFUNCTION("""COMPUTED_VALUE"""),1864)</f>
        <v>1864</v>
      </c>
      <c r="W117" s="54"/>
      <c r="X117" s="54">
        <f ca="1">IFERROR(__xludf.DUMMYFUNCTION("""COMPUTED_VALUE"""),475)</f>
        <v>475</v>
      </c>
      <c r="Y117" s="54"/>
      <c r="Z117" s="2"/>
      <c r="AA117" s="2"/>
      <c r="AB117" s="2"/>
      <c r="AC117" s="2"/>
      <c r="AD117" s="2"/>
      <c r="AE117" s="2"/>
    </row>
    <row r="118" spans="1:31" ht="12.75" x14ac:dyDescent="0.2">
      <c r="A118" s="53">
        <f ca="1">IFERROR(__xludf.DUMMYFUNCTION("""COMPUTED_VALUE"""),12)</f>
        <v>12</v>
      </c>
      <c r="B118" s="53" t="str">
        <f ca="1">IFERROR(__xludf.DUMMYFUNCTION("""COMPUTED_VALUE"""),"THCS Nguyễn Chí Thanh")</f>
        <v>THCS Nguyễn Chí Thanh</v>
      </c>
      <c r="C118" s="53" t="str">
        <f ca="1">IFERROR(__xludf.DUMMYFUNCTION("""COMPUTED_VALUE"""),"THCS")</f>
        <v>THCS</v>
      </c>
      <c r="D118" s="53">
        <f ca="1">IFERROR(__xludf.DUMMYFUNCTION("""COMPUTED_VALUE"""),12)</f>
        <v>12</v>
      </c>
      <c r="E118" s="54">
        <f ca="1">IFERROR(__xludf.DUMMYFUNCTION("""COMPUTED_VALUE"""),75)</f>
        <v>75</v>
      </c>
      <c r="F118" s="54">
        <f ca="1">IFERROR(__xludf.DUMMYFUNCTION("""COMPUTED_VALUE"""),75)</f>
        <v>75</v>
      </c>
      <c r="G118" s="54"/>
      <c r="H118" s="54">
        <f ca="1">IFERROR(__xludf.DUMMYFUNCTION("""COMPUTED_VALUE"""),75)</f>
        <v>75</v>
      </c>
      <c r="I118" s="54"/>
      <c r="J118" s="54">
        <f ca="1">IFERROR(__xludf.DUMMYFUNCTION("""COMPUTED_VALUE"""),70)</f>
        <v>70</v>
      </c>
      <c r="K118" s="54"/>
      <c r="L118" s="54">
        <f ca="1">IFERROR(__xludf.DUMMYFUNCTION("""COMPUTED_VALUE"""),40)</f>
        <v>40</v>
      </c>
      <c r="M118" s="54"/>
      <c r="N118" s="54">
        <f ca="1">IFERROR(__xludf.DUMMYFUNCTION("""COMPUTED_VALUE"""),283)</f>
        <v>283</v>
      </c>
      <c r="O118" s="54">
        <f ca="1">IFERROR(__xludf.DUMMYFUNCTION("""COMPUTED_VALUE"""),132)</f>
        <v>132</v>
      </c>
      <c r="P118" s="54"/>
      <c r="Q118" s="54">
        <f ca="1">IFERROR(__xludf.DUMMYFUNCTION("""COMPUTED_VALUE"""),80)</f>
        <v>80</v>
      </c>
      <c r="R118" s="54"/>
      <c r="S118" s="54">
        <f ca="1">IFERROR(__xludf.DUMMYFUNCTION("""COMPUTED_VALUE"""),691)</f>
        <v>691</v>
      </c>
      <c r="T118" s="53">
        <f ca="1">IFERROR(__xludf.DUMMYFUNCTION("""COMPUTED_VALUE"""),617)</f>
        <v>617</v>
      </c>
      <c r="U118" s="53"/>
      <c r="V118" s="54">
        <f ca="1">IFERROR(__xludf.DUMMYFUNCTION("""COMPUTED_VALUE"""),532)</f>
        <v>532</v>
      </c>
      <c r="W118" s="54"/>
      <c r="X118" s="54">
        <f ca="1">IFERROR(__xludf.DUMMYFUNCTION("""COMPUTED_VALUE"""),193)</f>
        <v>193</v>
      </c>
      <c r="Y118" s="54"/>
      <c r="Z118" s="2"/>
      <c r="AA118" s="2"/>
      <c r="AB118" s="2"/>
      <c r="AC118" s="2"/>
      <c r="AD118" s="2"/>
      <c r="AE118" s="2"/>
    </row>
    <row r="119" spans="1:31" ht="12.75" x14ac:dyDescent="0.2">
      <c r="A119" s="53">
        <f ca="1">IFERROR(__xludf.DUMMYFUNCTION("""COMPUTED_VALUE"""),13)</f>
        <v>13</v>
      </c>
      <c r="B119" s="53" t="str">
        <f ca="1">IFERROR(__xludf.DUMMYFUNCTION("""COMPUTED_VALUE"""),"THCS Hà Huy Tập")</f>
        <v>THCS Hà Huy Tập</v>
      </c>
      <c r="C119" s="53" t="str">
        <f ca="1">IFERROR(__xludf.DUMMYFUNCTION("""COMPUTED_VALUE"""),"THCS")</f>
        <v>THCS</v>
      </c>
      <c r="D119" s="53">
        <f ca="1">IFERROR(__xludf.DUMMYFUNCTION("""COMPUTED_VALUE"""),12)</f>
        <v>12</v>
      </c>
      <c r="E119" s="54">
        <f ca="1">IFERROR(__xludf.DUMMYFUNCTION("""COMPUTED_VALUE"""),73)</f>
        <v>73</v>
      </c>
      <c r="F119" s="54">
        <f ca="1">IFERROR(__xludf.DUMMYFUNCTION("""COMPUTED_VALUE"""),73)</f>
        <v>73</v>
      </c>
      <c r="G119" s="54"/>
      <c r="H119" s="54">
        <f ca="1">IFERROR(__xludf.DUMMYFUNCTION("""COMPUTED_VALUE"""),73)</f>
        <v>73</v>
      </c>
      <c r="I119" s="54"/>
      <c r="J119" s="54">
        <f ca="1">IFERROR(__xludf.DUMMYFUNCTION("""COMPUTED_VALUE"""),73)</f>
        <v>73</v>
      </c>
      <c r="K119" s="54"/>
      <c r="L119" s="54">
        <f ca="1">IFERROR(__xludf.DUMMYFUNCTION("""COMPUTED_VALUE"""),20)</f>
        <v>20</v>
      </c>
      <c r="M119" s="54"/>
      <c r="N119" s="54">
        <f ca="1">IFERROR(__xludf.DUMMYFUNCTION("""COMPUTED_VALUE"""),520)</f>
        <v>520</v>
      </c>
      <c r="O119" s="54">
        <f ca="1">IFERROR(__xludf.DUMMYFUNCTION("""COMPUTED_VALUE"""),310)</f>
        <v>310</v>
      </c>
      <c r="P119" s="54"/>
      <c r="Q119" s="54">
        <f ca="1">IFERROR(__xludf.DUMMYFUNCTION("""COMPUTED_VALUE"""),213)</f>
        <v>213</v>
      </c>
      <c r="R119" s="54"/>
      <c r="S119" s="54">
        <f ca="1">IFERROR(__xludf.DUMMYFUNCTION("""COMPUTED_VALUE"""),1038)</f>
        <v>1038</v>
      </c>
      <c r="T119" s="53">
        <f ca="1">IFERROR(__xludf.DUMMYFUNCTION("""COMPUTED_VALUE"""),613)</f>
        <v>613</v>
      </c>
      <c r="U119" s="53"/>
      <c r="V119" s="54">
        <f ca="1">IFERROR(__xludf.DUMMYFUNCTION("""COMPUTED_VALUE"""),566)</f>
        <v>566</v>
      </c>
      <c r="W119" s="54"/>
      <c r="X119" s="54">
        <f ca="1">IFERROR(__xludf.DUMMYFUNCTION("""COMPUTED_VALUE"""),225)</f>
        <v>225</v>
      </c>
      <c r="Y119" s="54"/>
      <c r="Z119" s="2"/>
      <c r="AA119" s="2"/>
      <c r="AB119" s="2"/>
      <c r="AC119" s="2"/>
      <c r="AD119" s="2"/>
      <c r="AE119" s="2"/>
    </row>
    <row r="120" spans="1:31" ht="12.75" x14ac:dyDescent="0.2">
      <c r="A120" s="53">
        <f ca="1">IFERROR(__xludf.DUMMYFUNCTION("""COMPUTED_VALUE"""),14)</f>
        <v>14</v>
      </c>
      <c r="B120" s="53" t="str">
        <f ca="1">IFERROR(__xludf.DUMMYFUNCTION("""COMPUTED_VALUE"""),"THCS Trần Phú")</f>
        <v>THCS Trần Phú</v>
      </c>
      <c r="C120" s="53" t="str">
        <f ca="1">IFERROR(__xludf.DUMMYFUNCTION("""COMPUTED_VALUE"""),"THCS")</f>
        <v>THCS</v>
      </c>
      <c r="D120" s="53">
        <f ca="1">IFERROR(__xludf.DUMMYFUNCTION("""COMPUTED_VALUE"""),12)</f>
        <v>12</v>
      </c>
      <c r="E120" s="54">
        <f ca="1">IFERROR(__xludf.DUMMYFUNCTION("""COMPUTED_VALUE"""),58)</f>
        <v>58</v>
      </c>
      <c r="F120" s="54">
        <f ca="1">IFERROR(__xludf.DUMMYFUNCTION("""COMPUTED_VALUE"""),58)</f>
        <v>58</v>
      </c>
      <c r="G120" s="54"/>
      <c r="H120" s="54">
        <f ca="1">IFERROR(__xludf.DUMMYFUNCTION("""COMPUTED_VALUE"""),58)</f>
        <v>58</v>
      </c>
      <c r="I120" s="54"/>
      <c r="J120" s="54">
        <f ca="1">IFERROR(__xludf.DUMMYFUNCTION("""COMPUTED_VALUE"""),56)</f>
        <v>56</v>
      </c>
      <c r="K120" s="54"/>
      <c r="L120" s="54">
        <f ca="1">IFERROR(__xludf.DUMMYFUNCTION("""COMPUTED_VALUE"""),43)</f>
        <v>43</v>
      </c>
      <c r="M120" s="54"/>
      <c r="N120" s="54">
        <f ca="1">IFERROR(__xludf.DUMMYFUNCTION("""COMPUTED_VALUE"""),432)</f>
        <v>432</v>
      </c>
      <c r="O120" s="54">
        <f ca="1">IFERROR(__xludf.DUMMYFUNCTION("""COMPUTED_VALUE"""),190)</f>
        <v>190</v>
      </c>
      <c r="P120" s="54"/>
      <c r="Q120" s="54">
        <f ca="1">IFERROR(__xludf.DUMMYFUNCTION("""COMPUTED_VALUE"""),130)</f>
        <v>130</v>
      </c>
      <c r="R120" s="54"/>
      <c r="S120" s="53">
        <f ca="1">IFERROR(__xludf.DUMMYFUNCTION("""COMPUTED_VALUE"""),912)</f>
        <v>912</v>
      </c>
      <c r="T120" s="53">
        <f ca="1">IFERROR(__xludf.DUMMYFUNCTION("""COMPUTED_VALUE"""),850)</f>
        <v>850</v>
      </c>
      <c r="U120" s="53"/>
      <c r="V120" s="65">
        <f ca="1">IFERROR(__xludf.DUMMYFUNCTION("""COMPUTED_VALUE"""),777)</f>
        <v>777</v>
      </c>
      <c r="W120" s="65"/>
      <c r="X120" s="53">
        <f ca="1">IFERROR(__xludf.DUMMYFUNCTION("""COMPUTED_VALUE"""),275)</f>
        <v>275</v>
      </c>
      <c r="Y120" s="53"/>
      <c r="Z120" s="2"/>
      <c r="AA120" s="2"/>
      <c r="AB120" s="2"/>
      <c r="AC120" s="2"/>
      <c r="AD120" s="2"/>
      <c r="AE120" s="2"/>
    </row>
    <row r="121" spans="1:31" ht="12.75" x14ac:dyDescent="0.2">
      <c r="A121" s="53">
        <f ca="1">IFERROR(__xludf.DUMMYFUNCTION("""COMPUTED_VALUE"""),15)</f>
        <v>15</v>
      </c>
      <c r="B121" s="53" t="str">
        <f ca="1">IFERROR(__xludf.DUMMYFUNCTION("""COMPUTED_VALUE"""),"THCS Tô Ngọc Vân")</f>
        <v>THCS Tô Ngọc Vân</v>
      </c>
      <c r="C121" s="53" t="str">
        <f ca="1">IFERROR(__xludf.DUMMYFUNCTION("""COMPUTED_VALUE"""),"THCS")</f>
        <v>THCS</v>
      </c>
      <c r="D121" s="53">
        <f ca="1">IFERROR(__xludf.DUMMYFUNCTION("""COMPUTED_VALUE"""),12)</f>
        <v>12</v>
      </c>
      <c r="E121" s="54">
        <f ca="1">IFERROR(__xludf.DUMMYFUNCTION("""COMPUTED_VALUE"""),15)</f>
        <v>15</v>
      </c>
      <c r="F121" s="54">
        <f ca="1">IFERROR(__xludf.DUMMYFUNCTION("""COMPUTED_VALUE"""),15)</f>
        <v>15</v>
      </c>
      <c r="G121" s="54"/>
      <c r="H121" s="54">
        <f ca="1">IFERROR(__xludf.DUMMYFUNCTION("""COMPUTED_VALUE"""),1)</f>
        <v>1</v>
      </c>
      <c r="I121" s="54"/>
      <c r="J121" s="54">
        <f ca="1">IFERROR(__xludf.DUMMYFUNCTION("""COMPUTED_VALUE"""),10)</f>
        <v>10</v>
      </c>
      <c r="K121" s="54"/>
      <c r="L121" s="54">
        <f ca="1">IFERROR(__xludf.DUMMYFUNCTION("""COMPUTED_VALUE"""),4)</f>
        <v>4</v>
      </c>
      <c r="M121" s="54"/>
      <c r="N121" s="54">
        <f ca="1">IFERROR(__xludf.DUMMYFUNCTION("""COMPUTED_VALUE"""),414)</f>
        <v>414</v>
      </c>
      <c r="O121" s="54">
        <f ca="1">IFERROR(__xludf.DUMMYFUNCTION("""COMPUTED_VALUE"""),110)</f>
        <v>110</v>
      </c>
      <c r="P121" s="54"/>
      <c r="Q121" s="54">
        <f ca="1">IFERROR(__xludf.DUMMYFUNCTION("""COMPUTED_VALUE"""),156)</f>
        <v>156</v>
      </c>
      <c r="R121" s="54"/>
      <c r="S121" s="54">
        <f ca="1">IFERROR(__xludf.DUMMYFUNCTION("""COMPUTED_VALUE"""),17)</f>
        <v>17</v>
      </c>
      <c r="T121" s="53">
        <f ca="1">IFERROR(__xludf.DUMMYFUNCTION("""COMPUTED_VALUE"""),5)</f>
        <v>5</v>
      </c>
      <c r="U121" s="53"/>
      <c r="V121" s="54">
        <f ca="1">IFERROR(__xludf.DUMMYFUNCTION("""COMPUTED_VALUE"""),11)</f>
        <v>11</v>
      </c>
      <c r="W121" s="54"/>
      <c r="X121" s="54">
        <f ca="1">IFERROR(__xludf.DUMMYFUNCTION("""COMPUTED_VALUE"""),1)</f>
        <v>1</v>
      </c>
      <c r="Y121" s="54"/>
      <c r="Z121" s="2"/>
      <c r="AA121" s="2"/>
      <c r="AB121" s="2"/>
      <c r="AC121" s="2"/>
      <c r="AD121" s="2"/>
      <c r="AE121" s="2"/>
    </row>
    <row r="122" spans="1:31" ht="12.75" x14ac:dyDescent="0.2">
      <c r="A122" s="52" t="str">
        <f ca="1">IFERROR(__xludf.DUMMYFUNCTION("""COMPUTED_VALUE"""),"THPT")</f>
        <v>THPT</v>
      </c>
      <c r="B122" s="53"/>
      <c r="C122" s="53"/>
      <c r="D122" s="53"/>
      <c r="E122" s="53"/>
      <c r="F122" s="53"/>
      <c r="G122" s="53"/>
      <c r="H122" s="53"/>
      <c r="I122" s="53"/>
      <c r="J122" s="53"/>
      <c r="K122" s="53"/>
      <c r="L122" s="53"/>
      <c r="M122" s="53"/>
      <c r="N122" s="53"/>
      <c r="O122" s="53"/>
      <c r="P122" s="53"/>
      <c r="Q122" s="53"/>
      <c r="R122" s="53"/>
      <c r="S122" s="53"/>
      <c r="T122" s="53"/>
      <c r="U122" s="53"/>
      <c r="V122" s="53"/>
      <c r="W122" s="53"/>
      <c r="X122" s="53"/>
      <c r="Y122" s="53"/>
      <c r="Z122" s="2"/>
      <c r="AA122" s="2"/>
      <c r="AB122" s="2"/>
      <c r="AC122" s="2"/>
      <c r="AD122" s="2"/>
      <c r="AE122" s="2"/>
    </row>
    <row r="123" spans="1:31" ht="12.75" x14ac:dyDescent="0.2">
      <c r="A123" s="53">
        <f ca="1">IFERROR(__xludf.DUMMYFUNCTION("""COMPUTED_VALUE"""),1)</f>
        <v>1</v>
      </c>
      <c r="B123" s="53" t="str">
        <f ca="1">IFERROR(__xludf.DUMMYFUNCTION("""COMPUTED_VALUE"""),"THPT Thạnh Lộc")</f>
        <v>THPT Thạnh Lộc</v>
      </c>
      <c r="C123" s="53" t="str">
        <f ca="1">IFERROR(__xludf.DUMMYFUNCTION("""COMPUTED_VALUE"""),"THPT")</f>
        <v>THPT</v>
      </c>
      <c r="D123" s="53">
        <f ca="1">IFERROR(__xludf.DUMMYFUNCTION("""COMPUTED_VALUE"""),12)</f>
        <v>12</v>
      </c>
      <c r="E123" s="54">
        <f ca="1">IFERROR(__xludf.DUMMYFUNCTION("""COMPUTED_VALUE"""),83)</f>
        <v>83</v>
      </c>
      <c r="F123" s="54">
        <f ca="1">IFERROR(__xludf.DUMMYFUNCTION("""COMPUTED_VALUE"""),83)</f>
        <v>83</v>
      </c>
      <c r="G123" s="54"/>
      <c r="H123" s="54">
        <f ca="1">IFERROR(__xludf.DUMMYFUNCTION("""COMPUTED_VALUE"""),83)</f>
        <v>83</v>
      </c>
      <c r="I123" s="54"/>
      <c r="J123" s="54">
        <f ca="1">IFERROR(__xludf.DUMMYFUNCTION("""COMPUTED_VALUE"""),78)</f>
        <v>78</v>
      </c>
      <c r="K123" s="54"/>
      <c r="L123" s="54">
        <f ca="1">IFERROR(__xludf.DUMMYFUNCTION("""COMPUTED_VALUE"""),44)</f>
        <v>44</v>
      </c>
      <c r="M123" s="54"/>
      <c r="N123" s="53"/>
      <c r="O123" s="53"/>
      <c r="P123" s="53"/>
      <c r="Q123" s="53"/>
      <c r="R123" s="53"/>
      <c r="S123" s="54">
        <f ca="1">IFERROR(__xludf.DUMMYFUNCTION("""COMPUTED_VALUE"""),1676)</f>
        <v>1676</v>
      </c>
      <c r="T123" s="53">
        <f ca="1">IFERROR(__xludf.DUMMYFUNCTION("""COMPUTED_VALUE"""),1671)</f>
        <v>1671</v>
      </c>
      <c r="U123" s="53"/>
      <c r="V123" s="54">
        <f ca="1">IFERROR(__xludf.DUMMYFUNCTION("""COMPUTED_VALUE"""),1664)</f>
        <v>1664</v>
      </c>
      <c r="W123" s="54"/>
      <c r="X123" s="54">
        <f ca="1">IFERROR(__xludf.DUMMYFUNCTION("""COMPUTED_VALUE"""),788)</f>
        <v>788</v>
      </c>
      <c r="Y123" s="54"/>
      <c r="Z123" s="2"/>
      <c r="AA123" s="2"/>
      <c r="AB123" s="2"/>
      <c r="AC123" s="2"/>
      <c r="AD123" s="2"/>
      <c r="AE123" s="2"/>
    </row>
    <row r="124" spans="1:31" ht="12.75" x14ac:dyDescent="0.2">
      <c r="A124" s="53">
        <f ca="1">IFERROR(__xludf.DUMMYFUNCTION("""COMPUTED_VALUE"""),2)</f>
        <v>2</v>
      </c>
      <c r="B124" s="53" t="str">
        <f ca="1">IFERROR(__xludf.DUMMYFUNCTION("""COMPUTED_VALUE"""),"THPT Võ Trường Toản")</f>
        <v>THPT Võ Trường Toản</v>
      </c>
      <c r="C124" s="53" t="str">
        <f ca="1">IFERROR(__xludf.DUMMYFUNCTION("""COMPUTED_VALUE"""),"THPT")</f>
        <v>THPT</v>
      </c>
      <c r="D124" s="53">
        <f ca="1">IFERROR(__xludf.DUMMYFUNCTION("""COMPUTED_VALUE"""),12)</f>
        <v>12</v>
      </c>
      <c r="E124" s="54">
        <f ca="1">IFERROR(__xludf.DUMMYFUNCTION("""COMPUTED_VALUE"""),114)</f>
        <v>114</v>
      </c>
      <c r="F124" s="54">
        <f ca="1">IFERROR(__xludf.DUMMYFUNCTION("""COMPUTED_VALUE"""),113)</f>
        <v>113</v>
      </c>
      <c r="G124" s="54"/>
      <c r="H124" s="54">
        <f ca="1">IFERROR(__xludf.DUMMYFUNCTION("""COMPUTED_VALUE"""),113)</f>
        <v>113</v>
      </c>
      <c r="I124" s="54"/>
      <c r="J124" s="54">
        <f ca="1">IFERROR(__xludf.DUMMYFUNCTION("""COMPUTED_VALUE"""),113)</f>
        <v>113</v>
      </c>
      <c r="K124" s="54"/>
      <c r="L124" s="54">
        <f ca="1">IFERROR(__xludf.DUMMYFUNCTION("""COMPUTED_VALUE"""),47)</f>
        <v>47</v>
      </c>
      <c r="M124" s="54"/>
      <c r="N124" s="53"/>
      <c r="O124" s="53"/>
      <c r="P124" s="53"/>
      <c r="Q124" s="53"/>
      <c r="R124" s="53"/>
      <c r="S124" s="54">
        <f ca="1">IFERROR(__xludf.DUMMYFUNCTION("""COMPUTED_VALUE"""),2106)</f>
        <v>2106</v>
      </c>
      <c r="T124" s="53">
        <f ca="1">IFERROR(__xludf.DUMMYFUNCTION("""COMPUTED_VALUE"""),2097)</f>
        <v>2097</v>
      </c>
      <c r="U124" s="53"/>
      <c r="V124" s="54">
        <f ca="1">IFERROR(__xludf.DUMMYFUNCTION("""COMPUTED_VALUE"""),2082)</f>
        <v>2082</v>
      </c>
      <c r="W124" s="54"/>
      <c r="X124" s="54">
        <f ca="1">IFERROR(__xludf.DUMMYFUNCTION("""COMPUTED_VALUE"""),894)</f>
        <v>894</v>
      </c>
      <c r="Y124" s="54"/>
      <c r="Z124" s="2"/>
      <c r="AA124" s="2"/>
      <c r="AB124" s="2"/>
      <c r="AC124" s="2"/>
      <c r="AD124" s="2"/>
      <c r="AE124" s="2"/>
    </row>
    <row r="125" spans="1:31" ht="12.75" x14ac:dyDescent="0.2">
      <c r="A125" s="53">
        <f ca="1">IFERROR(__xludf.DUMMYFUNCTION("""COMPUTED_VALUE"""),3)</f>
        <v>3</v>
      </c>
      <c r="B125" s="53" t="str">
        <f ca="1">IFERROR(__xludf.DUMMYFUNCTION("""COMPUTED_VALUE"""),"THPT Trường Chinh")</f>
        <v>THPT Trường Chinh</v>
      </c>
      <c r="C125" s="53" t="str">
        <f ca="1">IFERROR(__xludf.DUMMYFUNCTION("""COMPUTED_VALUE"""),"THPT")</f>
        <v>THPT</v>
      </c>
      <c r="D125" s="53">
        <f ca="1">IFERROR(__xludf.DUMMYFUNCTION("""COMPUTED_VALUE"""),12)</f>
        <v>12</v>
      </c>
      <c r="E125" s="54">
        <f ca="1">IFERROR(__xludf.DUMMYFUNCTION("""COMPUTED_VALUE"""),121)</f>
        <v>121</v>
      </c>
      <c r="F125" s="54">
        <f ca="1">IFERROR(__xludf.DUMMYFUNCTION("""COMPUTED_VALUE"""),121)</f>
        <v>121</v>
      </c>
      <c r="G125" s="54"/>
      <c r="H125" s="54">
        <f ca="1">IFERROR(__xludf.DUMMYFUNCTION("""COMPUTED_VALUE"""),120)</f>
        <v>120</v>
      </c>
      <c r="I125" s="54"/>
      <c r="J125" s="54">
        <f ca="1">IFERROR(__xludf.DUMMYFUNCTION("""COMPUTED_VALUE"""),115)</f>
        <v>115</v>
      </c>
      <c r="K125" s="54"/>
      <c r="L125" s="54">
        <f ca="1">IFERROR(__xludf.DUMMYFUNCTION("""COMPUTED_VALUE"""),77)</f>
        <v>77</v>
      </c>
      <c r="M125" s="54"/>
      <c r="N125" s="53"/>
      <c r="O125" s="53"/>
      <c r="P125" s="53"/>
      <c r="Q125" s="53"/>
      <c r="R125" s="53"/>
      <c r="S125" s="54">
        <f ca="1">IFERROR(__xludf.DUMMYFUNCTION("""COMPUTED_VALUE"""),2386)</f>
        <v>2386</v>
      </c>
      <c r="T125" s="53">
        <f ca="1">IFERROR(__xludf.DUMMYFUNCTION("""COMPUTED_VALUE"""),2374)</f>
        <v>2374</v>
      </c>
      <c r="U125" s="53"/>
      <c r="V125" s="54">
        <f ca="1">IFERROR(__xludf.DUMMYFUNCTION("""COMPUTED_VALUE"""),2366)</f>
        <v>2366</v>
      </c>
      <c r="W125" s="54"/>
      <c r="X125" s="54">
        <f ca="1">IFERROR(__xludf.DUMMYFUNCTION("""COMPUTED_VALUE"""),1409)</f>
        <v>1409</v>
      </c>
      <c r="Y125" s="54"/>
      <c r="Z125" s="2"/>
      <c r="AA125" s="2"/>
      <c r="AB125" s="2"/>
      <c r="AC125" s="2"/>
      <c r="AD125" s="2"/>
      <c r="AE125" s="2"/>
    </row>
    <row r="126" spans="1:31" ht="12.75" x14ac:dyDescent="0.2">
      <c r="A126" s="53">
        <f ca="1">IFERROR(__xludf.DUMMYFUNCTION("""COMPUTED_VALUE"""),4)</f>
        <v>4</v>
      </c>
      <c r="B126" s="53" t="str">
        <f ca="1">IFERROR(__xludf.DUMMYFUNCTION("""COMPUTED_VALUE"""),"THPT Việt Âu")</f>
        <v>THPT Việt Âu</v>
      </c>
      <c r="C126" s="53" t="str">
        <f ca="1">IFERROR(__xludf.DUMMYFUNCTION("""COMPUTED_VALUE"""),"THPT")</f>
        <v>THPT</v>
      </c>
      <c r="D126" s="53">
        <f ca="1">IFERROR(__xludf.DUMMYFUNCTION("""COMPUTED_VALUE"""),12)</f>
        <v>12</v>
      </c>
      <c r="E126" s="54">
        <f ca="1">IFERROR(__xludf.DUMMYFUNCTION("""COMPUTED_VALUE"""),138)</f>
        <v>138</v>
      </c>
      <c r="F126" s="54">
        <f ca="1">IFERROR(__xludf.DUMMYFUNCTION("""COMPUTED_VALUE"""),138)</f>
        <v>138</v>
      </c>
      <c r="G126" s="54"/>
      <c r="H126" s="54">
        <f ca="1">IFERROR(__xludf.DUMMYFUNCTION("""COMPUTED_VALUE"""),138)</f>
        <v>138</v>
      </c>
      <c r="I126" s="54"/>
      <c r="J126" s="54">
        <f ca="1">IFERROR(__xludf.DUMMYFUNCTION("""COMPUTED_VALUE"""),137)</f>
        <v>137</v>
      </c>
      <c r="K126" s="54"/>
      <c r="L126" s="54">
        <f ca="1">IFERROR(__xludf.DUMMYFUNCTION("""COMPUTED_VALUE"""),19)</f>
        <v>19</v>
      </c>
      <c r="M126" s="54"/>
      <c r="N126" s="53"/>
      <c r="O126" s="53"/>
      <c r="P126" s="53"/>
      <c r="Q126" s="53"/>
      <c r="R126" s="53"/>
      <c r="S126" s="53">
        <f ca="1">IFERROR(__xludf.DUMMYFUNCTION("""COMPUTED_VALUE"""),1044)</f>
        <v>1044</v>
      </c>
      <c r="T126" s="53">
        <f ca="1">IFERROR(__xludf.DUMMYFUNCTION("""COMPUTED_VALUE"""),1041)</f>
        <v>1041</v>
      </c>
      <c r="U126" s="53"/>
      <c r="V126" s="65">
        <f ca="1">IFERROR(__xludf.DUMMYFUNCTION("""COMPUTED_VALUE"""),1020)</f>
        <v>1020</v>
      </c>
      <c r="W126" s="65"/>
      <c r="X126" s="53">
        <f ca="1">IFERROR(__xludf.DUMMYFUNCTION("""COMPUTED_VALUE"""),119)</f>
        <v>119</v>
      </c>
      <c r="Y126" s="53"/>
      <c r="Z126" s="2"/>
      <c r="AA126" s="2"/>
      <c r="AB126" s="2"/>
      <c r="AC126" s="2"/>
      <c r="AD126" s="2"/>
      <c r="AE126" s="2"/>
    </row>
    <row r="127" spans="1:31" ht="12.75" x14ac:dyDescent="0.2">
      <c r="A127" s="53">
        <f ca="1">IFERROR(__xludf.DUMMYFUNCTION("""COMPUTED_VALUE"""),5)</f>
        <v>5</v>
      </c>
      <c r="B127" s="53" t="str">
        <f ca="1">IFERROR(__xludf.DUMMYFUNCTION("""COMPUTED_VALUE"""),"THPT Đông Dương")</f>
        <v>THPT Đông Dương</v>
      </c>
      <c r="C127" s="53" t="str">
        <f ca="1">IFERROR(__xludf.DUMMYFUNCTION("""COMPUTED_VALUE"""),"THPT")</f>
        <v>THPT</v>
      </c>
      <c r="D127" s="53">
        <f ca="1">IFERROR(__xludf.DUMMYFUNCTION("""COMPUTED_VALUE"""),12)</f>
        <v>12</v>
      </c>
      <c r="E127" s="54">
        <f ca="1">IFERROR(__xludf.DUMMYFUNCTION("""COMPUTED_VALUE"""),28)</f>
        <v>28</v>
      </c>
      <c r="F127" s="54">
        <f ca="1">IFERROR(__xludf.DUMMYFUNCTION("""COMPUTED_VALUE"""),28)</f>
        <v>28</v>
      </c>
      <c r="G127" s="54"/>
      <c r="H127" s="54">
        <f ca="1">IFERROR(__xludf.DUMMYFUNCTION("""COMPUTED_VALUE"""),28)</f>
        <v>28</v>
      </c>
      <c r="I127" s="54"/>
      <c r="J127" s="54">
        <f ca="1">IFERROR(__xludf.DUMMYFUNCTION("""COMPUTED_VALUE"""),2)</f>
        <v>2</v>
      </c>
      <c r="K127" s="54"/>
      <c r="L127" s="54">
        <f ca="1">IFERROR(__xludf.DUMMYFUNCTION("""COMPUTED_VALUE"""),0)</f>
        <v>0</v>
      </c>
      <c r="M127" s="54"/>
      <c r="N127" s="53"/>
      <c r="O127" s="53"/>
      <c r="P127" s="53"/>
      <c r="Q127" s="53"/>
      <c r="R127" s="53"/>
      <c r="S127" s="54">
        <f ca="1">IFERROR(__xludf.DUMMYFUNCTION("""COMPUTED_VALUE"""),189)</f>
        <v>189</v>
      </c>
      <c r="T127" s="53">
        <f ca="1">IFERROR(__xludf.DUMMYFUNCTION("""COMPUTED_VALUE"""),186)</f>
        <v>186</v>
      </c>
      <c r="U127" s="53"/>
      <c r="V127" s="54">
        <f ca="1">IFERROR(__xludf.DUMMYFUNCTION("""COMPUTED_VALUE"""),186)</f>
        <v>186</v>
      </c>
      <c r="W127" s="54"/>
      <c r="X127" s="54">
        <f ca="1">IFERROR(__xludf.DUMMYFUNCTION("""COMPUTED_VALUE"""),67)</f>
        <v>67</v>
      </c>
      <c r="Y127" s="54"/>
      <c r="Z127" s="2"/>
      <c r="AA127" s="2"/>
      <c r="AB127" s="2"/>
      <c r="AC127" s="2"/>
      <c r="AD127" s="2"/>
      <c r="AE127" s="2"/>
    </row>
    <row r="128" spans="1:31" ht="12.75" x14ac:dyDescent="0.2">
      <c r="A128" s="53">
        <f ca="1">IFERROR(__xludf.DUMMYFUNCTION("""COMPUTED_VALUE"""),6)</f>
        <v>6</v>
      </c>
      <c r="B128" s="53" t="str">
        <f ca="1">IFERROR(__xludf.DUMMYFUNCTION("""COMPUTED_VALUE"""),"THCS-THPT Mỹ Việt")</f>
        <v>THCS-THPT Mỹ Việt</v>
      </c>
      <c r="C128" s="53" t="str">
        <f ca="1">IFERROR(__xludf.DUMMYFUNCTION("""COMPUTED_VALUE"""),"THPT")</f>
        <v>THPT</v>
      </c>
      <c r="D128" s="53">
        <f ca="1">IFERROR(__xludf.DUMMYFUNCTION("""COMPUTED_VALUE"""),12)</f>
        <v>12</v>
      </c>
      <c r="E128" s="54">
        <f ca="1">IFERROR(__xludf.DUMMYFUNCTION("""COMPUTED_VALUE"""),62)</f>
        <v>62</v>
      </c>
      <c r="F128" s="54">
        <f ca="1">IFERROR(__xludf.DUMMYFUNCTION("""COMPUTED_VALUE"""),62)</f>
        <v>62</v>
      </c>
      <c r="G128" s="54"/>
      <c r="H128" s="54">
        <f ca="1">IFERROR(__xludf.DUMMYFUNCTION("""COMPUTED_VALUE"""),62)</f>
        <v>62</v>
      </c>
      <c r="I128" s="54"/>
      <c r="J128" s="54">
        <f ca="1">IFERROR(__xludf.DUMMYFUNCTION("""COMPUTED_VALUE"""),62)</f>
        <v>62</v>
      </c>
      <c r="K128" s="54"/>
      <c r="L128" s="54">
        <f ca="1">IFERROR(__xludf.DUMMYFUNCTION("""COMPUTED_VALUE"""),52)</f>
        <v>52</v>
      </c>
      <c r="M128" s="54"/>
      <c r="N128" s="54">
        <f ca="1">IFERROR(__xludf.DUMMYFUNCTION("""COMPUTED_VALUE"""),432)</f>
        <v>432</v>
      </c>
      <c r="O128" s="54">
        <f ca="1">IFERROR(__xludf.DUMMYFUNCTION("""COMPUTED_VALUE"""),15)</f>
        <v>15</v>
      </c>
      <c r="P128" s="54"/>
      <c r="Q128" s="54">
        <f ca="1">IFERROR(__xludf.DUMMYFUNCTION("""COMPUTED_VALUE"""),6)</f>
        <v>6</v>
      </c>
      <c r="R128" s="54"/>
      <c r="S128" s="54">
        <f ca="1">IFERROR(__xludf.DUMMYFUNCTION("""COMPUTED_VALUE"""),417)</f>
        <v>417</v>
      </c>
      <c r="T128" s="53">
        <f ca="1">IFERROR(__xludf.DUMMYFUNCTION("""COMPUTED_VALUE"""),417)</f>
        <v>417</v>
      </c>
      <c r="U128" s="53"/>
      <c r="V128" s="54">
        <f ca="1">IFERROR(__xludf.DUMMYFUNCTION("""COMPUTED_VALUE"""),417)</f>
        <v>417</v>
      </c>
      <c r="W128" s="54"/>
      <c r="X128" s="54">
        <f ca="1">IFERROR(__xludf.DUMMYFUNCTION("""COMPUTED_VALUE"""),67)</f>
        <v>67</v>
      </c>
      <c r="Y128" s="54"/>
      <c r="Z128" s="2"/>
      <c r="AA128" s="2"/>
      <c r="AB128" s="2"/>
      <c r="AC128" s="2"/>
      <c r="AD128" s="2"/>
      <c r="AE128" s="2"/>
    </row>
    <row r="129" spans="1:31" ht="12.75" x14ac:dyDescent="0.2">
      <c r="A129" s="53">
        <f ca="1">IFERROR(__xludf.DUMMYFUNCTION("""COMPUTED_VALUE"""),7)</f>
        <v>7</v>
      </c>
      <c r="B129" s="53" t="str">
        <f ca="1">IFERROR(__xludf.DUMMYFUNCTION("""COMPUTED_VALUE"""),"THCS-THPT Ngọc Viễn Đông")</f>
        <v>THCS-THPT Ngọc Viễn Đông</v>
      </c>
      <c r="C129" s="53" t="str">
        <f ca="1">IFERROR(__xludf.DUMMYFUNCTION("""COMPUTED_VALUE"""),"THPT")</f>
        <v>THPT</v>
      </c>
      <c r="D129" s="53">
        <f ca="1">IFERROR(__xludf.DUMMYFUNCTION("""COMPUTED_VALUE"""),12)</f>
        <v>12</v>
      </c>
      <c r="E129" s="54">
        <f ca="1">IFERROR(__xludf.DUMMYFUNCTION("""COMPUTED_VALUE"""),13)</f>
        <v>13</v>
      </c>
      <c r="F129" s="54">
        <f ca="1">IFERROR(__xludf.DUMMYFUNCTION("""COMPUTED_VALUE"""),13)</f>
        <v>13</v>
      </c>
      <c r="G129" s="54"/>
      <c r="H129" s="54">
        <f ca="1">IFERROR(__xludf.DUMMYFUNCTION("""COMPUTED_VALUE"""),13)</f>
        <v>13</v>
      </c>
      <c r="I129" s="54"/>
      <c r="J129" s="54">
        <f ca="1">IFERROR(__xludf.DUMMYFUNCTION("""COMPUTED_VALUE"""),12)</f>
        <v>12</v>
      </c>
      <c r="K129" s="54"/>
      <c r="L129" s="54">
        <f ca="1">IFERROR(__xludf.DUMMYFUNCTION("""COMPUTED_VALUE"""),0)</f>
        <v>0</v>
      </c>
      <c r="M129" s="54"/>
      <c r="N129" s="54">
        <f ca="1">IFERROR(__xludf.DUMMYFUNCTION("""COMPUTED_VALUE"""),8)</f>
        <v>8</v>
      </c>
      <c r="O129" s="54">
        <f ca="1">IFERROR(__xludf.DUMMYFUNCTION("""COMPUTED_VALUE"""),4)</f>
        <v>4</v>
      </c>
      <c r="P129" s="54"/>
      <c r="Q129" s="54">
        <f ca="1">IFERROR(__xludf.DUMMYFUNCTION("""COMPUTED_VALUE"""),4)</f>
        <v>4</v>
      </c>
      <c r="R129" s="54"/>
      <c r="S129" s="54">
        <f ca="1">IFERROR(__xludf.DUMMYFUNCTION("""COMPUTED_VALUE"""),203)</f>
        <v>203</v>
      </c>
      <c r="T129" s="53">
        <f ca="1">IFERROR(__xludf.DUMMYFUNCTION("""COMPUTED_VALUE"""),194)</f>
        <v>194</v>
      </c>
      <c r="U129" s="53"/>
      <c r="V129" s="54">
        <f ca="1">IFERROR(__xludf.DUMMYFUNCTION("""COMPUTED_VALUE"""),169)</f>
        <v>169</v>
      </c>
      <c r="W129" s="54"/>
      <c r="X129" s="54">
        <f ca="1">IFERROR(__xludf.DUMMYFUNCTION("""COMPUTED_VALUE"""),37)</f>
        <v>37</v>
      </c>
      <c r="Y129" s="54"/>
      <c r="Z129" s="2"/>
      <c r="AA129" s="2"/>
      <c r="AB129" s="2"/>
      <c r="AC129" s="2"/>
      <c r="AD129" s="2"/>
      <c r="AE129" s="2"/>
    </row>
    <row r="130" spans="1:31" ht="12.75" x14ac:dyDescent="0.2">
      <c r="A130" s="53">
        <f ca="1">IFERROR(__xludf.DUMMYFUNCTION("""COMPUTED_VALUE"""),8)</f>
        <v>8</v>
      </c>
      <c r="B130" s="53" t="str">
        <f ca="1">IFERROR(__xludf.DUMMYFUNCTION("""COMPUTED_VALUE"""),"THCS-THPT Tuệ Đức")</f>
        <v>THCS-THPT Tuệ Đức</v>
      </c>
      <c r="C130" s="53" t="str">
        <f ca="1">IFERROR(__xludf.DUMMYFUNCTION("""COMPUTED_VALUE"""),"THPT")</f>
        <v>THPT</v>
      </c>
      <c r="D130" s="53">
        <f ca="1">IFERROR(__xludf.DUMMYFUNCTION("""COMPUTED_VALUE"""),12)</f>
        <v>12</v>
      </c>
      <c r="E130" s="54">
        <f ca="1">IFERROR(__xludf.DUMMYFUNCTION("""COMPUTED_VALUE"""),65)</f>
        <v>65</v>
      </c>
      <c r="F130" s="54">
        <f ca="1">IFERROR(__xludf.DUMMYFUNCTION("""COMPUTED_VALUE"""),64)</f>
        <v>64</v>
      </c>
      <c r="G130" s="54"/>
      <c r="H130" s="54">
        <f ca="1">IFERROR(__xludf.DUMMYFUNCTION("""COMPUTED_VALUE"""),63)</f>
        <v>63</v>
      </c>
      <c r="I130" s="54"/>
      <c r="J130" s="54">
        <f ca="1">IFERROR(__xludf.DUMMYFUNCTION("""COMPUTED_VALUE"""),55)</f>
        <v>55</v>
      </c>
      <c r="K130" s="54"/>
      <c r="L130" s="54">
        <f ca="1">IFERROR(__xludf.DUMMYFUNCTION("""COMPUTED_VALUE"""),5)</f>
        <v>5</v>
      </c>
      <c r="M130" s="54"/>
      <c r="N130" s="53"/>
      <c r="O130" s="53"/>
      <c r="P130" s="53"/>
      <c r="Q130" s="53"/>
      <c r="R130" s="53"/>
      <c r="S130" s="53">
        <f ca="1">IFERROR(__xludf.DUMMYFUNCTION("""COMPUTED_VALUE"""),450)</f>
        <v>450</v>
      </c>
      <c r="T130" s="53">
        <f ca="1">IFERROR(__xludf.DUMMYFUNCTION("""COMPUTED_VALUE"""),280)</f>
        <v>280</v>
      </c>
      <c r="U130" s="53"/>
      <c r="V130" s="65">
        <f ca="1">IFERROR(__xludf.DUMMYFUNCTION("""COMPUTED_VALUE"""),266)</f>
        <v>266</v>
      </c>
      <c r="W130" s="65"/>
      <c r="X130" s="53">
        <f ca="1">IFERROR(__xludf.DUMMYFUNCTION("""COMPUTED_VALUE"""),44)</f>
        <v>44</v>
      </c>
      <c r="Y130" s="53"/>
      <c r="Z130" s="2"/>
      <c r="AA130" s="2"/>
      <c r="AB130" s="2"/>
      <c r="AC130" s="2"/>
      <c r="AD130" s="2"/>
      <c r="AE130" s="2"/>
    </row>
    <row r="131" spans="1:31" ht="12.75" x14ac:dyDescent="0.2">
      <c r="A131" s="53">
        <f ca="1">IFERROR(__xludf.DUMMYFUNCTION("""COMPUTED_VALUE"""),9)</f>
        <v>9</v>
      </c>
      <c r="B131" s="53" t="str">
        <f ca="1">IFERROR(__xludf.DUMMYFUNCTION("""COMPUTED_VALUE"""),"THCS -THPT Nam Việt")</f>
        <v>THCS -THPT Nam Việt</v>
      </c>
      <c r="C131" s="53" t="str">
        <f ca="1">IFERROR(__xludf.DUMMYFUNCTION("""COMPUTED_VALUE"""),"THPT")</f>
        <v>THPT</v>
      </c>
      <c r="D131" s="53">
        <f ca="1">IFERROR(__xludf.DUMMYFUNCTION("""COMPUTED_VALUE"""),12)</f>
        <v>12</v>
      </c>
      <c r="E131" s="54">
        <f ca="1">IFERROR(__xludf.DUMMYFUNCTION("""COMPUTED_VALUE"""),165)</f>
        <v>165</v>
      </c>
      <c r="F131" s="54">
        <f ca="1">IFERROR(__xludf.DUMMYFUNCTION("""COMPUTED_VALUE"""),165)</f>
        <v>165</v>
      </c>
      <c r="G131" s="54"/>
      <c r="H131" s="54">
        <f ca="1">IFERROR(__xludf.DUMMYFUNCTION("""COMPUTED_VALUE"""),165)</f>
        <v>165</v>
      </c>
      <c r="I131" s="54"/>
      <c r="J131" s="54">
        <f ca="1">IFERROR(__xludf.DUMMYFUNCTION("""COMPUTED_VALUE"""),165)</f>
        <v>165</v>
      </c>
      <c r="K131" s="54"/>
      <c r="L131" s="54">
        <f ca="1">IFERROR(__xludf.DUMMYFUNCTION("""COMPUTED_VALUE"""),28)</f>
        <v>28</v>
      </c>
      <c r="M131" s="54"/>
      <c r="N131" s="54">
        <f ca="1">IFERROR(__xludf.DUMMYFUNCTION("""COMPUTED_VALUE"""),0)</f>
        <v>0</v>
      </c>
      <c r="O131" s="54">
        <f ca="1">IFERROR(__xludf.DUMMYFUNCTION("""COMPUTED_VALUE"""),0)</f>
        <v>0</v>
      </c>
      <c r="P131" s="54"/>
      <c r="Q131" s="54">
        <f ca="1">IFERROR(__xludf.DUMMYFUNCTION("""COMPUTED_VALUE"""),0)</f>
        <v>0</v>
      </c>
      <c r="R131" s="54"/>
      <c r="S131" s="53">
        <f ca="1">IFERROR(__xludf.DUMMYFUNCTION("""COMPUTED_VALUE"""),774)</f>
        <v>774</v>
      </c>
      <c r="T131" s="53">
        <f ca="1">IFERROR(__xludf.DUMMYFUNCTION("""COMPUTED_VALUE"""),774)</f>
        <v>774</v>
      </c>
      <c r="U131" s="53"/>
      <c r="V131" s="65">
        <f ca="1">IFERROR(__xludf.DUMMYFUNCTION("""COMPUTED_VALUE"""),774)</f>
        <v>774</v>
      </c>
      <c r="W131" s="65"/>
      <c r="X131" s="53">
        <f ca="1">IFERROR(__xludf.DUMMYFUNCTION("""COMPUTED_VALUE"""),316)</f>
        <v>316</v>
      </c>
      <c r="Y131" s="53"/>
      <c r="Z131" s="2"/>
      <c r="AA131" s="2"/>
      <c r="AB131" s="2"/>
      <c r="AC131" s="2"/>
      <c r="AD131" s="2"/>
      <c r="AE131" s="2"/>
    </row>
    <row r="132" spans="1:31" ht="12.75" x14ac:dyDescent="0.2">
      <c r="A132" s="53">
        <f ca="1">IFERROR(__xludf.DUMMYFUNCTION("""COMPUTED_VALUE"""),10)</f>
        <v>10</v>
      </c>
      <c r="B132" s="53" t="str">
        <f ca="1">IFERROR(__xludf.DUMMYFUNCTION("""COMPUTED_VALUE"""),"THCS-THPT Lạc Hồng")</f>
        <v>THCS-THPT Lạc Hồng</v>
      </c>
      <c r="C132" s="53" t="str">
        <f ca="1">IFERROR(__xludf.DUMMYFUNCTION("""COMPUTED_VALUE"""),"THPT")</f>
        <v>THPT</v>
      </c>
      <c r="D132" s="53">
        <f ca="1">IFERROR(__xludf.DUMMYFUNCTION("""COMPUTED_VALUE"""),12)</f>
        <v>12</v>
      </c>
      <c r="E132" s="54">
        <f ca="1">IFERROR(__xludf.DUMMYFUNCTION("""COMPUTED_VALUE"""),152)</f>
        <v>152</v>
      </c>
      <c r="F132" s="54">
        <f ca="1">IFERROR(__xludf.DUMMYFUNCTION("""COMPUTED_VALUE"""),152)</f>
        <v>152</v>
      </c>
      <c r="G132" s="54"/>
      <c r="H132" s="54">
        <f ca="1">IFERROR(__xludf.DUMMYFUNCTION("""COMPUTED_VALUE"""),152)</f>
        <v>152</v>
      </c>
      <c r="I132" s="54"/>
      <c r="J132" s="54">
        <f ca="1">IFERROR(__xludf.DUMMYFUNCTION("""COMPUTED_VALUE"""),121)</f>
        <v>121</v>
      </c>
      <c r="K132" s="54"/>
      <c r="L132" s="54">
        <f ca="1">IFERROR(__xludf.DUMMYFUNCTION("""COMPUTED_VALUE"""),4)</f>
        <v>4</v>
      </c>
      <c r="M132" s="54"/>
      <c r="N132" s="53"/>
      <c r="O132" s="53"/>
      <c r="P132" s="53"/>
      <c r="Q132" s="53"/>
      <c r="R132" s="53"/>
      <c r="S132" s="53">
        <f ca="1">IFERROR(__xludf.DUMMYFUNCTION("""COMPUTED_VALUE"""),1993)</f>
        <v>1993</v>
      </c>
      <c r="T132" s="53">
        <f ca="1">IFERROR(__xludf.DUMMYFUNCTION("""COMPUTED_VALUE"""),1993)</f>
        <v>1993</v>
      </c>
      <c r="U132" s="53"/>
      <c r="V132" s="65">
        <f ca="1">IFERROR(__xludf.DUMMYFUNCTION("""COMPUTED_VALUE"""),1993)</f>
        <v>1993</v>
      </c>
      <c r="W132" s="65"/>
      <c r="X132" s="53">
        <f ca="1">IFERROR(__xludf.DUMMYFUNCTION("""COMPUTED_VALUE"""),178)</f>
        <v>178</v>
      </c>
      <c r="Y132" s="53"/>
      <c r="Z132" s="2"/>
      <c r="AA132" s="2"/>
      <c r="AB132" s="2"/>
      <c r="AC132" s="2"/>
      <c r="AD132" s="2"/>
      <c r="AE132" s="2"/>
    </row>
    <row r="133" spans="1:31" ht="12.75" x14ac:dyDescent="0.2">
      <c r="A133" s="53">
        <f ca="1">IFERROR(__xludf.DUMMYFUNCTION("""COMPUTED_VALUE"""),11)</f>
        <v>11</v>
      </c>
      <c r="B133" s="53" t="str">
        <f ca="1">IFERROR(__xludf.DUMMYFUNCTION("""COMPUTED_VALUE"""),"Trường THCS-THPT Bắc Sơn")</f>
        <v>Trường THCS-THPT Bắc Sơn</v>
      </c>
      <c r="C133" s="53" t="str">
        <f ca="1">IFERROR(__xludf.DUMMYFUNCTION("""COMPUTED_VALUE"""),"THPT")</f>
        <v>THPT</v>
      </c>
      <c r="D133" s="53">
        <f ca="1">IFERROR(__xludf.DUMMYFUNCTION("""COMPUTED_VALUE"""),12)</f>
        <v>12</v>
      </c>
      <c r="E133" s="54">
        <f ca="1">IFERROR(__xludf.DUMMYFUNCTION("""COMPUTED_VALUE"""),48)</f>
        <v>48</v>
      </c>
      <c r="F133" s="54">
        <f ca="1">IFERROR(__xludf.DUMMYFUNCTION("""COMPUTED_VALUE"""),48)</f>
        <v>48</v>
      </c>
      <c r="G133" s="54"/>
      <c r="H133" s="54">
        <f ca="1">IFERROR(__xludf.DUMMYFUNCTION("""COMPUTED_VALUE"""),48)</f>
        <v>48</v>
      </c>
      <c r="I133" s="54"/>
      <c r="J133" s="54">
        <f ca="1">IFERROR(__xludf.DUMMYFUNCTION("""COMPUTED_VALUE"""),48)</f>
        <v>48</v>
      </c>
      <c r="K133" s="54"/>
      <c r="L133" s="54">
        <f ca="1">IFERROR(__xludf.DUMMYFUNCTION("""COMPUTED_VALUE"""),30)</f>
        <v>30</v>
      </c>
      <c r="M133" s="54"/>
      <c r="N133" s="54">
        <f ca="1">IFERROR(__xludf.DUMMYFUNCTION("""COMPUTED_VALUE"""),2)</f>
        <v>2</v>
      </c>
      <c r="O133" s="54">
        <f ca="1">IFERROR(__xludf.DUMMYFUNCTION("""COMPUTED_VALUE"""),2)</f>
        <v>2</v>
      </c>
      <c r="P133" s="54"/>
      <c r="Q133" s="54">
        <f ca="1">IFERROR(__xludf.DUMMYFUNCTION("""COMPUTED_VALUE"""),2)</f>
        <v>2</v>
      </c>
      <c r="R133" s="54"/>
      <c r="S133" s="54">
        <f ca="1">IFERROR(__xludf.DUMMYFUNCTION("""COMPUTED_VALUE"""),191)</f>
        <v>191</v>
      </c>
      <c r="T133" s="53">
        <f ca="1">IFERROR(__xludf.DUMMYFUNCTION("""COMPUTED_VALUE"""),191)</f>
        <v>191</v>
      </c>
      <c r="U133" s="53"/>
      <c r="V133" s="54">
        <f ca="1">IFERROR(__xludf.DUMMYFUNCTION("""COMPUTED_VALUE"""),191)</f>
        <v>191</v>
      </c>
      <c r="W133" s="54"/>
      <c r="X133" s="54">
        <f ca="1">IFERROR(__xludf.DUMMYFUNCTION("""COMPUTED_VALUE"""),80)</f>
        <v>80</v>
      </c>
      <c r="Y133" s="54"/>
      <c r="Z133" s="2"/>
      <c r="AA133" s="2"/>
      <c r="AB133" s="2"/>
      <c r="AC133" s="2"/>
      <c r="AD133" s="2"/>
      <c r="AE133" s="2"/>
    </row>
    <row r="134" spans="1:31" ht="12.75" x14ac:dyDescent="0.2">
      <c r="A134" s="53">
        <f ca="1">IFERROR(__xludf.DUMMYFUNCTION("""COMPUTED_VALUE"""),12)</f>
        <v>12</v>
      </c>
      <c r="B134" s="53" t="str">
        <f ca="1">IFERROR(__xludf.DUMMYFUNCTION("""COMPUTED_VALUE"""),"THCS-THPT Phùng Hưng")</f>
        <v>THCS-THPT Phùng Hưng</v>
      </c>
      <c r="C134" s="53" t="str">
        <f ca="1">IFERROR(__xludf.DUMMYFUNCTION("""COMPUTED_VALUE"""),"THPT")</f>
        <v>THPT</v>
      </c>
      <c r="D134" s="53">
        <f ca="1">IFERROR(__xludf.DUMMYFUNCTION("""COMPUTED_VALUE"""),12)</f>
        <v>12</v>
      </c>
      <c r="E134" s="54">
        <f ca="1">IFERROR(__xludf.DUMMYFUNCTION("""COMPUTED_VALUE"""),35)</f>
        <v>35</v>
      </c>
      <c r="F134" s="54">
        <f ca="1">IFERROR(__xludf.DUMMYFUNCTION("""COMPUTED_VALUE"""),35)</f>
        <v>35</v>
      </c>
      <c r="G134" s="54"/>
      <c r="H134" s="54">
        <f ca="1">IFERROR(__xludf.DUMMYFUNCTION("""COMPUTED_VALUE"""),35)</f>
        <v>35</v>
      </c>
      <c r="I134" s="54"/>
      <c r="J134" s="54">
        <f ca="1">IFERROR(__xludf.DUMMYFUNCTION("""COMPUTED_VALUE"""),35)</f>
        <v>35</v>
      </c>
      <c r="K134" s="54"/>
      <c r="L134" s="54">
        <f ca="1">IFERROR(__xludf.DUMMYFUNCTION("""COMPUTED_VALUE"""),30)</f>
        <v>30</v>
      </c>
      <c r="M134" s="54"/>
      <c r="N134" s="53"/>
      <c r="O134" s="53"/>
      <c r="P134" s="53"/>
      <c r="Q134" s="53"/>
      <c r="R134" s="53"/>
      <c r="S134" s="54">
        <f ca="1">IFERROR(__xludf.DUMMYFUNCTION("""COMPUTED_VALUE"""),231)</f>
        <v>231</v>
      </c>
      <c r="T134" s="53">
        <f ca="1">IFERROR(__xludf.DUMMYFUNCTION("""COMPUTED_VALUE"""),231)</f>
        <v>231</v>
      </c>
      <c r="U134" s="53"/>
      <c r="V134" s="54">
        <f ca="1">IFERROR(__xludf.DUMMYFUNCTION("""COMPUTED_VALUE"""),231)</f>
        <v>231</v>
      </c>
      <c r="W134" s="54"/>
      <c r="X134" s="54">
        <f ca="1">IFERROR(__xludf.DUMMYFUNCTION("""COMPUTED_VALUE"""),200)</f>
        <v>200</v>
      </c>
      <c r="Y134" s="54"/>
      <c r="Z134" s="2"/>
      <c r="AA134" s="2"/>
      <c r="AB134" s="2"/>
      <c r="AC134" s="2"/>
      <c r="AD134" s="2"/>
      <c r="AE134" s="2"/>
    </row>
    <row r="135" spans="1:31" ht="12.75" x14ac:dyDescent="0.2">
      <c r="A135" s="53">
        <f ca="1">IFERROR(__xludf.DUMMYFUNCTION("""COMPUTED_VALUE"""),13)</f>
        <v>13</v>
      </c>
      <c r="B135" s="53" t="str">
        <f ca="1">IFERROR(__xludf.DUMMYFUNCTION("""COMPUTED_VALUE"""),"THCS-THPT Hàn Việt")</f>
        <v>THCS-THPT Hàn Việt</v>
      </c>
      <c r="C135" s="53" t="str">
        <f ca="1">IFERROR(__xludf.DUMMYFUNCTION("""COMPUTED_VALUE"""),"THPT")</f>
        <v>THPT</v>
      </c>
      <c r="D135" s="53">
        <f ca="1">IFERROR(__xludf.DUMMYFUNCTION("""COMPUTED_VALUE"""),12)</f>
        <v>12</v>
      </c>
      <c r="E135" s="54">
        <f ca="1">IFERROR(__xludf.DUMMYFUNCTION("""COMPUTED_VALUE"""),0)</f>
        <v>0</v>
      </c>
      <c r="F135" s="54">
        <f ca="1">IFERROR(__xludf.DUMMYFUNCTION("""COMPUTED_VALUE"""),0)</f>
        <v>0</v>
      </c>
      <c r="G135" s="54"/>
      <c r="H135" s="54">
        <f ca="1">IFERROR(__xludf.DUMMYFUNCTION("""COMPUTED_VALUE"""),0)</f>
        <v>0</v>
      </c>
      <c r="I135" s="54"/>
      <c r="J135" s="54">
        <f ca="1">IFERROR(__xludf.DUMMYFUNCTION("""COMPUTED_VALUE"""),0)</f>
        <v>0</v>
      </c>
      <c r="K135" s="54"/>
      <c r="L135" s="54">
        <f ca="1">IFERROR(__xludf.DUMMYFUNCTION("""COMPUTED_VALUE"""),0)</f>
        <v>0</v>
      </c>
      <c r="M135" s="54"/>
      <c r="N135" s="54">
        <f ca="1">IFERROR(__xludf.DUMMYFUNCTION("""COMPUTED_VALUE"""),0)</f>
        <v>0</v>
      </c>
      <c r="O135" s="54">
        <f ca="1">IFERROR(__xludf.DUMMYFUNCTION("""COMPUTED_VALUE"""),0)</f>
        <v>0</v>
      </c>
      <c r="P135" s="54"/>
      <c r="Q135" s="54">
        <f ca="1">IFERROR(__xludf.DUMMYFUNCTION("""COMPUTED_VALUE"""),0)</f>
        <v>0</v>
      </c>
      <c r="R135" s="54"/>
      <c r="S135" s="54">
        <f ca="1">IFERROR(__xludf.DUMMYFUNCTION("""COMPUTED_VALUE"""),0)</f>
        <v>0</v>
      </c>
      <c r="T135" s="54">
        <f ca="1">IFERROR(__xludf.DUMMYFUNCTION("""COMPUTED_VALUE"""),0)</f>
        <v>0</v>
      </c>
      <c r="U135" s="54"/>
      <c r="V135" s="54">
        <f ca="1">IFERROR(__xludf.DUMMYFUNCTION("""COMPUTED_VALUE"""),0)</f>
        <v>0</v>
      </c>
      <c r="W135" s="54"/>
      <c r="X135" s="54">
        <f ca="1">IFERROR(__xludf.DUMMYFUNCTION("""COMPUTED_VALUE"""),0)</f>
        <v>0</v>
      </c>
      <c r="Y135" s="54"/>
      <c r="Z135" s="2"/>
      <c r="AA135" s="2"/>
      <c r="AB135" s="2"/>
      <c r="AC135" s="2"/>
      <c r="AD135" s="2"/>
      <c r="AE135" s="2"/>
    </row>
    <row r="136" spans="1:31" ht="12.75" x14ac:dyDescent="0.2">
      <c r="A136" s="53">
        <f ca="1">IFERROR(__xludf.DUMMYFUNCTION("""COMPUTED_VALUE"""),14)</f>
        <v>14</v>
      </c>
      <c r="B136" s="53" t="str">
        <f ca="1">IFERROR(__xludf.DUMMYFUNCTION("""COMPUTED_VALUE"""),"THCS-THPT Hoa Lư")</f>
        <v>THCS-THPT Hoa Lư</v>
      </c>
      <c r="C136" s="53" t="str">
        <f ca="1">IFERROR(__xludf.DUMMYFUNCTION("""COMPUTED_VALUE"""),"THPT")</f>
        <v>THPT</v>
      </c>
      <c r="D136" s="53">
        <f ca="1">IFERROR(__xludf.DUMMYFUNCTION("""COMPUTED_VALUE"""),12)</f>
        <v>12</v>
      </c>
      <c r="E136" s="54">
        <f ca="1">IFERROR(__xludf.DUMMYFUNCTION("""COMPUTED_VALUE"""),32)</f>
        <v>32</v>
      </c>
      <c r="F136" s="54">
        <f ca="1">IFERROR(__xludf.DUMMYFUNCTION("""COMPUTED_VALUE"""),32)</f>
        <v>32</v>
      </c>
      <c r="G136" s="54"/>
      <c r="H136" s="54">
        <f ca="1">IFERROR(__xludf.DUMMYFUNCTION("""COMPUTED_VALUE"""),32)</f>
        <v>32</v>
      </c>
      <c r="I136" s="54"/>
      <c r="J136" s="54">
        <f ca="1">IFERROR(__xludf.DUMMYFUNCTION("""COMPUTED_VALUE"""),32)</f>
        <v>32</v>
      </c>
      <c r="K136" s="54"/>
      <c r="L136" s="54">
        <f ca="1">IFERROR(__xludf.DUMMYFUNCTION("""COMPUTED_VALUE"""),6)</f>
        <v>6</v>
      </c>
      <c r="M136" s="54"/>
      <c r="N136" s="54">
        <f ca="1">IFERROR(__xludf.DUMMYFUNCTION("""COMPUTED_VALUE"""),8)</f>
        <v>8</v>
      </c>
      <c r="O136" s="54">
        <f ca="1">IFERROR(__xludf.DUMMYFUNCTION("""COMPUTED_VALUE"""),8)</f>
        <v>8</v>
      </c>
      <c r="P136" s="54"/>
      <c r="Q136" s="54">
        <f ca="1">IFERROR(__xludf.DUMMYFUNCTION("""COMPUTED_VALUE"""),8)</f>
        <v>8</v>
      </c>
      <c r="R136" s="54"/>
      <c r="S136" s="54">
        <f ca="1">IFERROR(__xludf.DUMMYFUNCTION("""COMPUTED_VALUE"""),392)</f>
        <v>392</v>
      </c>
      <c r="T136" s="53">
        <f ca="1">IFERROR(__xludf.DUMMYFUNCTION("""COMPUTED_VALUE"""),392)</f>
        <v>392</v>
      </c>
      <c r="U136" s="53"/>
      <c r="V136" s="54">
        <f ca="1">IFERROR(__xludf.DUMMYFUNCTION("""COMPUTED_VALUE"""),392)</f>
        <v>392</v>
      </c>
      <c r="W136" s="54"/>
      <c r="X136" s="54">
        <f ca="1">IFERROR(__xludf.DUMMYFUNCTION("""COMPUTED_VALUE"""),102)</f>
        <v>102</v>
      </c>
      <c r="Y136" s="54"/>
      <c r="Z136" s="2"/>
      <c r="AA136" s="2"/>
      <c r="AB136" s="2"/>
      <c r="AC136" s="2"/>
      <c r="AD136" s="2"/>
      <c r="AE136" s="2"/>
    </row>
    <row r="137" spans="1:31" ht="12.75" x14ac:dyDescent="0.2">
      <c r="A137" s="53">
        <f ca="1">IFERROR(__xludf.DUMMYFUNCTION("""COMPUTED_VALUE"""),15)</f>
        <v>15</v>
      </c>
      <c r="B137" s="53" t="str">
        <f ca="1">IFERROR(__xludf.DUMMYFUNCTION("""COMPUTED_VALUE"""),"THCS-THPT Trần Cao Vân")</f>
        <v>THCS-THPT Trần Cao Vân</v>
      </c>
      <c r="C137" s="53" t="str">
        <f ca="1">IFERROR(__xludf.DUMMYFUNCTION("""COMPUTED_VALUE"""),"THPT")</f>
        <v>THPT</v>
      </c>
      <c r="D137" s="53">
        <f ca="1">IFERROR(__xludf.DUMMYFUNCTION("""COMPUTED_VALUE"""),12)</f>
        <v>12</v>
      </c>
      <c r="E137" s="54">
        <f ca="1">IFERROR(__xludf.DUMMYFUNCTION("""COMPUTED_VALUE"""),22)</f>
        <v>22</v>
      </c>
      <c r="F137" s="54">
        <f ca="1">IFERROR(__xludf.DUMMYFUNCTION("""COMPUTED_VALUE"""),22)</f>
        <v>22</v>
      </c>
      <c r="G137" s="54"/>
      <c r="H137" s="54">
        <f ca="1">IFERROR(__xludf.DUMMYFUNCTION("""COMPUTED_VALUE"""),22)</f>
        <v>22</v>
      </c>
      <c r="I137" s="54"/>
      <c r="J137" s="54">
        <f ca="1">IFERROR(__xludf.DUMMYFUNCTION("""COMPUTED_VALUE"""),21)</f>
        <v>21</v>
      </c>
      <c r="K137" s="54"/>
      <c r="L137" s="54">
        <f ca="1">IFERROR(__xludf.DUMMYFUNCTION("""COMPUTED_VALUE"""),1)</f>
        <v>1</v>
      </c>
      <c r="M137" s="54"/>
      <c r="N137" s="54">
        <f ca="1">IFERROR(__xludf.DUMMYFUNCTION("""COMPUTED_VALUE"""),16)</f>
        <v>16</v>
      </c>
      <c r="O137" s="54">
        <f ca="1">IFERROR(__xludf.DUMMYFUNCTION("""COMPUTED_VALUE"""),15)</f>
        <v>15</v>
      </c>
      <c r="P137" s="54"/>
      <c r="Q137" s="54">
        <f ca="1">IFERROR(__xludf.DUMMYFUNCTION("""COMPUTED_VALUE"""),14)</f>
        <v>14</v>
      </c>
      <c r="R137" s="54"/>
      <c r="S137" s="53">
        <f ca="1">IFERROR(__xludf.DUMMYFUNCTION("""COMPUTED_VALUE"""),467)</f>
        <v>467</v>
      </c>
      <c r="T137" s="53">
        <f ca="1">IFERROR(__xludf.DUMMYFUNCTION("""COMPUTED_VALUE"""),465)</f>
        <v>465</v>
      </c>
      <c r="U137" s="53"/>
      <c r="V137" s="65">
        <f ca="1">IFERROR(__xludf.DUMMYFUNCTION("""COMPUTED_VALUE"""),445)</f>
        <v>445</v>
      </c>
      <c r="W137" s="65"/>
      <c r="X137" s="53">
        <f ca="1">IFERROR(__xludf.DUMMYFUNCTION("""COMPUTED_VALUE"""),273)</f>
        <v>273</v>
      </c>
      <c r="Y137" s="53"/>
      <c r="Z137" s="2"/>
      <c r="AA137" s="2"/>
      <c r="AB137" s="2"/>
      <c r="AC137" s="2"/>
      <c r="AD137" s="2"/>
      <c r="AE137" s="2"/>
    </row>
    <row r="138" spans="1:31" ht="12.75" x14ac:dyDescent="0.2">
      <c r="A138" s="53">
        <f ca="1">IFERROR(__xludf.DUMMYFUNCTION("""COMPUTED_VALUE"""),16)</f>
        <v>16</v>
      </c>
      <c r="B138" s="53" t="str">
        <f ca="1">IFERROR(__xludf.DUMMYFUNCTION("""COMPUTED_VALUE"""),"TH-THCS-THPT Tre Việt")</f>
        <v>TH-THCS-THPT Tre Việt</v>
      </c>
      <c r="C138" s="53" t="str">
        <f ca="1">IFERROR(__xludf.DUMMYFUNCTION("""COMPUTED_VALUE"""),"THPT")</f>
        <v>THPT</v>
      </c>
      <c r="D138" s="53">
        <f ca="1">IFERROR(__xludf.DUMMYFUNCTION("""COMPUTED_VALUE"""),12)</f>
        <v>12</v>
      </c>
      <c r="E138" s="54">
        <f ca="1">IFERROR(__xludf.DUMMYFUNCTION("""COMPUTED_VALUE"""),10)</f>
        <v>10</v>
      </c>
      <c r="F138" s="54">
        <f ca="1">IFERROR(__xludf.DUMMYFUNCTION("""COMPUTED_VALUE"""),10)</f>
        <v>10</v>
      </c>
      <c r="G138" s="54"/>
      <c r="H138" s="54">
        <f ca="1">IFERROR(__xludf.DUMMYFUNCTION("""COMPUTED_VALUE"""),10)</f>
        <v>10</v>
      </c>
      <c r="I138" s="54"/>
      <c r="J138" s="54">
        <f ca="1">IFERROR(__xludf.DUMMYFUNCTION("""COMPUTED_VALUE"""),8)</f>
        <v>8</v>
      </c>
      <c r="K138" s="54"/>
      <c r="L138" s="54">
        <f ca="1">IFERROR(__xludf.DUMMYFUNCTION("""COMPUTED_VALUE"""),0)</f>
        <v>0</v>
      </c>
      <c r="M138" s="54"/>
      <c r="N138" s="54">
        <f ca="1">IFERROR(__xludf.DUMMYFUNCTION("""COMPUTED_VALUE"""),0)</f>
        <v>0</v>
      </c>
      <c r="O138" s="54">
        <f ca="1">IFERROR(__xludf.DUMMYFUNCTION("""COMPUTED_VALUE"""),0)</f>
        <v>0</v>
      </c>
      <c r="P138" s="54"/>
      <c r="Q138" s="54">
        <f ca="1">IFERROR(__xludf.DUMMYFUNCTION("""COMPUTED_VALUE"""),0)</f>
        <v>0</v>
      </c>
      <c r="R138" s="54"/>
      <c r="S138" s="54">
        <f ca="1">IFERROR(__xludf.DUMMYFUNCTION("""COMPUTED_VALUE"""),289)</f>
        <v>289</v>
      </c>
      <c r="T138" s="54">
        <f ca="1">IFERROR(__xludf.DUMMYFUNCTION("""COMPUTED_VALUE"""),289)</f>
        <v>289</v>
      </c>
      <c r="U138" s="54"/>
      <c r="V138" s="54">
        <f ca="1">IFERROR(__xludf.DUMMYFUNCTION("""COMPUTED_VALUE"""),289)</f>
        <v>289</v>
      </c>
      <c r="W138" s="54"/>
      <c r="X138" s="54">
        <f ca="1">IFERROR(__xludf.DUMMYFUNCTION("""COMPUTED_VALUE"""),98)</f>
        <v>98</v>
      </c>
      <c r="Y138" s="54"/>
      <c r="Z138" s="2"/>
      <c r="AA138" s="2"/>
      <c r="AB138" s="2"/>
      <c r="AC138" s="2"/>
      <c r="AD138" s="2"/>
      <c r="AE138" s="2"/>
    </row>
    <row r="139" spans="1:31" ht="12.75" x14ac:dyDescent="0.2">
      <c r="A139" s="55" t="str">
        <f ca="1">IFERROR(__xludf.DUMMYFUNCTION("""COMPUTED_VALUE"""),"Chuyên biệt (Nếu có)")</f>
        <v>Chuyên biệt (Nếu có)</v>
      </c>
      <c r="B139" s="53"/>
      <c r="C139" s="53"/>
      <c r="D139" s="53"/>
      <c r="E139" s="53"/>
      <c r="F139" s="53"/>
      <c r="G139" s="53"/>
      <c r="H139" s="53"/>
      <c r="I139" s="53"/>
      <c r="J139" s="53"/>
      <c r="K139" s="53"/>
      <c r="L139" s="53"/>
      <c r="M139" s="53"/>
      <c r="N139" s="53"/>
      <c r="O139" s="53"/>
      <c r="P139" s="53"/>
      <c r="Q139" s="53"/>
      <c r="R139" s="53"/>
      <c r="S139" s="53"/>
      <c r="T139" s="53"/>
      <c r="U139" s="53"/>
      <c r="V139" s="53"/>
      <c r="W139" s="53"/>
      <c r="X139" s="53"/>
      <c r="Y139" s="53"/>
      <c r="Z139" s="2"/>
      <c r="AA139" s="2"/>
      <c r="AB139" s="2"/>
      <c r="AC139" s="2"/>
      <c r="AD139" s="2"/>
      <c r="AE139" s="2"/>
    </row>
    <row r="140" spans="1:31" ht="12.75" x14ac:dyDescent="0.2">
      <c r="A140" s="53">
        <f ca="1">IFERROR(__xludf.DUMMYFUNCTION("""COMPUTED_VALUE"""),1)</f>
        <v>1</v>
      </c>
      <c r="B140" s="53" t="str">
        <f ca="1">IFERROR(__xludf.DUMMYFUNCTION("""COMPUTED_VALUE"""),"CB Ánh Dương")</f>
        <v>CB Ánh Dương</v>
      </c>
      <c r="C140" s="53"/>
      <c r="D140" s="53">
        <f ca="1">IFERROR(__xludf.DUMMYFUNCTION("""COMPUTED_VALUE"""),12)</f>
        <v>12</v>
      </c>
      <c r="E140" s="54">
        <f ca="1">IFERROR(__xludf.DUMMYFUNCTION("""COMPUTED_VALUE"""),36)</f>
        <v>36</v>
      </c>
      <c r="F140" s="54">
        <f ca="1">IFERROR(__xludf.DUMMYFUNCTION("""COMPUTED_VALUE"""),36)</f>
        <v>36</v>
      </c>
      <c r="G140" s="54"/>
      <c r="H140" s="54">
        <f ca="1">IFERROR(__xludf.DUMMYFUNCTION("""COMPUTED_VALUE"""),36)</f>
        <v>36</v>
      </c>
      <c r="I140" s="54"/>
      <c r="J140" s="54">
        <f ca="1">IFERROR(__xludf.DUMMYFUNCTION("""COMPUTED_VALUE"""),36)</f>
        <v>36</v>
      </c>
      <c r="K140" s="54"/>
      <c r="L140" s="54">
        <f ca="1">IFERROR(__xludf.DUMMYFUNCTION("""COMPUTED_VALUE"""),27)</f>
        <v>27</v>
      </c>
      <c r="M140" s="54"/>
      <c r="N140" s="54">
        <f ca="1">IFERROR(__xludf.DUMMYFUNCTION("""COMPUTED_VALUE"""),171)</f>
        <v>171</v>
      </c>
      <c r="O140" s="54">
        <f ca="1">IFERROR(__xludf.DUMMYFUNCTION("""COMPUTED_VALUE"""),81)</f>
        <v>81</v>
      </c>
      <c r="P140" s="54"/>
      <c r="Q140" s="54">
        <f ca="1">IFERROR(__xludf.DUMMYFUNCTION("""COMPUTED_VALUE"""),48)</f>
        <v>48</v>
      </c>
      <c r="R140" s="54"/>
      <c r="S140" s="54">
        <f ca="1">IFERROR(__xludf.DUMMYFUNCTION("""COMPUTED_VALUE"""),74)</f>
        <v>74</v>
      </c>
      <c r="T140" s="54">
        <f ca="1">IFERROR(__xludf.DUMMYFUNCTION("""COMPUTED_VALUE"""),66)</f>
        <v>66</v>
      </c>
      <c r="U140" s="54"/>
      <c r="V140" s="54">
        <f ca="1">IFERROR(__xludf.DUMMYFUNCTION("""COMPUTED_VALUE"""),53)</f>
        <v>53</v>
      </c>
      <c r="W140" s="54"/>
      <c r="X140" s="54">
        <f ca="1">IFERROR(__xludf.DUMMYFUNCTION("""COMPUTED_VALUE"""),24)</f>
        <v>24</v>
      </c>
      <c r="Y140" s="54"/>
      <c r="Z140" s="2"/>
      <c r="AA140" s="2"/>
      <c r="AB140" s="2"/>
      <c r="AC140" s="2"/>
      <c r="AD140" s="2"/>
      <c r="AE140" s="2"/>
    </row>
    <row r="141" spans="1:31" ht="12.75" x14ac:dyDescent="0.2">
      <c r="A141" s="52" t="str">
        <f ca="1">IFERROR(__xludf.DUMMYFUNCTION("""COMPUTED_VALUE"""),"GDTX")</f>
        <v>GDTX</v>
      </c>
      <c r="B141" s="53"/>
      <c r="C141" s="53"/>
      <c r="D141" s="53"/>
      <c r="E141" s="53"/>
      <c r="F141" s="53"/>
      <c r="G141" s="53"/>
      <c r="H141" s="53"/>
      <c r="I141" s="53"/>
      <c r="J141" s="53"/>
      <c r="K141" s="53"/>
      <c r="L141" s="53"/>
      <c r="M141" s="53"/>
      <c r="N141" s="53"/>
      <c r="O141" s="53"/>
      <c r="P141" s="53"/>
      <c r="Q141" s="53"/>
      <c r="R141" s="53"/>
      <c r="S141" s="53"/>
      <c r="T141" s="53"/>
      <c r="U141" s="53"/>
      <c r="V141" s="53"/>
      <c r="W141" s="53"/>
      <c r="X141" s="53"/>
      <c r="Y141" s="53"/>
      <c r="Z141" s="2"/>
      <c r="AA141" s="2"/>
      <c r="AB141" s="2"/>
      <c r="AC141" s="2"/>
      <c r="AD141" s="2"/>
      <c r="AE141" s="2"/>
    </row>
    <row r="142" spans="1:31" ht="12.75" x14ac:dyDescent="0.2">
      <c r="A142" s="53">
        <f ca="1">IFERROR(__xludf.DUMMYFUNCTION("""COMPUTED_VALUE"""),1)</f>
        <v>1</v>
      </c>
      <c r="B142" s="53" t="str">
        <f ca="1">IFERROR(__xludf.DUMMYFUNCTION("""COMPUTED_VALUE"""),"Trung tâm GDNN - GDTX Quận 12")</f>
        <v>Trung tâm GDNN - GDTX Quận 12</v>
      </c>
      <c r="C142" s="53"/>
      <c r="D142" s="53">
        <f ca="1">IFERROR(__xludf.DUMMYFUNCTION("""COMPUTED_VALUE"""),12)</f>
        <v>12</v>
      </c>
      <c r="E142" s="54">
        <f ca="1">IFERROR(__xludf.DUMMYFUNCTION("""COMPUTED_VALUE"""),71)</f>
        <v>71</v>
      </c>
      <c r="F142" s="54">
        <f ca="1">IFERROR(__xludf.DUMMYFUNCTION("""COMPUTED_VALUE"""),71)</f>
        <v>71</v>
      </c>
      <c r="G142" s="54"/>
      <c r="H142" s="54">
        <f ca="1">IFERROR(__xludf.DUMMYFUNCTION("""COMPUTED_VALUE"""),71)</f>
        <v>71</v>
      </c>
      <c r="I142" s="54"/>
      <c r="J142" s="54">
        <f ca="1">IFERROR(__xludf.DUMMYFUNCTION("""COMPUTED_VALUE"""),71)</f>
        <v>71</v>
      </c>
      <c r="K142" s="54"/>
      <c r="L142" s="54">
        <f ca="1">IFERROR(__xludf.DUMMYFUNCTION("""COMPUTED_VALUE"""),64)</f>
        <v>64</v>
      </c>
      <c r="M142" s="54"/>
      <c r="N142" s="53"/>
      <c r="O142" s="53"/>
      <c r="P142" s="53"/>
      <c r="Q142" s="53"/>
      <c r="R142" s="53"/>
      <c r="S142" s="54">
        <f ca="1">IFERROR(__xludf.DUMMYFUNCTION("""COMPUTED_VALUE"""),1853)</f>
        <v>1853</v>
      </c>
      <c r="T142" s="53">
        <f ca="1">IFERROR(__xludf.DUMMYFUNCTION("""COMPUTED_VALUE"""),1853)</f>
        <v>1853</v>
      </c>
      <c r="U142" s="53"/>
      <c r="V142" s="54">
        <f ca="1">IFERROR(__xludf.DUMMYFUNCTION("""COMPUTED_VALUE"""),1852)</f>
        <v>1852</v>
      </c>
      <c r="W142" s="54"/>
      <c r="X142" s="54">
        <f ca="1">IFERROR(__xludf.DUMMYFUNCTION("""COMPUTED_VALUE"""),1291)</f>
        <v>1291</v>
      </c>
      <c r="Y142" s="54"/>
      <c r="Z142" s="2"/>
      <c r="AA142" s="2"/>
      <c r="AB142" s="2"/>
      <c r="AC142" s="2"/>
      <c r="AD142" s="2"/>
      <c r="AE142" s="2"/>
    </row>
    <row r="143" spans="1:31" ht="12.75" x14ac:dyDescent="0.2">
      <c r="A143" s="53">
        <f ca="1">IFERROR(__xludf.DUMMYFUNCTION("""COMPUTED_VALUE"""),2)</f>
        <v>2</v>
      </c>
      <c r="B143" s="53" t="str">
        <f ca="1">IFERROR(__xludf.DUMMYFUNCTION("""COMPUTED_VALUE"""),"Trường Trung cấp Bách Khoa")</f>
        <v>Trường Trung cấp Bách Khoa</v>
      </c>
      <c r="C143" s="53"/>
      <c r="D143" s="53">
        <f ca="1">IFERROR(__xludf.DUMMYFUNCTION("""COMPUTED_VALUE"""),12)</f>
        <v>12</v>
      </c>
      <c r="E143" s="54">
        <f ca="1">IFERROR(__xludf.DUMMYFUNCTION("""COMPUTED_VALUE"""),23)</f>
        <v>23</v>
      </c>
      <c r="F143" s="54">
        <f ca="1">IFERROR(__xludf.DUMMYFUNCTION("""COMPUTED_VALUE"""),23)</f>
        <v>23</v>
      </c>
      <c r="G143" s="54"/>
      <c r="H143" s="54">
        <f ca="1">IFERROR(__xludf.DUMMYFUNCTION("""COMPUTED_VALUE"""),23)</f>
        <v>23</v>
      </c>
      <c r="I143" s="54"/>
      <c r="J143" s="54">
        <f ca="1">IFERROR(__xludf.DUMMYFUNCTION("""COMPUTED_VALUE"""),23)</f>
        <v>23</v>
      </c>
      <c r="K143" s="54"/>
      <c r="L143" s="54">
        <f ca="1">IFERROR(__xludf.DUMMYFUNCTION("""COMPUTED_VALUE"""),9)</f>
        <v>9</v>
      </c>
      <c r="M143" s="54"/>
      <c r="N143" s="53"/>
      <c r="O143" s="53"/>
      <c r="P143" s="53"/>
      <c r="Q143" s="53"/>
      <c r="R143" s="53"/>
      <c r="S143" s="54">
        <f ca="1">IFERROR(__xludf.DUMMYFUNCTION("""COMPUTED_VALUE"""),83)</f>
        <v>83</v>
      </c>
      <c r="T143" s="53">
        <f ca="1">IFERROR(__xludf.DUMMYFUNCTION("""COMPUTED_VALUE"""),83)</f>
        <v>83</v>
      </c>
      <c r="U143" s="53"/>
      <c r="V143" s="54">
        <f ca="1">IFERROR(__xludf.DUMMYFUNCTION("""COMPUTED_VALUE"""),83)</f>
        <v>83</v>
      </c>
      <c r="W143" s="54"/>
      <c r="X143" s="54">
        <f ca="1">IFERROR(__xludf.DUMMYFUNCTION("""COMPUTED_VALUE"""),29)</f>
        <v>29</v>
      </c>
      <c r="Y143" s="54"/>
      <c r="Z143" s="2"/>
      <c r="AA143" s="2"/>
      <c r="AB143" s="2"/>
      <c r="AC143" s="2"/>
      <c r="AD143" s="2"/>
      <c r="AE143" s="2"/>
    </row>
    <row r="144" spans="1:31" ht="12.75" x14ac:dyDescent="0.2">
      <c r="A144" s="53">
        <f ca="1">IFERROR(__xludf.DUMMYFUNCTION("""COMPUTED_VALUE"""),3)</f>
        <v>3</v>
      </c>
      <c r="B144" s="53" t="str">
        <f ca="1">IFERROR(__xludf.DUMMYFUNCTION("""COMPUTED_VALUE"""),"Trường Cao đẳng FPT Polytechnic")</f>
        <v>Trường Cao đẳng FPT Polytechnic</v>
      </c>
      <c r="C144" s="53"/>
      <c r="D144" s="53">
        <f ca="1">IFERROR(__xludf.DUMMYFUNCTION("""COMPUTED_VALUE"""),12)</f>
        <v>12</v>
      </c>
      <c r="E144" s="54">
        <f ca="1">IFERROR(__xludf.DUMMYFUNCTION("""COMPUTED_VALUE"""),53)</f>
        <v>53</v>
      </c>
      <c r="F144" s="54">
        <f ca="1">IFERROR(__xludf.DUMMYFUNCTION("""COMPUTED_VALUE"""),53)</f>
        <v>53</v>
      </c>
      <c r="G144" s="54"/>
      <c r="H144" s="54">
        <f ca="1">IFERROR(__xludf.DUMMYFUNCTION("""COMPUTED_VALUE"""),53)</f>
        <v>53</v>
      </c>
      <c r="I144" s="54"/>
      <c r="J144" s="54">
        <f ca="1">IFERROR(__xludf.DUMMYFUNCTION("""COMPUTED_VALUE"""),53)</f>
        <v>53</v>
      </c>
      <c r="K144" s="54"/>
      <c r="L144" s="54">
        <f ca="1">IFERROR(__xludf.DUMMYFUNCTION("""COMPUTED_VALUE"""),10)</f>
        <v>10</v>
      </c>
      <c r="M144" s="54"/>
      <c r="N144" s="53"/>
      <c r="O144" s="53"/>
      <c r="P144" s="53"/>
      <c r="Q144" s="53"/>
      <c r="R144" s="53"/>
      <c r="S144" s="53">
        <f ca="1">IFERROR(__xludf.DUMMYFUNCTION("""COMPUTED_VALUE"""),1301)</f>
        <v>1301</v>
      </c>
      <c r="T144" s="53">
        <f ca="1">IFERROR(__xludf.DUMMYFUNCTION("""COMPUTED_VALUE"""),1290)</f>
        <v>1290</v>
      </c>
      <c r="U144" s="53"/>
      <c r="V144" s="53">
        <f ca="1">IFERROR(__xludf.DUMMYFUNCTION("""COMPUTED_VALUE"""),1005)</f>
        <v>1005</v>
      </c>
      <c r="W144" s="53"/>
      <c r="X144" s="53">
        <f ca="1">IFERROR(__xludf.DUMMYFUNCTION("""COMPUTED_VALUE"""),467)</f>
        <v>467</v>
      </c>
      <c r="Y144" s="53"/>
      <c r="Z144" s="2"/>
      <c r="AA144" s="2"/>
      <c r="AB144" s="2"/>
      <c r="AC144" s="2"/>
      <c r="AD144" s="2"/>
      <c r="AE144" s="2"/>
    </row>
    <row r="145" spans="1:31" ht="12.75" x14ac:dyDescent="0.2">
      <c r="A145" s="53">
        <f ca="1">IFERROR(__xludf.DUMMYFUNCTION("""COMPUTED_VALUE"""),4)</f>
        <v>4</v>
      </c>
      <c r="B145" s="53" t="str">
        <f ca="1">IFERROR(__xludf.DUMMYFUNCTION("""COMPUTED_VALUE"""),"Trường Trung cấp KT-KT Quận 12")</f>
        <v>Trường Trung cấp KT-KT Quận 12</v>
      </c>
      <c r="C145" s="53"/>
      <c r="D145" s="53">
        <f ca="1">IFERROR(__xludf.DUMMYFUNCTION("""COMPUTED_VALUE"""),12)</f>
        <v>12</v>
      </c>
      <c r="E145" s="54">
        <f ca="1">IFERROR(__xludf.DUMMYFUNCTION("""COMPUTED_VALUE"""),118)</f>
        <v>118</v>
      </c>
      <c r="F145" s="54">
        <f ca="1">IFERROR(__xludf.DUMMYFUNCTION("""COMPUTED_VALUE"""),118)</f>
        <v>118</v>
      </c>
      <c r="G145" s="54"/>
      <c r="H145" s="54">
        <f ca="1">IFERROR(__xludf.DUMMYFUNCTION("""COMPUTED_VALUE"""),118)</f>
        <v>118</v>
      </c>
      <c r="I145" s="54"/>
      <c r="J145" s="54">
        <f ca="1">IFERROR(__xludf.DUMMYFUNCTION("""COMPUTED_VALUE"""),114)</f>
        <v>114</v>
      </c>
      <c r="K145" s="54"/>
      <c r="L145" s="54">
        <f ca="1">IFERROR(__xludf.DUMMYFUNCTION("""COMPUTED_VALUE"""),51)</f>
        <v>51</v>
      </c>
      <c r="M145" s="54"/>
      <c r="N145" s="53"/>
      <c r="O145" s="53"/>
      <c r="P145" s="53"/>
      <c r="Q145" s="53"/>
      <c r="R145" s="53"/>
      <c r="S145" s="53">
        <f ca="1">IFERROR(__xludf.DUMMYFUNCTION("""COMPUTED_VALUE"""),1388)</f>
        <v>1388</v>
      </c>
      <c r="T145" s="53">
        <f ca="1">IFERROR(__xludf.DUMMYFUNCTION("""COMPUTED_VALUE"""),1388)</f>
        <v>1388</v>
      </c>
      <c r="U145" s="53"/>
      <c r="V145" s="53">
        <f ca="1">IFERROR(__xludf.DUMMYFUNCTION("""COMPUTED_VALUE"""),1377)</f>
        <v>1377</v>
      </c>
      <c r="W145" s="53"/>
      <c r="X145" s="53">
        <f ca="1">IFERROR(__xludf.DUMMYFUNCTION("""COMPUTED_VALUE"""),845)</f>
        <v>845</v>
      </c>
      <c r="Y145" s="53"/>
      <c r="Z145" s="2"/>
      <c r="AA145" s="2"/>
      <c r="AB145" s="2"/>
      <c r="AC145" s="2"/>
      <c r="AD145" s="2"/>
      <c r="AE145" s="2"/>
    </row>
    <row r="146" spans="1:31" ht="12.75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2.75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2.75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2.75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2.75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2.75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2.75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2.75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2.75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2.75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2.75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2.75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2.75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2.75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2.75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2.75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2.75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2.75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2.75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2.75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2.75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2.75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2.75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2.75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2.75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2.75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2.75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2.75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2.75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2.75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2.75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2.75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2.75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2.75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2.75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2.75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2.75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2.75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2.75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2.75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2.75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2.75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2.75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2.75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2.75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2.75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2.75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2.75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2.75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2.75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2.75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2.75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2.75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2.75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2.75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2.75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2.75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2.75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2.75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2.75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2.75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2.75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2.75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2.75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2.75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2.75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2.75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2.75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2.75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2.75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2.75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2.75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2.75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2.75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2.75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2.75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2.75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2.75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2.75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2.75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2.75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2.75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2.75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2.75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2.75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2.75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2.75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2.75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2.75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2.75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2.75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2.75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2.75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2.75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2.75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2.75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2.75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2.75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2.75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2.75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2.75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2.75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2.75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2.75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2.75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2.75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2.75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2.75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2.75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2.75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2.75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2.75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2.75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2.75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2.75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2.75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2.75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2.75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2.75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2.75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2.75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2.75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2.75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2.75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2.75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2.75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2.75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2.75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2.75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2.75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2.75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2.75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2.75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2.75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2.75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2.75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2.75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2.75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2.75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2.75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2.75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2.75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2.75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2.75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2.75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2.75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2.75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2.75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2.75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2.75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2.75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2.75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2.75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2.75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2.75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2.75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2.75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2.75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2.75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2.75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2.75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2.75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2.75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2.75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2.75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2.75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2.75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2.75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2.75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2.75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2.75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2.75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2.75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2.75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2.75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2.75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2.75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2.75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2.75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2.75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2.75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2.75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2.75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2.75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2.75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2.75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2.75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2.75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2.75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2.75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2.75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2.75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2.75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2.75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2.75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2.75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2.75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2.75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2.75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2.75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2.75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2.75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2.75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2.75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2.75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2.75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2.75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2.75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2.75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2.75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2.75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2.75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2.75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2.75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2.75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2.75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2.75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2.75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2.75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2.75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2.75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2.75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2.75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2.75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2.75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2.75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2.75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2.75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2.75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2.75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2.75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2.75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2.75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2.75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2.75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2.75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2.75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2.75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2.75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2.75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2.75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2.75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2.75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2.75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2.75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2.75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2.75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2.75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2.75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2.75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2.75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2.75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2.75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2.75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2.75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2.75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2.75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2.75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2.75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2.75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2.75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2.75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2.75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2.75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2.75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2.75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2.75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2.75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2.75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2.75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2.75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2.75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2.75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2.75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2.75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2.75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2.75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2.75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2.75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2.75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2.75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2.75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2.75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2.75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2.75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2.75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2.75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2.75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2.75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2.75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2.75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2.75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2.75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2.75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2.75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2.75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2.75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2.75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2.75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2.75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2.75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2.75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2.75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2.75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2.75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2.75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2.75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2.75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2.75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2.75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2.75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2.75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2.75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2.75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2.75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2.75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2.75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2.75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2.75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2.75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2.75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2.75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2.75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2.75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2.75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2.75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2.75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2.75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2.75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2.75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2.75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2.75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2.75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2.75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2.75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2.75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2.75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2.75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2.75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2.75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2.75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2.75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2.75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2.75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2.75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2.75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2.75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2.75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2.75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2.75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2.75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2.75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2.75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2.75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2.75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2.75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2.75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2.75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2.75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2.75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2.75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2.75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2.75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2.75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2.75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2.75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2.75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2.75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2.75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2.75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2.75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2.75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2.75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2.75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2.75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2.75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2.75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2.75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2.75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2.75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2.75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2.75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2.75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2.75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2.75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2.75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2.75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2.75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2.75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2.75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2.75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2.75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2.75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2.75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2.75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2.75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2.75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2.75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2.75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2.75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2.75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2.75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2.75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2.75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2.75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2.75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2.75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2.75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2.75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2.75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2.75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2.75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2.75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2.75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2.75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2.75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2.75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2.75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2.75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2.75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2.75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2.75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2.75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2.75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2.75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2.75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2.75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2.75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2.75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2.75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2.75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2.75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2.75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2.75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2.75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2.75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2.75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2.75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2.75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2.75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2.75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2.75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2.75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2.75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2.75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2.75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2.75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2.75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2.75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2.75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2.75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2.75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2.75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2.75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2.75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2.75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2.75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2.75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2.75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2.75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2.75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2.75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2.75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2.75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2.75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2.75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2.75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2.75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2.75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2.75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2.75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2.75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2.75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2.75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2.75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2.75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2.75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2.75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2.75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2.75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2.75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2.75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2.75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2.75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2.75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2.75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2.75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2.75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2.75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2.75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2.75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2.75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2.75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2.75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2.75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2.75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2.75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2.75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2.75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2.75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2.75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2.75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2.75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2.75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2.75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2.75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2.75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2.75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2.75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2.75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2.75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2.75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2.75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2.75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2.75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2.75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2.75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2.75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2.75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2.75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2.75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2.75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2.75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2.75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2.75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2.75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2.75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2.75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2.75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2.75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2.75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2.75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2.75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2.75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2.75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2.75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2.75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2.75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2.75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2.75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2.75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2.75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2.75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2.75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2.75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2.75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2.75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2.75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2.75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2.75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2.75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2.75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2.75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2.75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2.75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2.75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2.75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2.75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2.75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2.75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2.75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2.75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2.75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2.75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2.75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2.75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2.75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2.75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2.75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2.75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2.75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2.75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2.75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2.75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2.75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2.75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2.75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2.75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2.75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2.75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2.75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2.75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2.75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2.75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2.75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2.75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2.75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2.75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2.75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2.75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2.75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2.75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2.75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2.75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2.75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2.75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2.75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2.75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2.75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2.75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2.75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2.75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2.75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2.75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2.75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2.75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2.75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2.75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2.75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2.75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2.75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2.75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2.75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2.75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2.75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2.75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2.75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2.75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2.75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2.75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2.75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2.75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2.75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2.75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2.75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2.75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2.75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2.75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2.75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2.75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2.75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2.75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2.75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2.75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2.75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2.75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2.75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2.75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2.75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2.75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2.75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2.75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2.75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2.75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2.75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2.75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2.75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2.75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2.75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2.75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2.75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2.75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2.75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2.75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2.75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2.75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2.75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2.75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2.75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2.75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2.75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2.75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2.75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2.75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2.75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2.75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2.75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2.75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2.75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2.75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2.75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2.75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2.75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2.75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2.75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2.75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2.75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2.75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2.75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2.75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2.75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2.75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2.75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2.75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2.75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2.75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2.75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2.75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2.75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2.75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2.75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2.75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2.75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2.75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2.75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2.75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2.75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2.75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2.75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2.75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2.75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2.75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2.75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2.75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2.75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2.75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2.75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2.75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2.75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2.75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2.75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2.75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2.75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2.75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2.75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2.75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2.75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2.75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2.75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2.75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2.75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2.75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2.75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2.75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2.75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2.75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2.75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2.75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2.75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2.75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2.75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2.75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2.75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2.75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2.75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2.75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2.75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2.75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2.75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2.75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2.75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2.75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2.75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2.75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2.75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2.75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2.75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2.75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2.75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2.75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2.75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2.75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2.75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2.75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2.75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2.75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2.75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2.75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2.75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2.75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2.75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2.75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2.75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2.75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2.75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2.75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2.75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2.75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2.75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2.75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2.75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2.75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2.75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2.75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2.75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2.75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2.75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2.75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2.75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2.75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2.75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2.75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2.75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2.75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2.75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2.75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2.75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2.75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2.75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2.75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2.75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2.75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2.75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2.75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2.75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2.75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2.75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2.75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2.75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2.75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2.75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2.75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2.75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2.75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2.75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2.75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2.75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2.75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2.75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2.75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2.75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2.75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2.75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2.75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2.75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2.75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2.75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2.75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2.75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2.75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2.75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2.75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2.75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2.75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2.75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2.75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2.75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2.75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2.75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2.75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2.75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2.75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2.75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2.75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2.75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2.75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2.75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2.75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2.75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2.75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2.75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2.75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2.75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2.75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2.75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2.75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2.75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2.75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2.75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2.75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2.75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2.75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 ht="12.75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 ht="12.75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  <row r="1000" spans="1:31" ht="12.75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</row>
  </sheetData>
  <mergeCells count="16">
    <mergeCell ref="N3:R3"/>
    <mergeCell ref="S3:Y3"/>
    <mergeCell ref="F4:G4"/>
    <mergeCell ref="H4:I4"/>
    <mergeCell ref="J4:K4"/>
    <mergeCell ref="L4:M4"/>
    <mergeCell ref="O4:P4"/>
    <mergeCell ref="Q4:R4"/>
    <mergeCell ref="T4:U4"/>
    <mergeCell ref="V4:W4"/>
    <mergeCell ref="X4:Y4"/>
    <mergeCell ref="A3:A4"/>
    <mergeCell ref="B3:B4"/>
    <mergeCell ref="C3:C4"/>
    <mergeCell ref="D3:D4"/>
    <mergeCell ref="E3:M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E1000"/>
  <sheetViews>
    <sheetView zoomScale="85" zoomScaleNormal="85" workbookViewId="0">
      <selection activeCell="B21" sqref="B21"/>
    </sheetView>
  </sheetViews>
  <sheetFormatPr defaultColWidth="12.5703125" defaultRowHeight="15.75" customHeight="1" x14ac:dyDescent="0.2"/>
  <cols>
    <col min="1" max="1" width="12.5703125" style="3"/>
    <col min="2" max="2" width="35.85546875" style="3" customWidth="1"/>
    <col min="3" max="4" width="12.5703125" style="3"/>
    <col min="5" max="5" width="10.42578125" style="3" customWidth="1"/>
    <col min="6" max="13" width="8.85546875" style="3" customWidth="1"/>
    <col min="14" max="14" width="10.42578125" style="3" customWidth="1"/>
    <col min="15" max="18" width="8.85546875" style="3" customWidth="1"/>
    <col min="19" max="19" width="10.42578125" style="3" customWidth="1"/>
    <col min="20" max="25" width="8.85546875" style="3" customWidth="1"/>
    <col min="26" max="16384" width="12.5703125" style="3"/>
  </cols>
  <sheetData>
    <row r="1" spans="1:31" ht="26.25" customHeight="1" x14ac:dyDescent="0.2">
      <c r="A1" s="49" t="s">
        <v>10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ht="35.25" customHeight="1" x14ac:dyDescent="0.2">
      <c r="A2" s="4" t="s">
        <v>26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</row>
    <row r="3" spans="1:31" ht="30.75" customHeight="1" x14ac:dyDescent="0.2">
      <c r="A3" s="89" t="str">
        <f ca="1">IFERROR(__xludf.DUMMYFUNCTION("IMPORTRANGE(""https://docs.google.com/spreadsheets/d/1giFCfPZvq6d2WPbrXwJ7ksTcnSjmuNbU5G4IRrh5hOk/edit#gid=0"",""TP!A14:T500"")"),"STT")</f>
        <v>STT</v>
      </c>
      <c r="B3" s="89" t="str">
        <f ca="1">IFERROR(__xludf.DUMMYFUNCTION("""COMPUTED_VALUE"""),"TRƯỜNG")</f>
        <v>TRƯỜNG</v>
      </c>
      <c r="C3" s="89" t="str">
        <f ca="1">IFERROR(__xludf.DUMMYFUNCTION("""COMPUTED_VALUE"""),"BẬC HỌC (MN, TH, THCS, THPT, CB, GDTX)")</f>
        <v>BẬC HỌC (MN, TH, THCS, THPT, CB, GDTX)</v>
      </c>
      <c r="D3" s="89" t="str">
        <f ca="1">IFERROR(__xludf.DUMMYFUNCTION("""COMPUTED_VALUE""")," ")</f>
        <v xml:space="preserve"> </v>
      </c>
      <c r="E3" s="91" t="str">
        <f ca="1">IFERROR(__xludf.DUMMYFUNCTION("""COMPUTED_VALUE"""),"Cán bộ - Giáo viên - Nhân viên")</f>
        <v>Cán bộ - Giáo viên - Nhân viên</v>
      </c>
      <c r="F3" s="92"/>
      <c r="G3" s="92"/>
      <c r="H3" s="92"/>
      <c r="I3" s="92"/>
      <c r="J3" s="92"/>
      <c r="K3" s="92"/>
      <c r="L3" s="92"/>
      <c r="M3" s="92"/>
      <c r="N3" s="93" t="str">
        <f ca="1">IFERROR(__xludf.DUMMYFUNCTION("""COMPUTED_VALUE"""),"Học sinh từ 5 đến dưới 12 tuổi")</f>
        <v>Học sinh từ 5 đến dưới 12 tuổi</v>
      </c>
      <c r="O3" s="92"/>
      <c r="P3" s="92"/>
      <c r="Q3" s="92"/>
      <c r="R3" s="92"/>
      <c r="S3" s="94" t="str">
        <f ca="1">IFERROR(__xludf.DUMMYFUNCTION("""COMPUTED_VALUE"""),"Học sinh từ 12 đến dưới 18 tuổi")</f>
        <v>Học sinh từ 12 đến dưới 18 tuổi</v>
      </c>
      <c r="T3" s="95"/>
      <c r="U3" s="95"/>
      <c r="V3" s="95"/>
      <c r="W3" s="95"/>
      <c r="X3" s="95"/>
      <c r="Y3" s="95"/>
      <c r="Z3" s="2"/>
      <c r="AA3" s="2"/>
      <c r="AB3" s="2"/>
      <c r="AC3" s="2"/>
      <c r="AD3" s="2"/>
      <c r="AE3" s="2"/>
    </row>
    <row r="4" spans="1:31" ht="27" customHeight="1" x14ac:dyDescent="0.2">
      <c r="A4" s="90"/>
      <c r="B4" s="90"/>
      <c r="C4" s="90"/>
      <c r="D4" s="90"/>
      <c r="E4" s="7" t="str">
        <f ca="1">IFERROR(__xludf.DUMMYFUNCTION("""COMPUTED_VALUE"""),"Tổng CB-GV-NV")</f>
        <v>Tổng CB-GV-NV</v>
      </c>
      <c r="F4" s="96" t="s">
        <v>22</v>
      </c>
      <c r="G4" s="97"/>
      <c r="H4" s="96" t="s">
        <v>23</v>
      </c>
      <c r="I4" s="97"/>
      <c r="J4" s="96" t="s">
        <v>24</v>
      </c>
      <c r="K4" s="97"/>
      <c r="L4" s="96" t="s">
        <v>25</v>
      </c>
      <c r="M4" s="97"/>
      <c r="N4" s="7" t="str">
        <f ca="1">IFERROR(__xludf.DUMMYFUNCTION("""COMPUTED_VALUE"""),"Tổng học sinh")</f>
        <v>Tổng học sinh</v>
      </c>
      <c r="O4" s="96" t="s">
        <v>22</v>
      </c>
      <c r="P4" s="97"/>
      <c r="Q4" s="96" t="s">
        <v>23</v>
      </c>
      <c r="R4" s="97"/>
      <c r="S4" s="8" t="str">
        <f ca="1">IFERROR(__xludf.DUMMYFUNCTION("""COMPUTED_VALUE"""),"Tổng học sinh")</f>
        <v>Tổng học sinh</v>
      </c>
      <c r="T4" s="98" t="s">
        <v>22</v>
      </c>
      <c r="U4" s="99"/>
      <c r="V4" s="98" t="s">
        <v>23</v>
      </c>
      <c r="W4" s="99"/>
      <c r="X4" s="98" t="s">
        <v>24</v>
      </c>
      <c r="Y4" s="99"/>
      <c r="Z4" s="2"/>
      <c r="AA4" s="2"/>
      <c r="AB4" s="2"/>
      <c r="AC4" s="2"/>
      <c r="AD4" s="2"/>
      <c r="AE4" s="2"/>
    </row>
    <row r="5" spans="1:31" ht="12.75" x14ac:dyDescent="0.2">
      <c r="A5" s="50" t="str">
        <f ca="1">IFERROR(__xludf.DUMMYFUNCTION("""COMPUTED_VALUE"""),"TỔNG TOÀN QUẬN/HUYỆN/TP")</f>
        <v>TỔNG TOÀN QUẬN/HUYỆN/TP</v>
      </c>
      <c r="B5" s="20"/>
      <c r="C5" s="20"/>
      <c r="D5" s="20" t="str">
        <f ca="1">IFERROR(__xludf.DUMMYFUNCTION("""COMPUTED_VALUE"""),"TÂN PHÚ")</f>
        <v>TÂN PHÚ</v>
      </c>
      <c r="E5" s="15">
        <f ca="1">IFERROR(__xludf.DUMMYFUNCTION("""COMPUTED_VALUE"""),6423)</f>
        <v>6423</v>
      </c>
      <c r="F5" s="15">
        <f ca="1">IFERROR(__xludf.DUMMYFUNCTION("""COMPUTED_VALUE"""),6411)</f>
        <v>6411</v>
      </c>
      <c r="G5" s="51">
        <f ca="1">IFERROR(F5/E5,"")</f>
        <v>0.99813171415226531</v>
      </c>
      <c r="H5" s="15">
        <f ca="1">IFERROR(__xludf.DUMMYFUNCTION("""COMPUTED_VALUE"""),6401)</f>
        <v>6401</v>
      </c>
      <c r="I5" s="51">
        <f ca="1">IFERROR(H5/E5,"")</f>
        <v>0.9965748092791531</v>
      </c>
      <c r="J5" s="15">
        <f ca="1">IFERROR(__xludf.DUMMYFUNCTION("""COMPUTED_VALUE"""),5995)</f>
        <v>5995</v>
      </c>
      <c r="K5" s="51">
        <f ca="1">IFERROR(J5/E5,"")</f>
        <v>0.93336447143079559</v>
      </c>
      <c r="L5" s="15">
        <f ca="1">IFERROR(__xludf.DUMMYFUNCTION("""COMPUTED_VALUE"""),3599)</f>
        <v>3599</v>
      </c>
      <c r="M5" s="51">
        <f ca="1">IFERROR(L5/E5,"")</f>
        <v>0.5603300638330998</v>
      </c>
      <c r="N5" s="15">
        <f ca="1">IFERROR(__xludf.DUMMYFUNCTION("""COMPUTED_VALUE"""),42916)</f>
        <v>42916</v>
      </c>
      <c r="O5" s="15">
        <f ca="1">IFERROR(__xludf.DUMMYFUNCTION("""COMPUTED_VALUE"""),28354)</f>
        <v>28354</v>
      </c>
      <c r="P5" s="51">
        <f ca="1">IFERROR(O5/N5,"")</f>
        <v>0.66068599123869887</v>
      </c>
      <c r="Q5" s="15">
        <f ca="1">IFERROR(__xludf.DUMMYFUNCTION("""COMPUTED_VALUE"""),15017)</f>
        <v>15017</v>
      </c>
      <c r="R5" s="51">
        <f ca="1">IFERROR(Q5/N5,"")</f>
        <v>0.34991611520178956</v>
      </c>
      <c r="S5" s="15">
        <f ca="1">IFERROR(__xludf.DUMMYFUNCTION("""COMPUTED_VALUE"""),42313)</f>
        <v>42313</v>
      </c>
      <c r="T5" s="15">
        <f ca="1">IFERROR(__xludf.DUMMYFUNCTION("""COMPUTED_VALUE"""),42394)</f>
        <v>42394</v>
      </c>
      <c r="U5" s="51">
        <f ca="1">IFERROR(T5/S5,"")</f>
        <v>1.0019143052962447</v>
      </c>
      <c r="V5" s="15">
        <f ca="1">IFERROR(__xludf.DUMMYFUNCTION("""COMPUTED_VALUE"""),41092)</f>
        <v>41092</v>
      </c>
      <c r="W5" s="51">
        <f ca="1">IFERROR(V5/S5,"")</f>
        <v>0.97114362016401579</v>
      </c>
      <c r="X5" s="15">
        <f ca="1">IFERROR(__xludf.DUMMYFUNCTION("""COMPUTED_VALUE"""),18822)</f>
        <v>18822</v>
      </c>
      <c r="Y5" s="51">
        <f ca="1">IFERROR(X5/S5,"")</f>
        <v>0.44482783069033155</v>
      </c>
      <c r="Z5" s="2"/>
      <c r="AA5" s="2"/>
      <c r="AB5" s="2"/>
      <c r="AC5" s="2"/>
      <c r="AD5" s="2"/>
      <c r="AE5" s="2"/>
    </row>
    <row r="6" spans="1:31" ht="12.75" x14ac:dyDescent="0.2">
      <c r="A6" s="53" t="str">
        <f ca="1">IFERROR(__xludf.DUMMYFUNCTION("""COMPUTED_VALUE"""),"Mầm non")</f>
        <v>Mầm non</v>
      </c>
      <c r="B6" s="53"/>
      <c r="C6" s="53"/>
      <c r="D6" s="53"/>
      <c r="E6" s="53"/>
      <c r="F6" s="53"/>
      <c r="G6" s="51" t="str">
        <f t="shared" ref="G6:G69" si="0">IFERROR(F6/E6,"")</f>
        <v/>
      </c>
      <c r="H6" s="53"/>
      <c r="I6" s="51" t="str">
        <f t="shared" ref="I6:I69" si="1">IFERROR(H6/E6,"")</f>
        <v/>
      </c>
      <c r="J6" s="53"/>
      <c r="K6" s="51" t="str">
        <f t="shared" ref="K6:K69" si="2">IFERROR(J6/E6,"")</f>
        <v/>
      </c>
      <c r="L6" s="53"/>
      <c r="M6" s="51" t="str">
        <f t="shared" ref="M6:M69" si="3">IFERROR(L6/E6,"")</f>
        <v/>
      </c>
      <c r="N6" s="53"/>
      <c r="O6" s="53"/>
      <c r="P6" s="51" t="str">
        <f t="shared" ref="P6:P69" si="4">IFERROR(O6/N6,"")</f>
        <v/>
      </c>
      <c r="Q6" s="53"/>
      <c r="R6" s="51" t="str">
        <f t="shared" ref="R6:R69" si="5">IFERROR(Q6/N6,"")</f>
        <v/>
      </c>
      <c r="S6" s="53"/>
      <c r="T6" s="53"/>
      <c r="U6" s="51" t="str">
        <f t="shared" ref="U6:U69" si="6">IFERROR(T6/S6,"")</f>
        <v/>
      </c>
      <c r="V6" s="53"/>
      <c r="W6" s="51" t="str">
        <f t="shared" ref="W6:W69" si="7">IFERROR(V6/S6,"")</f>
        <v/>
      </c>
      <c r="X6" s="53"/>
      <c r="Y6" s="51" t="str">
        <f t="shared" ref="Y6:Y69" si="8">IFERROR(X6/S6,"")</f>
        <v/>
      </c>
      <c r="Z6" s="2"/>
      <c r="AA6" s="2"/>
      <c r="AB6" s="2"/>
      <c r="AC6" s="2"/>
      <c r="AD6" s="2"/>
      <c r="AE6" s="2"/>
    </row>
    <row r="7" spans="1:31" ht="12.75" x14ac:dyDescent="0.2">
      <c r="A7" s="53">
        <f ca="1">IFERROR(__xludf.DUMMYFUNCTION("""COMPUTED_VALUE"""),1)</f>
        <v>1</v>
      </c>
      <c r="B7" s="53" t="str">
        <f ca="1">IFERROR(__xludf.DUMMYFUNCTION("""COMPUTED_VALUE"""),"MN Hoa Hồng")</f>
        <v>MN Hoa Hồng</v>
      </c>
      <c r="C7" s="53" t="str">
        <f ca="1">IFERROR(__xludf.DUMMYFUNCTION("""COMPUTED_VALUE"""),"Mầm non")</f>
        <v>Mầm non</v>
      </c>
      <c r="D7" s="53" t="str">
        <f ca="1">IFERROR(__xludf.DUMMYFUNCTION("""COMPUTED_VALUE"""),"Tân Phú")</f>
        <v>Tân Phú</v>
      </c>
      <c r="E7" s="54">
        <f ca="1">IFERROR(__xludf.DUMMYFUNCTION("""COMPUTED_VALUE"""),40)</f>
        <v>40</v>
      </c>
      <c r="F7" s="54">
        <f ca="1">IFERROR(__xludf.DUMMYFUNCTION("""COMPUTED_VALUE"""),40)</f>
        <v>40</v>
      </c>
      <c r="G7" s="51">
        <f t="shared" ca="1" si="0"/>
        <v>1</v>
      </c>
      <c r="H7" s="54">
        <f ca="1">IFERROR(__xludf.DUMMYFUNCTION("""COMPUTED_VALUE"""),40)</f>
        <v>40</v>
      </c>
      <c r="I7" s="51">
        <f t="shared" ca="1" si="1"/>
        <v>1</v>
      </c>
      <c r="J7" s="54">
        <f ca="1">IFERROR(__xludf.DUMMYFUNCTION("""COMPUTED_VALUE"""),40)</f>
        <v>40</v>
      </c>
      <c r="K7" s="51">
        <f t="shared" ca="1" si="2"/>
        <v>1</v>
      </c>
      <c r="L7" s="54">
        <f ca="1">IFERROR(__xludf.DUMMYFUNCTION("""COMPUTED_VALUE"""),38)</f>
        <v>38</v>
      </c>
      <c r="M7" s="51">
        <f t="shared" ca="1" si="3"/>
        <v>0.95</v>
      </c>
      <c r="N7" s="54">
        <f ca="1">IFERROR(__xludf.DUMMYFUNCTION("""COMPUTED_VALUE"""),105)</f>
        <v>105</v>
      </c>
      <c r="O7" s="54">
        <f ca="1">IFERROR(__xludf.DUMMYFUNCTION("""COMPUTED_VALUE"""),49)</f>
        <v>49</v>
      </c>
      <c r="P7" s="51">
        <f t="shared" ca="1" si="4"/>
        <v>0.46666666666666667</v>
      </c>
      <c r="Q7" s="54">
        <f ca="1">IFERROR(__xludf.DUMMYFUNCTION("""COMPUTED_VALUE"""),25)</f>
        <v>25</v>
      </c>
      <c r="R7" s="51">
        <f t="shared" ca="1" si="5"/>
        <v>0.23809523809523808</v>
      </c>
      <c r="S7" s="53"/>
      <c r="T7" s="53"/>
      <c r="U7" s="51" t="str">
        <f t="shared" si="6"/>
        <v/>
      </c>
      <c r="V7" s="53"/>
      <c r="W7" s="51" t="str">
        <f t="shared" si="7"/>
        <v/>
      </c>
      <c r="X7" s="53"/>
      <c r="Y7" s="51" t="str">
        <f t="shared" si="8"/>
        <v/>
      </c>
      <c r="Z7" s="2"/>
      <c r="AA7" s="2"/>
      <c r="AB7" s="2"/>
      <c r="AC7" s="2"/>
      <c r="AD7" s="2"/>
      <c r="AE7" s="2"/>
    </row>
    <row r="8" spans="1:31" ht="12.75" x14ac:dyDescent="0.2">
      <c r="A8" s="53">
        <f ca="1">IFERROR(__xludf.DUMMYFUNCTION("""COMPUTED_VALUE"""),2)</f>
        <v>2</v>
      </c>
      <c r="B8" s="53" t="str">
        <f ca="1">IFERROR(__xludf.DUMMYFUNCTION("""COMPUTED_VALUE"""),"MN Bông Sen")</f>
        <v>MN Bông Sen</v>
      </c>
      <c r="C8" s="53" t="str">
        <f ca="1">IFERROR(__xludf.DUMMYFUNCTION("""COMPUTED_VALUE"""),"Mầm non")</f>
        <v>Mầm non</v>
      </c>
      <c r="D8" s="53" t="str">
        <f ca="1">IFERROR(__xludf.DUMMYFUNCTION("""COMPUTED_VALUE"""),"Tân Phú")</f>
        <v>Tân Phú</v>
      </c>
      <c r="E8" s="54">
        <f ca="1">IFERROR(__xludf.DUMMYFUNCTION("""COMPUTED_VALUE"""),36)</f>
        <v>36</v>
      </c>
      <c r="F8" s="54">
        <f ca="1">IFERROR(__xludf.DUMMYFUNCTION("""COMPUTED_VALUE"""),36)</f>
        <v>36</v>
      </c>
      <c r="G8" s="51">
        <f t="shared" ca="1" si="0"/>
        <v>1</v>
      </c>
      <c r="H8" s="53">
        <f ca="1">IFERROR(__xludf.DUMMYFUNCTION("""COMPUTED_VALUE"""),36)</f>
        <v>36</v>
      </c>
      <c r="I8" s="51">
        <f t="shared" ca="1" si="1"/>
        <v>1</v>
      </c>
      <c r="J8" s="54">
        <f ca="1">IFERROR(__xludf.DUMMYFUNCTION("""COMPUTED_VALUE"""),36)</f>
        <v>36</v>
      </c>
      <c r="K8" s="51">
        <f t="shared" ca="1" si="2"/>
        <v>1</v>
      </c>
      <c r="L8" s="54">
        <f ca="1">IFERROR(__xludf.DUMMYFUNCTION("""COMPUTED_VALUE"""),33)</f>
        <v>33</v>
      </c>
      <c r="M8" s="51">
        <f t="shared" ca="1" si="3"/>
        <v>0.91666666666666663</v>
      </c>
      <c r="N8" s="54">
        <f ca="1">IFERROR(__xludf.DUMMYFUNCTION("""COMPUTED_VALUE"""),74)</f>
        <v>74</v>
      </c>
      <c r="O8" s="54">
        <f ca="1">IFERROR(__xludf.DUMMYFUNCTION("""COMPUTED_VALUE"""),41)</f>
        <v>41</v>
      </c>
      <c r="P8" s="51">
        <f t="shared" ca="1" si="4"/>
        <v>0.55405405405405406</v>
      </c>
      <c r="Q8" s="54">
        <f ca="1">IFERROR(__xludf.DUMMYFUNCTION("""COMPUTED_VALUE"""),22)</f>
        <v>22</v>
      </c>
      <c r="R8" s="51">
        <f t="shared" ca="1" si="5"/>
        <v>0.29729729729729731</v>
      </c>
      <c r="S8" s="53"/>
      <c r="T8" s="53"/>
      <c r="U8" s="51" t="str">
        <f t="shared" si="6"/>
        <v/>
      </c>
      <c r="V8" s="53"/>
      <c r="W8" s="51" t="str">
        <f t="shared" si="7"/>
        <v/>
      </c>
      <c r="X8" s="53"/>
      <c r="Y8" s="51" t="str">
        <f t="shared" si="8"/>
        <v/>
      </c>
      <c r="Z8" s="2"/>
      <c r="AA8" s="2"/>
      <c r="AB8" s="2"/>
      <c r="AC8" s="2"/>
      <c r="AD8" s="2"/>
      <c r="AE8" s="2"/>
    </row>
    <row r="9" spans="1:31" ht="12.75" x14ac:dyDescent="0.2">
      <c r="A9" s="53">
        <f ca="1">IFERROR(__xludf.DUMMYFUNCTION("""COMPUTED_VALUE"""),3)</f>
        <v>3</v>
      </c>
      <c r="B9" s="53" t="str">
        <f ca="1">IFERROR(__xludf.DUMMYFUNCTION("""COMPUTED_VALUE"""),"MN Vàng Anh")</f>
        <v>MN Vàng Anh</v>
      </c>
      <c r="C9" s="53" t="str">
        <f ca="1">IFERROR(__xludf.DUMMYFUNCTION("""COMPUTED_VALUE"""),"Mầm non")</f>
        <v>Mầm non</v>
      </c>
      <c r="D9" s="53" t="str">
        <f ca="1">IFERROR(__xludf.DUMMYFUNCTION("""COMPUTED_VALUE"""),"Tân Phú")</f>
        <v>Tân Phú</v>
      </c>
      <c r="E9" s="54">
        <f ca="1">IFERROR(__xludf.DUMMYFUNCTION("""COMPUTED_VALUE"""),24)</f>
        <v>24</v>
      </c>
      <c r="F9" s="54">
        <f ca="1">IFERROR(__xludf.DUMMYFUNCTION("""COMPUTED_VALUE"""),24)</f>
        <v>24</v>
      </c>
      <c r="G9" s="51">
        <f t="shared" ca="1" si="0"/>
        <v>1</v>
      </c>
      <c r="H9" s="54">
        <f ca="1">IFERROR(__xludf.DUMMYFUNCTION("""COMPUTED_VALUE"""),24)</f>
        <v>24</v>
      </c>
      <c r="I9" s="51">
        <f t="shared" ca="1" si="1"/>
        <v>1</v>
      </c>
      <c r="J9" s="54">
        <f ca="1">IFERROR(__xludf.DUMMYFUNCTION("""COMPUTED_VALUE"""),22)</f>
        <v>22</v>
      </c>
      <c r="K9" s="51">
        <f t="shared" ca="1" si="2"/>
        <v>0.91666666666666663</v>
      </c>
      <c r="L9" s="54">
        <f ca="1">IFERROR(__xludf.DUMMYFUNCTION("""COMPUTED_VALUE"""),19)</f>
        <v>19</v>
      </c>
      <c r="M9" s="51">
        <f t="shared" ca="1" si="3"/>
        <v>0.79166666666666663</v>
      </c>
      <c r="N9" s="54">
        <f ca="1">IFERROR(__xludf.DUMMYFUNCTION("""COMPUTED_VALUE"""),54)</f>
        <v>54</v>
      </c>
      <c r="O9" s="54">
        <f ca="1">IFERROR(__xludf.DUMMYFUNCTION("""COMPUTED_VALUE"""),29)</f>
        <v>29</v>
      </c>
      <c r="P9" s="51">
        <f t="shared" ca="1" si="4"/>
        <v>0.53703703703703709</v>
      </c>
      <c r="Q9" s="54">
        <f ca="1">IFERROR(__xludf.DUMMYFUNCTION("""COMPUTED_VALUE"""),11)</f>
        <v>11</v>
      </c>
      <c r="R9" s="51">
        <f t="shared" ca="1" si="5"/>
        <v>0.20370370370370369</v>
      </c>
      <c r="S9" s="53"/>
      <c r="T9" s="53"/>
      <c r="U9" s="51" t="str">
        <f t="shared" si="6"/>
        <v/>
      </c>
      <c r="V9" s="53"/>
      <c r="W9" s="51" t="str">
        <f t="shared" si="7"/>
        <v/>
      </c>
      <c r="X9" s="53"/>
      <c r="Y9" s="51" t="str">
        <f t="shared" si="8"/>
        <v/>
      </c>
      <c r="Z9" s="2"/>
      <c r="AA9" s="2"/>
      <c r="AB9" s="2"/>
      <c r="AC9" s="2"/>
      <c r="AD9" s="2"/>
      <c r="AE9" s="2"/>
    </row>
    <row r="10" spans="1:31" ht="12.75" x14ac:dyDescent="0.2">
      <c r="A10" s="53">
        <f ca="1">IFERROR(__xludf.DUMMYFUNCTION("""COMPUTED_VALUE"""),4)</f>
        <v>4</v>
      </c>
      <c r="B10" s="53" t="str">
        <f ca="1">IFERROR(__xludf.DUMMYFUNCTION("""COMPUTED_VALUE"""),"MN Trạng Nguyên")</f>
        <v>MN Trạng Nguyên</v>
      </c>
      <c r="C10" s="53" t="str">
        <f ca="1">IFERROR(__xludf.DUMMYFUNCTION("""COMPUTED_VALUE"""),"Mầm non")</f>
        <v>Mầm non</v>
      </c>
      <c r="D10" s="53" t="str">
        <f ca="1">IFERROR(__xludf.DUMMYFUNCTION("""COMPUTED_VALUE"""),"Tân Phú")</f>
        <v>Tân Phú</v>
      </c>
      <c r="E10" s="54">
        <f ca="1">IFERROR(__xludf.DUMMYFUNCTION("""COMPUTED_VALUE"""),35)</f>
        <v>35</v>
      </c>
      <c r="F10" s="54">
        <f ca="1">IFERROR(__xludf.DUMMYFUNCTION("""COMPUTED_VALUE"""),35)</f>
        <v>35</v>
      </c>
      <c r="G10" s="51">
        <f t="shared" ca="1" si="0"/>
        <v>1</v>
      </c>
      <c r="H10" s="54">
        <f ca="1">IFERROR(__xludf.DUMMYFUNCTION("""COMPUTED_VALUE"""),35)</f>
        <v>35</v>
      </c>
      <c r="I10" s="51">
        <f t="shared" ca="1" si="1"/>
        <v>1</v>
      </c>
      <c r="J10" s="54">
        <f ca="1">IFERROR(__xludf.DUMMYFUNCTION("""COMPUTED_VALUE"""),33)</f>
        <v>33</v>
      </c>
      <c r="K10" s="51">
        <f t="shared" ca="1" si="2"/>
        <v>0.94285714285714284</v>
      </c>
      <c r="L10" s="54">
        <f ca="1">IFERROR(__xludf.DUMMYFUNCTION("""COMPUTED_VALUE"""),30)</f>
        <v>30</v>
      </c>
      <c r="M10" s="51">
        <f t="shared" ca="1" si="3"/>
        <v>0.8571428571428571</v>
      </c>
      <c r="N10" s="54">
        <f ca="1">IFERROR(__xludf.DUMMYFUNCTION("""COMPUTED_VALUE"""),65)</f>
        <v>65</v>
      </c>
      <c r="O10" s="54">
        <f ca="1">IFERROR(__xludf.DUMMYFUNCTION("""COMPUTED_VALUE"""),34)</f>
        <v>34</v>
      </c>
      <c r="P10" s="51">
        <f t="shared" ca="1" si="4"/>
        <v>0.52307692307692311</v>
      </c>
      <c r="Q10" s="54">
        <f ca="1">IFERROR(__xludf.DUMMYFUNCTION("""COMPUTED_VALUE"""),10)</f>
        <v>10</v>
      </c>
      <c r="R10" s="51">
        <f t="shared" ca="1" si="5"/>
        <v>0.15384615384615385</v>
      </c>
      <c r="S10" s="53"/>
      <c r="T10" s="53"/>
      <c r="U10" s="51" t="str">
        <f t="shared" si="6"/>
        <v/>
      </c>
      <c r="V10" s="53"/>
      <c r="W10" s="51" t="str">
        <f t="shared" si="7"/>
        <v/>
      </c>
      <c r="X10" s="53"/>
      <c r="Y10" s="51" t="str">
        <f t="shared" si="8"/>
        <v/>
      </c>
      <c r="Z10" s="2"/>
      <c r="AA10" s="2"/>
      <c r="AB10" s="2"/>
      <c r="AC10" s="2"/>
      <c r="AD10" s="2"/>
      <c r="AE10" s="2"/>
    </row>
    <row r="11" spans="1:31" ht="12.75" x14ac:dyDescent="0.2">
      <c r="A11" s="53">
        <f ca="1">IFERROR(__xludf.DUMMYFUNCTION("""COMPUTED_VALUE"""),5)</f>
        <v>5</v>
      </c>
      <c r="B11" s="53" t="str">
        <f ca="1">IFERROR(__xludf.DUMMYFUNCTION("""COMPUTED_VALUE"""),"MN Thủy Tiên")</f>
        <v>MN Thủy Tiên</v>
      </c>
      <c r="C11" s="53" t="str">
        <f ca="1">IFERROR(__xludf.DUMMYFUNCTION("""COMPUTED_VALUE"""),"Mầm non")</f>
        <v>Mầm non</v>
      </c>
      <c r="D11" s="53" t="str">
        <f ca="1">IFERROR(__xludf.DUMMYFUNCTION("""COMPUTED_VALUE"""),"Tân Phú")</f>
        <v>Tân Phú</v>
      </c>
      <c r="E11" s="54">
        <f ca="1">IFERROR(__xludf.DUMMYFUNCTION("""COMPUTED_VALUE"""),34)</f>
        <v>34</v>
      </c>
      <c r="F11" s="54">
        <f ca="1">IFERROR(__xludf.DUMMYFUNCTION("""COMPUTED_VALUE"""),34)</f>
        <v>34</v>
      </c>
      <c r="G11" s="51">
        <f t="shared" ca="1" si="0"/>
        <v>1</v>
      </c>
      <c r="H11" s="54">
        <f ca="1">IFERROR(__xludf.DUMMYFUNCTION("""COMPUTED_VALUE"""),34)</f>
        <v>34</v>
      </c>
      <c r="I11" s="51">
        <f t="shared" ca="1" si="1"/>
        <v>1</v>
      </c>
      <c r="J11" s="54">
        <f ca="1">IFERROR(__xludf.DUMMYFUNCTION("""COMPUTED_VALUE"""),34)</f>
        <v>34</v>
      </c>
      <c r="K11" s="51">
        <f t="shared" ca="1" si="2"/>
        <v>1</v>
      </c>
      <c r="L11" s="54">
        <f ca="1">IFERROR(__xludf.DUMMYFUNCTION("""COMPUTED_VALUE"""),31)</f>
        <v>31</v>
      </c>
      <c r="M11" s="51">
        <f t="shared" ca="1" si="3"/>
        <v>0.91176470588235292</v>
      </c>
      <c r="N11" s="54">
        <f ca="1">IFERROR(__xludf.DUMMYFUNCTION("""COMPUTED_VALUE"""),104)</f>
        <v>104</v>
      </c>
      <c r="O11" s="54">
        <f ca="1">IFERROR(__xludf.DUMMYFUNCTION("""COMPUTED_VALUE"""),59)</f>
        <v>59</v>
      </c>
      <c r="P11" s="51">
        <f t="shared" ca="1" si="4"/>
        <v>0.56730769230769229</v>
      </c>
      <c r="Q11" s="54">
        <f ca="1">IFERROR(__xludf.DUMMYFUNCTION("""COMPUTED_VALUE"""),25)</f>
        <v>25</v>
      </c>
      <c r="R11" s="51">
        <f t="shared" ca="1" si="5"/>
        <v>0.24038461538461539</v>
      </c>
      <c r="S11" s="53"/>
      <c r="T11" s="53"/>
      <c r="U11" s="51" t="str">
        <f t="shared" si="6"/>
        <v/>
      </c>
      <c r="V11" s="53"/>
      <c r="W11" s="51" t="str">
        <f t="shared" si="7"/>
        <v/>
      </c>
      <c r="X11" s="53"/>
      <c r="Y11" s="51" t="str">
        <f t="shared" si="8"/>
        <v/>
      </c>
      <c r="Z11" s="2"/>
      <c r="AA11" s="2"/>
      <c r="AB11" s="2"/>
      <c r="AC11" s="2"/>
      <c r="AD11" s="2"/>
      <c r="AE11" s="2"/>
    </row>
    <row r="12" spans="1:31" ht="12.75" x14ac:dyDescent="0.2">
      <c r="A12" s="53">
        <f ca="1">IFERROR(__xludf.DUMMYFUNCTION("""COMPUTED_VALUE"""),6)</f>
        <v>6</v>
      </c>
      <c r="B12" s="53" t="str">
        <f ca="1">IFERROR(__xludf.DUMMYFUNCTION("""COMPUTED_VALUE"""),"MN Cát Tường")</f>
        <v>MN Cát Tường</v>
      </c>
      <c r="C12" s="53" t="str">
        <f ca="1">IFERROR(__xludf.DUMMYFUNCTION("""COMPUTED_VALUE"""),"Mầm non")</f>
        <v>Mầm non</v>
      </c>
      <c r="D12" s="53" t="str">
        <f ca="1">IFERROR(__xludf.DUMMYFUNCTION("""COMPUTED_VALUE"""),"Tân Phú")</f>
        <v>Tân Phú</v>
      </c>
      <c r="E12" s="54">
        <f ca="1">IFERROR(__xludf.DUMMYFUNCTION("""COMPUTED_VALUE"""),36)</f>
        <v>36</v>
      </c>
      <c r="F12" s="54">
        <f ca="1">IFERROR(__xludf.DUMMYFUNCTION("""COMPUTED_VALUE"""),36)</f>
        <v>36</v>
      </c>
      <c r="G12" s="51">
        <f t="shared" ca="1" si="0"/>
        <v>1</v>
      </c>
      <c r="H12" s="54">
        <f ca="1">IFERROR(__xludf.DUMMYFUNCTION("""COMPUTED_VALUE"""),36)</f>
        <v>36</v>
      </c>
      <c r="I12" s="51">
        <f t="shared" ca="1" si="1"/>
        <v>1</v>
      </c>
      <c r="J12" s="54">
        <f ca="1">IFERROR(__xludf.DUMMYFUNCTION("""COMPUTED_VALUE"""),36)</f>
        <v>36</v>
      </c>
      <c r="K12" s="51">
        <f t="shared" ca="1" si="2"/>
        <v>1</v>
      </c>
      <c r="L12" s="54">
        <f ca="1">IFERROR(__xludf.DUMMYFUNCTION("""COMPUTED_VALUE"""),32)</f>
        <v>32</v>
      </c>
      <c r="M12" s="51">
        <f t="shared" ca="1" si="3"/>
        <v>0.88888888888888884</v>
      </c>
      <c r="N12" s="54">
        <f ca="1">IFERROR(__xludf.DUMMYFUNCTION("""COMPUTED_VALUE"""),87)</f>
        <v>87</v>
      </c>
      <c r="O12" s="54">
        <f ca="1">IFERROR(__xludf.DUMMYFUNCTION("""COMPUTED_VALUE"""),42)</f>
        <v>42</v>
      </c>
      <c r="P12" s="51">
        <f t="shared" ca="1" si="4"/>
        <v>0.48275862068965519</v>
      </c>
      <c r="Q12" s="54">
        <f ca="1">IFERROR(__xludf.DUMMYFUNCTION("""COMPUTED_VALUE"""),15)</f>
        <v>15</v>
      </c>
      <c r="R12" s="51">
        <f t="shared" ca="1" si="5"/>
        <v>0.17241379310344829</v>
      </c>
      <c r="S12" s="53"/>
      <c r="T12" s="53"/>
      <c r="U12" s="51" t="str">
        <f t="shared" si="6"/>
        <v/>
      </c>
      <c r="V12" s="53"/>
      <c r="W12" s="51" t="str">
        <f t="shared" si="7"/>
        <v/>
      </c>
      <c r="X12" s="53"/>
      <c r="Y12" s="51" t="str">
        <f t="shared" si="8"/>
        <v/>
      </c>
      <c r="Z12" s="2"/>
      <c r="AA12" s="2"/>
      <c r="AB12" s="2"/>
      <c r="AC12" s="2"/>
      <c r="AD12" s="2"/>
      <c r="AE12" s="2"/>
    </row>
    <row r="13" spans="1:31" ht="12.75" x14ac:dyDescent="0.2">
      <c r="A13" s="53">
        <f ca="1">IFERROR(__xludf.DUMMYFUNCTION("""COMPUTED_VALUE"""),7)</f>
        <v>7</v>
      </c>
      <c r="B13" s="53" t="str">
        <f ca="1">IFERROR(__xludf.DUMMYFUNCTION("""COMPUTED_VALUE"""),"MN Hoa Anh Đào")</f>
        <v>MN Hoa Anh Đào</v>
      </c>
      <c r="C13" s="53" t="str">
        <f ca="1">IFERROR(__xludf.DUMMYFUNCTION("""COMPUTED_VALUE"""),"Mầm non")</f>
        <v>Mầm non</v>
      </c>
      <c r="D13" s="53" t="str">
        <f ca="1">IFERROR(__xludf.DUMMYFUNCTION("""COMPUTED_VALUE"""),"Tân Phú")</f>
        <v>Tân Phú</v>
      </c>
      <c r="E13" s="54">
        <f ca="1">IFERROR(__xludf.DUMMYFUNCTION("""COMPUTED_VALUE"""),45)</f>
        <v>45</v>
      </c>
      <c r="F13" s="54">
        <f ca="1">IFERROR(__xludf.DUMMYFUNCTION("""COMPUTED_VALUE"""),45)</f>
        <v>45</v>
      </c>
      <c r="G13" s="51">
        <f t="shared" ca="1" si="0"/>
        <v>1</v>
      </c>
      <c r="H13" s="54">
        <f ca="1">IFERROR(__xludf.DUMMYFUNCTION("""COMPUTED_VALUE"""),45)</f>
        <v>45</v>
      </c>
      <c r="I13" s="51">
        <f t="shared" ca="1" si="1"/>
        <v>1</v>
      </c>
      <c r="J13" s="54">
        <f ca="1">IFERROR(__xludf.DUMMYFUNCTION("""COMPUTED_VALUE"""),45)</f>
        <v>45</v>
      </c>
      <c r="K13" s="51">
        <f t="shared" ca="1" si="2"/>
        <v>1</v>
      </c>
      <c r="L13" s="54">
        <f ca="1">IFERROR(__xludf.DUMMYFUNCTION("""COMPUTED_VALUE"""),35)</f>
        <v>35</v>
      </c>
      <c r="M13" s="51">
        <f t="shared" ca="1" si="3"/>
        <v>0.77777777777777779</v>
      </c>
      <c r="N13" s="54">
        <f ca="1">IFERROR(__xludf.DUMMYFUNCTION("""COMPUTED_VALUE"""),117)</f>
        <v>117</v>
      </c>
      <c r="O13" s="54">
        <f ca="1">IFERROR(__xludf.DUMMYFUNCTION("""COMPUTED_VALUE"""),51)</f>
        <v>51</v>
      </c>
      <c r="P13" s="51">
        <f t="shared" ca="1" si="4"/>
        <v>0.4358974358974359</v>
      </c>
      <c r="Q13" s="54">
        <f ca="1">IFERROR(__xludf.DUMMYFUNCTION("""COMPUTED_VALUE"""),21)</f>
        <v>21</v>
      </c>
      <c r="R13" s="51">
        <f t="shared" ca="1" si="5"/>
        <v>0.17948717948717949</v>
      </c>
      <c r="S13" s="53"/>
      <c r="T13" s="53"/>
      <c r="U13" s="51" t="str">
        <f t="shared" si="6"/>
        <v/>
      </c>
      <c r="V13" s="53"/>
      <c r="W13" s="51" t="str">
        <f t="shared" si="7"/>
        <v/>
      </c>
      <c r="X13" s="53"/>
      <c r="Y13" s="51" t="str">
        <f t="shared" si="8"/>
        <v/>
      </c>
      <c r="Z13" s="2"/>
      <c r="AA13" s="2"/>
      <c r="AB13" s="2"/>
      <c r="AC13" s="2"/>
      <c r="AD13" s="2"/>
      <c r="AE13" s="2"/>
    </row>
    <row r="14" spans="1:31" ht="12.75" x14ac:dyDescent="0.2">
      <c r="A14" s="53">
        <f ca="1">IFERROR(__xludf.DUMMYFUNCTION("""COMPUTED_VALUE"""),8)</f>
        <v>8</v>
      </c>
      <c r="B14" s="53" t="str">
        <f ca="1">IFERROR(__xludf.DUMMYFUNCTION("""COMPUTED_VALUE"""),"MN Nhiêu Lộc")</f>
        <v>MN Nhiêu Lộc</v>
      </c>
      <c r="C14" s="53" t="str">
        <f ca="1">IFERROR(__xludf.DUMMYFUNCTION("""COMPUTED_VALUE"""),"Mầm non")</f>
        <v>Mầm non</v>
      </c>
      <c r="D14" s="53" t="str">
        <f ca="1">IFERROR(__xludf.DUMMYFUNCTION("""COMPUTED_VALUE"""),"Tân Phú")</f>
        <v>Tân Phú</v>
      </c>
      <c r="E14" s="54">
        <f ca="1">IFERROR(__xludf.DUMMYFUNCTION("""COMPUTED_VALUE"""),62)</f>
        <v>62</v>
      </c>
      <c r="F14" s="54">
        <f ca="1">IFERROR(__xludf.DUMMYFUNCTION("""COMPUTED_VALUE"""),62)</f>
        <v>62</v>
      </c>
      <c r="G14" s="51">
        <f t="shared" ca="1" si="0"/>
        <v>1</v>
      </c>
      <c r="H14" s="54">
        <f ca="1">IFERROR(__xludf.DUMMYFUNCTION("""COMPUTED_VALUE"""),62)</f>
        <v>62</v>
      </c>
      <c r="I14" s="51">
        <f t="shared" ca="1" si="1"/>
        <v>1</v>
      </c>
      <c r="J14" s="54">
        <f ca="1">IFERROR(__xludf.DUMMYFUNCTION("""COMPUTED_VALUE"""),59)</f>
        <v>59</v>
      </c>
      <c r="K14" s="51">
        <f t="shared" ca="1" si="2"/>
        <v>0.95161290322580649</v>
      </c>
      <c r="L14" s="54">
        <f ca="1">IFERROR(__xludf.DUMMYFUNCTION("""COMPUTED_VALUE"""),40)</f>
        <v>40</v>
      </c>
      <c r="M14" s="51">
        <f t="shared" ca="1" si="3"/>
        <v>0.64516129032258063</v>
      </c>
      <c r="N14" s="54">
        <f ca="1">IFERROR(__xludf.DUMMYFUNCTION("""COMPUTED_VALUE"""),260)</f>
        <v>260</v>
      </c>
      <c r="O14" s="54">
        <f ca="1">IFERROR(__xludf.DUMMYFUNCTION("""COMPUTED_VALUE"""),79)</f>
        <v>79</v>
      </c>
      <c r="P14" s="51">
        <f t="shared" ca="1" si="4"/>
        <v>0.30384615384615382</v>
      </c>
      <c r="Q14" s="54">
        <f ca="1">IFERROR(__xludf.DUMMYFUNCTION("""COMPUTED_VALUE"""),36)</f>
        <v>36</v>
      </c>
      <c r="R14" s="51">
        <f t="shared" ca="1" si="5"/>
        <v>0.13846153846153847</v>
      </c>
      <c r="S14" s="53"/>
      <c r="T14" s="53"/>
      <c r="U14" s="51" t="str">
        <f t="shared" si="6"/>
        <v/>
      </c>
      <c r="V14" s="53"/>
      <c r="W14" s="51" t="str">
        <f t="shared" si="7"/>
        <v/>
      </c>
      <c r="X14" s="53"/>
      <c r="Y14" s="51" t="str">
        <f t="shared" si="8"/>
        <v/>
      </c>
      <c r="Z14" s="2"/>
      <c r="AA14" s="2"/>
      <c r="AB14" s="2"/>
      <c r="AC14" s="2"/>
      <c r="AD14" s="2"/>
      <c r="AE14" s="2"/>
    </row>
    <row r="15" spans="1:31" ht="12.75" x14ac:dyDescent="0.2">
      <c r="A15" s="53">
        <f ca="1">IFERROR(__xludf.DUMMYFUNCTION("""COMPUTED_VALUE"""),9)</f>
        <v>9</v>
      </c>
      <c r="B15" s="53" t="str">
        <f ca="1">IFERROR(__xludf.DUMMYFUNCTION("""COMPUTED_VALUE"""),"MN Rạng Đông")</f>
        <v>MN Rạng Đông</v>
      </c>
      <c r="C15" s="53" t="str">
        <f ca="1">IFERROR(__xludf.DUMMYFUNCTION("""COMPUTED_VALUE"""),"Mầm non")</f>
        <v>Mầm non</v>
      </c>
      <c r="D15" s="53" t="str">
        <f ca="1">IFERROR(__xludf.DUMMYFUNCTION("""COMPUTED_VALUE"""),"Tân Phú")</f>
        <v>Tân Phú</v>
      </c>
      <c r="E15" s="54">
        <f ca="1">IFERROR(__xludf.DUMMYFUNCTION("""COMPUTED_VALUE"""),74)</f>
        <v>74</v>
      </c>
      <c r="F15" s="54">
        <f ca="1">IFERROR(__xludf.DUMMYFUNCTION("""COMPUTED_VALUE"""),74)</f>
        <v>74</v>
      </c>
      <c r="G15" s="51">
        <f t="shared" ca="1" si="0"/>
        <v>1</v>
      </c>
      <c r="H15" s="54">
        <f ca="1">IFERROR(__xludf.DUMMYFUNCTION("""COMPUTED_VALUE"""),74)</f>
        <v>74</v>
      </c>
      <c r="I15" s="51">
        <f t="shared" ca="1" si="1"/>
        <v>1</v>
      </c>
      <c r="J15" s="54">
        <f ca="1">IFERROR(__xludf.DUMMYFUNCTION("""COMPUTED_VALUE"""),73)</f>
        <v>73</v>
      </c>
      <c r="K15" s="51">
        <f t="shared" ca="1" si="2"/>
        <v>0.98648648648648651</v>
      </c>
      <c r="L15" s="54">
        <f ca="1">IFERROR(__xludf.DUMMYFUNCTION("""COMPUTED_VALUE"""),67)</f>
        <v>67</v>
      </c>
      <c r="M15" s="51">
        <f t="shared" ca="1" si="3"/>
        <v>0.90540540540540537</v>
      </c>
      <c r="N15" s="54">
        <f ca="1">IFERROR(__xludf.DUMMYFUNCTION("""COMPUTED_VALUE"""),189)</f>
        <v>189</v>
      </c>
      <c r="O15" s="54">
        <f ca="1">IFERROR(__xludf.DUMMYFUNCTION("""COMPUTED_VALUE"""),69)</f>
        <v>69</v>
      </c>
      <c r="P15" s="51">
        <f t="shared" ca="1" si="4"/>
        <v>0.36507936507936506</v>
      </c>
      <c r="Q15" s="54">
        <f ca="1">IFERROR(__xludf.DUMMYFUNCTION("""COMPUTED_VALUE"""),42)</f>
        <v>42</v>
      </c>
      <c r="R15" s="51">
        <f t="shared" ca="1" si="5"/>
        <v>0.22222222222222221</v>
      </c>
      <c r="S15" s="53"/>
      <c r="T15" s="53"/>
      <c r="U15" s="51" t="str">
        <f t="shared" si="6"/>
        <v/>
      </c>
      <c r="V15" s="53"/>
      <c r="W15" s="51" t="str">
        <f t="shared" si="7"/>
        <v/>
      </c>
      <c r="X15" s="53"/>
      <c r="Y15" s="51" t="str">
        <f t="shared" si="8"/>
        <v/>
      </c>
      <c r="Z15" s="2"/>
      <c r="AA15" s="2"/>
      <c r="AB15" s="2"/>
      <c r="AC15" s="2"/>
      <c r="AD15" s="2"/>
      <c r="AE15" s="2"/>
    </row>
    <row r="16" spans="1:31" ht="12.75" x14ac:dyDescent="0.2">
      <c r="A16" s="53">
        <f ca="1">IFERROR(__xludf.DUMMYFUNCTION("""COMPUTED_VALUE"""),10)</f>
        <v>10</v>
      </c>
      <c r="B16" s="53" t="str">
        <f ca="1">IFERROR(__xludf.DUMMYFUNCTION("""COMPUTED_VALUE"""),"MN Phượng Hồng")</f>
        <v>MN Phượng Hồng</v>
      </c>
      <c r="C16" s="53" t="str">
        <f ca="1">IFERROR(__xludf.DUMMYFUNCTION("""COMPUTED_VALUE"""),"Mầm non")</f>
        <v>Mầm non</v>
      </c>
      <c r="D16" s="53" t="str">
        <f ca="1">IFERROR(__xludf.DUMMYFUNCTION("""COMPUTED_VALUE"""),"Tân Phú")</f>
        <v>Tân Phú</v>
      </c>
      <c r="E16" s="54">
        <f ca="1">IFERROR(__xludf.DUMMYFUNCTION("""COMPUTED_VALUE"""),60)</f>
        <v>60</v>
      </c>
      <c r="F16" s="54">
        <f ca="1">IFERROR(__xludf.DUMMYFUNCTION("""COMPUTED_VALUE"""),60)</f>
        <v>60</v>
      </c>
      <c r="G16" s="51">
        <f t="shared" ca="1" si="0"/>
        <v>1</v>
      </c>
      <c r="H16" s="54">
        <f ca="1">IFERROR(__xludf.DUMMYFUNCTION("""COMPUTED_VALUE"""),60)</f>
        <v>60</v>
      </c>
      <c r="I16" s="51">
        <f t="shared" ca="1" si="1"/>
        <v>1</v>
      </c>
      <c r="J16" s="54">
        <f ca="1">IFERROR(__xludf.DUMMYFUNCTION("""COMPUTED_VALUE"""),60)</f>
        <v>60</v>
      </c>
      <c r="K16" s="51">
        <f t="shared" ca="1" si="2"/>
        <v>1</v>
      </c>
      <c r="L16" s="54">
        <f ca="1">IFERROR(__xludf.DUMMYFUNCTION("""COMPUTED_VALUE"""),53)</f>
        <v>53</v>
      </c>
      <c r="M16" s="51">
        <f t="shared" ca="1" si="3"/>
        <v>0.8833333333333333</v>
      </c>
      <c r="N16" s="54">
        <f ca="1">IFERROR(__xludf.DUMMYFUNCTION("""COMPUTED_VALUE"""),244)</f>
        <v>244</v>
      </c>
      <c r="O16" s="54">
        <f ca="1">IFERROR(__xludf.DUMMYFUNCTION("""COMPUTED_VALUE"""),105)</f>
        <v>105</v>
      </c>
      <c r="P16" s="51">
        <f t="shared" ca="1" si="4"/>
        <v>0.43032786885245899</v>
      </c>
      <c r="Q16" s="54">
        <f ca="1">IFERROR(__xludf.DUMMYFUNCTION("""COMPUTED_VALUE"""),45)</f>
        <v>45</v>
      </c>
      <c r="R16" s="51">
        <f t="shared" ca="1" si="5"/>
        <v>0.18442622950819673</v>
      </c>
      <c r="S16" s="53"/>
      <c r="T16" s="53"/>
      <c r="U16" s="51" t="str">
        <f t="shared" si="6"/>
        <v/>
      </c>
      <c r="V16" s="53"/>
      <c r="W16" s="51" t="str">
        <f t="shared" si="7"/>
        <v/>
      </c>
      <c r="X16" s="53"/>
      <c r="Y16" s="51" t="str">
        <f t="shared" si="8"/>
        <v/>
      </c>
      <c r="Z16" s="2"/>
      <c r="AA16" s="2"/>
      <c r="AB16" s="2"/>
      <c r="AC16" s="2"/>
      <c r="AD16" s="2"/>
      <c r="AE16" s="2"/>
    </row>
    <row r="17" spans="1:31" ht="12.75" x14ac:dyDescent="0.2">
      <c r="A17" s="53">
        <f ca="1">IFERROR(__xludf.DUMMYFUNCTION("""COMPUTED_VALUE"""),11)</f>
        <v>11</v>
      </c>
      <c r="B17" s="53" t="str">
        <f ca="1">IFERROR(__xludf.DUMMYFUNCTION("""COMPUTED_VALUE"""),"MN Quỳnh Anh")</f>
        <v>MN Quỳnh Anh</v>
      </c>
      <c r="C17" s="53" t="str">
        <f ca="1">IFERROR(__xludf.DUMMYFUNCTION("""COMPUTED_VALUE"""),"Mầm non")</f>
        <v>Mầm non</v>
      </c>
      <c r="D17" s="53" t="str">
        <f ca="1">IFERROR(__xludf.DUMMYFUNCTION("""COMPUTED_VALUE"""),"Tân Phú")</f>
        <v>Tân Phú</v>
      </c>
      <c r="E17" s="54">
        <f ca="1">IFERROR(__xludf.DUMMYFUNCTION("""COMPUTED_VALUE"""),29)</f>
        <v>29</v>
      </c>
      <c r="F17" s="54">
        <f ca="1">IFERROR(__xludf.DUMMYFUNCTION("""COMPUTED_VALUE"""),29)</f>
        <v>29</v>
      </c>
      <c r="G17" s="51">
        <f t="shared" ca="1" si="0"/>
        <v>1</v>
      </c>
      <c r="H17" s="54">
        <f ca="1">IFERROR(__xludf.DUMMYFUNCTION("""COMPUTED_VALUE"""),29)</f>
        <v>29</v>
      </c>
      <c r="I17" s="51">
        <f t="shared" ca="1" si="1"/>
        <v>1</v>
      </c>
      <c r="J17" s="54">
        <f ca="1">IFERROR(__xludf.DUMMYFUNCTION("""COMPUTED_VALUE"""),27)</f>
        <v>27</v>
      </c>
      <c r="K17" s="51">
        <f t="shared" ca="1" si="2"/>
        <v>0.93103448275862066</v>
      </c>
      <c r="L17" s="54">
        <f ca="1">IFERROR(__xludf.DUMMYFUNCTION("""COMPUTED_VALUE"""),21)</f>
        <v>21</v>
      </c>
      <c r="M17" s="51">
        <f t="shared" ca="1" si="3"/>
        <v>0.72413793103448276</v>
      </c>
      <c r="N17" s="54">
        <f ca="1">IFERROR(__xludf.DUMMYFUNCTION("""COMPUTED_VALUE"""),52)</f>
        <v>52</v>
      </c>
      <c r="O17" s="54">
        <f ca="1">IFERROR(__xludf.DUMMYFUNCTION("""COMPUTED_VALUE"""),25)</f>
        <v>25</v>
      </c>
      <c r="P17" s="51">
        <f t="shared" ca="1" si="4"/>
        <v>0.48076923076923078</v>
      </c>
      <c r="Q17" s="54">
        <f ca="1">IFERROR(__xludf.DUMMYFUNCTION("""COMPUTED_VALUE"""),5)</f>
        <v>5</v>
      </c>
      <c r="R17" s="51">
        <f t="shared" ca="1" si="5"/>
        <v>9.6153846153846159E-2</v>
      </c>
      <c r="S17" s="53"/>
      <c r="T17" s="53"/>
      <c r="U17" s="51" t="str">
        <f t="shared" si="6"/>
        <v/>
      </c>
      <c r="V17" s="53"/>
      <c r="W17" s="51" t="str">
        <f t="shared" si="7"/>
        <v/>
      </c>
      <c r="X17" s="53"/>
      <c r="Y17" s="51" t="str">
        <f t="shared" si="8"/>
        <v/>
      </c>
      <c r="Z17" s="2"/>
      <c r="AA17" s="2"/>
      <c r="AB17" s="2"/>
      <c r="AC17" s="2"/>
      <c r="AD17" s="2"/>
      <c r="AE17" s="2"/>
    </row>
    <row r="18" spans="1:31" ht="12.75" x14ac:dyDescent="0.2">
      <c r="A18" s="53">
        <f ca="1">IFERROR(__xludf.DUMMYFUNCTION("""COMPUTED_VALUE"""),12)</f>
        <v>12</v>
      </c>
      <c r="B18" s="53" t="str">
        <f ca="1">IFERROR(__xludf.DUMMYFUNCTION("""COMPUTED_VALUE"""),"MN Hoàng Anh")</f>
        <v>MN Hoàng Anh</v>
      </c>
      <c r="C18" s="53" t="str">
        <f ca="1">IFERROR(__xludf.DUMMYFUNCTION("""COMPUTED_VALUE"""),"Mầm non")</f>
        <v>Mầm non</v>
      </c>
      <c r="D18" s="53" t="str">
        <f ca="1">IFERROR(__xludf.DUMMYFUNCTION("""COMPUTED_VALUE"""),"Tân Phú")</f>
        <v>Tân Phú</v>
      </c>
      <c r="E18" s="54">
        <f ca="1">IFERROR(__xludf.DUMMYFUNCTION("""COMPUTED_VALUE"""),32)</f>
        <v>32</v>
      </c>
      <c r="F18" s="54">
        <f ca="1">IFERROR(__xludf.DUMMYFUNCTION("""COMPUTED_VALUE"""),32)</f>
        <v>32</v>
      </c>
      <c r="G18" s="51">
        <f t="shared" ca="1" si="0"/>
        <v>1</v>
      </c>
      <c r="H18" s="54">
        <f ca="1">IFERROR(__xludf.DUMMYFUNCTION("""COMPUTED_VALUE"""),32)</f>
        <v>32</v>
      </c>
      <c r="I18" s="51">
        <f t="shared" ca="1" si="1"/>
        <v>1</v>
      </c>
      <c r="J18" s="54">
        <f ca="1">IFERROR(__xludf.DUMMYFUNCTION("""COMPUTED_VALUE"""),31)</f>
        <v>31</v>
      </c>
      <c r="K18" s="51">
        <f t="shared" ca="1" si="2"/>
        <v>0.96875</v>
      </c>
      <c r="L18" s="54">
        <f ca="1">IFERROR(__xludf.DUMMYFUNCTION("""COMPUTED_VALUE"""),24)</f>
        <v>24</v>
      </c>
      <c r="M18" s="51">
        <f t="shared" ca="1" si="3"/>
        <v>0.75</v>
      </c>
      <c r="N18" s="54">
        <f ca="1">IFERROR(__xludf.DUMMYFUNCTION("""COMPUTED_VALUE"""),98)</f>
        <v>98</v>
      </c>
      <c r="O18" s="54">
        <f ca="1">IFERROR(__xludf.DUMMYFUNCTION("""COMPUTED_VALUE"""),61)</f>
        <v>61</v>
      </c>
      <c r="P18" s="51">
        <f t="shared" ca="1" si="4"/>
        <v>0.62244897959183676</v>
      </c>
      <c r="Q18" s="54">
        <f ca="1">IFERROR(__xludf.DUMMYFUNCTION("""COMPUTED_VALUE"""),24)</f>
        <v>24</v>
      </c>
      <c r="R18" s="51">
        <f t="shared" ca="1" si="5"/>
        <v>0.24489795918367346</v>
      </c>
      <c r="S18" s="53"/>
      <c r="T18" s="53"/>
      <c r="U18" s="51" t="str">
        <f t="shared" si="6"/>
        <v/>
      </c>
      <c r="V18" s="53"/>
      <c r="W18" s="51" t="str">
        <f t="shared" si="7"/>
        <v/>
      </c>
      <c r="X18" s="53"/>
      <c r="Y18" s="51" t="str">
        <f t="shared" si="8"/>
        <v/>
      </c>
      <c r="Z18" s="2"/>
      <c r="AA18" s="2"/>
      <c r="AB18" s="2"/>
      <c r="AC18" s="2"/>
      <c r="AD18" s="2"/>
      <c r="AE18" s="2"/>
    </row>
    <row r="19" spans="1:31" ht="12.75" x14ac:dyDescent="0.2">
      <c r="A19" s="53">
        <f ca="1">IFERROR(__xludf.DUMMYFUNCTION("""COMPUTED_VALUE"""),13)</f>
        <v>13</v>
      </c>
      <c r="B19" s="53" t="str">
        <f ca="1">IFERROR(__xludf.DUMMYFUNCTION("""COMPUTED_VALUE"""),"MN Thiên Lý")</f>
        <v>MN Thiên Lý</v>
      </c>
      <c r="C19" s="53" t="str">
        <f ca="1">IFERROR(__xludf.DUMMYFUNCTION("""COMPUTED_VALUE"""),"Mầm non")</f>
        <v>Mầm non</v>
      </c>
      <c r="D19" s="53" t="str">
        <f ca="1">IFERROR(__xludf.DUMMYFUNCTION("""COMPUTED_VALUE"""),"Tân Phú")</f>
        <v>Tân Phú</v>
      </c>
      <c r="E19" s="54">
        <f ca="1">IFERROR(__xludf.DUMMYFUNCTION("""COMPUTED_VALUE"""),57)</f>
        <v>57</v>
      </c>
      <c r="F19" s="54">
        <f ca="1">IFERROR(__xludf.DUMMYFUNCTION("""COMPUTED_VALUE"""),57)</f>
        <v>57</v>
      </c>
      <c r="G19" s="51">
        <f t="shared" ca="1" si="0"/>
        <v>1</v>
      </c>
      <c r="H19" s="54">
        <f ca="1">IFERROR(__xludf.DUMMYFUNCTION("""COMPUTED_VALUE"""),56)</f>
        <v>56</v>
      </c>
      <c r="I19" s="51">
        <f t="shared" ca="1" si="1"/>
        <v>0.98245614035087714</v>
      </c>
      <c r="J19" s="54">
        <f ca="1">IFERROR(__xludf.DUMMYFUNCTION("""COMPUTED_VALUE"""),55)</f>
        <v>55</v>
      </c>
      <c r="K19" s="51">
        <f t="shared" ca="1" si="2"/>
        <v>0.96491228070175439</v>
      </c>
      <c r="L19" s="54">
        <f ca="1">IFERROR(__xludf.DUMMYFUNCTION("""COMPUTED_VALUE"""),33)</f>
        <v>33</v>
      </c>
      <c r="M19" s="51">
        <f t="shared" ca="1" si="3"/>
        <v>0.57894736842105265</v>
      </c>
      <c r="N19" s="54">
        <f ca="1">IFERROR(__xludf.DUMMYFUNCTION("""COMPUTED_VALUE"""),236)</f>
        <v>236</v>
      </c>
      <c r="O19" s="54">
        <f ca="1">IFERROR(__xludf.DUMMYFUNCTION("""COMPUTED_VALUE"""),105)</f>
        <v>105</v>
      </c>
      <c r="P19" s="51">
        <f t="shared" ca="1" si="4"/>
        <v>0.44491525423728812</v>
      </c>
      <c r="Q19" s="54">
        <f ca="1">IFERROR(__xludf.DUMMYFUNCTION("""COMPUTED_VALUE"""),45)</f>
        <v>45</v>
      </c>
      <c r="R19" s="51">
        <f t="shared" ca="1" si="5"/>
        <v>0.19067796610169491</v>
      </c>
      <c r="S19" s="53"/>
      <c r="T19" s="53"/>
      <c r="U19" s="51" t="str">
        <f t="shared" si="6"/>
        <v/>
      </c>
      <c r="V19" s="53"/>
      <c r="W19" s="51" t="str">
        <f t="shared" si="7"/>
        <v/>
      </c>
      <c r="X19" s="53"/>
      <c r="Y19" s="51" t="str">
        <f t="shared" si="8"/>
        <v/>
      </c>
      <c r="Z19" s="2"/>
      <c r="AA19" s="2"/>
      <c r="AB19" s="2"/>
      <c r="AC19" s="2"/>
      <c r="AD19" s="2"/>
      <c r="AE19" s="2"/>
    </row>
    <row r="20" spans="1:31" ht="12.75" x14ac:dyDescent="0.2">
      <c r="A20" s="53">
        <f ca="1">IFERROR(__xludf.DUMMYFUNCTION("""COMPUTED_VALUE"""),14)</f>
        <v>14</v>
      </c>
      <c r="B20" s="53" t="str">
        <f ca="1">IFERROR(__xludf.DUMMYFUNCTION("""COMPUTED_VALUE"""),"MN Hoa Lan")</f>
        <v>MN Hoa Lan</v>
      </c>
      <c r="C20" s="53" t="str">
        <f ca="1">IFERROR(__xludf.DUMMYFUNCTION("""COMPUTED_VALUE"""),"Mầm non")</f>
        <v>Mầm non</v>
      </c>
      <c r="D20" s="53" t="str">
        <f ca="1">IFERROR(__xludf.DUMMYFUNCTION("""COMPUTED_VALUE"""),"Tân Phú")</f>
        <v>Tân Phú</v>
      </c>
      <c r="E20" s="54">
        <f ca="1">IFERROR(__xludf.DUMMYFUNCTION("""COMPUTED_VALUE"""),35)</f>
        <v>35</v>
      </c>
      <c r="F20" s="54">
        <f ca="1">IFERROR(__xludf.DUMMYFUNCTION("""COMPUTED_VALUE"""),35)</f>
        <v>35</v>
      </c>
      <c r="G20" s="51">
        <f t="shared" ca="1" si="0"/>
        <v>1</v>
      </c>
      <c r="H20" s="54">
        <f ca="1">IFERROR(__xludf.DUMMYFUNCTION("""COMPUTED_VALUE"""),35)</f>
        <v>35</v>
      </c>
      <c r="I20" s="51">
        <f t="shared" ca="1" si="1"/>
        <v>1</v>
      </c>
      <c r="J20" s="54">
        <f ca="1">IFERROR(__xludf.DUMMYFUNCTION("""COMPUTED_VALUE"""),29)</f>
        <v>29</v>
      </c>
      <c r="K20" s="51">
        <f t="shared" ca="1" si="2"/>
        <v>0.82857142857142863</v>
      </c>
      <c r="L20" s="54">
        <f ca="1">IFERROR(__xludf.DUMMYFUNCTION("""COMPUTED_VALUE"""),22)</f>
        <v>22</v>
      </c>
      <c r="M20" s="51">
        <f t="shared" ca="1" si="3"/>
        <v>0.62857142857142856</v>
      </c>
      <c r="N20" s="54">
        <f ca="1">IFERROR(__xludf.DUMMYFUNCTION("""COMPUTED_VALUE"""),116)</f>
        <v>116</v>
      </c>
      <c r="O20" s="54">
        <f ca="1">IFERROR(__xludf.DUMMYFUNCTION("""COMPUTED_VALUE"""),60)</f>
        <v>60</v>
      </c>
      <c r="P20" s="51">
        <f t="shared" ca="1" si="4"/>
        <v>0.51724137931034486</v>
      </c>
      <c r="Q20" s="54">
        <f ca="1">IFERROR(__xludf.DUMMYFUNCTION("""COMPUTED_VALUE"""),30)</f>
        <v>30</v>
      </c>
      <c r="R20" s="51">
        <f t="shared" ca="1" si="5"/>
        <v>0.25862068965517243</v>
      </c>
      <c r="S20" s="53"/>
      <c r="T20" s="53"/>
      <c r="U20" s="51" t="str">
        <f t="shared" si="6"/>
        <v/>
      </c>
      <c r="V20" s="53"/>
      <c r="W20" s="51" t="str">
        <f t="shared" si="7"/>
        <v/>
      </c>
      <c r="X20" s="53"/>
      <c r="Y20" s="51" t="str">
        <f t="shared" si="8"/>
        <v/>
      </c>
      <c r="Z20" s="2"/>
      <c r="AA20" s="2"/>
      <c r="AB20" s="2"/>
      <c r="AC20" s="2"/>
      <c r="AD20" s="2"/>
      <c r="AE20" s="2"/>
    </row>
    <row r="21" spans="1:31" ht="12.75" x14ac:dyDescent="0.2">
      <c r="A21" s="53">
        <f ca="1">IFERROR(__xludf.DUMMYFUNCTION("""COMPUTED_VALUE"""),15)</f>
        <v>15</v>
      </c>
      <c r="B21" s="53" t="str">
        <f ca="1">IFERROR(__xludf.DUMMYFUNCTION("""COMPUTED_VALUE"""),"MN Hướng Dương")</f>
        <v>MN Hướng Dương</v>
      </c>
      <c r="C21" s="53" t="str">
        <f ca="1">IFERROR(__xludf.DUMMYFUNCTION("""COMPUTED_VALUE"""),"Mầm non")</f>
        <v>Mầm non</v>
      </c>
      <c r="D21" s="53" t="str">
        <f ca="1">IFERROR(__xludf.DUMMYFUNCTION("""COMPUTED_VALUE"""),"Tân Phú")</f>
        <v>Tân Phú</v>
      </c>
      <c r="E21" s="54">
        <f ca="1">IFERROR(__xludf.DUMMYFUNCTION("""COMPUTED_VALUE"""),61)</f>
        <v>61</v>
      </c>
      <c r="F21" s="54">
        <f ca="1">IFERROR(__xludf.DUMMYFUNCTION("""COMPUTED_VALUE"""),61)</f>
        <v>61</v>
      </c>
      <c r="G21" s="51">
        <f t="shared" ca="1" si="0"/>
        <v>1</v>
      </c>
      <c r="H21" s="54">
        <f ca="1">IFERROR(__xludf.DUMMYFUNCTION("""COMPUTED_VALUE"""),61)</f>
        <v>61</v>
      </c>
      <c r="I21" s="51">
        <f t="shared" ca="1" si="1"/>
        <v>1</v>
      </c>
      <c r="J21" s="54">
        <f ca="1">IFERROR(__xludf.DUMMYFUNCTION("""COMPUTED_VALUE"""),61)</f>
        <v>61</v>
      </c>
      <c r="K21" s="51">
        <f t="shared" ca="1" si="2"/>
        <v>1</v>
      </c>
      <c r="L21" s="54">
        <f ca="1">IFERROR(__xludf.DUMMYFUNCTION("""COMPUTED_VALUE"""),58)</f>
        <v>58</v>
      </c>
      <c r="M21" s="51">
        <f t="shared" ca="1" si="3"/>
        <v>0.95081967213114749</v>
      </c>
      <c r="N21" s="54">
        <f ca="1">IFERROR(__xludf.DUMMYFUNCTION("""COMPUTED_VALUE"""),240)</f>
        <v>240</v>
      </c>
      <c r="O21" s="54">
        <f ca="1">IFERROR(__xludf.DUMMYFUNCTION("""COMPUTED_VALUE"""),100)</f>
        <v>100</v>
      </c>
      <c r="P21" s="51">
        <f t="shared" ca="1" si="4"/>
        <v>0.41666666666666669</v>
      </c>
      <c r="Q21" s="54">
        <f ca="1">IFERROR(__xludf.DUMMYFUNCTION("""COMPUTED_VALUE"""),30)</f>
        <v>30</v>
      </c>
      <c r="R21" s="51">
        <f t="shared" ca="1" si="5"/>
        <v>0.125</v>
      </c>
      <c r="S21" s="53"/>
      <c r="T21" s="53"/>
      <c r="U21" s="51" t="str">
        <f t="shared" si="6"/>
        <v/>
      </c>
      <c r="V21" s="53"/>
      <c r="W21" s="51" t="str">
        <f t="shared" si="7"/>
        <v/>
      </c>
      <c r="X21" s="53"/>
      <c r="Y21" s="51" t="str">
        <f t="shared" si="8"/>
        <v/>
      </c>
      <c r="Z21" s="2"/>
      <c r="AA21" s="2"/>
      <c r="AB21" s="2"/>
      <c r="AC21" s="2"/>
      <c r="AD21" s="2"/>
      <c r="AE21" s="2"/>
    </row>
    <row r="22" spans="1:31" ht="12.75" x14ac:dyDescent="0.2">
      <c r="A22" s="53">
        <f ca="1">IFERROR(__xludf.DUMMYFUNCTION("""COMPUTED_VALUE"""),16)</f>
        <v>16</v>
      </c>
      <c r="B22" s="53" t="str">
        <f ca="1">IFERROR(__xludf.DUMMYFUNCTION("""COMPUTED_VALUE"""),"MN Trí Đức 1")</f>
        <v>MN Trí Đức 1</v>
      </c>
      <c r="C22" s="53" t="str">
        <f ca="1">IFERROR(__xludf.DUMMYFUNCTION("""COMPUTED_VALUE"""),"Mầm non")</f>
        <v>Mầm non</v>
      </c>
      <c r="D22" s="53" t="str">
        <f ca="1">IFERROR(__xludf.DUMMYFUNCTION("""COMPUTED_VALUE"""),"Tân Phú")</f>
        <v>Tân Phú</v>
      </c>
      <c r="E22" s="54">
        <f ca="1">IFERROR(__xludf.DUMMYFUNCTION("""COMPUTED_VALUE"""),51)</f>
        <v>51</v>
      </c>
      <c r="F22" s="54">
        <f ca="1">IFERROR(__xludf.DUMMYFUNCTION("""COMPUTED_VALUE"""),51)</f>
        <v>51</v>
      </c>
      <c r="G22" s="51">
        <f t="shared" ca="1" si="0"/>
        <v>1</v>
      </c>
      <c r="H22" s="54">
        <f ca="1">IFERROR(__xludf.DUMMYFUNCTION("""COMPUTED_VALUE"""),51)</f>
        <v>51</v>
      </c>
      <c r="I22" s="51">
        <f t="shared" ca="1" si="1"/>
        <v>1</v>
      </c>
      <c r="J22" s="54">
        <f ca="1">IFERROR(__xludf.DUMMYFUNCTION("""COMPUTED_VALUE"""),51)</f>
        <v>51</v>
      </c>
      <c r="K22" s="51">
        <f t="shared" ca="1" si="2"/>
        <v>1</v>
      </c>
      <c r="L22" s="54">
        <f ca="1">IFERROR(__xludf.DUMMYFUNCTION("""COMPUTED_VALUE"""),45)</f>
        <v>45</v>
      </c>
      <c r="M22" s="51">
        <f t="shared" ca="1" si="3"/>
        <v>0.88235294117647056</v>
      </c>
      <c r="N22" s="54">
        <f ca="1">IFERROR(__xludf.DUMMYFUNCTION("""COMPUTED_VALUE"""),59)</f>
        <v>59</v>
      </c>
      <c r="O22" s="54">
        <f ca="1">IFERROR(__xludf.DUMMYFUNCTION("""COMPUTED_VALUE"""),23)</f>
        <v>23</v>
      </c>
      <c r="P22" s="51">
        <f t="shared" ca="1" si="4"/>
        <v>0.38983050847457629</v>
      </c>
      <c r="Q22" s="54">
        <f ca="1">IFERROR(__xludf.DUMMYFUNCTION("""COMPUTED_VALUE"""),10)</f>
        <v>10</v>
      </c>
      <c r="R22" s="51">
        <f t="shared" ca="1" si="5"/>
        <v>0.16949152542372881</v>
      </c>
      <c r="S22" s="53"/>
      <c r="T22" s="53"/>
      <c r="U22" s="51" t="str">
        <f t="shared" si="6"/>
        <v/>
      </c>
      <c r="V22" s="53"/>
      <c r="W22" s="51" t="str">
        <f t="shared" si="7"/>
        <v/>
      </c>
      <c r="X22" s="53"/>
      <c r="Y22" s="51" t="str">
        <f t="shared" si="8"/>
        <v/>
      </c>
      <c r="Z22" s="2"/>
      <c r="AA22" s="2"/>
      <c r="AB22" s="2"/>
      <c r="AC22" s="2"/>
      <c r="AD22" s="2"/>
      <c r="AE22" s="2"/>
    </row>
    <row r="23" spans="1:31" ht="12.75" x14ac:dyDescent="0.2">
      <c r="A23" s="53">
        <f ca="1">IFERROR(__xludf.DUMMYFUNCTION("""COMPUTED_VALUE"""),17)</f>
        <v>17</v>
      </c>
      <c r="B23" s="53" t="str">
        <f ca="1">IFERROR(__xludf.DUMMYFUNCTION("""COMPUTED_VALUE"""),"MN Thiên Ân")</f>
        <v>MN Thiên Ân</v>
      </c>
      <c r="C23" s="53" t="str">
        <f ca="1">IFERROR(__xludf.DUMMYFUNCTION("""COMPUTED_VALUE"""),"Mầm non")</f>
        <v>Mầm non</v>
      </c>
      <c r="D23" s="53" t="str">
        <f ca="1">IFERROR(__xludf.DUMMYFUNCTION("""COMPUTED_VALUE"""),"Tân Phú")</f>
        <v>Tân Phú</v>
      </c>
      <c r="E23" s="54">
        <f ca="1">IFERROR(__xludf.DUMMYFUNCTION("""COMPUTED_VALUE"""),23)</f>
        <v>23</v>
      </c>
      <c r="F23" s="54">
        <f ca="1">IFERROR(__xludf.DUMMYFUNCTION("""COMPUTED_VALUE"""),23)</f>
        <v>23</v>
      </c>
      <c r="G23" s="51">
        <f t="shared" ca="1" si="0"/>
        <v>1</v>
      </c>
      <c r="H23" s="54">
        <f ca="1">IFERROR(__xludf.DUMMYFUNCTION("""COMPUTED_VALUE"""),23)</f>
        <v>23</v>
      </c>
      <c r="I23" s="51">
        <f t="shared" ca="1" si="1"/>
        <v>1</v>
      </c>
      <c r="J23" s="54">
        <f ca="1">IFERROR(__xludf.DUMMYFUNCTION("""COMPUTED_VALUE"""),18)</f>
        <v>18</v>
      </c>
      <c r="K23" s="51">
        <f t="shared" ca="1" si="2"/>
        <v>0.78260869565217395</v>
      </c>
      <c r="L23" s="54">
        <f ca="1">IFERROR(__xludf.DUMMYFUNCTION("""COMPUTED_VALUE"""),0)</f>
        <v>0</v>
      </c>
      <c r="M23" s="51">
        <f t="shared" ca="1" si="3"/>
        <v>0</v>
      </c>
      <c r="N23" s="54">
        <f ca="1">IFERROR(__xludf.DUMMYFUNCTION("""COMPUTED_VALUE"""),110)</f>
        <v>110</v>
      </c>
      <c r="O23" s="54">
        <f ca="1">IFERROR(__xludf.DUMMYFUNCTION("""COMPUTED_VALUE"""),45)</f>
        <v>45</v>
      </c>
      <c r="P23" s="51">
        <f t="shared" ca="1" si="4"/>
        <v>0.40909090909090912</v>
      </c>
      <c r="Q23" s="54">
        <f ca="1">IFERROR(__xludf.DUMMYFUNCTION("""COMPUTED_VALUE"""),15)</f>
        <v>15</v>
      </c>
      <c r="R23" s="51">
        <f t="shared" ca="1" si="5"/>
        <v>0.13636363636363635</v>
      </c>
      <c r="S23" s="53"/>
      <c r="T23" s="53"/>
      <c r="U23" s="51" t="str">
        <f t="shared" si="6"/>
        <v/>
      </c>
      <c r="V23" s="53"/>
      <c r="W23" s="51" t="str">
        <f t="shared" si="7"/>
        <v/>
      </c>
      <c r="X23" s="53"/>
      <c r="Y23" s="51" t="str">
        <f t="shared" si="8"/>
        <v/>
      </c>
      <c r="Z23" s="2"/>
      <c r="AA23" s="2"/>
      <c r="AB23" s="2"/>
      <c r="AC23" s="2"/>
      <c r="AD23" s="2"/>
      <c r="AE23" s="2"/>
    </row>
    <row r="24" spans="1:31" ht="12.75" x14ac:dyDescent="0.2">
      <c r="A24" s="53">
        <f ca="1">IFERROR(__xludf.DUMMYFUNCTION("""COMPUTED_VALUE"""),18)</f>
        <v>18</v>
      </c>
      <c r="B24" s="53" t="str">
        <f ca="1">IFERROR(__xludf.DUMMYFUNCTION("""COMPUTED_VALUE"""),"MN Tây Thạnh")</f>
        <v>MN Tây Thạnh</v>
      </c>
      <c r="C24" s="53" t="str">
        <f ca="1">IFERROR(__xludf.DUMMYFUNCTION("""COMPUTED_VALUE"""),"Mầm non")</f>
        <v>Mầm non</v>
      </c>
      <c r="D24" s="53" t="str">
        <f ca="1">IFERROR(__xludf.DUMMYFUNCTION("""COMPUTED_VALUE"""),"Tân Phú")</f>
        <v>Tân Phú</v>
      </c>
      <c r="E24" s="54">
        <f ca="1">IFERROR(__xludf.DUMMYFUNCTION("""COMPUTED_VALUE"""),38)</f>
        <v>38</v>
      </c>
      <c r="F24" s="54">
        <f ca="1">IFERROR(__xludf.DUMMYFUNCTION("""COMPUTED_VALUE"""),38)</f>
        <v>38</v>
      </c>
      <c r="G24" s="51">
        <f t="shared" ca="1" si="0"/>
        <v>1</v>
      </c>
      <c r="H24" s="54">
        <f ca="1">IFERROR(__xludf.DUMMYFUNCTION("""COMPUTED_VALUE"""),38)</f>
        <v>38</v>
      </c>
      <c r="I24" s="51">
        <f t="shared" ca="1" si="1"/>
        <v>1</v>
      </c>
      <c r="J24" s="54">
        <f ca="1">IFERROR(__xludf.DUMMYFUNCTION("""COMPUTED_VALUE"""),26)</f>
        <v>26</v>
      </c>
      <c r="K24" s="51">
        <f t="shared" ca="1" si="2"/>
        <v>0.68421052631578949</v>
      </c>
      <c r="L24" s="54">
        <f ca="1">IFERROR(__xludf.DUMMYFUNCTION("""COMPUTED_VALUE"""),2)</f>
        <v>2</v>
      </c>
      <c r="M24" s="51">
        <f t="shared" ca="1" si="3"/>
        <v>5.2631578947368418E-2</v>
      </c>
      <c r="N24" s="54">
        <f ca="1">IFERROR(__xludf.DUMMYFUNCTION("""COMPUTED_VALUE"""),60)</f>
        <v>60</v>
      </c>
      <c r="O24" s="54">
        <f ca="1">IFERROR(__xludf.DUMMYFUNCTION("""COMPUTED_VALUE"""),32)</f>
        <v>32</v>
      </c>
      <c r="P24" s="51">
        <f t="shared" ca="1" si="4"/>
        <v>0.53333333333333333</v>
      </c>
      <c r="Q24" s="54">
        <f ca="1">IFERROR(__xludf.DUMMYFUNCTION("""COMPUTED_VALUE"""),15)</f>
        <v>15</v>
      </c>
      <c r="R24" s="51">
        <f t="shared" ca="1" si="5"/>
        <v>0.25</v>
      </c>
      <c r="S24" s="53"/>
      <c r="T24" s="53"/>
      <c r="U24" s="51" t="str">
        <f t="shared" si="6"/>
        <v/>
      </c>
      <c r="V24" s="53"/>
      <c r="W24" s="51" t="str">
        <f t="shared" si="7"/>
        <v/>
      </c>
      <c r="X24" s="53"/>
      <c r="Y24" s="51" t="str">
        <f t="shared" si="8"/>
        <v/>
      </c>
      <c r="Z24" s="2"/>
      <c r="AA24" s="2"/>
      <c r="AB24" s="2"/>
      <c r="AC24" s="2"/>
      <c r="AD24" s="2"/>
      <c r="AE24" s="2"/>
    </row>
    <row r="25" spans="1:31" ht="12.75" x14ac:dyDescent="0.2">
      <c r="A25" s="53">
        <f ca="1">IFERROR(__xludf.DUMMYFUNCTION("""COMPUTED_VALUE"""),19)</f>
        <v>19</v>
      </c>
      <c r="B25" s="53" t="str">
        <f ca="1">IFERROR(__xludf.DUMMYFUNCTION("""COMPUTED_VALUE"""),"MN Ngôi Sao")</f>
        <v>MN Ngôi Sao</v>
      </c>
      <c r="C25" s="53" t="str">
        <f ca="1">IFERROR(__xludf.DUMMYFUNCTION("""COMPUTED_VALUE"""),"Mầm non")</f>
        <v>Mầm non</v>
      </c>
      <c r="D25" s="53" t="str">
        <f ca="1">IFERROR(__xludf.DUMMYFUNCTION("""COMPUTED_VALUE"""),"Tân Phú")</f>
        <v>Tân Phú</v>
      </c>
      <c r="E25" s="54">
        <f ca="1">IFERROR(__xludf.DUMMYFUNCTION("""COMPUTED_VALUE"""),21)</f>
        <v>21</v>
      </c>
      <c r="F25" s="54">
        <f ca="1">IFERROR(__xludf.DUMMYFUNCTION("""COMPUTED_VALUE"""),21)</f>
        <v>21</v>
      </c>
      <c r="G25" s="51">
        <f t="shared" ca="1" si="0"/>
        <v>1</v>
      </c>
      <c r="H25" s="54">
        <f ca="1">IFERROR(__xludf.DUMMYFUNCTION("""COMPUTED_VALUE"""),21)</f>
        <v>21</v>
      </c>
      <c r="I25" s="51">
        <f t="shared" ca="1" si="1"/>
        <v>1</v>
      </c>
      <c r="J25" s="54">
        <f ca="1">IFERROR(__xludf.DUMMYFUNCTION("""COMPUTED_VALUE"""),18)</f>
        <v>18</v>
      </c>
      <c r="K25" s="51">
        <f t="shared" ca="1" si="2"/>
        <v>0.8571428571428571</v>
      </c>
      <c r="L25" s="54">
        <f ca="1">IFERROR(__xludf.DUMMYFUNCTION("""COMPUTED_VALUE"""),2)</f>
        <v>2</v>
      </c>
      <c r="M25" s="51">
        <f t="shared" ca="1" si="3"/>
        <v>9.5238095238095233E-2</v>
      </c>
      <c r="N25" s="54">
        <f ca="1">IFERROR(__xludf.DUMMYFUNCTION("""COMPUTED_VALUE"""),30)</f>
        <v>30</v>
      </c>
      <c r="O25" s="54">
        <f ca="1">IFERROR(__xludf.DUMMYFUNCTION("""COMPUTED_VALUE"""),21)</f>
        <v>21</v>
      </c>
      <c r="P25" s="51">
        <f t="shared" ca="1" si="4"/>
        <v>0.7</v>
      </c>
      <c r="Q25" s="54">
        <f ca="1">IFERROR(__xludf.DUMMYFUNCTION("""COMPUTED_VALUE"""),12)</f>
        <v>12</v>
      </c>
      <c r="R25" s="51">
        <f t="shared" ca="1" si="5"/>
        <v>0.4</v>
      </c>
      <c r="S25" s="53"/>
      <c r="T25" s="53"/>
      <c r="U25" s="51" t="str">
        <f t="shared" si="6"/>
        <v/>
      </c>
      <c r="V25" s="53"/>
      <c r="W25" s="51" t="str">
        <f t="shared" si="7"/>
        <v/>
      </c>
      <c r="X25" s="53"/>
      <c r="Y25" s="51" t="str">
        <f t="shared" si="8"/>
        <v/>
      </c>
      <c r="Z25" s="2"/>
      <c r="AA25" s="2"/>
      <c r="AB25" s="2"/>
      <c r="AC25" s="2"/>
      <c r="AD25" s="2"/>
      <c r="AE25" s="2"/>
    </row>
    <row r="26" spans="1:31" ht="12.75" x14ac:dyDescent="0.2">
      <c r="A26" s="53">
        <f ca="1">IFERROR(__xludf.DUMMYFUNCTION("""COMPUTED_VALUE"""),20)</f>
        <v>20</v>
      </c>
      <c r="B26" s="53" t="str">
        <f ca="1">IFERROR(__xludf.DUMMYFUNCTION("""COMPUTED_VALUE"""),"MN Phương Đông")</f>
        <v>MN Phương Đông</v>
      </c>
      <c r="C26" s="53" t="str">
        <f ca="1">IFERROR(__xludf.DUMMYFUNCTION("""COMPUTED_VALUE"""),"Mầm non")</f>
        <v>Mầm non</v>
      </c>
      <c r="D26" s="53" t="str">
        <f ca="1">IFERROR(__xludf.DUMMYFUNCTION("""COMPUTED_VALUE"""),"Tân Phú")</f>
        <v>Tân Phú</v>
      </c>
      <c r="E26" s="54">
        <f ca="1">IFERROR(__xludf.DUMMYFUNCTION("""COMPUTED_VALUE"""),22)</f>
        <v>22</v>
      </c>
      <c r="F26" s="54">
        <f ca="1">IFERROR(__xludf.DUMMYFUNCTION("""COMPUTED_VALUE"""),21)</f>
        <v>21</v>
      </c>
      <c r="G26" s="51">
        <f t="shared" ca="1" si="0"/>
        <v>0.95454545454545459</v>
      </c>
      <c r="H26" s="54">
        <f ca="1">IFERROR(__xludf.DUMMYFUNCTION("""COMPUTED_VALUE"""),21)</f>
        <v>21</v>
      </c>
      <c r="I26" s="51">
        <f t="shared" ca="1" si="1"/>
        <v>0.95454545454545459</v>
      </c>
      <c r="J26" s="54">
        <f ca="1">IFERROR(__xludf.DUMMYFUNCTION("""COMPUTED_VALUE"""),16)</f>
        <v>16</v>
      </c>
      <c r="K26" s="51">
        <f t="shared" ca="1" si="2"/>
        <v>0.72727272727272729</v>
      </c>
      <c r="L26" s="54">
        <f ca="1">IFERROR(__xludf.DUMMYFUNCTION("""COMPUTED_VALUE"""),7)</f>
        <v>7</v>
      </c>
      <c r="M26" s="51">
        <f t="shared" ca="1" si="3"/>
        <v>0.31818181818181818</v>
      </c>
      <c r="N26" s="54">
        <f ca="1">IFERROR(__xludf.DUMMYFUNCTION("""COMPUTED_VALUE"""),44)</f>
        <v>44</v>
      </c>
      <c r="O26" s="54">
        <f ca="1">IFERROR(__xludf.DUMMYFUNCTION("""COMPUTED_VALUE"""),33)</f>
        <v>33</v>
      </c>
      <c r="P26" s="51">
        <f t="shared" ca="1" si="4"/>
        <v>0.75</v>
      </c>
      <c r="Q26" s="54">
        <f ca="1">IFERROR(__xludf.DUMMYFUNCTION("""COMPUTED_VALUE"""),17)</f>
        <v>17</v>
      </c>
      <c r="R26" s="51">
        <f t="shared" ca="1" si="5"/>
        <v>0.38636363636363635</v>
      </c>
      <c r="S26" s="53"/>
      <c r="T26" s="53"/>
      <c r="U26" s="51" t="str">
        <f t="shared" si="6"/>
        <v/>
      </c>
      <c r="V26" s="53"/>
      <c r="W26" s="51" t="str">
        <f t="shared" si="7"/>
        <v/>
      </c>
      <c r="X26" s="53"/>
      <c r="Y26" s="51" t="str">
        <f t="shared" si="8"/>
        <v/>
      </c>
      <c r="Z26" s="2"/>
      <c r="AA26" s="2"/>
      <c r="AB26" s="2"/>
      <c r="AC26" s="2"/>
      <c r="AD26" s="2"/>
      <c r="AE26" s="2"/>
    </row>
    <row r="27" spans="1:31" ht="12.75" x14ac:dyDescent="0.2">
      <c r="A27" s="53">
        <f ca="1">IFERROR(__xludf.DUMMYFUNCTION("""COMPUTED_VALUE"""),21)</f>
        <v>21</v>
      </c>
      <c r="B27" s="53" t="str">
        <f ca="1">IFERROR(__xludf.DUMMYFUNCTION("""COMPUTED_VALUE"""),"MN Hải Yến")</f>
        <v>MN Hải Yến</v>
      </c>
      <c r="C27" s="53" t="str">
        <f ca="1">IFERROR(__xludf.DUMMYFUNCTION("""COMPUTED_VALUE"""),"Mầm non")</f>
        <v>Mầm non</v>
      </c>
      <c r="D27" s="53" t="str">
        <f ca="1">IFERROR(__xludf.DUMMYFUNCTION("""COMPUTED_VALUE"""),"Tân Phú")</f>
        <v>Tân Phú</v>
      </c>
      <c r="E27" s="54">
        <f ca="1">IFERROR(__xludf.DUMMYFUNCTION("""COMPUTED_VALUE"""),20)</f>
        <v>20</v>
      </c>
      <c r="F27" s="54">
        <f ca="1">IFERROR(__xludf.DUMMYFUNCTION("""COMPUTED_VALUE"""),20)</f>
        <v>20</v>
      </c>
      <c r="G27" s="51">
        <f t="shared" ca="1" si="0"/>
        <v>1</v>
      </c>
      <c r="H27" s="54">
        <f ca="1">IFERROR(__xludf.DUMMYFUNCTION("""COMPUTED_VALUE"""),20)</f>
        <v>20</v>
      </c>
      <c r="I27" s="51">
        <f t="shared" ca="1" si="1"/>
        <v>1</v>
      </c>
      <c r="J27" s="54">
        <f ca="1">IFERROR(__xludf.DUMMYFUNCTION("""COMPUTED_VALUE"""),18)</f>
        <v>18</v>
      </c>
      <c r="K27" s="51">
        <f t="shared" ca="1" si="2"/>
        <v>0.9</v>
      </c>
      <c r="L27" s="54">
        <f ca="1">IFERROR(__xludf.DUMMYFUNCTION("""COMPUTED_VALUE"""),1)</f>
        <v>1</v>
      </c>
      <c r="M27" s="51">
        <f t="shared" ca="1" si="3"/>
        <v>0.05</v>
      </c>
      <c r="N27" s="54">
        <f ca="1">IFERROR(__xludf.DUMMYFUNCTION("""COMPUTED_VALUE"""),74)</f>
        <v>74</v>
      </c>
      <c r="O27" s="54">
        <f ca="1">IFERROR(__xludf.DUMMYFUNCTION("""COMPUTED_VALUE"""),24)</f>
        <v>24</v>
      </c>
      <c r="P27" s="51">
        <f t="shared" ca="1" si="4"/>
        <v>0.32432432432432434</v>
      </c>
      <c r="Q27" s="54">
        <f ca="1">IFERROR(__xludf.DUMMYFUNCTION("""COMPUTED_VALUE"""),12)</f>
        <v>12</v>
      </c>
      <c r="R27" s="51">
        <f t="shared" ca="1" si="5"/>
        <v>0.16216216216216217</v>
      </c>
      <c r="S27" s="53"/>
      <c r="T27" s="53"/>
      <c r="U27" s="51" t="str">
        <f t="shared" si="6"/>
        <v/>
      </c>
      <c r="V27" s="53"/>
      <c r="W27" s="51" t="str">
        <f t="shared" si="7"/>
        <v/>
      </c>
      <c r="X27" s="53"/>
      <c r="Y27" s="51" t="str">
        <f t="shared" si="8"/>
        <v/>
      </c>
      <c r="Z27" s="2"/>
      <c r="AA27" s="2"/>
      <c r="AB27" s="2"/>
      <c r="AC27" s="2"/>
      <c r="AD27" s="2"/>
      <c r="AE27" s="2"/>
    </row>
    <row r="28" spans="1:31" ht="12.75" x14ac:dyDescent="0.2">
      <c r="A28" s="53">
        <f ca="1">IFERROR(__xludf.DUMMYFUNCTION("""COMPUTED_VALUE"""),22)</f>
        <v>22</v>
      </c>
      <c r="B28" s="53" t="str">
        <f ca="1">IFERROR(__xludf.DUMMYFUNCTION("""COMPUTED_VALUE"""),"MN Khôi Nguyên")</f>
        <v>MN Khôi Nguyên</v>
      </c>
      <c r="C28" s="53" t="str">
        <f ca="1">IFERROR(__xludf.DUMMYFUNCTION("""COMPUTED_VALUE"""),"Mầm non")</f>
        <v>Mầm non</v>
      </c>
      <c r="D28" s="53" t="str">
        <f ca="1">IFERROR(__xludf.DUMMYFUNCTION("""COMPUTED_VALUE"""),"Tân Phú")</f>
        <v>Tân Phú</v>
      </c>
      <c r="E28" s="54">
        <f ca="1">IFERROR(__xludf.DUMMYFUNCTION("""COMPUTED_VALUE"""),10)</f>
        <v>10</v>
      </c>
      <c r="F28" s="54">
        <f ca="1">IFERROR(__xludf.DUMMYFUNCTION("""COMPUTED_VALUE"""),10)</f>
        <v>10</v>
      </c>
      <c r="G28" s="51">
        <f t="shared" ca="1" si="0"/>
        <v>1</v>
      </c>
      <c r="H28" s="54">
        <f ca="1">IFERROR(__xludf.DUMMYFUNCTION("""COMPUTED_VALUE"""),10)</f>
        <v>10</v>
      </c>
      <c r="I28" s="51">
        <f t="shared" ca="1" si="1"/>
        <v>1</v>
      </c>
      <c r="J28" s="54">
        <f ca="1">IFERROR(__xludf.DUMMYFUNCTION("""COMPUTED_VALUE"""),9)</f>
        <v>9</v>
      </c>
      <c r="K28" s="51">
        <f t="shared" ca="1" si="2"/>
        <v>0.9</v>
      </c>
      <c r="L28" s="54">
        <f ca="1">IFERROR(__xludf.DUMMYFUNCTION("""COMPUTED_VALUE"""),1)</f>
        <v>1</v>
      </c>
      <c r="M28" s="51">
        <f t="shared" ca="1" si="3"/>
        <v>0.1</v>
      </c>
      <c r="N28" s="54">
        <f ca="1">IFERROR(__xludf.DUMMYFUNCTION("""COMPUTED_VALUE"""),46)</f>
        <v>46</v>
      </c>
      <c r="O28" s="54">
        <f ca="1">IFERROR(__xludf.DUMMYFUNCTION("""COMPUTED_VALUE"""),21)</f>
        <v>21</v>
      </c>
      <c r="P28" s="51">
        <f t="shared" ca="1" si="4"/>
        <v>0.45652173913043476</v>
      </c>
      <c r="Q28" s="54">
        <f ca="1">IFERROR(__xludf.DUMMYFUNCTION("""COMPUTED_VALUE"""),12)</f>
        <v>12</v>
      </c>
      <c r="R28" s="51">
        <f t="shared" ca="1" si="5"/>
        <v>0.2608695652173913</v>
      </c>
      <c r="S28" s="53"/>
      <c r="T28" s="53"/>
      <c r="U28" s="51" t="str">
        <f t="shared" si="6"/>
        <v/>
      </c>
      <c r="V28" s="53"/>
      <c r="W28" s="51" t="str">
        <f t="shared" si="7"/>
        <v/>
      </c>
      <c r="X28" s="53"/>
      <c r="Y28" s="51" t="str">
        <f t="shared" si="8"/>
        <v/>
      </c>
      <c r="Z28" s="2"/>
      <c r="AA28" s="2"/>
      <c r="AB28" s="2"/>
      <c r="AC28" s="2"/>
      <c r="AD28" s="2"/>
      <c r="AE28" s="2"/>
    </row>
    <row r="29" spans="1:31" ht="12.75" x14ac:dyDescent="0.2">
      <c r="A29" s="53">
        <f ca="1">IFERROR(__xludf.DUMMYFUNCTION("""COMPUTED_VALUE"""),23)</f>
        <v>23</v>
      </c>
      <c r="B29" s="53" t="str">
        <f ca="1">IFERROR(__xludf.DUMMYFUNCTION("""COMPUTED_VALUE"""),"MG Ánh Sáng")</f>
        <v>MG Ánh Sáng</v>
      </c>
      <c r="C29" s="53" t="str">
        <f ca="1">IFERROR(__xludf.DUMMYFUNCTION("""COMPUTED_VALUE"""),"Mầm non")</f>
        <v>Mầm non</v>
      </c>
      <c r="D29" s="53" t="str">
        <f ca="1">IFERROR(__xludf.DUMMYFUNCTION("""COMPUTED_VALUE"""),"Tân Phú")</f>
        <v>Tân Phú</v>
      </c>
      <c r="E29" s="54">
        <f ca="1">IFERROR(__xludf.DUMMYFUNCTION("""COMPUTED_VALUE"""),48)</f>
        <v>48</v>
      </c>
      <c r="F29" s="54">
        <f ca="1">IFERROR(__xludf.DUMMYFUNCTION("""COMPUTED_VALUE"""),48)</f>
        <v>48</v>
      </c>
      <c r="G29" s="51">
        <f t="shared" ca="1" si="0"/>
        <v>1</v>
      </c>
      <c r="H29" s="54">
        <f ca="1">IFERROR(__xludf.DUMMYFUNCTION("""COMPUTED_VALUE"""),48)</f>
        <v>48</v>
      </c>
      <c r="I29" s="51">
        <f t="shared" ca="1" si="1"/>
        <v>1</v>
      </c>
      <c r="J29" s="54">
        <f ca="1">IFERROR(__xludf.DUMMYFUNCTION("""COMPUTED_VALUE"""),48)</f>
        <v>48</v>
      </c>
      <c r="K29" s="51">
        <f t="shared" ca="1" si="2"/>
        <v>1</v>
      </c>
      <c r="L29" s="54">
        <f ca="1">IFERROR(__xludf.DUMMYFUNCTION("""COMPUTED_VALUE"""),26)</f>
        <v>26</v>
      </c>
      <c r="M29" s="51">
        <f t="shared" ca="1" si="3"/>
        <v>0.54166666666666663</v>
      </c>
      <c r="N29" s="54">
        <f ca="1">IFERROR(__xludf.DUMMYFUNCTION("""COMPUTED_VALUE"""),70)</f>
        <v>70</v>
      </c>
      <c r="O29" s="54">
        <f ca="1">IFERROR(__xludf.DUMMYFUNCTION("""COMPUTED_VALUE"""),52)</f>
        <v>52</v>
      </c>
      <c r="P29" s="51">
        <f t="shared" ca="1" si="4"/>
        <v>0.74285714285714288</v>
      </c>
      <c r="Q29" s="54">
        <f ca="1">IFERROR(__xludf.DUMMYFUNCTION("""COMPUTED_VALUE"""),5)</f>
        <v>5</v>
      </c>
      <c r="R29" s="51">
        <f t="shared" ca="1" si="5"/>
        <v>7.1428571428571425E-2</v>
      </c>
      <c r="S29" s="53"/>
      <c r="T29" s="53"/>
      <c r="U29" s="51" t="str">
        <f t="shared" si="6"/>
        <v/>
      </c>
      <c r="V29" s="53"/>
      <c r="W29" s="51" t="str">
        <f t="shared" si="7"/>
        <v/>
      </c>
      <c r="X29" s="53"/>
      <c r="Y29" s="51" t="str">
        <f t="shared" si="8"/>
        <v/>
      </c>
      <c r="Z29" s="2"/>
      <c r="AA29" s="2"/>
      <c r="AB29" s="2"/>
      <c r="AC29" s="2"/>
      <c r="AD29" s="2"/>
      <c r="AE29" s="2"/>
    </row>
    <row r="30" spans="1:31" ht="12.75" x14ac:dyDescent="0.2">
      <c r="A30" s="53">
        <f ca="1">IFERROR(__xludf.DUMMYFUNCTION("""COMPUTED_VALUE"""),24)</f>
        <v>24</v>
      </c>
      <c r="B30" s="53" t="str">
        <f ca="1">IFERROR(__xludf.DUMMYFUNCTION("""COMPUTED_VALUE"""),"MG Tuổi Hồng")</f>
        <v>MG Tuổi Hồng</v>
      </c>
      <c r="C30" s="53" t="str">
        <f ca="1">IFERROR(__xludf.DUMMYFUNCTION("""COMPUTED_VALUE"""),"Mầm non")</f>
        <v>Mầm non</v>
      </c>
      <c r="D30" s="53" t="str">
        <f ca="1">IFERROR(__xludf.DUMMYFUNCTION("""COMPUTED_VALUE"""),"Tân Phú")</f>
        <v>Tân Phú</v>
      </c>
      <c r="E30" s="54">
        <f ca="1">IFERROR(__xludf.DUMMYFUNCTION("""COMPUTED_VALUE"""),22)</f>
        <v>22</v>
      </c>
      <c r="F30" s="54">
        <f ca="1">IFERROR(__xludf.DUMMYFUNCTION("""COMPUTED_VALUE"""),22)</f>
        <v>22</v>
      </c>
      <c r="G30" s="51">
        <f t="shared" ca="1" si="0"/>
        <v>1</v>
      </c>
      <c r="H30" s="54">
        <f ca="1">IFERROR(__xludf.DUMMYFUNCTION("""COMPUTED_VALUE"""),22)</f>
        <v>22</v>
      </c>
      <c r="I30" s="51">
        <f t="shared" ca="1" si="1"/>
        <v>1</v>
      </c>
      <c r="J30" s="54">
        <f ca="1">IFERROR(__xludf.DUMMYFUNCTION("""COMPUTED_VALUE"""),22)</f>
        <v>22</v>
      </c>
      <c r="K30" s="51">
        <f t="shared" ca="1" si="2"/>
        <v>1</v>
      </c>
      <c r="L30" s="54">
        <f ca="1">IFERROR(__xludf.DUMMYFUNCTION("""COMPUTED_VALUE"""),3)</f>
        <v>3</v>
      </c>
      <c r="M30" s="51">
        <f t="shared" ca="1" si="3"/>
        <v>0.13636363636363635</v>
      </c>
      <c r="N30" s="54">
        <f ca="1">IFERROR(__xludf.DUMMYFUNCTION("""COMPUTED_VALUE"""),90)</f>
        <v>90</v>
      </c>
      <c r="O30" s="54">
        <f ca="1">IFERROR(__xludf.DUMMYFUNCTION("""COMPUTED_VALUE"""),36)</f>
        <v>36</v>
      </c>
      <c r="P30" s="51">
        <f t="shared" ca="1" si="4"/>
        <v>0.4</v>
      </c>
      <c r="Q30" s="54">
        <f ca="1">IFERROR(__xludf.DUMMYFUNCTION("""COMPUTED_VALUE"""),16)</f>
        <v>16</v>
      </c>
      <c r="R30" s="51">
        <f t="shared" ca="1" si="5"/>
        <v>0.17777777777777778</v>
      </c>
      <c r="S30" s="53"/>
      <c r="T30" s="53"/>
      <c r="U30" s="51" t="str">
        <f t="shared" si="6"/>
        <v/>
      </c>
      <c r="V30" s="53"/>
      <c r="W30" s="51" t="str">
        <f t="shared" si="7"/>
        <v/>
      </c>
      <c r="X30" s="53"/>
      <c r="Y30" s="51" t="str">
        <f t="shared" si="8"/>
        <v/>
      </c>
      <c r="Z30" s="2"/>
      <c r="AA30" s="2"/>
      <c r="AB30" s="2"/>
      <c r="AC30" s="2"/>
      <c r="AD30" s="2"/>
      <c r="AE30" s="2"/>
    </row>
    <row r="31" spans="1:31" ht="12.75" x14ac:dyDescent="0.2">
      <c r="A31" s="53">
        <f ca="1">IFERROR(__xludf.DUMMYFUNCTION("""COMPUTED_VALUE"""),25)</f>
        <v>25</v>
      </c>
      <c r="B31" s="53" t="str">
        <f ca="1">IFERROR(__xludf.DUMMYFUNCTION("""COMPUTED_VALUE"""),"MN ATY")</f>
        <v>MN ATY</v>
      </c>
      <c r="C31" s="53" t="str">
        <f ca="1">IFERROR(__xludf.DUMMYFUNCTION("""COMPUTED_VALUE"""),"Mầm non")</f>
        <v>Mầm non</v>
      </c>
      <c r="D31" s="53" t="str">
        <f ca="1">IFERROR(__xludf.DUMMYFUNCTION("""COMPUTED_VALUE"""),"Tân Phú")</f>
        <v>Tân Phú</v>
      </c>
      <c r="E31" s="54">
        <f ca="1">IFERROR(__xludf.DUMMYFUNCTION("""COMPUTED_VALUE"""),28)</f>
        <v>28</v>
      </c>
      <c r="F31" s="54">
        <f ca="1">IFERROR(__xludf.DUMMYFUNCTION("""COMPUTED_VALUE"""),28)</f>
        <v>28</v>
      </c>
      <c r="G31" s="51">
        <f t="shared" ca="1" si="0"/>
        <v>1</v>
      </c>
      <c r="H31" s="54">
        <f ca="1">IFERROR(__xludf.DUMMYFUNCTION("""COMPUTED_VALUE"""),27)</f>
        <v>27</v>
      </c>
      <c r="I31" s="51">
        <f t="shared" ca="1" si="1"/>
        <v>0.9642857142857143</v>
      </c>
      <c r="J31" s="54">
        <f ca="1">IFERROR(__xludf.DUMMYFUNCTION("""COMPUTED_VALUE"""),25)</f>
        <v>25</v>
      </c>
      <c r="K31" s="51">
        <f t="shared" ca="1" si="2"/>
        <v>0.8928571428571429</v>
      </c>
      <c r="L31" s="54">
        <f ca="1">IFERROR(__xludf.DUMMYFUNCTION("""COMPUTED_VALUE"""),0)</f>
        <v>0</v>
      </c>
      <c r="M31" s="51">
        <f t="shared" ca="1" si="3"/>
        <v>0</v>
      </c>
      <c r="N31" s="54">
        <f ca="1">IFERROR(__xludf.DUMMYFUNCTION("""COMPUTED_VALUE"""),35)</f>
        <v>35</v>
      </c>
      <c r="O31" s="54">
        <f ca="1">IFERROR(__xludf.DUMMYFUNCTION("""COMPUTED_VALUE"""),19)</f>
        <v>19</v>
      </c>
      <c r="P31" s="51">
        <f t="shared" ca="1" si="4"/>
        <v>0.54285714285714282</v>
      </c>
      <c r="Q31" s="54">
        <f ca="1">IFERROR(__xludf.DUMMYFUNCTION("""COMPUTED_VALUE"""),3)</f>
        <v>3</v>
      </c>
      <c r="R31" s="51">
        <f t="shared" ca="1" si="5"/>
        <v>8.5714285714285715E-2</v>
      </c>
      <c r="S31" s="53"/>
      <c r="T31" s="53"/>
      <c r="U31" s="51" t="str">
        <f t="shared" si="6"/>
        <v/>
      </c>
      <c r="V31" s="53"/>
      <c r="W31" s="51" t="str">
        <f t="shared" si="7"/>
        <v/>
      </c>
      <c r="X31" s="53"/>
      <c r="Y31" s="51" t="str">
        <f t="shared" si="8"/>
        <v/>
      </c>
      <c r="Z31" s="2"/>
      <c r="AA31" s="2"/>
      <c r="AB31" s="2"/>
      <c r="AC31" s="2"/>
      <c r="AD31" s="2"/>
      <c r="AE31" s="2"/>
    </row>
    <row r="32" spans="1:31" ht="12.75" x14ac:dyDescent="0.2">
      <c r="A32" s="53">
        <f ca="1">IFERROR(__xludf.DUMMYFUNCTION("""COMPUTED_VALUE"""),26)</f>
        <v>26</v>
      </c>
      <c r="B32" s="53" t="str">
        <f ca="1">IFERROR(__xludf.DUMMYFUNCTION("""COMPUTED_VALUE"""),"MN Hoa Mai Lan")</f>
        <v>MN Hoa Mai Lan</v>
      </c>
      <c r="C32" s="53" t="str">
        <f ca="1">IFERROR(__xludf.DUMMYFUNCTION("""COMPUTED_VALUE"""),"Mầm non")</f>
        <v>Mầm non</v>
      </c>
      <c r="D32" s="53" t="str">
        <f ca="1">IFERROR(__xludf.DUMMYFUNCTION("""COMPUTED_VALUE"""),"Tân Phú")</f>
        <v>Tân Phú</v>
      </c>
      <c r="E32" s="54">
        <f ca="1">IFERROR(__xludf.DUMMYFUNCTION("""COMPUTED_VALUE"""),23)</f>
        <v>23</v>
      </c>
      <c r="F32" s="54">
        <f ca="1">IFERROR(__xludf.DUMMYFUNCTION("""COMPUTED_VALUE"""),23)</f>
        <v>23</v>
      </c>
      <c r="G32" s="51">
        <f t="shared" ca="1" si="0"/>
        <v>1</v>
      </c>
      <c r="H32" s="54">
        <f ca="1">IFERROR(__xludf.DUMMYFUNCTION("""COMPUTED_VALUE"""),23)</f>
        <v>23</v>
      </c>
      <c r="I32" s="51">
        <f t="shared" ca="1" si="1"/>
        <v>1</v>
      </c>
      <c r="J32" s="54">
        <f ca="1">IFERROR(__xludf.DUMMYFUNCTION("""COMPUTED_VALUE"""),19)</f>
        <v>19</v>
      </c>
      <c r="K32" s="51">
        <f t="shared" ca="1" si="2"/>
        <v>0.82608695652173914</v>
      </c>
      <c r="L32" s="54">
        <f ca="1">IFERROR(__xludf.DUMMYFUNCTION("""COMPUTED_VALUE"""),0)</f>
        <v>0</v>
      </c>
      <c r="M32" s="51">
        <f t="shared" ca="1" si="3"/>
        <v>0</v>
      </c>
      <c r="N32" s="54">
        <f ca="1">IFERROR(__xludf.DUMMYFUNCTION("""COMPUTED_VALUE"""),0)</f>
        <v>0</v>
      </c>
      <c r="O32" s="54">
        <f ca="1">IFERROR(__xludf.DUMMYFUNCTION("""COMPUTED_VALUE"""),0)</f>
        <v>0</v>
      </c>
      <c r="P32" s="51" t="str">
        <f t="shared" ca="1" si="4"/>
        <v/>
      </c>
      <c r="Q32" s="54">
        <f ca="1">IFERROR(__xludf.DUMMYFUNCTION("""COMPUTED_VALUE"""),0)</f>
        <v>0</v>
      </c>
      <c r="R32" s="51" t="str">
        <f t="shared" ca="1" si="5"/>
        <v/>
      </c>
      <c r="S32" s="53"/>
      <c r="T32" s="53"/>
      <c r="U32" s="51" t="str">
        <f t="shared" si="6"/>
        <v/>
      </c>
      <c r="V32" s="53"/>
      <c r="W32" s="51" t="str">
        <f t="shared" si="7"/>
        <v/>
      </c>
      <c r="X32" s="53"/>
      <c r="Y32" s="51" t="str">
        <f t="shared" si="8"/>
        <v/>
      </c>
      <c r="Z32" s="2"/>
      <c r="AA32" s="2"/>
      <c r="AB32" s="2"/>
      <c r="AC32" s="2"/>
      <c r="AD32" s="2"/>
      <c r="AE32" s="2"/>
    </row>
    <row r="33" spans="1:31" ht="12.75" x14ac:dyDescent="0.2">
      <c r="A33" s="53">
        <f ca="1">IFERROR(__xludf.DUMMYFUNCTION("""COMPUTED_VALUE"""),27)</f>
        <v>27</v>
      </c>
      <c r="B33" s="53" t="str">
        <f ca="1">IFERROR(__xludf.DUMMYFUNCTION("""COMPUTED_VALUE"""),"MN Thần Đồng")</f>
        <v>MN Thần Đồng</v>
      </c>
      <c r="C33" s="53" t="str">
        <f ca="1">IFERROR(__xludf.DUMMYFUNCTION("""COMPUTED_VALUE"""),"Mầm non")</f>
        <v>Mầm non</v>
      </c>
      <c r="D33" s="53" t="str">
        <f ca="1">IFERROR(__xludf.DUMMYFUNCTION("""COMPUTED_VALUE"""),"Tân Phú")</f>
        <v>Tân Phú</v>
      </c>
      <c r="E33" s="54">
        <f ca="1">IFERROR(__xludf.DUMMYFUNCTION("""COMPUTED_VALUE"""),9)</f>
        <v>9</v>
      </c>
      <c r="F33" s="54">
        <f ca="1">IFERROR(__xludf.DUMMYFUNCTION("""COMPUTED_VALUE"""),9)</f>
        <v>9</v>
      </c>
      <c r="G33" s="51">
        <f t="shared" ca="1" si="0"/>
        <v>1</v>
      </c>
      <c r="H33" s="54">
        <f ca="1">IFERROR(__xludf.DUMMYFUNCTION("""COMPUTED_VALUE"""),9)</f>
        <v>9</v>
      </c>
      <c r="I33" s="51">
        <f t="shared" ca="1" si="1"/>
        <v>1</v>
      </c>
      <c r="J33" s="54">
        <f ca="1">IFERROR(__xludf.DUMMYFUNCTION("""COMPUTED_VALUE"""),9)</f>
        <v>9</v>
      </c>
      <c r="K33" s="51">
        <f t="shared" ca="1" si="2"/>
        <v>1</v>
      </c>
      <c r="L33" s="54">
        <f ca="1">IFERROR(__xludf.DUMMYFUNCTION("""COMPUTED_VALUE"""),2)</f>
        <v>2</v>
      </c>
      <c r="M33" s="51">
        <f t="shared" ca="1" si="3"/>
        <v>0.22222222222222221</v>
      </c>
      <c r="N33" s="54">
        <f ca="1">IFERROR(__xludf.DUMMYFUNCTION("""COMPUTED_VALUE"""),25)</f>
        <v>25</v>
      </c>
      <c r="O33" s="54">
        <f ca="1">IFERROR(__xludf.DUMMYFUNCTION("""COMPUTED_VALUE"""),8)</f>
        <v>8</v>
      </c>
      <c r="P33" s="51">
        <f t="shared" ca="1" si="4"/>
        <v>0.32</v>
      </c>
      <c r="Q33" s="54">
        <f ca="1">IFERROR(__xludf.DUMMYFUNCTION("""COMPUTED_VALUE"""),0)</f>
        <v>0</v>
      </c>
      <c r="R33" s="51">
        <f t="shared" ca="1" si="5"/>
        <v>0</v>
      </c>
      <c r="S33" s="53"/>
      <c r="T33" s="53"/>
      <c r="U33" s="51" t="str">
        <f t="shared" si="6"/>
        <v/>
      </c>
      <c r="V33" s="53"/>
      <c r="W33" s="51" t="str">
        <f t="shared" si="7"/>
        <v/>
      </c>
      <c r="X33" s="53"/>
      <c r="Y33" s="51" t="str">
        <f t="shared" si="8"/>
        <v/>
      </c>
      <c r="Z33" s="2"/>
      <c r="AA33" s="2"/>
      <c r="AB33" s="2"/>
      <c r="AC33" s="2"/>
      <c r="AD33" s="2"/>
      <c r="AE33" s="2"/>
    </row>
    <row r="34" spans="1:31" ht="12.75" x14ac:dyDescent="0.2">
      <c r="A34" s="53">
        <f ca="1">IFERROR(__xludf.DUMMYFUNCTION("""COMPUTED_VALUE"""),28)</f>
        <v>28</v>
      </c>
      <c r="B34" s="53" t="str">
        <f ca="1">IFERROR(__xludf.DUMMYFUNCTION("""COMPUTED_VALUE"""),"MN Minh Trí")</f>
        <v>MN Minh Trí</v>
      </c>
      <c r="C34" s="53" t="str">
        <f ca="1">IFERROR(__xludf.DUMMYFUNCTION("""COMPUTED_VALUE"""),"Mầm non")</f>
        <v>Mầm non</v>
      </c>
      <c r="D34" s="53" t="str">
        <f ca="1">IFERROR(__xludf.DUMMYFUNCTION("""COMPUTED_VALUE"""),"Tân Phú")</f>
        <v>Tân Phú</v>
      </c>
      <c r="E34" s="54">
        <f ca="1">IFERROR(__xludf.DUMMYFUNCTION("""COMPUTED_VALUE"""),7)</f>
        <v>7</v>
      </c>
      <c r="F34" s="54">
        <f ca="1">IFERROR(__xludf.DUMMYFUNCTION("""COMPUTED_VALUE"""),7)</f>
        <v>7</v>
      </c>
      <c r="G34" s="51">
        <f t="shared" ca="1" si="0"/>
        <v>1</v>
      </c>
      <c r="H34" s="54">
        <f ca="1">IFERROR(__xludf.DUMMYFUNCTION("""COMPUTED_VALUE"""),7)</f>
        <v>7</v>
      </c>
      <c r="I34" s="51">
        <f t="shared" ca="1" si="1"/>
        <v>1</v>
      </c>
      <c r="J34" s="54">
        <f ca="1">IFERROR(__xludf.DUMMYFUNCTION("""COMPUTED_VALUE"""),7)</f>
        <v>7</v>
      </c>
      <c r="K34" s="51">
        <f t="shared" ca="1" si="2"/>
        <v>1</v>
      </c>
      <c r="L34" s="54">
        <f ca="1">IFERROR(__xludf.DUMMYFUNCTION("""COMPUTED_VALUE"""),3)</f>
        <v>3</v>
      </c>
      <c r="M34" s="51">
        <f t="shared" ca="1" si="3"/>
        <v>0.42857142857142855</v>
      </c>
      <c r="N34" s="54">
        <f ca="1">IFERROR(__xludf.DUMMYFUNCTION("""COMPUTED_VALUE"""),22)</f>
        <v>22</v>
      </c>
      <c r="O34" s="54">
        <f ca="1">IFERROR(__xludf.DUMMYFUNCTION("""COMPUTED_VALUE"""),8)</f>
        <v>8</v>
      </c>
      <c r="P34" s="51">
        <f t="shared" ca="1" si="4"/>
        <v>0.36363636363636365</v>
      </c>
      <c r="Q34" s="54">
        <f ca="1">IFERROR(__xludf.DUMMYFUNCTION("""COMPUTED_VALUE"""),0)</f>
        <v>0</v>
      </c>
      <c r="R34" s="51">
        <f t="shared" ca="1" si="5"/>
        <v>0</v>
      </c>
      <c r="S34" s="53"/>
      <c r="T34" s="53"/>
      <c r="U34" s="51" t="str">
        <f t="shared" si="6"/>
        <v/>
      </c>
      <c r="V34" s="53"/>
      <c r="W34" s="51" t="str">
        <f t="shared" si="7"/>
        <v/>
      </c>
      <c r="X34" s="53"/>
      <c r="Y34" s="51" t="str">
        <f t="shared" si="8"/>
        <v/>
      </c>
      <c r="Z34" s="2"/>
      <c r="AA34" s="2"/>
      <c r="AB34" s="2"/>
      <c r="AC34" s="2"/>
      <c r="AD34" s="2"/>
      <c r="AE34" s="2"/>
    </row>
    <row r="35" spans="1:31" ht="12.75" x14ac:dyDescent="0.2">
      <c r="A35" s="53">
        <f ca="1">IFERROR(__xludf.DUMMYFUNCTION("""COMPUTED_VALUE"""),29)</f>
        <v>29</v>
      </c>
      <c r="B35" s="53" t="str">
        <f ca="1">IFERROR(__xludf.DUMMYFUNCTION("""COMPUTED_VALUE"""),"MN Sơn Ca")</f>
        <v>MN Sơn Ca</v>
      </c>
      <c r="C35" s="53" t="str">
        <f ca="1">IFERROR(__xludf.DUMMYFUNCTION("""COMPUTED_VALUE"""),"Mầm non")</f>
        <v>Mầm non</v>
      </c>
      <c r="D35" s="53" t="str">
        <f ca="1">IFERROR(__xludf.DUMMYFUNCTION("""COMPUTED_VALUE"""),"Tân Phú")</f>
        <v>Tân Phú</v>
      </c>
      <c r="E35" s="54">
        <f ca="1">IFERROR(__xludf.DUMMYFUNCTION("""COMPUTED_VALUE"""),19)</f>
        <v>19</v>
      </c>
      <c r="F35" s="54">
        <f ca="1">IFERROR(__xludf.DUMMYFUNCTION("""COMPUTED_VALUE"""),19)</f>
        <v>19</v>
      </c>
      <c r="G35" s="51">
        <f t="shared" ca="1" si="0"/>
        <v>1</v>
      </c>
      <c r="H35" s="54">
        <f ca="1">IFERROR(__xludf.DUMMYFUNCTION("""COMPUTED_VALUE"""),19)</f>
        <v>19</v>
      </c>
      <c r="I35" s="51">
        <f t="shared" ca="1" si="1"/>
        <v>1</v>
      </c>
      <c r="J35" s="54">
        <f ca="1">IFERROR(__xludf.DUMMYFUNCTION("""COMPUTED_VALUE"""),18)</f>
        <v>18</v>
      </c>
      <c r="K35" s="51">
        <f t="shared" ca="1" si="2"/>
        <v>0.94736842105263153</v>
      </c>
      <c r="L35" s="54">
        <f ca="1">IFERROR(__xludf.DUMMYFUNCTION("""COMPUTED_VALUE"""),0)</f>
        <v>0</v>
      </c>
      <c r="M35" s="51">
        <f t="shared" ca="1" si="3"/>
        <v>0</v>
      </c>
      <c r="N35" s="54">
        <f ca="1">IFERROR(__xludf.DUMMYFUNCTION("""COMPUTED_VALUE"""),20)</f>
        <v>20</v>
      </c>
      <c r="O35" s="54">
        <f ca="1">IFERROR(__xludf.DUMMYFUNCTION("""COMPUTED_VALUE"""),10)</f>
        <v>10</v>
      </c>
      <c r="P35" s="51">
        <f t="shared" ca="1" si="4"/>
        <v>0.5</v>
      </c>
      <c r="Q35" s="54">
        <f ca="1">IFERROR(__xludf.DUMMYFUNCTION("""COMPUTED_VALUE"""),2)</f>
        <v>2</v>
      </c>
      <c r="R35" s="51">
        <f t="shared" ca="1" si="5"/>
        <v>0.1</v>
      </c>
      <c r="S35" s="53"/>
      <c r="T35" s="53"/>
      <c r="U35" s="51" t="str">
        <f t="shared" si="6"/>
        <v/>
      </c>
      <c r="V35" s="53"/>
      <c r="W35" s="51" t="str">
        <f t="shared" si="7"/>
        <v/>
      </c>
      <c r="X35" s="53"/>
      <c r="Y35" s="51" t="str">
        <f t="shared" si="8"/>
        <v/>
      </c>
      <c r="Z35" s="2"/>
      <c r="AA35" s="2"/>
      <c r="AB35" s="2"/>
      <c r="AC35" s="2"/>
      <c r="AD35" s="2"/>
      <c r="AE35" s="2"/>
    </row>
    <row r="36" spans="1:31" ht="12.75" x14ac:dyDescent="0.2">
      <c r="A36" s="53">
        <f ca="1">IFERROR(__xludf.DUMMYFUNCTION("""COMPUTED_VALUE"""),30)</f>
        <v>30</v>
      </c>
      <c r="B36" s="53"/>
      <c r="C36" s="53"/>
      <c r="D36" s="53" t="str">
        <f ca="1">IFERROR(__xludf.DUMMYFUNCTION("""COMPUTED_VALUE"""),"Tân Phú")</f>
        <v>Tân Phú</v>
      </c>
      <c r="E36" s="54">
        <f ca="1">IFERROR(__xludf.DUMMYFUNCTION("""COMPUTED_VALUE"""),15)</f>
        <v>15</v>
      </c>
      <c r="F36" s="54">
        <f ca="1">IFERROR(__xludf.DUMMYFUNCTION("""COMPUTED_VALUE"""),15)</f>
        <v>15</v>
      </c>
      <c r="G36" s="51">
        <f t="shared" ca="1" si="0"/>
        <v>1</v>
      </c>
      <c r="H36" s="54">
        <f ca="1">IFERROR(__xludf.DUMMYFUNCTION("""COMPUTED_VALUE"""),15)</f>
        <v>15</v>
      </c>
      <c r="I36" s="51">
        <f t="shared" ca="1" si="1"/>
        <v>1</v>
      </c>
      <c r="J36" s="54">
        <f ca="1">IFERROR(__xludf.DUMMYFUNCTION("""COMPUTED_VALUE"""),15)</f>
        <v>15</v>
      </c>
      <c r="K36" s="51">
        <f t="shared" ca="1" si="2"/>
        <v>1</v>
      </c>
      <c r="L36" s="54">
        <f ca="1">IFERROR(__xludf.DUMMYFUNCTION("""COMPUTED_VALUE"""),8)</f>
        <v>8</v>
      </c>
      <c r="M36" s="51">
        <f t="shared" ca="1" si="3"/>
        <v>0.53333333333333333</v>
      </c>
      <c r="N36" s="54">
        <f ca="1">IFERROR(__xludf.DUMMYFUNCTION("""COMPUTED_VALUE"""),25)</f>
        <v>25</v>
      </c>
      <c r="O36" s="54">
        <f ca="1">IFERROR(__xludf.DUMMYFUNCTION("""COMPUTED_VALUE"""),14)</f>
        <v>14</v>
      </c>
      <c r="P36" s="51">
        <f t="shared" ca="1" si="4"/>
        <v>0.56000000000000005</v>
      </c>
      <c r="Q36" s="54">
        <f ca="1">IFERROR(__xludf.DUMMYFUNCTION("""COMPUTED_VALUE"""),4)</f>
        <v>4</v>
      </c>
      <c r="R36" s="51">
        <f t="shared" ca="1" si="5"/>
        <v>0.16</v>
      </c>
      <c r="S36" s="53"/>
      <c r="T36" s="53"/>
      <c r="U36" s="51" t="str">
        <f t="shared" si="6"/>
        <v/>
      </c>
      <c r="V36" s="53"/>
      <c r="W36" s="51" t="str">
        <f t="shared" si="7"/>
        <v/>
      </c>
      <c r="X36" s="53"/>
      <c r="Y36" s="51" t="str">
        <f t="shared" si="8"/>
        <v/>
      </c>
      <c r="Z36" s="2"/>
      <c r="AA36" s="2"/>
      <c r="AB36" s="2"/>
      <c r="AC36" s="2"/>
      <c r="AD36" s="2"/>
      <c r="AE36" s="2"/>
    </row>
    <row r="37" spans="1:31" ht="12.75" x14ac:dyDescent="0.2">
      <c r="A37" s="53">
        <f ca="1">IFERROR(__xludf.DUMMYFUNCTION("""COMPUTED_VALUE"""),31)</f>
        <v>31</v>
      </c>
      <c r="B37" s="53" t="str">
        <f ca="1">IFERROR(__xludf.DUMMYFUNCTION("""COMPUTED_VALUE"""),"MN Nam Long")</f>
        <v>MN Nam Long</v>
      </c>
      <c r="C37" s="53" t="str">
        <f ca="1">IFERROR(__xludf.DUMMYFUNCTION("""COMPUTED_VALUE"""),"Mầm non")</f>
        <v>Mầm non</v>
      </c>
      <c r="D37" s="53" t="str">
        <f ca="1">IFERROR(__xludf.DUMMYFUNCTION("""COMPUTED_VALUE"""),"Tân Phú")</f>
        <v>Tân Phú</v>
      </c>
      <c r="E37" s="54">
        <f ca="1">IFERROR(__xludf.DUMMYFUNCTION("""COMPUTED_VALUE"""),8)</f>
        <v>8</v>
      </c>
      <c r="F37" s="54">
        <f ca="1">IFERROR(__xludf.DUMMYFUNCTION("""COMPUTED_VALUE"""),8)</f>
        <v>8</v>
      </c>
      <c r="G37" s="51">
        <f t="shared" ca="1" si="0"/>
        <v>1</v>
      </c>
      <c r="H37" s="54">
        <f ca="1">IFERROR(__xludf.DUMMYFUNCTION("""COMPUTED_VALUE"""),8)</f>
        <v>8</v>
      </c>
      <c r="I37" s="51">
        <f t="shared" ca="1" si="1"/>
        <v>1</v>
      </c>
      <c r="J37" s="54">
        <f ca="1">IFERROR(__xludf.DUMMYFUNCTION("""COMPUTED_VALUE"""),7)</f>
        <v>7</v>
      </c>
      <c r="K37" s="51">
        <f t="shared" ca="1" si="2"/>
        <v>0.875</v>
      </c>
      <c r="L37" s="54">
        <f ca="1">IFERROR(__xludf.DUMMYFUNCTION("""COMPUTED_VALUE"""),5)</f>
        <v>5</v>
      </c>
      <c r="M37" s="51">
        <f t="shared" ca="1" si="3"/>
        <v>0.625</v>
      </c>
      <c r="N37" s="54">
        <f ca="1">IFERROR(__xludf.DUMMYFUNCTION("""COMPUTED_VALUE"""),30)</f>
        <v>30</v>
      </c>
      <c r="O37" s="54">
        <f ca="1">IFERROR(__xludf.DUMMYFUNCTION("""COMPUTED_VALUE"""),5)</f>
        <v>5</v>
      </c>
      <c r="P37" s="51">
        <f t="shared" ca="1" si="4"/>
        <v>0.16666666666666666</v>
      </c>
      <c r="Q37" s="54">
        <f ca="1">IFERROR(__xludf.DUMMYFUNCTION("""COMPUTED_VALUE"""),5)</f>
        <v>5</v>
      </c>
      <c r="R37" s="51">
        <f t="shared" ca="1" si="5"/>
        <v>0.16666666666666666</v>
      </c>
      <c r="S37" s="53"/>
      <c r="T37" s="53"/>
      <c r="U37" s="51" t="str">
        <f t="shared" si="6"/>
        <v/>
      </c>
      <c r="V37" s="53"/>
      <c r="W37" s="51" t="str">
        <f t="shared" si="7"/>
        <v/>
      </c>
      <c r="X37" s="53"/>
      <c r="Y37" s="51" t="str">
        <f t="shared" si="8"/>
        <v/>
      </c>
      <c r="Z37" s="2"/>
      <c r="AA37" s="2"/>
      <c r="AB37" s="2"/>
      <c r="AC37" s="2"/>
      <c r="AD37" s="2"/>
      <c r="AE37" s="2"/>
    </row>
    <row r="38" spans="1:31" ht="12.75" x14ac:dyDescent="0.2">
      <c r="A38" s="53">
        <f ca="1">IFERROR(__xludf.DUMMYFUNCTION("""COMPUTED_VALUE"""),32)</f>
        <v>32</v>
      </c>
      <c r="B38" s="53" t="str">
        <f ca="1">IFERROR(__xludf.DUMMYFUNCTION("""COMPUTED_VALUE"""),"MN Mẫu Tâm")</f>
        <v>MN Mẫu Tâm</v>
      </c>
      <c r="C38" s="53" t="str">
        <f ca="1">IFERROR(__xludf.DUMMYFUNCTION("""COMPUTED_VALUE"""),"Mầm non")</f>
        <v>Mầm non</v>
      </c>
      <c r="D38" s="53" t="str">
        <f ca="1">IFERROR(__xludf.DUMMYFUNCTION("""COMPUTED_VALUE"""),"Tân Phú")</f>
        <v>Tân Phú</v>
      </c>
      <c r="E38" s="54">
        <f ca="1">IFERROR(__xludf.DUMMYFUNCTION("""COMPUTED_VALUE"""),20)</f>
        <v>20</v>
      </c>
      <c r="F38" s="54">
        <f ca="1">IFERROR(__xludf.DUMMYFUNCTION("""COMPUTED_VALUE"""),20)</f>
        <v>20</v>
      </c>
      <c r="G38" s="51">
        <f t="shared" ca="1" si="0"/>
        <v>1</v>
      </c>
      <c r="H38" s="54">
        <f ca="1">IFERROR(__xludf.DUMMYFUNCTION("""COMPUTED_VALUE"""),20)</f>
        <v>20</v>
      </c>
      <c r="I38" s="51">
        <f t="shared" ca="1" si="1"/>
        <v>1</v>
      </c>
      <c r="J38" s="54">
        <f ca="1">IFERROR(__xludf.DUMMYFUNCTION("""COMPUTED_VALUE"""),20)</f>
        <v>20</v>
      </c>
      <c r="K38" s="51">
        <f t="shared" ca="1" si="2"/>
        <v>1</v>
      </c>
      <c r="L38" s="54">
        <f ca="1">IFERROR(__xludf.DUMMYFUNCTION("""COMPUTED_VALUE"""),1)</f>
        <v>1</v>
      </c>
      <c r="M38" s="51">
        <f t="shared" ca="1" si="3"/>
        <v>0.05</v>
      </c>
      <c r="N38" s="54">
        <f ca="1">IFERROR(__xludf.DUMMYFUNCTION("""COMPUTED_VALUE"""),37)</f>
        <v>37</v>
      </c>
      <c r="O38" s="54">
        <f ca="1">IFERROR(__xludf.DUMMYFUNCTION("""COMPUTED_VALUE"""),19)</f>
        <v>19</v>
      </c>
      <c r="P38" s="51">
        <f t="shared" ca="1" si="4"/>
        <v>0.51351351351351349</v>
      </c>
      <c r="Q38" s="54">
        <f ca="1">IFERROR(__xludf.DUMMYFUNCTION("""COMPUTED_VALUE"""),12)</f>
        <v>12</v>
      </c>
      <c r="R38" s="51">
        <f t="shared" ca="1" si="5"/>
        <v>0.32432432432432434</v>
      </c>
      <c r="S38" s="53"/>
      <c r="T38" s="53"/>
      <c r="U38" s="51" t="str">
        <f t="shared" si="6"/>
        <v/>
      </c>
      <c r="V38" s="53"/>
      <c r="W38" s="51" t="str">
        <f t="shared" si="7"/>
        <v/>
      </c>
      <c r="X38" s="53"/>
      <c r="Y38" s="51" t="str">
        <f t="shared" si="8"/>
        <v/>
      </c>
      <c r="Z38" s="2"/>
      <c r="AA38" s="2"/>
      <c r="AB38" s="2"/>
      <c r="AC38" s="2"/>
      <c r="AD38" s="2"/>
      <c r="AE38" s="2"/>
    </row>
    <row r="39" spans="1:31" ht="12.75" x14ac:dyDescent="0.2">
      <c r="A39" s="53">
        <f ca="1">IFERROR(__xludf.DUMMYFUNCTION("""COMPUTED_VALUE"""),33)</f>
        <v>33</v>
      </c>
      <c r="B39" s="53" t="str">
        <f ca="1">IFERROR(__xludf.DUMMYFUNCTION("""COMPUTED_VALUE"""),"MN Thanh Tâm")</f>
        <v>MN Thanh Tâm</v>
      </c>
      <c r="C39" s="53" t="str">
        <f ca="1">IFERROR(__xludf.DUMMYFUNCTION("""COMPUTED_VALUE"""),"Mầm non")</f>
        <v>Mầm non</v>
      </c>
      <c r="D39" s="53" t="str">
        <f ca="1">IFERROR(__xludf.DUMMYFUNCTION("""COMPUTED_VALUE"""),"Tân Phú")</f>
        <v>Tân Phú</v>
      </c>
      <c r="E39" s="54">
        <f ca="1">IFERROR(__xludf.DUMMYFUNCTION("""COMPUTED_VALUE"""),15)</f>
        <v>15</v>
      </c>
      <c r="F39" s="54">
        <f ca="1">IFERROR(__xludf.DUMMYFUNCTION("""COMPUTED_VALUE"""),15)</f>
        <v>15</v>
      </c>
      <c r="G39" s="51">
        <f t="shared" ca="1" si="0"/>
        <v>1</v>
      </c>
      <c r="H39" s="54">
        <f ca="1">IFERROR(__xludf.DUMMYFUNCTION("""COMPUTED_VALUE"""),15)</f>
        <v>15</v>
      </c>
      <c r="I39" s="51">
        <f t="shared" ca="1" si="1"/>
        <v>1</v>
      </c>
      <c r="J39" s="54">
        <f ca="1">IFERROR(__xludf.DUMMYFUNCTION("""COMPUTED_VALUE"""),13)</f>
        <v>13</v>
      </c>
      <c r="K39" s="51">
        <f t="shared" ca="1" si="2"/>
        <v>0.8666666666666667</v>
      </c>
      <c r="L39" s="54">
        <f ca="1">IFERROR(__xludf.DUMMYFUNCTION("""COMPUTED_VALUE"""),4)</f>
        <v>4</v>
      </c>
      <c r="M39" s="51">
        <f t="shared" ca="1" si="3"/>
        <v>0.26666666666666666</v>
      </c>
      <c r="N39" s="54">
        <f ca="1">IFERROR(__xludf.DUMMYFUNCTION("""COMPUTED_VALUE"""),20)</f>
        <v>20</v>
      </c>
      <c r="O39" s="54">
        <f ca="1">IFERROR(__xludf.DUMMYFUNCTION("""COMPUTED_VALUE"""),7)</f>
        <v>7</v>
      </c>
      <c r="P39" s="51">
        <f t="shared" ca="1" si="4"/>
        <v>0.35</v>
      </c>
      <c r="Q39" s="54">
        <f ca="1">IFERROR(__xludf.DUMMYFUNCTION("""COMPUTED_VALUE"""),4)</f>
        <v>4</v>
      </c>
      <c r="R39" s="51">
        <f t="shared" ca="1" si="5"/>
        <v>0.2</v>
      </c>
      <c r="S39" s="53"/>
      <c r="T39" s="53"/>
      <c r="U39" s="51" t="str">
        <f t="shared" si="6"/>
        <v/>
      </c>
      <c r="V39" s="53"/>
      <c r="W39" s="51" t="str">
        <f t="shared" si="7"/>
        <v/>
      </c>
      <c r="X39" s="53"/>
      <c r="Y39" s="51" t="str">
        <f t="shared" si="8"/>
        <v/>
      </c>
      <c r="Z39" s="2"/>
      <c r="AA39" s="2"/>
      <c r="AB39" s="2"/>
      <c r="AC39" s="2"/>
      <c r="AD39" s="2"/>
      <c r="AE39" s="2"/>
    </row>
    <row r="40" spans="1:31" ht="12.75" x14ac:dyDescent="0.2">
      <c r="A40" s="53">
        <f ca="1">IFERROR(__xludf.DUMMYFUNCTION("""COMPUTED_VALUE"""),34)</f>
        <v>34</v>
      </c>
      <c r="B40" s="53" t="str">
        <f ca="1">IFERROR(__xludf.DUMMYFUNCTION("""COMPUTED_VALUE"""),"MN Mi Sa")</f>
        <v>MN Mi Sa</v>
      </c>
      <c r="C40" s="53" t="str">
        <f ca="1">IFERROR(__xludf.DUMMYFUNCTION("""COMPUTED_VALUE"""),"Mầm non")</f>
        <v>Mầm non</v>
      </c>
      <c r="D40" s="53" t="str">
        <f ca="1">IFERROR(__xludf.DUMMYFUNCTION("""COMPUTED_VALUE"""),"Tân Phú")</f>
        <v>Tân Phú</v>
      </c>
      <c r="E40" s="54">
        <f ca="1">IFERROR(__xludf.DUMMYFUNCTION("""COMPUTED_VALUE"""),17)</f>
        <v>17</v>
      </c>
      <c r="F40" s="54">
        <f ca="1">IFERROR(__xludf.DUMMYFUNCTION("""COMPUTED_VALUE"""),17)</f>
        <v>17</v>
      </c>
      <c r="G40" s="51">
        <f t="shared" ca="1" si="0"/>
        <v>1</v>
      </c>
      <c r="H40" s="54">
        <f ca="1">IFERROR(__xludf.DUMMYFUNCTION("""COMPUTED_VALUE"""),17)</f>
        <v>17</v>
      </c>
      <c r="I40" s="51">
        <f t="shared" ca="1" si="1"/>
        <v>1</v>
      </c>
      <c r="J40" s="54">
        <f ca="1">IFERROR(__xludf.DUMMYFUNCTION("""COMPUTED_VALUE"""),9)</f>
        <v>9</v>
      </c>
      <c r="K40" s="51">
        <f t="shared" ca="1" si="2"/>
        <v>0.52941176470588236</v>
      </c>
      <c r="L40" s="54">
        <f ca="1">IFERROR(__xludf.DUMMYFUNCTION("""COMPUTED_VALUE"""),0)</f>
        <v>0</v>
      </c>
      <c r="M40" s="51">
        <f t="shared" ca="1" si="3"/>
        <v>0</v>
      </c>
      <c r="N40" s="54">
        <f ca="1">IFERROR(__xludf.DUMMYFUNCTION("""COMPUTED_VALUE"""),26)</f>
        <v>26</v>
      </c>
      <c r="O40" s="54">
        <f ca="1">IFERROR(__xludf.DUMMYFUNCTION("""COMPUTED_VALUE"""),12)</f>
        <v>12</v>
      </c>
      <c r="P40" s="51">
        <f t="shared" ca="1" si="4"/>
        <v>0.46153846153846156</v>
      </c>
      <c r="Q40" s="54">
        <f ca="1">IFERROR(__xludf.DUMMYFUNCTION("""COMPUTED_VALUE"""),11)</f>
        <v>11</v>
      </c>
      <c r="R40" s="51">
        <f t="shared" ca="1" si="5"/>
        <v>0.42307692307692307</v>
      </c>
      <c r="S40" s="53"/>
      <c r="T40" s="53"/>
      <c r="U40" s="51" t="str">
        <f t="shared" si="6"/>
        <v/>
      </c>
      <c r="V40" s="53"/>
      <c r="W40" s="51" t="str">
        <f t="shared" si="7"/>
        <v/>
      </c>
      <c r="X40" s="53"/>
      <c r="Y40" s="51" t="str">
        <f t="shared" si="8"/>
        <v/>
      </c>
      <c r="Z40" s="2"/>
      <c r="AA40" s="2"/>
      <c r="AB40" s="2"/>
      <c r="AC40" s="2"/>
      <c r="AD40" s="2"/>
      <c r="AE40" s="2"/>
    </row>
    <row r="41" spans="1:31" ht="12.75" x14ac:dyDescent="0.2">
      <c r="A41" s="53">
        <f ca="1">IFERROR(__xludf.DUMMYFUNCTION("""COMPUTED_VALUE"""),35)</f>
        <v>35</v>
      </c>
      <c r="B41" s="53" t="str">
        <f ca="1">IFERROR(__xludf.DUMMYFUNCTION("""COMPUTED_VALUE"""),"MN Hoa Mặt Trời")</f>
        <v>MN Hoa Mặt Trời</v>
      </c>
      <c r="C41" s="53" t="str">
        <f ca="1">IFERROR(__xludf.DUMMYFUNCTION("""COMPUTED_VALUE"""),"Mầm non")</f>
        <v>Mầm non</v>
      </c>
      <c r="D41" s="53" t="str">
        <f ca="1">IFERROR(__xludf.DUMMYFUNCTION("""COMPUTED_VALUE"""),"Tân Phú")</f>
        <v>Tân Phú</v>
      </c>
      <c r="E41" s="54">
        <f ca="1">IFERROR(__xludf.DUMMYFUNCTION("""COMPUTED_VALUE"""),20)</f>
        <v>20</v>
      </c>
      <c r="F41" s="54">
        <f ca="1">IFERROR(__xludf.DUMMYFUNCTION("""COMPUTED_VALUE"""),20)</f>
        <v>20</v>
      </c>
      <c r="G41" s="51">
        <f t="shared" ca="1" si="0"/>
        <v>1</v>
      </c>
      <c r="H41" s="54">
        <f ca="1">IFERROR(__xludf.DUMMYFUNCTION("""COMPUTED_VALUE"""),20)</f>
        <v>20</v>
      </c>
      <c r="I41" s="51">
        <f t="shared" ca="1" si="1"/>
        <v>1</v>
      </c>
      <c r="J41" s="54">
        <f ca="1">IFERROR(__xludf.DUMMYFUNCTION("""COMPUTED_VALUE"""),18)</f>
        <v>18</v>
      </c>
      <c r="K41" s="51">
        <f t="shared" ca="1" si="2"/>
        <v>0.9</v>
      </c>
      <c r="L41" s="54">
        <f ca="1">IFERROR(__xludf.DUMMYFUNCTION("""COMPUTED_VALUE"""),1)</f>
        <v>1</v>
      </c>
      <c r="M41" s="51">
        <f t="shared" ca="1" si="3"/>
        <v>0.05</v>
      </c>
      <c r="N41" s="54">
        <f ca="1">IFERROR(__xludf.DUMMYFUNCTION("""COMPUTED_VALUE"""),15)</f>
        <v>15</v>
      </c>
      <c r="O41" s="54">
        <f ca="1">IFERROR(__xludf.DUMMYFUNCTION("""COMPUTED_VALUE"""),5)</f>
        <v>5</v>
      </c>
      <c r="P41" s="51">
        <f t="shared" ca="1" si="4"/>
        <v>0.33333333333333331</v>
      </c>
      <c r="Q41" s="54">
        <f ca="1">IFERROR(__xludf.DUMMYFUNCTION("""COMPUTED_VALUE"""),2)</f>
        <v>2</v>
      </c>
      <c r="R41" s="51">
        <f t="shared" ca="1" si="5"/>
        <v>0.13333333333333333</v>
      </c>
      <c r="S41" s="53"/>
      <c r="T41" s="53"/>
      <c r="U41" s="51" t="str">
        <f t="shared" si="6"/>
        <v/>
      </c>
      <c r="V41" s="53"/>
      <c r="W41" s="51" t="str">
        <f t="shared" si="7"/>
        <v/>
      </c>
      <c r="X41" s="53"/>
      <c r="Y41" s="51" t="str">
        <f t="shared" si="8"/>
        <v/>
      </c>
      <c r="Z41" s="2"/>
      <c r="AA41" s="2"/>
      <c r="AB41" s="2"/>
      <c r="AC41" s="2"/>
      <c r="AD41" s="2"/>
      <c r="AE41" s="2"/>
    </row>
    <row r="42" spans="1:31" ht="12.75" x14ac:dyDescent="0.2">
      <c r="A42" s="53">
        <f ca="1">IFERROR(__xludf.DUMMYFUNCTION("""COMPUTED_VALUE"""),36)</f>
        <v>36</v>
      </c>
      <c r="B42" s="53" t="str">
        <f ca="1">IFERROR(__xludf.DUMMYFUNCTION("""COMPUTED_VALUE"""),"MN ABC")</f>
        <v>MN ABC</v>
      </c>
      <c r="C42" s="53" t="str">
        <f ca="1">IFERROR(__xludf.DUMMYFUNCTION("""COMPUTED_VALUE"""),"Mầm non")</f>
        <v>Mầm non</v>
      </c>
      <c r="D42" s="53" t="str">
        <f ca="1">IFERROR(__xludf.DUMMYFUNCTION("""COMPUTED_VALUE"""),"Tân Phú")</f>
        <v>Tân Phú</v>
      </c>
      <c r="E42" s="54">
        <f ca="1">IFERROR(__xludf.DUMMYFUNCTION("""COMPUTED_VALUE"""),20)</f>
        <v>20</v>
      </c>
      <c r="F42" s="54">
        <f ca="1">IFERROR(__xludf.DUMMYFUNCTION("""COMPUTED_VALUE"""),20)</f>
        <v>20</v>
      </c>
      <c r="G42" s="51">
        <f t="shared" ca="1" si="0"/>
        <v>1</v>
      </c>
      <c r="H42" s="54">
        <f ca="1">IFERROR(__xludf.DUMMYFUNCTION("""COMPUTED_VALUE"""),20)</f>
        <v>20</v>
      </c>
      <c r="I42" s="51">
        <f t="shared" ca="1" si="1"/>
        <v>1</v>
      </c>
      <c r="J42" s="54">
        <f ca="1">IFERROR(__xludf.DUMMYFUNCTION("""COMPUTED_VALUE"""),18)</f>
        <v>18</v>
      </c>
      <c r="K42" s="51">
        <f t="shared" ca="1" si="2"/>
        <v>0.9</v>
      </c>
      <c r="L42" s="54">
        <f ca="1">IFERROR(__xludf.DUMMYFUNCTION("""COMPUTED_VALUE"""),7)</f>
        <v>7</v>
      </c>
      <c r="M42" s="51">
        <f t="shared" ca="1" si="3"/>
        <v>0.35</v>
      </c>
      <c r="N42" s="54">
        <f ca="1">IFERROR(__xludf.DUMMYFUNCTION("""COMPUTED_VALUE"""),17)</f>
        <v>17</v>
      </c>
      <c r="O42" s="54">
        <f ca="1">IFERROR(__xludf.DUMMYFUNCTION("""COMPUTED_VALUE"""),19)</f>
        <v>19</v>
      </c>
      <c r="P42" s="51">
        <f t="shared" ca="1" si="4"/>
        <v>1.1176470588235294</v>
      </c>
      <c r="Q42" s="54">
        <f ca="1">IFERROR(__xludf.DUMMYFUNCTION("""COMPUTED_VALUE"""),14)</f>
        <v>14</v>
      </c>
      <c r="R42" s="51">
        <f t="shared" ca="1" si="5"/>
        <v>0.82352941176470584</v>
      </c>
      <c r="S42" s="53"/>
      <c r="T42" s="53"/>
      <c r="U42" s="51" t="str">
        <f t="shared" si="6"/>
        <v/>
      </c>
      <c r="V42" s="53"/>
      <c r="W42" s="51" t="str">
        <f t="shared" si="7"/>
        <v/>
      </c>
      <c r="X42" s="53"/>
      <c r="Y42" s="51" t="str">
        <f t="shared" si="8"/>
        <v/>
      </c>
      <c r="Z42" s="2"/>
      <c r="AA42" s="2"/>
      <c r="AB42" s="2"/>
      <c r="AC42" s="2"/>
      <c r="AD42" s="2"/>
      <c r="AE42" s="2"/>
    </row>
    <row r="43" spans="1:31" ht="12.75" x14ac:dyDescent="0.2">
      <c r="A43" s="53">
        <f ca="1">IFERROR(__xludf.DUMMYFUNCTION("""COMPUTED_VALUE"""),37)</f>
        <v>37</v>
      </c>
      <c r="B43" s="53" t="str">
        <f ca="1">IFERROR(__xludf.DUMMYFUNCTION("""COMPUTED_VALUE"""),"MN Việt Mỹ Úc")</f>
        <v>MN Việt Mỹ Úc</v>
      </c>
      <c r="C43" s="53" t="str">
        <f ca="1">IFERROR(__xludf.DUMMYFUNCTION("""COMPUTED_VALUE"""),"Mầm non")</f>
        <v>Mầm non</v>
      </c>
      <c r="D43" s="53" t="str">
        <f ca="1">IFERROR(__xludf.DUMMYFUNCTION("""COMPUTED_VALUE"""),"Tân Phú")</f>
        <v>Tân Phú</v>
      </c>
      <c r="E43" s="54">
        <f ca="1">IFERROR(__xludf.DUMMYFUNCTION("""COMPUTED_VALUE"""),17)</f>
        <v>17</v>
      </c>
      <c r="F43" s="54">
        <f ca="1">IFERROR(__xludf.DUMMYFUNCTION("""COMPUTED_VALUE"""),17)</f>
        <v>17</v>
      </c>
      <c r="G43" s="51">
        <f t="shared" ca="1" si="0"/>
        <v>1</v>
      </c>
      <c r="H43" s="54">
        <f ca="1">IFERROR(__xludf.DUMMYFUNCTION("""COMPUTED_VALUE"""),17)</f>
        <v>17</v>
      </c>
      <c r="I43" s="51">
        <f t="shared" ca="1" si="1"/>
        <v>1</v>
      </c>
      <c r="J43" s="54">
        <f ca="1">IFERROR(__xludf.DUMMYFUNCTION("""COMPUTED_VALUE"""),17)</f>
        <v>17</v>
      </c>
      <c r="K43" s="51">
        <f t="shared" ca="1" si="2"/>
        <v>1</v>
      </c>
      <c r="L43" s="54">
        <f ca="1">IFERROR(__xludf.DUMMYFUNCTION("""COMPUTED_VALUE"""),12)</f>
        <v>12</v>
      </c>
      <c r="M43" s="51">
        <f t="shared" ca="1" si="3"/>
        <v>0.70588235294117652</v>
      </c>
      <c r="N43" s="54">
        <f ca="1">IFERROR(__xludf.DUMMYFUNCTION("""COMPUTED_VALUE"""),25)</f>
        <v>25</v>
      </c>
      <c r="O43" s="54">
        <f ca="1">IFERROR(__xludf.DUMMYFUNCTION("""COMPUTED_VALUE"""),9)</f>
        <v>9</v>
      </c>
      <c r="P43" s="51">
        <f t="shared" ca="1" si="4"/>
        <v>0.36</v>
      </c>
      <c r="Q43" s="54">
        <f ca="1">IFERROR(__xludf.DUMMYFUNCTION("""COMPUTED_VALUE"""),2)</f>
        <v>2</v>
      </c>
      <c r="R43" s="51">
        <f t="shared" ca="1" si="5"/>
        <v>0.08</v>
      </c>
      <c r="S43" s="53"/>
      <c r="T43" s="53"/>
      <c r="U43" s="51" t="str">
        <f t="shared" si="6"/>
        <v/>
      </c>
      <c r="V43" s="53"/>
      <c r="W43" s="51" t="str">
        <f t="shared" si="7"/>
        <v/>
      </c>
      <c r="X43" s="53"/>
      <c r="Y43" s="51" t="str">
        <f t="shared" si="8"/>
        <v/>
      </c>
      <c r="Z43" s="2"/>
      <c r="AA43" s="2"/>
      <c r="AB43" s="2"/>
      <c r="AC43" s="2"/>
      <c r="AD43" s="2"/>
      <c r="AE43" s="2"/>
    </row>
    <row r="44" spans="1:31" ht="12.75" x14ac:dyDescent="0.2">
      <c r="A44" s="53">
        <f ca="1">IFERROR(__xludf.DUMMYFUNCTION("""COMPUTED_VALUE"""),38)</f>
        <v>38</v>
      </c>
      <c r="B44" s="53" t="str">
        <f ca="1">IFERROR(__xludf.DUMMYFUNCTION("""COMPUTED_VALUE"""),"MG Mai Hồng")</f>
        <v>MG Mai Hồng</v>
      </c>
      <c r="C44" s="53" t="str">
        <f ca="1">IFERROR(__xludf.DUMMYFUNCTION("""COMPUTED_VALUE"""),"Mầm non")</f>
        <v>Mầm non</v>
      </c>
      <c r="D44" s="53" t="str">
        <f ca="1">IFERROR(__xludf.DUMMYFUNCTION("""COMPUTED_VALUE"""),"Tân Phú")</f>
        <v>Tân Phú</v>
      </c>
      <c r="E44" s="54">
        <f ca="1">IFERROR(__xludf.DUMMYFUNCTION("""COMPUTED_VALUE"""),22)</f>
        <v>22</v>
      </c>
      <c r="F44" s="54">
        <f ca="1">IFERROR(__xludf.DUMMYFUNCTION("""COMPUTED_VALUE"""),22)</f>
        <v>22</v>
      </c>
      <c r="G44" s="51">
        <f t="shared" ca="1" si="0"/>
        <v>1</v>
      </c>
      <c r="H44" s="54">
        <f ca="1">IFERROR(__xludf.DUMMYFUNCTION("""COMPUTED_VALUE"""),22)</f>
        <v>22</v>
      </c>
      <c r="I44" s="51">
        <f t="shared" ca="1" si="1"/>
        <v>1</v>
      </c>
      <c r="J44" s="54">
        <f ca="1">IFERROR(__xludf.DUMMYFUNCTION("""COMPUTED_VALUE"""),22)</f>
        <v>22</v>
      </c>
      <c r="K44" s="51">
        <f t="shared" ca="1" si="2"/>
        <v>1</v>
      </c>
      <c r="L44" s="54">
        <f ca="1">IFERROR(__xludf.DUMMYFUNCTION("""COMPUTED_VALUE"""),10)</f>
        <v>10</v>
      </c>
      <c r="M44" s="51">
        <f t="shared" ca="1" si="3"/>
        <v>0.45454545454545453</v>
      </c>
      <c r="N44" s="54">
        <f ca="1">IFERROR(__xludf.DUMMYFUNCTION("""COMPUTED_VALUE"""),0)</f>
        <v>0</v>
      </c>
      <c r="O44" s="54">
        <f ca="1">IFERROR(__xludf.DUMMYFUNCTION("""COMPUTED_VALUE"""),0)</f>
        <v>0</v>
      </c>
      <c r="P44" s="51" t="str">
        <f t="shared" ca="1" si="4"/>
        <v/>
      </c>
      <c r="Q44" s="54">
        <f ca="1">IFERROR(__xludf.DUMMYFUNCTION("""COMPUTED_VALUE"""),0)</f>
        <v>0</v>
      </c>
      <c r="R44" s="51" t="str">
        <f t="shared" ca="1" si="5"/>
        <v/>
      </c>
      <c r="S44" s="53"/>
      <c r="T44" s="53"/>
      <c r="U44" s="51" t="str">
        <f t="shared" si="6"/>
        <v/>
      </c>
      <c r="V44" s="53"/>
      <c r="W44" s="51" t="str">
        <f t="shared" si="7"/>
        <v/>
      </c>
      <c r="X44" s="53"/>
      <c r="Y44" s="51" t="str">
        <f t="shared" si="8"/>
        <v/>
      </c>
      <c r="Z44" s="2"/>
      <c r="AA44" s="2"/>
      <c r="AB44" s="2"/>
      <c r="AC44" s="2"/>
      <c r="AD44" s="2"/>
      <c r="AE44" s="2"/>
    </row>
    <row r="45" spans="1:31" ht="12.75" x14ac:dyDescent="0.2">
      <c r="A45" s="53">
        <f ca="1">IFERROR(__xludf.DUMMYFUNCTION("""COMPUTED_VALUE"""),39)</f>
        <v>39</v>
      </c>
      <c r="B45" s="53" t="str">
        <f ca="1">IFERROR(__xludf.DUMMYFUNCTION("""COMPUTED_VALUE"""),"MN Ánh Dương")</f>
        <v>MN Ánh Dương</v>
      </c>
      <c r="C45" s="53" t="str">
        <f ca="1">IFERROR(__xludf.DUMMYFUNCTION("""COMPUTED_VALUE"""),"Mầm non")</f>
        <v>Mầm non</v>
      </c>
      <c r="D45" s="53" t="str">
        <f ca="1">IFERROR(__xludf.DUMMYFUNCTION("""COMPUTED_VALUE"""),"Tân Phú")</f>
        <v>Tân Phú</v>
      </c>
      <c r="E45" s="54">
        <f ca="1">IFERROR(__xludf.DUMMYFUNCTION("""COMPUTED_VALUE"""),12)</f>
        <v>12</v>
      </c>
      <c r="F45" s="54">
        <f ca="1">IFERROR(__xludf.DUMMYFUNCTION("""COMPUTED_VALUE"""),12)</f>
        <v>12</v>
      </c>
      <c r="G45" s="51">
        <f t="shared" ca="1" si="0"/>
        <v>1</v>
      </c>
      <c r="H45" s="54">
        <f ca="1">IFERROR(__xludf.DUMMYFUNCTION("""COMPUTED_VALUE"""),12)</f>
        <v>12</v>
      </c>
      <c r="I45" s="51">
        <f t="shared" ca="1" si="1"/>
        <v>1</v>
      </c>
      <c r="J45" s="54">
        <f ca="1">IFERROR(__xludf.DUMMYFUNCTION("""COMPUTED_VALUE"""),5)</f>
        <v>5</v>
      </c>
      <c r="K45" s="51">
        <f t="shared" ca="1" si="2"/>
        <v>0.41666666666666669</v>
      </c>
      <c r="L45" s="54">
        <f ca="1">IFERROR(__xludf.DUMMYFUNCTION("""COMPUTED_VALUE"""),3)</f>
        <v>3</v>
      </c>
      <c r="M45" s="51">
        <f t="shared" ca="1" si="3"/>
        <v>0.25</v>
      </c>
      <c r="N45" s="54">
        <f ca="1">IFERROR(__xludf.DUMMYFUNCTION("""COMPUTED_VALUE"""),0)</f>
        <v>0</v>
      </c>
      <c r="O45" s="54">
        <f ca="1">IFERROR(__xludf.DUMMYFUNCTION("""COMPUTED_VALUE"""),0)</f>
        <v>0</v>
      </c>
      <c r="P45" s="51" t="str">
        <f t="shared" ca="1" si="4"/>
        <v/>
      </c>
      <c r="Q45" s="54">
        <f ca="1">IFERROR(__xludf.DUMMYFUNCTION("""COMPUTED_VALUE"""),0)</f>
        <v>0</v>
      </c>
      <c r="R45" s="51" t="str">
        <f t="shared" ca="1" si="5"/>
        <v/>
      </c>
      <c r="S45" s="53"/>
      <c r="T45" s="53"/>
      <c r="U45" s="51" t="str">
        <f t="shared" si="6"/>
        <v/>
      </c>
      <c r="V45" s="53"/>
      <c r="W45" s="51" t="str">
        <f t="shared" si="7"/>
        <v/>
      </c>
      <c r="X45" s="53"/>
      <c r="Y45" s="51" t="str">
        <f t="shared" si="8"/>
        <v/>
      </c>
      <c r="Z45" s="2"/>
      <c r="AA45" s="2"/>
      <c r="AB45" s="2"/>
      <c r="AC45" s="2"/>
      <c r="AD45" s="2"/>
      <c r="AE45" s="2"/>
    </row>
    <row r="46" spans="1:31" ht="12.75" x14ac:dyDescent="0.2">
      <c r="A46" s="53">
        <f ca="1">IFERROR(__xludf.DUMMYFUNCTION("""COMPUTED_VALUE"""),40)</f>
        <v>40</v>
      </c>
      <c r="B46" s="53" t="str">
        <f ca="1">IFERROR(__xludf.DUMMYFUNCTION("""COMPUTED_VALUE"""),"MG Hồng Ân")</f>
        <v>MG Hồng Ân</v>
      </c>
      <c r="C46" s="53" t="str">
        <f ca="1">IFERROR(__xludf.DUMMYFUNCTION("""COMPUTED_VALUE"""),"Mầm non")</f>
        <v>Mầm non</v>
      </c>
      <c r="D46" s="53" t="str">
        <f ca="1">IFERROR(__xludf.DUMMYFUNCTION("""COMPUTED_VALUE"""),"Tân Phú")</f>
        <v>Tân Phú</v>
      </c>
      <c r="E46" s="54">
        <f ca="1">IFERROR(__xludf.DUMMYFUNCTION("""COMPUTED_VALUE"""),14)</f>
        <v>14</v>
      </c>
      <c r="F46" s="54">
        <f ca="1">IFERROR(__xludf.DUMMYFUNCTION("""COMPUTED_VALUE"""),14)</f>
        <v>14</v>
      </c>
      <c r="G46" s="51">
        <f t="shared" ca="1" si="0"/>
        <v>1</v>
      </c>
      <c r="H46" s="54">
        <f ca="1">IFERROR(__xludf.DUMMYFUNCTION("""COMPUTED_VALUE"""),14)</f>
        <v>14</v>
      </c>
      <c r="I46" s="51">
        <f t="shared" ca="1" si="1"/>
        <v>1</v>
      </c>
      <c r="J46" s="54">
        <f ca="1">IFERROR(__xludf.DUMMYFUNCTION("""COMPUTED_VALUE"""),14)</f>
        <v>14</v>
      </c>
      <c r="K46" s="51">
        <f t="shared" ca="1" si="2"/>
        <v>1</v>
      </c>
      <c r="L46" s="54">
        <f ca="1">IFERROR(__xludf.DUMMYFUNCTION("""COMPUTED_VALUE"""),11)</f>
        <v>11</v>
      </c>
      <c r="M46" s="51">
        <f t="shared" ca="1" si="3"/>
        <v>0.7857142857142857</v>
      </c>
      <c r="N46" s="54">
        <f ca="1">IFERROR(__xludf.DUMMYFUNCTION("""COMPUTED_VALUE"""),21)</f>
        <v>21</v>
      </c>
      <c r="O46" s="54">
        <f ca="1">IFERROR(__xludf.DUMMYFUNCTION("""COMPUTED_VALUE"""),12)</f>
        <v>12</v>
      </c>
      <c r="P46" s="51">
        <f t="shared" ca="1" si="4"/>
        <v>0.5714285714285714</v>
      </c>
      <c r="Q46" s="54">
        <f ca="1">IFERROR(__xludf.DUMMYFUNCTION("""COMPUTED_VALUE"""),3)</f>
        <v>3</v>
      </c>
      <c r="R46" s="51">
        <f t="shared" ca="1" si="5"/>
        <v>0.14285714285714285</v>
      </c>
      <c r="S46" s="53"/>
      <c r="T46" s="53"/>
      <c r="U46" s="51" t="str">
        <f t="shared" si="6"/>
        <v/>
      </c>
      <c r="V46" s="53"/>
      <c r="W46" s="51" t="str">
        <f t="shared" si="7"/>
        <v/>
      </c>
      <c r="X46" s="53"/>
      <c r="Y46" s="51" t="str">
        <f t="shared" si="8"/>
        <v/>
      </c>
      <c r="Z46" s="2"/>
      <c r="AA46" s="2"/>
      <c r="AB46" s="2"/>
      <c r="AC46" s="2"/>
      <c r="AD46" s="2"/>
      <c r="AE46" s="2"/>
    </row>
    <row r="47" spans="1:31" ht="12.75" x14ac:dyDescent="0.2">
      <c r="A47" s="53">
        <f ca="1">IFERROR(__xludf.DUMMYFUNCTION("""COMPUTED_VALUE"""),41)</f>
        <v>41</v>
      </c>
      <c r="B47" s="53" t="str">
        <f ca="1">IFERROR(__xludf.DUMMYFUNCTION("""COMPUTED_VALUE"""),"MN Nguyễn Thị Tú")</f>
        <v>MN Nguyễn Thị Tú</v>
      </c>
      <c r="C47" s="53" t="str">
        <f ca="1">IFERROR(__xludf.DUMMYFUNCTION("""COMPUTED_VALUE"""),"Mầm non")</f>
        <v>Mầm non</v>
      </c>
      <c r="D47" s="53" t="str">
        <f ca="1">IFERROR(__xludf.DUMMYFUNCTION("""COMPUTED_VALUE"""),"Tân Phú")</f>
        <v>Tân Phú</v>
      </c>
      <c r="E47" s="54">
        <f ca="1">IFERROR(__xludf.DUMMYFUNCTION("""COMPUTED_VALUE"""),22)</f>
        <v>22</v>
      </c>
      <c r="F47" s="54">
        <f ca="1">IFERROR(__xludf.DUMMYFUNCTION("""COMPUTED_VALUE"""),22)</f>
        <v>22</v>
      </c>
      <c r="G47" s="51">
        <f t="shared" ca="1" si="0"/>
        <v>1</v>
      </c>
      <c r="H47" s="54">
        <f ca="1">IFERROR(__xludf.DUMMYFUNCTION("""COMPUTED_VALUE"""),22)</f>
        <v>22</v>
      </c>
      <c r="I47" s="51">
        <f t="shared" ca="1" si="1"/>
        <v>1</v>
      </c>
      <c r="J47" s="54">
        <f ca="1">IFERROR(__xludf.DUMMYFUNCTION("""COMPUTED_VALUE"""),21)</f>
        <v>21</v>
      </c>
      <c r="K47" s="51">
        <f t="shared" ca="1" si="2"/>
        <v>0.95454545454545459</v>
      </c>
      <c r="L47" s="54">
        <f ca="1">IFERROR(__xludf.DUMMYFUNCTION("""COMPUTED_VALUE"""),18)</f>
        <v>18</v>
      </c>
      <c r="M47" s="51">
        <f t="shared" ca="1" si="3"/>
        <v>0.81818181818181823</v>
      </c>
      <c r="N47" s="54">
        <f ca="1">IFERROR(__xludf.DUMMYFUNCTION("""COMPUTED_VALUE"""),65)</f>
        <v>65</v>
      </c>
      <c r="O47" s="54">
        <f ca="1">IFERROR(__xludf.DUMMYFUNCTION("""COMPUTED_VALUE"""),25)</f>
        <v>25</v>
      </c>
      <c r="P47" s="51">
        <f t="shared" ca="1" si="4"/>
        <v>0.38461538461538464</v>
      </c>
      <c r="Q47" s="54">
        <f ca="1">IFERROR(__xludf.DUMMYFUNCTION("""COMPUTED_VALUE"""),12)</f>
        <v>12</v>
      </c>
      <c r="R47" s="51">
        <f t="shared" ca="1" si="5"/>
        <v>0.18461538461538463</v>
      </c>
      <c r="S47" s="53"/>
      <c r="T47" s="53"/>
      <c r="U47" s="51" t="str">
        <f t="shared" si="6"/>
        <v/>
      </c>
      <c r="V47" s="53"/>
      <c r="W47" s="51" t="str">
        <f t="shared" si="7"/>
        <v/>
      </c>
      <c r="X47" s="53"/>
      <c r="Y47" s="51" t="str">
        <f t="shared" si="8"/>
        <v/>
      </c>
      <c r="Z47" s="2"/>
      <c r="AA47" s="2"/>
      <c r="AB47" s="2"/>
      <c r="AC47" s="2"/>
      <c r="AD47" s="2"/>
      <c r="AE47" s="2"/>
    </row>
    <row r="48" spans="1:31" ht="12.75" x14ac:dyDescent="0.2">
      <c r="A48" s="53">
        <f ca="1">IFERROR(__xludf.DUMMYFUNCTION("""COMPUTED_VALUE"""),42)</f>
        <v>42</v>
      </c>
      <c r="B48" s="53" t="str">
        <f ca="1">IFERROR(__xludf.DUMMYFUNCTION("""COMPUTED_VALUE"""),"MN Ngôi Nhà Hạnh Phúc")</f>
        <v>MN Ngôi Nhà Hạnh Phúc</v>
      </c>
      <c r="C48" s="53" t="str">
        <f ca="1">IFERROR(__xludf.DUMMYFUNCTION("""COMPUTED_VALUE"""),"Mầm non")</f>
        <v>Mầm non</v>
      </c>
      <c r="D48" s="53" t="str">
        <f ca="1">IFERROR(__xludf.DUMMYFUNCTION("""COMPUTED_VALUE"""),"Tân Phú")</f>
        <v>Tân Phú</v>
      </c>
      <c r="E48" s="54">
        <f ca="1">IFERROR(__xludf.DUMMYFUNCTION("""COMPUTED_VALUE"""),25)</f>
        <v>25</v>
      </c>
      <c r="F48" s="54">
        <f ca="1">IFERROR(__xludf.DUMMYFUNCTION("""COMPUTED_VALUE"""),25)</f>
        <v>25</v>
      </c>
      <c r="G48" s="51">
        <f t="shared" ca="1" si="0"/>
        <v>1</v>
      </c>
      <c r="H48" s="54">
        <f ca="1">IFERROR(__xludf.DUMMYFUNCTION("""COMPUTED_VALUE"""),25)</f>
        <v>25</v>
      </c>
      <c r="I48" s="51">
        <f t="shared" ca="1" si="1"/>
        <v>1</v>
      </c>
      <c r="J48" s="54">
        <f ca="1">IFERROR(__xludf.DUMMYFUNCTION("""COMPUTED_VALUE"""),25)</f>
        <v>25</v>
      </c>
      <c r="K48" s="51">
        <f t="shared" ca="1" si="2"/>
        <v>1</v>
      </c>
      <c r="L48" s="54">
        <f ca="1">IFERROR(__xludf.DUMMYFUNCTION("""COMPUTED_VALUE"""),3)</f>
        <v>3</v>
      </c>
      <c r="M48" s="51">
        <f t="shared" ca="1" si="3"/>
        <v>0.12</v>
      </c>
      <c r="N48" s="54">
        <f ca="1">IFERROR(__xludf.DUMMYFUNCTION("""COMPUTED_VALUE"""),60)</f>
        <v>60</v>
      </c>
      <c r="O48" s="54">
        <f ca="1">IFERROR(__xludf.DUMMYFUNCTION("""COMPUTED_VALUE"""),21)</f>
        <v>21</v>
      </c>
      <c r="P48" s="51">
        <f t="shared" ca="1" si="4"/>
        <v>0.35</v>
      </c>
      <c r="Q48" s="54">
        <f ca="1">IFERROR(__xludf.DUMMYFUNCTION("""COMPUTED_VALUE"""),9)</f>
        <v>9</v>
      </c>
      <c r="R48" s="51">
        <f t="shared" ca="1" si="5"/>
        <v>0.15</v>
      </c>
      <c r="S48" s="53"/>
      <c r="T48" s="53"/>
      <c r="U48" s="51" t="str">
        <f t="shared" si="6"/>
        <v/>
      </c>
      <c r="V48" s="53"/>
      <c r="W48" s="51" t="str">
        <f t="shared" si="7"/>
        <v/>
      </c>
      <c r="X48" s="53"/>
      <c r="Y48" s="51" t="str">
        <f t="shared" si="8"/>
        <v/>
      </c>
      <c r="Z48" s="2"/>
      <c r="AA48" s="2"/>
      <c r="AB48" s="2"/>
      <c r="AC48" s="2"/>
      <c r="AD48" s="2"/>
      <c r="AE48" s="2"/>
    </row>
    <row r="49" spans="1:31" ht="12.75" x14ac:dyDescent="0.2">
      <c r="A49" s="53">
        <f ca="1">IFERROR(__xludf.DUMMYFUNCTION("""COMPUTED_VALUE"""),43)</f>
        <v>43</v>
      </c>
      <c r="B49" s="53" t="str">
        <f ca="1">IFERROR(__xludf.DUMMYFUNCTION("""COMPUTED_VALUE"""),"MN Cây Táo")</f>
        <v>MN Cây Táo</v>
      </c>
      <c r="C49" s="53" t="str">
        <f ca="1">IFERROR(__xludf.DUMMYFUNCTION("""COMPUTED_VALUE"""),"Mầm non")</f>
        <v>Mầm non</v>
      </c>
      <c r="D49" s="53" t="str">
        <f ca="1">IFERROR(__xludf.DUMMYFUNCTION("""COMPUTED_VALUE"""),"Tân Phú")</f>
        <v>Tân Phú</v>
      </c>
      <c r="E49" s="54">
        <f ca="1">IFERROR(__xludf.DUMMYFUNCTION("""COMPUTED_VALUE"""),10)</f>
        <v>10</v>
      </c>
      <c r="F49" s="54">
        <f ca="1">IFERROR(__xludf.DUMMYFUNCTION("""COMPUTED_VALUE"""),10)</f>
        <v>10</v>
      </c>
      <c r="G49" s="51">
        <f t="shared" ca="1" si="0"/>
        <v>1</v>
      </c>
      <c r="H49" s="54">
        <f ca="1">IFERROR(__xludf.DUMMYFUNCTION("""COMPUTED_VALUE"""),10)</f>
        <v>10</v>
      </c>
      <c r="I49" s="51">
        <f t="shared" ca="1" si="1"/>
        <v>1</v>
      </c>
      <c r="J49" s="54">
        <f ca="1">IFERROR(__xludf.DUMMYFUNCTION("""COMPUTED_VALUE"""),9)</f>
        <v>9</v>
      </c>
      <c r="K49" s="51">
        <f t="shared" ca="1" si="2"/>
        <v>0.9</v>
      </c>
      <c r="L49" s="54">
        <f ca="1">IFERROR(__xludf.DUMMYFUNCTION("""COMPUTED_VALUE"""),5)</f>
        <v>5</v>
      </c>
      <c r="M49" s="51">
        <f t="shared" ca="1" si="3"/>
        <v>0.5</v>
      </c>
      <c r="N49" s="54">
        <f ca="1">IFERROR(__xludf.DUMMYFUNCTION("""COMPUTED_VALUE"""),0)</f>
        <v>0</v>
      </c>
      <c r="O49" s="54">
        <f ca="1">IFERROR(__xludf.DUMMYFUNCTION("""COMPUTED_VALUE"""),0)</f>
        <v>0</v>
      </c>
      <c r="P49" s="51" t="str">
        <f t="shared" ca="1" si="4"/>
        <v/>
      </c>
      <c r="Q49" s="54">
        <f ca="1">IFERROR(__xludf.DUMMYFUNCTION("""COMPUTED_VALUE"""),0)</f>
        <v>0</v>
      </c>
      <c r="R49" s="51" t="str">
        <f t="shared" ca="1" si="5"/>
        <v/>
      </c>
      <c r="S49" s="53"/>
      <c r="T49" s="53"/>
      <c r="U49" s="51" t="str">
        <f t="shared" si="6"/>
        <v/>
      </c>
      <c r="V49" s="53"/>
      <c r="W49" s="51" t="str">
        <f t="shared" si="7"/>
        <v/>
      </c>
      <c r="X49" s="53"/>
      <c r="Y49" s="51" t="str">
        <f t="shared" si="8"/>
        <v/>
      </c>
      <c r="Z49" s="2"/>
      <c r="AA49" s="2"/>
      <c r="AB49" s="2"/>
      <c r="AC49" s="2"/>
      <c r="AD49" s="2"/>
      <c r="AE49" s="2"/>
    </row>
    <row r="50" spans="1:31" ht="12.75" x14ac:dyDescent="0.2">
      <c r="A50" s="53">
        <f ca="1">IFERROR(__xludf.DUMMYFUNCTION("""COMPUTED_VALUE"""),44)</f>
        <v>44</v>
      </c>
      <c r="B50" s="53" t="str">
        <f ca="1">IFERROR(__xludf.DUMMYFUNCTION("""COMPUTED_VALUE"""),"MN Sơn Định 2")</f>
        <v>MN Sơn Định 2</v>
      </c>
      <c r="C50" s="53" t="str">
        <f ca="1">IFERROR(__xludf.DUMMYFUNCTION("""COMPUTED_VALUE"""),"Mầm non")</f>
        <v>Mầm non</v>
      </c>
      <c r="D50" s="53" t="str">
        <f ca="1">IFERROR(__xludf.DUMMYFUNCTION("""COMPUTED_VALUE"""),"Tân Phú")</f>
        <v>Tân Phú</v>
      </c>
      <c r="E50" s="54">
        <f ca="1">IFERROR(__xludf.DUMMYFUNCTION("""COMPUTED_VALUE"""),33)</f>
        <v>33</v>
      </c>
      <c r="F50" s="54">
        <f ca="1">IFERROR(__xludf.DUMMYFUNCTION("""COMPUTED_VALUE"""),33)</f>
        <v>33</v>
      </c>
      <c r="G50" s="51">
        <f t="shared" ca="1" si="0"/>
        <v>1</v>
      </c>
      <c r="H50" s="54">
        <f ca="1">IFERROR(__xludf.DUMMYFUNCTION("""COMPUTED_VALUE"""),33)</f>
        <v>33</v>
      </c>
      <c r="I50" s="51">
        <f t="shared" ca="1" si="1"/>
        <v>1</v>
      </c>
      <c r="J50" s="54">
        <f ca="1">IFERROR(__xludf.DUMMYFUNCTION("""COMPUTED_VALUE"""),33)</f>
        <v>33</v>
      </c>
      <c r="K50" s="51">
        <f t="shared" ca="1" si="2"/>
        <v>1</v>
      </c>
      <c r="L50" s="54">
        <f ca="1">IFERROR(__xludf.DUMMYFUNCTION("""COMPUTED_VALUE"""),23)</f>
        <v>23</v>
      </c>
      <c r="M50" s="51">
        <f t="shared" ca="1" si="3"/>
        <v>0.69696969696969702</v>
      </c>
      <c r="N50" s="54">
        <f ca="1">IFERROR(__xludf.DUMMYFUNCTION("""COMPUTED_VALUE"""),25)</f>
        <v>25</v>
      </c>
      <c r="O50" s="54">
        <f ca="1">IFERROR(__xludf.DUMMYFUNCTION("""COMPUTED_VALUE"""),10)</f>
        <v>10</v>
      </c>
      <c r="P50" s="51">
        <f t="shared" ca="1" si="4"/>
        <v>0.4</v>
      </c>
      <c r="Q50" s="54">
        <f ca="1">IFERROR(__xludf.DUMMYFUNCTION("""COMPUTED_VALUE"""),5)</f>
        <v>5</v>
      </c>
      <c r="R50" s="51">
        <f t="shared" ca="1" si="5"/>
        <v>0.2</v>
      </c>
      <c r="S50" s="53"/>
      <c r="T50" s="53"/>
      <c r="U50" s="51" t="str">
        <f t="shared" si="6"/>
        <v/>
      </c>
      <c r="V50" s="53"/>
      <c r="W50" s="51" t="str">
        <f t="shared" si="7"/>
        <v/>
      </c>
      <c r="X50" s="53"/>
      <c r="Y50" s="51" t="str">
        <f t="shared" si="8"/>
        <v/>
      </c>
      <c r="Z50" s="2"/>
      <c r="AA50" s="2"/>
      <c r="AB50" s="2"/>
      <c r="AC50" s="2"/>
      <c r="AD50" s="2"/>
      <c r="AE50" s="2"/>
    </row>
    <row r="51" spans="1:31" ht="12.75" x14ac:dyDescent="0.2">
      <c r="A51" s="53">
        <f ca="1">IFERROR(__xludf.DUMMYFUNCTION("""COMPUTED_VALUE"""),45)</f>
        <v>45</v>
      </c>
      <c r="B51" s="53" t="str">
        <f ca="1">IFERROR(__xludf.DUMMYFUNCTION("""COMPUTED_VALUE"""),"MN Việt Mỹ")</f>
        <v>MN Việt Mỹ</v>
      </c>
      <c r="C51" s="53" t="str">
        <f ca="1">IFERROR(__xludf.DUMMYFUNCTION("""COMPUTED_VALUE"""),"Mầm non")</f>
        <v>Mầm non</v>
      </c>
      <c r="D51" s="53" t="str">
        <f ca="1">IFERROR(__xludf.DUMMYFUNCTION("""COMPUTED_VALUE"""),"Tân Phú")</f>
        <v>Tân Phú</v>
      </c>
      <c r="E51" s="54">
        <f ca="1">IFERROR(__xludf.DUMMYFUNCTION("""COMPUTED_VALUE"""),10)</f>
        <v>10</v>
      </c>
      <c r="F51" s="54">
        <f ca="1">IFERROR(__xludf.DUMMYFUNCTION("""COMPUTED_VALUE"""),10)</f>
        <v>10</v>
      </c>
      <c r="G51" s="51">
        <f t="shared" ca="1" si="0"/>
        <v>1</v>
      </c>
      <c r="H51" s="54">
        <f ca="1">IFERROR(__xludf.DUMMYFUNCTION("""COMPUTED_VALUE"""),10)</f>
        <v>10</v>
      </c>
      <c r="I51" s="51">
        <f t="shared" ca="1" si="1"/>
        <v>1</v>
      </c>
      <c r="J51" s="54">
        <f ca="1">IFERROR(__xludf.DUMMYFUNCTION("""COMPUTED_VALUE"""),10)</f>
        <v>10</v>
      </c>
      <c r="K51" s="51">
        <f t="shared" ca="1" si="2"/>
        <v>1</v>
      </c>
      <c r="L51" s="54">
        <f ca="1">IFERROR(__xludf.DUMMYFUNCTION("""COMPUTED_VALUE"""),0)</f>
        <v>0</v>
      </c>
      <c r="M51" s="51">
        <f t="shared" ca="1" si="3"/>
        <v>0</v>
      </c>
      <c r="N51" s="54">
        <f ca="1">IFERROR(__xludf.DUMMYFUNCTION("""COMPUTED_VALUE"""),45)</f>
        <v>45</v>
      </c>
      <c r="O51" s="54">
        <f ca="1">IFERROR(__xludf.DUMMYFUNCTION("""COMPUTED_VALUE"""),21)</f>
        <v>21</v>
      </c>
      <c r="P51" s="51">
        <f t="shared" ca="1" si="4"/>
        <v>0.46666666666666667</v>
      </c>
      <c r="Q51" s="54">
        <f ca="1">IFERROR(__xludf.DUMMYFUNCTION("""COMPUTED_VALUE"""),12)</f>
        <v>12</v>
      </c>
      <c r="R51" s="51">
        <f t="shared" ca="1" si="5"/>
        <v>0.26666666666666666</v>
      </c>
      <c r="S51" s="53"/>
      <c r="T51" s="53"/>
      <c r="U51" s="51" t="str">
        <f t="shared" si="6"/>
        <v/>
      </c>
      <c r="V51" s="53"/>
      <c r="W51" s="51" t="str">
        <f t="shared" si="7"/>
        <v/>
      </c>
      <c r="X51" s="53"/>
      <c r="Y51" s="51" t="str">
        <f t="shared" si="8"/>
        <v/>
      </c>
      <c r="Z51" s="2"/>
      <c r="AA51" s="2"/>
      <c r="AB51" s="2"/>
      <c r="AC51" s="2"/>
      <c r="AD51" s="2"/>
      <c r="AE51" s="2"/>
    </row>
    <row r="52" spans="1:31" ht="12.75" x14ac:dyDescent="0.2">
      <c r="A52" s="53">
        <f ca="1">IFERROR(__xludf.DUMMYFUNCTION("""COMPUTED_VALUE"""),46)</f>
        <v>46</v>
      </c>
      <c r="B52" s="53" t="str">
        <f ca="1">IFERROR(__xludf.DUMMYFUNCTION("""COMPUTED_VALUE"""),"MN Đức Minh")</f>
        <v>MN Đức Minh</v>
      </c>
      <c r="C52" s="53" t="str">
        <f ca="1">IFERROR(__xludf.DUMMYFUNCTION("""COMPUTED_VALUE"""),"Mầm non")</f>
        <v>Mầm non</v>
      </c>
      <c r="D52" s="53" t="str">
        <f ca="1">IFERROR(__xludf.DUMMYFUNCTION("""COMPUTED_VALUE"""),"Tân Phú")</f>
        <v>Tân Phú</v>
      </c>
      <c r="E52" s="54">
        <f ca="1">IFERROR(__xludf.DUMMYFUNCTION("""COMPUTED_VALUE"""),10)</f>
        <v>10</v>
      </c>
      <c r="F52" s="54">
        <f ca="1">IFERROR(__xludf.DUMMYFUNCTION("""COMPUTED_VALUE"""),10)</f>
        <v>10</v>
      </c>
      <c r="G52" s="51">
        <f t="shared" ca="1" si="0"/>
        <v>1</v>
      </c>
      <c r="H52" s="54">
        <f ca="1">IFERROR(__xludf.DUMMYFUNCTION("""COMPUTED_VALUE"""),10)</f>
        <v>10</v>
      </c>
      <c r="I52" s="51">
        <f t="shared" ca="1" si="1"/>
        <v>1</v>
      </c>
      <c r="J52" s="54">
        <f ca="1">IFERROR(__xludf.DUMMYFUNCTION("""COMPUTED_VALUE"""),9)</f>
        <v>9</v>
      </c>
      <c r="K52" s="51">
        <f t="shared" ca="1" si="2"/>
        <v>0.9</v>
      </c>
      <c r="L52" s="54">
        <f ca="1">IFERROR(__xludf.DUMMYFUNCTION("""COMPUTED_VALUE"""),3)</f>
        <v>3</v>
      </c>
      <c r="M52" s="51">
        <f t="shared" ca="1" si="3"/>
        <v>0.3</v>
      </c>
      <c r="N52" s="54">
        <f ca="1">IFERROR(__xludf.DUMMYFUNCTION("""COMPUTED_VALUE"""),25)</f>
        <v>25</v>
      </c>
      <c r="O52" s="54">
        <f ca="1">IFERROR(__xludf.DUMMYFUNCTION("""COMPUTED_VALUE"""),12)</f>
        <v>12</v>
      </c>
      <c r="P52" s="51">
        <f t="shared" ca="1" si="4"/>
        <v>0.48</v>
      </c>
      <c r="Q52" s="54">
        <f ca="1">IFERROR(__xludf.DUMMYFUNCTION("""COMPUTED_VALUE"""),5)</f>
        <v>5</v>
      </c>
      <c r="R52" s="51">
        <f t="shared" ca="1" si="5"/>
        <v>0.2</v>
      </c>
      <c r="S52" s="53"/>
      <c r="T52" s="53"/>
      <c r="U52" s="51" t="str">
        <f t="shared" si="6"/>
        <v/>
      </c>
      <c r="V52" s="53"/>
      <c r="W52" s="51" t="str">
        <f t="shared" si="7"/>
        <v/>
      </c>
      <c r="X52" s="53"/>
      <c r="Y52" s="51" t="str">
        <f t="shared" si="8"/>
        <v/>
      </c>
      <c r="Z52" s="2"/>
      <c r="AA52" s="2"/>
      <c r="AB52" s="2"/>
      <c r="AC52" s="2"/>
      <c r="AD52" s="2"/>
      <c r="AE52" s="2"/>
    </row>
    <row r="53" spans="1:31" ht="12.75" x14ac:dyDescent="0.2">
      <c r="A53" s="53">
        <f ca="1">IFERROR(__xludf.DUMMYFUNCTION("""COMPUTED_VALUE"""),47)</f>
        <v>47</v>
      </c>
      <c r="B53" s="53" t="str">
        <f ca="1">IFERROR(__xludf.DUMMYFUNCTION("""COMPUTED_VALUE"""),"MN Mặt Trời Nhỏ 2")</f>
        <v>MN Mặt Trời Nhỏ 2</v>
      </c>
      <c r="C53" s="53" t="str">
        <f ca="1">IFERROR(__xludf.DUMMYFUNCTION("""COMPUTED_VALUE"""),"Mầm non")</f>
        <v>Mầm non</v>
      </c>
      <c r="D53" s="53" t="str">
        <f ca="1">IFERROR(__xludf.DUMMYFUNCTION("""COMPUTED_VALUE"""),"Tân Phú")</f>
        <v>Tân Phú</v>
      </c>
      <c r="E53" s="54">
        <f ca="1">IFERROR(__xludf.DUMMYFUNCTION("""COMPUTED_VALUE"""),19)</f>
        <v>19</v>
      </c>
      <c r="F53" s="54">
        <f ca="1">IFERROR(__xludf.DUMMYFUNCTION("""COMPUTED_VALUE"""),19)</f>
        <v>19</v>
      </c>
      <c r="G53" s="51">
        <f t="shared" ca="1" si="0"/>
        <v>1</v>
      </c>
      <c r="H53" s="54">
        <f ca="1">IFERROR(__xludf.DUMMYFUNCTION("""COMPUTED_VALUE"""),19)</f>
        <v>19</v>
      </c>
      <c r="I53" s="51">
        <f t="shared" ca="1" si="1"/>
        <v>1</v>
      </c>
      <c r="J53" s="54">
        <f ca="1">IFERROR(__xludf.DUMMYFUNCTION("""COMPUTED_VALUE"""),18)</f>
        <v>18</v>
      </c>
      <c r="K53" s="51">
        <f t="shared" ca="1" si="2"/>
        <v>0.94736842105263153</v>
      </c>
      <c r="L53" s="54">
        <f ca="1">IFERROR(__xludf.DUMMYFUNCTION("""COMPUTED_VALUE"""),1)</f>
        <v>1</v>
      </c>
      <c r="M53" s="51">
        <f t="shared" ca="1" si="3"/>
        <v>5.2631578947368418E-2</v>
      </c>
      <c r="N53" s="54">
        <f ca="1">IFERROR(__xludf.DUMMYFUNCTION("""COMPUTED_VALUE"""),27)</f>
        <v>27</v>
      </c>
      <c r="O53" s="54">
        <f ca="1">IFERROR(__xludf.DUMMYFUNCTION("""COMPUTED_VALUE"""),8)</f>
        <v>8</v>
      </c>
      <c r="P53" s="51">
        <f t="shared" ca="1" si="4"/>
        <v>0.29629629629629628</v>
      </c>
      <c r="Q53" s="54">
        <f ca="1">IFERROR(__xludf.DUMMYFUNCTION("""COMPUTED_VALUE"""),2)</f>
        <v>2</v>
      </c>
      <c r="R53" s="51">
        <f t="shared" ca="1" si="5"/>
        <v>7.407407407407407E-2</v>
      </c>
      <c r="S53" s="53"/>
      <c r="T53" s="53"/>
      <c r="U53" s="51" t="str">
        <f t="shared" si="6"/>
        <v/>
      </c>
      <c r="V53" s="53"/>
      <c r="W53" s="51" t="str">
        <f t="shared" si="7"/>
        <v/>
      </c>
      <c r="X53" s="53"/>
      <c r="Y53" s="51" t="str">
        <f t="shared" si="8"/>
        <v/>
      </c>
      <c r="Z53" s="2"/>
      <c r="AA53" s="2"/>
      <c r="AB53" s="2"/>
      <c r="AC53" s="2"/>
      <c r="AD53" s="2"/>
      <c r="AE53" s="2"/>
    </row>
    <row r="54" spans="1:31" ht="12.75" x14ac:dyDescent="0.2">
      <c r="A54" s="53">
        <f ca="1">IFERROR(__xludf.DUMMYFUNCTION("""COMPUTED_VALUE"""),48)</f>
        <v>48</v>
      </c>
      <c r="B54" s="53"/>
      <c r="C54" s="53"/>
      <c r="D54" s="53" t="str">
        <f ca="1">IFERROR(__xludf.DUMMYFUNCTION("""COMPUTED_VALUE"""),"Tân Phú")</f>
        <v>Tân Phú</v>
      </c>
      <c r="E54" s="54">
        <f ca="1">IFERROR(__xludf.DUMMYFUNCTION("""COMPUTED_VALUE"""),27)</f>
        <v>27</v>
      </c>
      <c r="F54" s="54">
        <f ca="1">IFERROR(__xludf.DUMMYFUNCTION("""COMPUTED_VALUE"""),27)</f>
        <v>27</v>
      </c>
      <c r="G54" s="51">
        <f t="shared" ca="1" si="0"/>
        <v>1</v>
      </c>
      <c r="H54" s="54">
        <f ca="1">IFERROR(__xludf.DUMMYFUNCTION("""COMPUTED_VALUE"""),27)</f>
        <v>27</v>
      </c>
      <c r="I54" s="51">
        <f t="shared" ca="1" si="1"/>
        <v>1</v>
      </c>
      <c r="J54" s="54">
        <f ca="1">IFERROR(__xludf.DUMMYFUNCTION("""COMPUTED_VALUE"""),23)</f>
        <v>23</v>
      </c>
      <c r="K54" s="51">
        <f t="shared" ca="1" si="2"/>
        <v>0.85185185185185186</v>
      </c>
      <c r="L54" s="54">
        <f ca="1">IFERROR(__xludf.DUMMYFUNCTION("""COMPUTED_VALUE"""),11)</f>
        <v>11</v>
      </c>
      <c r="M54" s="51">
        <f t="shared" ca="1" si="3"/>
        <v>0.40740740740740738</v>
      </c>
      <c r="N54" s="54">
        <f ca="1">IFERROR(__xludf.DUMMYFUNCTION("""COMPUTED_VALUE"""),34)</f>
        <v>34</v>
      </c>
      <c r="O54" s="54">
        <f ca="1">IFERROR(__xludf.DUMMYFUNCTION("""COMPUTED_VALUE"""),21)</f>
        <v>21</v>
      </c>
      <c r="P54" s="51">
        <f t="shared" ca="1" si="4"/>
        <v>0.61764705882352944</v>
      </c>
      <c r="Q54" s="54">
        <f ca="1">IFERROR(__xludf.DUMMYFUNCTION("""COMPUTED_VALUE"""),5)</f>
        <v>5</v>
      </c>
      <c r="R54" s="51">
        <f t="shared" ca="1" si="5"/>
        <v>0.14705882352941177</v>
      </c>
      <c r="S54" s="53"/>
      <c r="T54" s="53"/>
      <c r="U54" s="51" t="str">
        <f t="shared" si="6"/>
        <v/>
      </c>
      <c r="V54" s="53"/>
      <c r="W54" s="51" t="str">
        <f t="shared" si="7"/>
        <v/>
      </c>
      <c r="X54" s="53"/>
      <c r="Y54" s="51" t="str">
        <f t="shared" si="8"/>
        <v/>
      </c>
      <c r="Z54" s="2"/>
      <c r="AA54" s="2"/>
      <c r="AB54" s="2"/>
      <c r="AC54" s="2"/>
      <c r="AD54" s="2"/>
      <c r="AE54" s="2"/>
    </row>
    <row r="55" spans="1:31" ht="12.75" x14ac:dyDescent="0.2">
      <c r="A55" s="53">
        <f ca="1">IFERROR(__xludf.DUMMYFUNCTION("""COMPUTED_VALUE"""),49)</f>
        <v>49</v>
      </c>
      <c r="B55" s="53" t="str">
        <f ca="1">IFERROR(__xludf.DUMMYFUNCTION("""COMPUTED_VALUE"""),"MN Ngôi Nhà Hạnh Phúc 2")</f>
        <v>MN Ngôi Nhà Hạnh Phúc 2</v>
      </c>
      <c r="C55" s="53" t="str">
        <f ca="1">IFERROR(__xludf.DUMMYFUNCTION("""COMPUTED_VALUE"""),"Mầm non")</f>
        <v>Mầm non</v>
      </c>
      <c r="D55" s="53" t="str">
        <f ca="1">IFERROR(__xludf.DUMMYFUNCTION("""COMPUTED_VALUE"""),"Tân Phú")</f>
        <v>Tân Phú</v>
      </c>
      <c r="E55" s="54">
        <f ca="1">IFERROR(__xludf.DUMMYFUNCTION("""COMPUTED_VALUE"""),21)</f>
        <v>21</v>
      </c>
      <c r="F55" s="54">
        <f ca="1">IFERROR(__xludf.DUMMYFUNCTION("""COMPUTED_VALUE"""),21)</f>
        <v>21</v>
      </c>
      <c r="G55" s="51">
        <f t="shared" ca="1" si="0"/>
        <v>1</v>
      </c>
      <c r="H55" s="54">
        <f ca="1">IFERROR(__xludf.DUMMYFUNCTION("""COMPUTED_VALUE"""),21)</f>
        <v>21</v>
      </c>
      <c r="I55" s="51">
        <f t="shared" ca="1" si="1"/>
        <v>1</v>
      </c>
      <c r="J55" s="54">
        <f ca="1">IFERROR(__xludf.DUMMYFUNCTION("""COMPUTED_VALUE"""),21)</f>
        <v>21</v>
      </c>
      <c r="K55" s="51">
        <f t="shared" ca="1" si="2"/>
        <v>1</v>
      </c>
      <c r="L55" s="54">
        <f ca="1">IFERROR(__xludf.DUMMYFUNCTION("""COMPUTED_VALUE"""),18)</f>
        <v>18</v>
      </c>
      <c r="M55" s="51">
        <f t="shared" ca="1" si="3"/>
        <v>0.8571428571428571</v>
      </c>
      <c r="N55" s="54">
        <f ca="1">IFERROR(__xludf.DUMMYFUNCTION("""COMPUTED_VALUE"""),47)</f>
        <v>47</v>
      </c>
      <c r="O55" s="54">
        <f ca="1">IFERROR(__xludf.DUMMYFUNCTION("""COMPUTED_VALUE"""),20)</f>
        <v>20</v>
      </c>
      <c r="P55" s="51">
        <f t="shared" ca="1" si="4"/>
        <v>0.42553191489361702</v>
      </c>
      <c r="Q55" s="54">
        <f ca="1">IFERROR(__xludf.DUMMYFUNCTION("""COMPUTED_VALUE"""),5)</f>
        <v>5</v>
      </c>
      <c r="R55" s="51">
        <f t="shared" ca="1" si="5"/>
        <v>0.10638297872340426</v>
      </c>
      <c r="S55" s="53"/>
      <c r="T55" s="53"/>
      <c r="U55" s="51" t="str">
        <f t="shared" si="6"/>
        <v/>
      </c>
      <c r="V55" s="53"/>
      <c r="W55" s="51" t="str">
        <f t="shared" si="7"/>
        <v/>
      </c>
      <c r="X55" s="53"/>
      <c r="Y55" s="51" t="str">
        <f t="shared" si="8"/>
        <v/>
      </c>
      <c r="Z55" s="2"/>
      <c r="AA55" s="2"/>
      <c r="AB55" s="2"/>
      <c r="AC55" s="2"/>
      <c r="AD55" s="2"/>
      <c r="AE55" s="2"/>
    </row>
    <row r="56" spans="1:31" ht="12.75" x14ac:dyDescent="0.2">
      <c r="A56" s="53">
        <f ca="1">IFERROR(__xludf.DUMMYFUNCTION("""COMPUTED_VALUE"""),50)</f>
        <v>50</v>
      </c>
      <c r="B56" s="53" t="str">
        <f ca="1">IFERROR(__xludf.DUMMYFUNCTION("""COMPUTED_VALUE"""),"MG Bông Hồng")</f>
        <v>MG Bông Hồng</v>
      </c>
      <c r="C56" s="53" t="str">
        <f ca="1">IFERROR(__xludf.DUMMYFUNCTION("""COMPUTED_VALUE"""),"Mầm non")</f>
        <v>Mầm non</v>
      </c>
      <c r="D56" s="53" t="str">
        <f ca="1">IFERROR(__xludf.DUMMYFUNCTION("""COMPUTED_VALUE"""),"Tân Phú")</f>
        <v>Tân Phú</v>
      </c>
      <c r="E56" s="54">
        <f ca="1">IFERROR(__xludf.DUMMYFUNCTION("""COMPUTED_VALUE"""),23)</f>
        <v>23</v>
      </c>
      <c r="F56" s="54">
        <f ca="1">IFERROR(__xludf.DUMMYFUNCTION("""COMPUTED_VALUE"""),23)</f>
        <v>23</v>
      </c>
      <c r="G56" s="51">
        <f t="shared" ca="1" si="0"/>
        <v>1</v>
      </c>
      <c r="H56" s="54">
        <f ca="1">IFERROR(__xludf.DUMMYFUNCTION("""COMPUTED_VALUE"""),23)</f>
        <v>23</v>
      </c>
      <c r="I56" s="51">
        <f t="shared" ca="1" si="1"/>
        <v>1</v>
      </c>
      <c r="J56" s="54">
        <f ca="1">IFERROR(__xludf.DUMMYFUNCTION("""COMPUTED_VALUE"""),21)</f>
        <v>21</v>
      </c>
      <c r="K56" s="51">
        <f t="shared" ca="1" si="2"/>
        <v>0.91304347826086951</v>
      </c>
      <c r="L56" s="54">
        <f ca="1">IFERROR(__xludf.DUMMYFUNCTION("""COMPUTED_VALUE"""),0)</f>
        <v>0</v>
      </c>
      <c r="M56" s="51">
        <f t="shared" ca="1" si="3"/>
        <v>0</v>
      </c>
      <c r="N56" s="54">
        <f ca="1">IFERROR(__xludf.DUMMYFUNCTION("""COMPUTED_VALUE"""),35)</f>
        <v>35</v>
      </c>
      <c r="O56" s="54">
        <f ca="1">IFERROR(__xludf.DUMMYFUNCTION("""COMPUTED_VALUE"""),20)</f>
        <v>20</v>
      </c>
      <c r="P56" s="51">
        <f t="shared" ca="1" si="4"/>
        <v>0.5714285714285714</v>
      </c>
      <c r="Q56" s="54">
        <f ca="1">IFERROR(__xludf.DUMMYFUNCTION("""COMPUTED_VALUE"""),10)</f>
        <v>10</v>
      </c>
      <c r="R56" s="51">
        <f t="shared" ca="1" si="5"/>
        <v>0.2857142857142857</v>
      </c>
      <c r="S56" s="53"/>
      <c r="T56" s="53"/>
      <c r="U56" s="51" t="str">
        <f t="shared" si="6"/>
        <v/>
      </c>
      <c r="V56" s="53"/>
      <c r="W56" s="51" t="str">
        <f t="shared" si="7"/>
        <v/>
      </c>
      <c r="X56" s="53"/>
      <c r="Y56" s="51" t="str">
        <f t="shared" si="8"/>
        <v/>
      </c>
      <c r="Z56" s="2"/>
      <c r="AA56" s="2"/>
      <c r="AB56" s="2"/>
      <c r="AC56" s="2"/>
      <c r="AD56" s="2"/>
      <c r="AE56" s="2"/>
    </row>
    <row r="57" spans="1:31" ht="12.75" x14ac:dyDescent="0.2">
      <c r="A57" s="53">
        <f ca="1">IFERROR(__xludf.DUMMYFUNCTION("""COMPUTED_VALUE"""),51)</f>
        <v>51</v>
      </c>
      <c r="B57" s="53" t="str">
        <f ca="1">IFERROR(__xludf.DUMMYFUNCTION("""COMPUTED_VALUE"""),"MN Hòa Bình")</f>
        <v>MN Hòa Bình</v>
      </c>
      <c r="C57" s="53" t="str">
        <f ca="1">IFERROR(__xludf.DUMMYFUNCTION("""COMPUTED_VALUE"""),"Mầm non")</f>
        <v>Mầm non</v>
      </c>
      <c r="D57" s="53" t="str">
        <f ca="1">IFERROR(__xludf.DUMMYFUNCTION("""COMPUTED_VALUE"""),"Tân Phú")</f>
        <v>Tân Phú</v>
      </c>
      <c r="E57" s="54">
        <f ca="1">IFERROR(__xludf.DUMMYFUNCTION("""COMPUTED_VALUE"""),12)</f>
        <v>12</v>
      </c>
      <c r="F57" s="54">
        <f ca="1">IFERROR(__xludf.DUMMYFUNCTION("""COMPUTED_VALUE"""),12)</f>
        <v>12</v>
      </c>
      <c r="G57" s="51">
        <f t="shared" ca="1" si="0"/>
        <v>1</v>
      </c>
      <c r="H57" s="54">
        <f ca="1">IFERROR(__xludf.DUMMYFUNCTION("""COMPUTED_VALUE"""),12)</f>
        <v>12</v>
      </c>
      <c r="I57" s="51">
        <f t="shared" ca="1" si="1"/>
        <v>1</v>
      </c>
      <c r="J57" s="54">
        <f ca="1">IFERROR(__xludf.DUMMYFUNCTION("""COMPUTED_VALUE"""),11)</f>
        <v>11</v>
      </c>
      <c r="K57" s="51">
        <f t="shared" ca="1" si="2"/>
        <v>0.91666666666666663</v>
      </c>
      <c r="L57" s="54">
        <f ca="1">IFERROR(__xludf.DUMMYFUNCTION("""COMPUTED_VALUE"""),1)</f>
        <v>1</v>
      </c>
      <c r="M57" s="51">
        <f t="shared" ca="1" si="3"/>
        <v>8.3333333333333329E-2</v>
      </c>
      <c r="N57" s="54">
        <f ca="1">IFERROR(__xludf.DUMMYFUNCTION("""COMPUTED_VALUE"""),0)</f>
        <v>0</v>
      </c>
      <c r="O57" s="54">
        <f ca="1">IFERROR(__xludf.DUMMYFUNCTION("""COMPUTED_VALUE"""),0)</f>
        <v>0</v>
      </c>
      <c r="P57" s="51" t="str">
        <f t="shared" ca="1" si="4"/>
        <v/>
      </c>
      <c r="Q57" s="54">
        <f ca="1">IFERROR(__xludf.DUMMYFUNCTION("""COMPUTED_VALUE"""),0)</f>
        <v>0</v>
      </c>
      <c r="R57" s="51" t="str">
        <f t="shared" ca="1" si="5"/>
        <v/>
      </c>
      <c r="S57" s="53"/>
      <c r="T57" s="53"/>
      <c r="U57" s="51" t="str">
        <f t="shared" si="6"/>
        <v/>
      </c>
      <c r="V57" s="53"/>
      <c r="W57" s="51" t="str">
        <f t="shared" si="7"/>
        <v/>
      </c>
      <c r="X57" s="53"/>
      <c r="Y57" s="51" t="str">
        <f t="shared" si="8"/>
        <v/>
      </c>
      <c r="Z57" s="2"/>
      <c r="AA57" s="2"/>
      <c r="AB57" s="2"/>
      <c r="AC57" s="2"/>
      <c r="AD57" s="2"/>
      <c r="AE57" s="2"/>
    </row>
    <row r="58" spans="1:31" ht="12.75" x14ac:dyDescent="0.2">
      <c r="A58" s="53">
        <f ca="1">IFERROR(__xludf.DUMMYFUNCTION("""COMPUTED_VALUE"""),52)</f>
        <v>52</v>
      </c>
      <c r="B58" s="53" t="str">
        <f ca="1">IFERROR(__xludf.DUMMYFUNCTION("""COMPUTED_VALUE"""),"MN Thiên Thần")</f>
        <v>MN Thiên Thần</v>
      </c>
      <c r="C58" s="53" t="str">
        <f ca="1">IFERROR(__xludf.DUMMYFUNCTION("""COMPUTED_VALUE"""),"Mầm non")</f>
        <v>Mầm non</v>
      </c>
      <c r="D58" s="53" t="str">
        <f ca="1">IFERROR(__xludf.DUMMYFUNCTION("""COMPUTED_VALUE"""),"Tân Phú")</f>
        <v>Tân Phú</v>
      </c>
      <c r="E58" s="54">
        <f ca="1">IFERROR(__xludf.DUMMYFUNCTION("""COMPUTED_VALUE"""),25)</f>
        <v>25</v>
      </c>
      <c r="F58" s="54">
        <f ca="1">IFERROR(__xludf.DUMMYFUNCTION("""COMPUTED_VALUE"""),25)</f>
        <v>25</v>
      </c>
      <c r="G58" s="51">
        <f t="shared" ca="1" si="0"/>
        <v>1</v>
      </c>
      <c r="H58" s="54">
        <f ca="1">IFERROR(__xludf.DUMMYFUNCTION("""COMPUTED_VALUE"""),25)</f>
        <v>25</v>
      </c>
      <c r="I58" s="51">
        <f t="shared" ca="1" si="1"/>
        <v>1</v>
      </c>
      <c r="J58" s="54">
        <f ca="1">IFERROR(__xludf.DUMMYFUNCTION("""COMPUTED_VALUE"""),23)</f>
        <v>23</v>
      </c>
      <c r="K58" s="51">
        <f t="shared" ca="1" si="2"/>
        <v>0.92</v>
      </c>
      <c r="L58" s="54">
        <f ca="1">IFERROR(__xludf.DUMMYFUNCTION("""COMPUTED_VALUE"""),9)</f>
        <v>9</v>
      </c>
      <c r="M58" s="51">
        <f t="shared" ca="1" si="3"/>
        <v>0.36</v>
      </c>
      <c r="N58" s="54">
        <f ca="1">IFERROR(__xludf.DUMMYFUNCTION("""COMPUTED_VALUE"""),20)</f>
        <v>20</v>
      </c>
      <c r="O58" s="54">
        <f ca="1">IFERROR(__xludf.DUMMYFUNCTION("""COMPUTED_VALUE"""),5)</f>
        <v>5</v>
      </c>
      <c r="P58" s="51">
        <f t="shared" ca="1" si="4"/>
        <v>0.25</v>
      </c>
      <c r="Q58" s="54">
        <f ca="1">IFERROR(__xludf.DUMMYFUNCTION("""COMPUTED_VALUE"""),2)</f>
        <v>2</v>
      </c>
      <c r="R58" s="51">
        <f t="shared" ca="1" si="5"/>
        <v>0.1</v>
      </c>
      <c r="S58" s="53"/>
      <c r="T58" s="53"/>
      <c r="U58" s="51" t="str">
        <f t="shared" si="6"/>
        <v/>
      </c>
      <c r="V58" s="53"/>
      <c r="W58" s="51" t="str">
        <f t="shared" si="7"/>
        <v/>
      </c>
      <c r="X58" s="53"/>
      <c r="Y58" s="51" t="str">
        <f t="shared" si="8"/>
        <v/>
      </c>
      <c r="Z58" s="2"/>
      <c r="AA58" s="2"/>
      <c r="AB58" s="2"/>
      <c r="AC58" s="2"/>
      <c r="AD58" s="2"/>
      <c r="AE58" s="2"/>
    </row>
    <row r="59" spans="1:31" ht="12.75" x14ac:dyDescent="0.2">
      <c r="A59" s="53">
        <f ca="1">IFERROR(__xludf.DUMMYFUNCTION("""COMPUTED_VALUE"""),53)</f>
        <v>53</v>
      </c>
      <c r="B59" s="53" t="str">
        <f ca="1">IFERROR(__xludf.DUMMYFUNCTION("""COMPUTED_VALUE"""),"MN Trí Đức 2")</f>
        <v>MN Trí Đức 2</v>
      </c>
      <c r="C59" s="53" t="str">
        <f ca="1">IFERROR(__xludf.DUMMYFUNCTION("""COMPUTED_VALUE"""),"Mầm non")</f>
        <v>Mầm non</v>
      </c>
      <c r="D59" s="53" t="str">
        <f ca="1">IFERROR(__xludf.DUMMYFUNCTION("""COMPUTED_VALUE"""),"Tân Phú")</f>
        <v>Tân Phú</v>
      </c>
      <c r="E59" s="54">
        <f ca="1">IFERROR(__xludf.DUMMYFUNCTION("""COMPUTED_VALUE"""),31)</f>
        <v>31</v>
      </c>
      <c r="F59" s="54">
        <f ca="1">IFERROR(__xludf.DUMMYFUNCTION("""COMPUTED_VALUE"""),25)</f>
        <v>25</v>
      </c>
      <c r="G59" s="51">
        <f t="shared" ca="1" si="0"/>
        <v>0.80645161290322576</v>
      </c>
      <c r="H59" s="54">
        <f ca="1">IFERROR(__xludf.DUMMYFUNCTION("""COMPUTED_VALUE"""),25)</f>
        <v>25</v>
      </c>
      <c r="I59" s="51">
        <f t="shared" ca="1" si="1"/>
        <v>0.80645161290322576</v>
      </c>
      <c r="J59" s="54">
        <f ca="1">IFERROR(__xludf.DUMMYFUNCTION("""COMPUTED_VALUE"""),25)</f>
        <v>25</v>
      </c>
      <c r="K59" s="51">
        <f t="shared" ca="1" si="2"/>
        <v>0.80645161290322576</v>
      </c>
      <c r="L59" s="54">
        <f ca="1">IFERROR(__xludf.DUMMYFUNCTION("""COMPUTED_VALUE"""),0)</f>
        <v>0</v>
      </c>
      <c r="M59" s="51">
        <f t="shared" ca="1" si="3"/>
        <v>0</v>
      </c>
      <c r="N59" s="54">
        <f ca="1">IFERROR(__xludf.DUMMYFUNCTION("""COMPUTED_VALUE"""),36)</f>
        <v>36</v>
      </c>
      <c r="O59" s="54">
        <f ca="1">IFERROR(__xludf.DUMMYFUNCTION("""COMPUTED_VALUE"""),19)</f>
        <v>19</v>
      </c>
      <c r="P59" s="51">
        <f t="shared" ca="1" si="4"/>
        <v>0.52777777777777779</v>
      </c>
      <c r="Q59" s="54">
        <f ca="1">IFERROR(__xludf.DUMMYFUNCTION("""COMPUTED_VALUE"""),11)</f>
        <v>11</v>
      </c>
      <c r="R59" s="51">
        <f t="shared" ca="1" si="5"/>
        <v>0.30555555555555558</v>
      </c>
      <c r="S59" s="53"/>
      <c r="T59" s="53"/>
      <c r="U59" s="51" t="str">
        <f t="shared" si="6"/>
        <v/>
      </c>
      <c r="V59" s="53"/>
      <c r="W59" s="51" t="str">
        <f t="shared" si="7"/>
        <v/>
      </c>
      <c r="X59" s="53"/>
      <c r="Y59" s="51" t="str">
        <f t="shared" si="8"/>
        <v/>
      </c>
      <c r="Z59" s="2"/>
      <c r="AA59" s="2"/>
      <c r="AB59" s="2"/>
      <c r="AC59" s="2"/>
      <c r="AD59" s="2"/>
      <c r="AE59" s="2"/>
    </row>
    <row r="60" spans="1:31" ht="12.75" x14ac:dyDescent="0.2">
      <c r="A60" s="53">
        <f ca="1">IFERROR(__xludf.DUMMYFUNCTION("""COMPUTED_VALUE"""),54)</f>
        <v>54</v>
      </c>
      <c r="B60" s="53" t="str">
        <f ca="1">IFERROR(__xludf.DUMMYFUNCTION("""COMPUTED_VALUE"""),"MN Tinh Tú")</f>
        <v>MN Tinh Tú</v>
      </c>
      <c r="C60" s="53" t="str">
        <f ca="1">IFERROR(__xludf.DUMMYFUNCTION("""COMPUTED_VALUE"""),"Mầm non")</f>
        <v>Mầm non</v>
      </c>
      <c r="D60" s="53" t="str">
        <f ca="1">IFERROR(__xludf.DUMMYFUNCTION("""COMPUTED_VALUE"""),"Tân Phú")</f>
        <v>Tân Phú</v>
      </c>
      <c r="E60" s="54">
        <f ca="1">IFERROR(__xludf.DUMMYFUNCTION("""COMPUTED_VALUE"""),27)</f>
        <v>27</v>
      </c>
      <c r="F60" s="54">
        <f ca="1">IFERROR(__xludf.DUMMYFUNCTION("""COMPUTED_VALUE"""),27)</f>
        <v>27</v>
      </c>
      <c r="G60" s="51">
        <f t="shared" ca="1" si="0"/>
        <v>1</v>
      </c>
      <c r="H60" s="54">
        <f ca="1">IFERROR(__xludf.DUMMYFUNCTION("""COMPUTED_VALUE"""),27)</f>
        <v>27</v>
      </c>
      <c r="I60" s="51">
        <f t="shared" ca="1" si="1"/>
        <v>1</v>
      </c>
      <c r="J60" s="54">
        <f ca="1">IFERROR(__xludf.DUMMYFUNCTION("""COMPUTED_VALUE"""),27)</f>
        <v>27</v>
      </c>
      <c r="K60" s="51">
        <f t="shared" ca="1" si="2"/>
        <v>1</v>
      </c>
      <c r="L60" s="54">
        <f ca="1">IFERROR(__xludf.DUMMYFUNCTION("""COMPUTED_VALUE"""),20)</f>
        <v>20</v>
      </c>
      <c r="M60" s="51">
        <f t="shared" ca="1" si="3"/>
        <v>0.7407407407407407</v>
      </c>
      <c r="N60" s="54">
        <f ca="1">IFERROR(__xludf.DUMMYFUNCTION("""COMPUTED_VALUE"""),37)</f>
        <v>37</v>
      </c>
      <c r="O60" s="54">
        <f ca="1">IFERROR(__xludf.DUMMYFUNCTION("""COMPUTED_VALUE"""),25)</f>
        <v>25</v>
      </c>
      <c r="P60" s="51">
        <f t="shared" ca="1" si="4"/>
        <v>0.67567567567567566</v>
      </c>
      <c r="Q60" s="54">
        <f ca="1">IFERROR(__xludf.DUMMYFUNCTION("""COMPUTED_VALUE"""),4)</f>
        <v>4</v>
      </c>
      <c r="R60" s="51">
        <f t="shared" ca="1" si="5"/>
        <v>0.10810810810810811</v>
      </c>
      <c r="S60" s="53"/>
      <c r="T60" s="53"/>
      <c r="U60" s="51" t="str">
        <f t="shared" si="6"/>
        <v/>
      </c>
      <c r="V60" s="53"/>
      <c r="W60" s="51" t="str">
        <f t="shared" si="7"/>
        <v/>
      </c>
      <c r="X60" s="53"/>
      <c r="Y60" s="51" t="str">
        <f t="shared" si="8"/>
        <v/>
      </c>
      <c r="Z60" s="2"/>
      <c r="AA60" s="2"/>
      <c r="AB60" s="2"/>
      <c r="AC60" s="2"/>
      <c r="AD60" s="2"/>
      <c r="AE60" s="2"/>
    </row>
    <row r="61" spans="1:31" ht="12.75" x14ac:dyDescent="0.2">
      <c r="A61" s="53">
        <f ca="1">IFERROR(__xludf.DUMMYFUNCTION("""COMPUTED_VALUE"""),55)</f>
        <v>55</v>
      </c>
      <c r="B61" s="53" t="str">
        <f ca="1">IFERROR(__xludf.DUMMYFUNCTION("""COMPUTED_VALUE"""),"TTC Sài Gòn 2")</f>
        <v>TTC Sài Gòn 2</v>
      </c>
      <c r="C61" s="53" t="str">
        <f ca="1">IFERROR(__xludf.DUMMYFUNCTION("""COMPUTED_VALUE"""),"Mầm non")</f>
        <v>Mầm non</v>
      </c>
      <c r="D61" s="53" t="str">
        <f ca="1">IFERROR(__xludf.DUMMYFUNCTION("""COMPUTED_VALUE"""),"Tân Phú")</f>
        <v>Tân Phú</v>
      </c>
      <c r="E61" s="54">
        <f ca="1">IFERROR(__xludf.DUMMYFUNCTION("""COMPUTED_VALUE"""),13)</f>
        <v>13</v>
      </c>
      <c r="F61" s="54">
        <f ca="1">IFERROR(__xludf.DUMMYFUNCTION("""COMPUTED_VALUE"""),13)</f>
        <v>13</v>
      </c>
      <c r="G61" s="51">
        <f t="shared" ca="1" si="0"/>
        <v>1</v>
      </c>
      <c r="H61" s="54">
        <f ca="1">IFERROR(__xludf.DUMMYFUNCTION("""COMPUTED_VALUE"""),13)</f>
        <v>13</v>
      </c>
      <c r="I61" s="51">
        <f t="shared" ca="1" si="1"/>
        <v>1</v>
      </c>
      <c r="J61" s="54">
        <f ca="1">IFERROR(__xludf.DUMMYFUNCTION("""COMPUTED_VALUE"""),13)</f>
        <v>13</v>
      </c>
      <c r="K61" s="51">
        <f t="shared" ca="1" si="2"/>
        <v>1</v>
      </c>
      <c r="L61" s="54">
        <f ca="1">IFERROR(__xludf.DUMMYFUNCTION("""COMPUTED_VALUE"""),10)</f>
        <v>10</v>
      </c>
      <c r="M61" s="51">
        <f t="shared" ca="1" si="3"/>
        <v>0.76923076923076927</v>
      </c>
      <c r="N61" s="54">
        <f ca="1">IFERROR(__xludf.DUMMYFUNCTION("""COMPUTED_VALUE"""),30)</f>
        <v>30</v>
      </c>
      <c r="O61" s="54">
        <f ca="1">IFERROR(__xludf.DUMMYFUNCTION("""COMPUTED_VALUE"""),19)</f>
        <v>19</v>
      </c>
      <c r="P61" s="51">
        <f t="shared" ca="1" si="4"/>
        <v>0.6333333333333333</v>
      </c>
      <c r="Q61" s="54">
        <f ca="1">IFERROR(__xludf.DUMMYFUNCTION("""COMPUTED_VALUE"""),7)</f>
        <v>7</v>
      </c>
      <c r="R61" s="51">
        <f t="shared" ca="1" si="5"/>
        <v>0.23333333333333334</v>
      </c>
      <c r="S61" s="53"/>
      <c r="T61" s="53"/>
      <c r="U61" s="51" t="str">
        <f t="shared" si="6"/>
        <v/>
      </c>
      <c r="V61" s="53"/>
      <c r="W61" s="51" t="str">
        <f t="shared" si="7"/>
        <v/>
      </c>
      <c r="X61" s="53"/>
      <c r="Y61" s="51" t="str">
        <f t="shared" si="8"/>
        <v/>
      </c>
      <c r="Z61" s="2"/>
      <c r="AA61" s="2"/>
      <c r="AB61" s="2"/>
      <c r="AC61" s="2"/>
      <c r="AD61" s="2"/>
      <c r="AE61" s="2"/>
    </row>
    <row r="62" spans="1:31" ht="12.75" x14ac:dyDescent="0.2">
      <c r="A62" s="53">
        <f ca="1">IFERROR(__xludf.DUMMYFUNCTION("""COMPUTED_VALUE"""),56)</f>
        <v>56</v>
      </c>
      <c r="B62" s="53" t="str">
        <f ca="1">IFERROR(__xludf.DUMMYFUNCTION("""COMPUTED_VALUE"""),"MN Nam Long 2")</f>
        <v>MN Nam Long 2</v>
      </c>
      <c r="C62" s="53" t="str">
        <f ca="1">IFERROR(__xludf.DUMMYFUNCTION("""COMPUTED_VALUE"""),"Mầm non")</f>
        <v>Mầm non</v>
      </c>
      <c r="D62" s="53" t="str">
        <f ca="1">IFERROR(__xludf.DUMMYFUNCTION("""COMPUTED_VALUE"""),"Tân Phú")</f>
        <v>Tân Phú</v>
      </c>
      <c r="E62" s="54">
        <f ca="1">IFERROR(__xludf.DUMMYFUNCTION("""COMPUTED_VALUE"""),43)</f>
        <v>43</v>
      </c>
      <c r="F62" s="54">
        <f ca="1">IFERROR(__xludf.DUMMYFUNCTION("""COMPUTED_VALUE"""),43)</f>
        <v>43</v>
      </c>
      <c r="G62" s="51">
        <f t="shared" ca="1" si="0"/>
        <v>1</v>
      </c>
      <c r="H62" s="54">
        <f ca="1">IFERROR(__xludf.DUMMYFUNCTION("""COMPUTED_VALUE"""),43)</f>
        <v>43</v>
      </c>
      <c r="I62" s="51">
        <f t="shared" ca="1" si="1"/>
        <v>1</v>
      </c>
      <c r="J62" s="54">
        <f ca="1">IFERROR(__xludf.DUMMYFUNCTION("""COMPUTED_VALUE"""),43)</f>
        <v>43</v>
      </c>
      <c r="K62" s="51">
        <f t="shared" ca="1" si="2"/>
        <v>1</v>
      </c>
      <c r="L62" s="54">
        <f ca="1">IFERROR(__xludf.DUMMYFUNCTION("""COMPUTED_VALUE"""),17)</f>
        <v>17</v>
      </c>
      <c r="M62" s="51">
        <f t="shared" ca="1" si="3"/>
        <v>0.39534883720930231</v>
      </c>
      <c r="N62" s="54">
        <f ca="1">IFERROR(__xludf.DUMMYFUNCTION("""COMPUTED_VALUE"""),24)</f>
        <v>24</v>
      </c>
      <c r="O62" s="54">
        <f ca="1">IFERROR(__xludf.DUMMYFUNCTION("""COMPUTED_VALUE"""),5)</f>
        <v>5</v>
      </c>
      <c r="P62" s="51">
        <f t="shared" ca="1" si="4"/>
        <v>0.20833333333333334</v>
      </c>
      <c r="Q62" s="54">
        <f ca="1">IFERROR(__xludf.DUMMYFUNCTION("""COMPUTED_VALUE"""),1)</f>
        <v>1</v>
      </c>
      <c r="R62" s="51">
        <f t="shared" ca="1" si="5"/>
        <v>4.1666666666666664E-2</v>
      </c>
      <c r="S62" s="53"/>
      <c r="T62" s="53"/>
      <c r="U62" s="51" t="str">
        <f t="shared" si="6"/>
        <v/>
      </c>
      <c r="V62" s="53"/>
      <c r="W62" s="51" t="str">
        <f t="shared" si="7"/>
        <v/>
      </c>
      <c r="X62" s="53"/>
      <c r="Y62" s="51" t="str">
        <f t="shared" si="8"/>
        <v/>
      </c>
      <c r="Z62" s="2"/>
      <c r="AA62" s="2"/>
      <c r="AB62" s="2"/>
      <c r="AC62" s="2"/>
      <c r="AD62" s="2"/>
      <c r="AE62" s="2"/>
    </row>
    <row r="63" spans="1:31" ht="12.75" x14ac:dyDescent="0.2">
      <c r="A63" s="53">
        <f ca="1">IFERROR(__xludf.DUMMYFUNCTION("""COMPUTED_VALUE"""),57)</f>
        <v>57</v>
      </c>
      <c r="B63" s="53" t="str">
        <f ca="1">IFERROR(__xludf.DUMMYFUNCTION("""COMPUTED_VALUE"""),"MN Bé Gấu")</f>
        <v>MN Bé Gấu</v>
      </c>
      <c r="C63" s="53" t="str">
        <f ca="1">IFERROR(__xludf.DUMMYFUNCTION("""COMPUTED_VALUE"""),"Mầm non")</f>
        <v>Mầm non</v>
      </c>
      <c r="D63" s="53" t="str">
        <f ca="1">IFERROR(__xludf.DUMMYFUNCTION("""COMPUTED_VALUE"""),"Tân Phú")</f>
        <v>Tân Phú</v>
      </c>
      <c r="E63" s="54">
        <f ca="1">IFERROR(__xludf.DUMMYFUNCTION("""COMPUTED_VALUE"""),43)</f>
        <v>43</v>
      </c>
      <c r="F63" s="54">
        <f ca="1">IFERROR(__xludf.DUMMYFUNCTION("""COMPUTED_VALUE"""),43)</f>
        <v>43</v>
      </c>
      <c r="G63" s="51">
        <f t="shared" ca="1" si="0"/>
        <v>1</v>
      </c>
      <c r="H63" s="54">
        <f ca="1">IFERROR(__xludf.DUMMYFUNCTION("""COMPUTED_VALUE"""),43)</f>
        <v>43</v>
      </c>
      <c r="I63" s="51">
        <f t="shared" ca="1" si="1"/>
        <v>1</v>
      </c>
      <c r="J63" s="54">
        <f ca="1">IFERROR(__xludf.DUMMYFUNCTION("""COMPUTED_VALUE"""),43)</f>
        <v>43</v>
      </c>
      <c r="K63" s="51">
        <f t="shared" ca="1" si="2"/>
        <v>1</v>
      </c>
      <c r="L63" s="54">
        <f ca="1">IFERROR(__xludf.DUMMYFUNCTION("""COMPUTED_VALUE"""),17)</f>
        <v>17</v>
      </c>
      <c r="M63" s="51">
        <f t="shared" ca="1" si="3"/>
        <v>0.39534883720930231</v>
      </c>
      <c r="N63" s="54">
        <f ca="1">IFERROR(__xludf.DUMMYFUNCTION("""COMPUTED_VALUE"""),30)</f>
        <v>30</v>
      </c>
      <c r="O63" s="54">
        <f ca="1">IFERROR(__xludf.DUMMYFUNCTION("""COMPUTED_VALUE"""),15)</f>
        <v>15</v>
      </c>
      <c r="P63" s="51">
        <f t="shared" ca="1" si="4"/>
        <v>0.5</v>
      </c>
      <c r="Q63" s="54">
        <f ca="1">IFERROR(__xludf.DUMMYFUNCTION("""COMPUTED_VALUE"""),5)</f>
        <v>5</v>
      </c>
      <c r="R63" s="51">
        <f t="shared" ca="1" si="5"/>
        <v>0.16666666666666666</v>
      </c>
      <c r="S63" s="53"/>
      <c r="T63" s="53"/>
      <c r="U63" s="51" t="str">
        <f t="shared" si="6"/>
        <v/>
      </c>
      <c r="V63" s="53"/>
      <c r="W63" s="51" t="str">
        <f t="shared" si="7"/>
        <v/>
      </c>
      <c r="X63" s="53"/>
      <c r="Y63" s="51" t="str">
        <f t="shared" si="8"/>
        <v/>
      </c>
      <c r="Z63" s="2"/>
      <c r="AA63" s="2"/>
      <c r="AB63" s="2"/>
      <c r="AC63" s="2"/>
      <c r="AD63" s="2"/>
      <c r="AE63" s="2"/>
    </row>
    <row r="64" spans="1:31" ht="12.75" x14ac:dyDescent="0.2">
      <c r="A64" s="53">
        <f ca="1">IFERROR(__xludf.DUMMYFUNCTION("""COMPUTED_VALUE"""),58)</f>
        <v>58</v>
      </c>
      <c r="B64" s="53" t="str">
        <f ca="1">IFERROR(__xludf.DUMMYFUNCTION("""COMPUTED_VALUE"""),"MN Bảo Bảo")</f>
        <v>MN Bảo Bảo</v>
      </c>
      <c r="C64" s="53" t="str">
        <f ca="1">IFERROR(__xludf.DUMMYFUNCTION("""COMPUTED_VALUE"""),"Mầm non")</f>
        <v>Mầm non</v>
      </c>
      <c r="D64" s="53" t="str">
        <f ca="1">IFERROR(__xludf.DUMMYFUNCTION("""COMPUTED_VALUE"""),"Tân Phú")</f>
        <v>Tân Phú</v>
      </c>
      <c r="E64" s="54">
        <f ca="1">IFERROR(__xludf.DUMMYFUNCTION("""COMPUTED_VALUE"""),17)</f>
        <v>17</v>
      </c>
      <c r="F64" s="54">
        <f ca="1">IFERROR(__xludf.DUMMYFUNCTION("""COMPUTED_VALUE"""),17)</f>
        <v>17</v>
      </c>
      <c r="G64" s="51">
        <f t="shared" ca="1" si="0"/>
        <v>1</v>
      </c>
      <c r="H64" s="54">
        <f ca="1">IFERROR(__xludf.DUMMYFUNCTION("""COMPUTED_VALUE"""),17)</f>
        <v>17</v>
      </c>
      <c r="I64" s="51">
        <f t="shared" ca="1" si="1"/>
        <v>1</v>
      </c>
      <c r="J64" s="54">
        <f ca="1">IFERROR(__xludf.DUMMYFUNCTION("""COMPUTED_VALUE"""),17)</f>
        <v>17</v>
      </c>
      <c r="K64" s="51">
        <f t="shared" ca="1" si="2"/>
        <v>1</v>
      </c>
      <c r="L64" s="54">
        <f ca="1">IFERROR(__xludf.DUMMYFUNCTION("""COMPUTED_VALUE"""),17)</f>
        <v>17</v>
      </c>
      <c r="M64" s="51">
        <f t="shared" ca="1" si="3"/>
        <v>1</v>
      </c>
      <c r="N64" s="54">
        <f ca="1">IFERROR(__xludf.DUMMYFUNCTION("""COMPUTED_VALUE"""),25)</f>
        <v>25</v>
      </c>
      <c r="O64" s="54">
        <f ca="1">IFERROR(__xludf.DUMMYFUNCTION("""COMPUTED_VALUE"""),12)</f>
        <v>12</v>
      </c>
      <c r="P64" s="51">
        <f t="shared" ca="1" si="4"/>
        <v>0.48</v>
      </c>
      <c r="Q64" s="54">
        <f ca="1">IFERROR(__xludf.DUMMYFUNCTION("""COMPUTED_VALUE"""),6)</f>
        <v>6</v>
      </c>
      <c r="R64" s="51">
        <f t="shared" ca="1" si="5"/>
        <v>0.24</v>
      </c>
      <c r="S64" s="53"/>
      <c r="T64" s="53"/>
      <c r="U64" s="51" t="str">
        <f t="shared" si="6"/>
        <v/>
      </c>
      <c r="V64" s="53"/>
      <c r="W64" s="51" t="str">
        <f t="shared" si="7"/>
        <v/>
      </c>
      <c r="X64" s="53"/>
      <c r="Y64" s="51" t="str">
        <f t="shared" si="8"/>
        <v/>
      </c>
      <c r="Z64" s="2"/>
      <c r="AA64" s="2"/>
      <c r="AB64" s="2"/>
      <c r="AC64" s="2"/>
      <c r="AD64" s="2"/>
      <c r="AE64" s="2"/>
    </row>
    <row r="65" spans="1:31" ht="12.75" x14ac:dyDescent="0.2">
      <c r="A65" s="53" t="str">
        <f ca="1">IFERROR(__xludf.DUMMYFUNCTION("""COMPUTED_VALUE"""),"Tiểu học")</f>
        <v>Tiểu học</v>
      </c>
      <c r="B65" s="53"/>
      <c r="C65" s="53"/>
      <c r="D65" s="53"/>
      <c r="E65" s="53"/>
      <c r="F65" s="53"/>
      <c r="G65" s="51" t="str">
        <f t="shared" si="0"/>
        <v/>
      </c>
      <c r="H65" s="53"/>
      <c r="I65" s="51" t="str">
        <f t="shared" si="1"/>
        <v/>
      </c>
      <c r="J65" s="53"/>
      <c r="K65" s="51" t="str">
        <f t="shared" si="2"/>
        <v/>
      </c>
      <c r="L65" s="53"/>
      <c r="M65" s="51" t="str">
        <f t="shared" si="3"/>
        <v/>
      </c>
      <c r="N65" s="53"/>
      <c r="O65" s="53"/>
      <c r="P65" s="51" t="str">
        <f t="shared" si="4"/>
        <v/>
      </c>
      <c r="Q65" s="53"/>
      <c r="R65" s="51" t="str">
        <f t="shared" si="5"/>
        <v/>
      </c>
      <c r="S65" s="53"/>
      <c r="T65" s="53"/>
      <c r="U65" s="51" t="str">
        <f t="shared" si="6"/>
        <v/>
      </c>
      <c r="V65" s="53"/>
      <c r="W65" s="51" t="str">
        <f t="shared" si="7"/>
        <v/>
      </c>
      <c r="X65" s="53"/>
      <c r="Y65" s="51" t="str">
        <f t="shared" si="8"/>
        <v/>
      </c>
      <c r="Z65" s="2"/>
      <c r="AA65" s="2"/>
      <c r="AB65" s="2"/>
      <c r="AC65" s="2"/>
      <c r="AD65" s="2"/>
      <c r="AE65" s="2"/>
    </row>
    <row r="66" spans="1:31" ht="12.75" x14ac:dyDescent="0.2">
      <c r="A66" s="53">
        <f ca="1">IFERROR(__xludf.DUMMYFUNCTION("""COMPUTED_VALUE"""),1)</f>
        <v>1</v>
      </c>
      <c r="B66" s="53"/>
      <c r="C66" s="53"/>
      <c r="D66" s="53" t="str">
        <f ca="1">IFERROR(__xludf.DUMMYFUNCTION("""COMPUTED_VALUE"""),"Tân Phú")</f>
        <v>Tân Phú</v>
      </c>
      <c r="E66" s="54">
        <f ca="1">IFERROR(__xludf.DUMMYFUNCTION("""COMPUTED_VALUE"""),53)</f>
        <v>53</v>
      </c>
      <c r="F66" s="54">
        <f ca="1">IFERROR(__xludf.DUMMYFUNCTION("""COMPUTED_VALUE"""),53)</f>
        <v>53</v>
      </c>
      <c r="G66" s="51">
        <f t="shared" ca="1" si="0"/>
        <v>1</v>
      </c>
      <c r="H66" s="54">
        <f ca="1">IFERROR(__xludf.DUMMYFUNCTION("""COMPUTED_VALUE"""),53)</f>
        <v>53</v>
      </c>
      <c r="I66" s="51">
        <f t="shared" ca="1" si="1"/>
        <v>1</v>
      </c>
      <c r="J66" s="54">
        <f ca="1">IFERROR(__xludf.DUMMYFUNCTION("""COMPUTED_VALUE"""),50)</f>
        <v>50</v>
      </c>
      <c r="K66" s="51">
        <f t="shared" ca="1" si="2"/>
        <v>0.94339622641509435</v>
      </c>
      <c r="L66" s="54">
        <f ca="1">IFERROR(__xludf.DUMMYFUNCTION("""COMPUTED_VALUE"""),17)</f>
        <v>17</v>
      </c>
      <c r="M66" s="51">
        <f t="shared" ca="1" si="3"/>
        <v>0.32075471698113206</v>
      </c>
      <c r="N66" s="54">
        <f ca="1">IFERROR(__xludf.DUMMYFUNCTION("""COMPUTED_VALUE"""),1189)</f>
        <v>1189</v>
      </c>
      <c r="O66" s="54">
        <f ca="1">IFERROR(__xludf.DUMMYFUNCTION("""COMPUTED_VALUE"""),890)</f>
        <v>890</v>
      </c>
      <c r="P66" s="51">
        <f t="shared" ca="1" si="4"/>
        <v>0.74852817493692181</v>
      </c>
      <c r="Q66" s="54">
        <f ca="1">IFERROR(__xludf.DUMMYFUNCTION("""COMPUTED_VALUE"""),536)</f>
        <v>536</v>
      </c>
      <c r="R66" s="51">
        <f t="shared" ca="1" si="5"/>
        <v>0.45079899074852819</v>
      </c>
      <c r="S66" s="53"/>
      <c r="T66" s="53"/>
      <c r="U66" s="51" t="str">
        <f t="shared" si="6"/>
        <v/>
      </c>
      <c r="V66" s="53"/>
      <c r="W66" s="51" t="str">
        <f t="shared" si="7"/>
        <v/>
      </c>
      <c r="X66" s="53"/>
      <c r="Y66" s="51" t="str">
        <f t="shared" si="8"/>
        <v/>
      </c>
      <c r="Z66" s="2"/>
      <c r="AA66" s="2"/>
      <c r="AB66" s="2"/>
      <c r="AC66" s="2"/>
      <c r="AD66" s="2"/>
      <c r="AE66" s="2"/>
    </row>
    <row r="67" spans="1:31" ht="12.75" x14ac:dyDescent="0.2">
      <c r="A67" s="53">
        <f ca="1">IFERROR(__xludf.DUMMYFUNCTION("""COMPUTED_VALUE"""),2)</f>
        <v>2</v>
      </c>
      <c r="B67" s="53" t="str">
        <f ca="1">IFERROR(__xludf.DUMMYFUNCTION("""COMPUTED_VALUE"""),"TH Huỳnh Văn Chính")</f>
        <v>TH Huỳnh Văn Chính</v>
      </c>
      <c r="C67" s="53" t="str">
        <f ca="1">IFERROR(__xludf.DUMMYFUNCTION("""COMPUTED_VALUE"""),"Tiểu học")</f>
        <v>Tiểu học</v>
      </c>
      <c r="D67" s="53" t="str">
        <f ca="1">IFERROR(__xludf.DUMMYFUNCTION("""COMPUTED_VALUE"""),"Tân Phú")</f>
        <v>Tân Phú</v>
      </c>
      <c r="E67" s="54">
        <f ca="1">IFERROR(__xludf.DUMMYFUNCTION("""COMPUTED_VALUE"""),89)</f>
        <v>89</v>
      </c>
      <c r="F67" s="54">
        <f ca="1">IFERROR(__xludf.DUMMYFUNCTION("""COMPUTED_VALUE"""),89)</f>
        <v>89</v>
      </c>
      <c r="G67" s="51">
        <f t="shared" ca="1" si="0"/>
        <v>1</v>
      </c>
      <c r="H67" s="54">
        <f ca="1">IFERROR(__xludf.DUMMYFUNCTION("""COMPUTED_VALUE"""),89)</f>
        <v>89</v>
      </c>
      <c r="I67" s="51">
        <f t="shared" ca="1" si="1"/>
        <v>1</v>
      </c>
      <c r="J67" s="54">
        <f ca="1">IFERROR(__xludf.DUMMYFUNCTION("""COMPUTED_VALUE"""),87)</f>
        <v>87</v>
      </c>
      <c r="K67" s="51">
        <f t="shared" ca="1" si="2"/>
        <v>0.97752808988764039</v>
      </c>
      <c r="L67" s="54">
        <f ca="1">IFERROR(__xludf.DUMMYFUNCTION("""COMPUTED_VALUE"""),53)</f>
        <v>53</v>
      </c>
      <c r="M67" s="51">
        <f t="shared" ca="1" si="3"/>
        <v>0.5955056179775281</v>
      </c>
      <c r="N67" s="54">
        <f ca="1">IFERROR(__xludf.DUMMYFUNCTION("""COMPUTED_VALUE"""),3610)</f>
        <v>3610</v>
      </c>
      <c r="O67" s="54">
        <f ca="1">IFERROR(__xludf.DUMMYFUNCTION("""COMPUTED_VALUE"""),1556)</f>
        <v>1556</v>
      </c>
      <c r="P67" s="51">
        <f t="shared" ca="1" si="4"/>
        <v>0.43102493074792242</v>
      </c>
      <c r="Q67" s="54">
        <f ca="1">IFERROR(__xludf.DUMMYFUNCTION("""COMPUTED_VALUE"""),865)</f>
        <v>865</v>
      </c>
      <c r="R67" s="51">
        <f t="shared" ca="1" si="5"/>
        <v>0.23961218836565096</v>
      </c>
      <c r="S67" s="53"/>
      <c r="T67" s="53"/>
      <c r="U67" s="51" t="str">
        <f t="shared" si="6"/>
        <v/>
      </c>
      <c r="V67" s="53"/>
      <c r="W67" s="51" t="str">
        <f t="shared" si="7"/>
        <v/>
      </c>
      <c r="X67" s="53"/>
      <c r="Y67" s="51" t="str">
        <f t="shared" si="8"/>
        <v/>
      </c>
      <c r="Z67" s="2"/>
      <c r="AA67" s="2"/>
      <c r="AB67" s="2"/>
      <c r="AC67" s="2"/>
      <c r="AD67" s="2"/>
      <c r="AE67" s="2"/>
    </row>
    <row r="68" spans="1:31" ht="12.75" x14ac:dyDescent="0.2">
      <c r="A68" s="53">
        <f ca="1">IFERROR(__xludf.DUMMYFUNCTION("""COMPUTED_VALUE"""),3)</f>
        <v>3</v>
      </c>
      <c r="B68" s="53" t="str">
        <f ca="1">IFERROR(__xludf.DUMMYFUNCTION("""COMPUTED_VALUE"""),"TH Tân Thới")</f>
        <v>TH Tân Thới</v>
      </c>
      <c r="C68" s="53" t="str">
        <f ca="1">IFERROR(__xludf.DUMMYFUNCTION("""COMPUTED_VALUE"""),"Tiểu học")</f>
        <v>Tiểu học</v>
      </c>
      <c r="D68" s="53" t="str">
        <f ca="1">IFERROR(__xludf.DUMMYFUNCTION("""COMPUTED_VALUE"""),"Tân Phú")</f>
        <v>Tân Phú</v>
      </c>
      <c r="E68" s="54">
        <f ca="1">IFERROR(__xludf.DUMMYFUNCTION("""COMPUTED_VALUE"""),74)</f>
        <v>74</v>
      </c>
      <c r="F68" s="54">
        <f ca="1">IFERROR(__xludf.DUMMYFUNCTION("""COMPUTED_VALUE"""),74)</f>
        <v>74</v>
      </c>
      <c r="G68" s="51">
        <f t="shared" ca="1" si="0"/>
        <v>1</v>
      </c>
      <c r="H68" s="54">
        <f ca="1">IFERROR(__xludf.DUMMYFUNCTION("""COMPUTED_VALUE"""),74)</f>
        <v>74</v>
      </c>
      <c r="I68" s="51">
        <f t="shared" ca="1" si="1"/>
        <v>1</v>
      </c>
      <c r="J68" s="54">
        <f ca="1">IFERROR(__xludf.DUMMYFUNCTION("""COMPUTED_VALUE"""),71)</f>
        <v>71</v>
      </c>
      <c r="K68" s="51">
        <f t="shared" ca="1" si="2"/>
        <v>0.95945945945945943</v>
      </c>
      <c r="L68" s="54">
        <f ca="1">IFERROR(__xludf.DUMMYFUNCTION("""COMPUTED_VALUE"""),50)</f>
        <v>50</v>
      </c>
      <c r="M68" s="51">
        <f t="shared" ca="1" si="3"/>
        <v>0.67567567567567566</v>
      </c>
      <c r="N68" s="54">
        <f ca="1">IFERROR(__xludf.DUMMYFUNCTION("""COMPUTED_VALUE"""),1876)</f>
        <v>1876</v>
      </c>
      <c r="O68" s="54">
        <f ca="1">IFERROR(__xludf.DUMMYFUNCTION("""COMPUTED_VALUE"""),1200)</f>
        <v>1200</v>
      </c>
      <c r="P68" s="51">
        <f t="shared" ca="1" si="4"/>
        <v>0.63965884861407252</v>
      </c>
      <c r="Q68" s="54">
        <f ca="1">IFERROR(__xludf.DUMMYFUNCTION("""COMPUTED_VALUE"""),548)</f>
        <v>548</v>
      </c>
      <c r="R68" s="51">
        <f t="shared" ca="1" si="5"/>
        <v>0.29211087420042642</v>
      </c>
      <c r="S68" s="53"/>
      <c r="T68" s="53"/>
      <c r="U68" s="51" t="str">
        <f t="shared" si="6"/>
        <v/>
      </c>
      <c r="V68" s="53"/>
      <c r="W68" s="51" t="str">
        <f t="shared" si="7"/>
        <v/>
      </c>
      <c r="X68" s="53"/>
      <c r="Y68" s="51" t="str">
        <f t="shared" si="8"/>
        <v/>
      </c>
      <c r="Z68" s="2"/>
      <c r="AA68" s="2"/>
      <c r="AB68" s="2"/>
      <c r="AC68" s="2"/>
      <c r="AD68" s="2"/>
      <c r="AE68" s="2"/>
    </row>
    <row r="69" spans="1:31" ht="12.75" x14ac:dyDescent="0.2">
      <c r="A69" s="53">
        <f ca="1">IFERROR(__xludf.DUMMYFUNCTION("""COMPUTED_VALUE"""),4)</f>
        <v>4</v>
      </c>
      <c r="B69" s="53" t="str">
        <f ca="1">IFERROR(__xludf.DUMMYFUNCTION("""COMPUTED_VALUE"""),"TH Đinh Bộ Lĩnh")</f>
        <v>TH Đinh Bộ Lĩnh</v>
      </c>
      <c r="C69" s="53" t="str">
        <f ca="1">IFERROR(__xludf.DUMMYFUNCTION("""COMPUTED_VALUE"""),"Tiểu học")</f>
        <v>Tiểu học</v>
      </c>
      <c r="D69" s="53" t="str">
        <f ca="1">IFERROR(__xludf.DUMMYFUNCTION("""COMPUTED_VALUE"""),"Tân Phú")</f>
        <v>Tân Phú</v>
      </c>
      <c r="E69" s="54">
        <f ca="1">IFERROR(__xludf.DUMMYFUNCTION("""COMPUTED_VALUE"""),96)</f>
        <v>96</v>
      </c>
      <c r="F69" s="54">
        <f ca="1">IFERROR(__xludf.DUMMYFUNCTION("""COMPUTED_VALUE"""),95)</f>
        <v>95</v>
      </c>
      <c r="G69" s="51">
        <f t="shared" ca="1" si="0"/>
        <v>0.98958333333333337</v>
      </c>
      <c r="H69" s="54">
        <f ca="1">IFERROR(__xludf.DUMMYFUNCTION("""COMPUTED_VALUE"""),95)</f>
        <v>95</v>
      </c>
      <c r="I69" s="51">
        <f t="shared" ca="1" si="1"/>
        <v>0.98958333333333337</v>
      </c>
      <c r="J69" s="54">
        <f ca="1">IFERROR(__xludf.DUMMYFUNCTION("""COMPUTED_VALUE"""),93)</f>
        <v>93</v>
      </c>
      <c r="K69" s="51">
        <f t="shared" ca="1" si="2"/>
        <v>0.96875</v>
      </c>
      <c r="L69" s="54">
        <f ca="1">IFERROR(__xludf.DUMMYFUNCTION("""COMPUTED_VALUE"""),80)</f>
        <v>80</v>
      </c>
      <c r="M69" s="51">
        <f t="shared" ca="1" si="3"/>
        <v>0.83333333333333337</v>
      </c>
      <c r="N69" s="54">
        <f ca="1">IFERROR(__xludf.DUMMYFUNCTION("""COMPUTED_VALUE"""),2655)</f>
        <v>2655</v>
      </c>
      <c r="O69" s="54">
        <f ca="1">IFERROR(__xludf.DUMMYFUNCTION("""COMPUTED_VALUE"""),1583)</f>
        <v>1583</v>
      </c>
      <c r="P69" s="51">
        <f t="shared" ca="1" si="4"/>
        <v>0.59623352165725052</v>
      </c>
      <c r="Q69" s="54">
        <f ca="1">IFERROR(__xludf.DUMMYFUNCTION("""COMPUTED_VALUE"""),838)</f>
        <v>838</v>
      </c>
      <c r="R69" s="51">
        <f t="shared" ca="1" si="5"/>
        <v>0.31563088512241055</v>
      </c>
      <c r="S69" s="53"/>
      <c r="T69" s="53"/>
      <c r="U69" s="51" t="str">
        <f t="shared" si="6"/>
        <v/>
      </c>
      <c r="V69" s="53"/>
      <c r="W69" s="51" t="str">
        <f t="shared" si="7"/>
        <v/>
      </c>
      <c r="X69" s="53"/>
      <c r="Y69" s="51" t="str">
        <f t="shared" si="8"/>
        <v/>
      </c>
      <c r="Z69" s="2"/>
      <c r="AA69" s="2"/>
      <c r="AB69" s="2"/>
      <c r="AC69" s="2"/>
      <c r="AD69" s="2"/>
      <c r="AE69" s="2"/>
    </row>
    <row r="70" spans="1:31" ht="12.75" x14ac:dyDescent="0.2">
      <c r="A70" s="53">
        <f ca="1">IFERROR(__xludf.DUMMYFUNCTION("""COMPUTED_VALUE"""),5)</f>
        <v>5</v>
      </c>
      <c r="B70" s="53" t="str">
        <f ca="1">IFERROR(__xludf.DUMMYFUNCTION("""COMPUTED_VALUE"""),"TH Đoàn Thị Điểm")</f>
        <v>TH Đoàn Thị Điểm</v>
      </c>
      <c r="C70" s="53" t="str">
        <f ca="1">IFERROR(__xludf.DUMMYFUNCTION("""COMPUTED_VALUE"""),"Tiểu học")</f>
        <v>Tiểu học</v>
      </c>
      <c r="D70" s="53" t="str">
        <f ca="1">IFERROR(__xludf.DUMMYFUNCTION("""COMPUTED_VALUE"""),"Tân Phú")</f>
        <v>Tân Phú</v>
      </c>
      <c r="E70" s="54">
        <f ca="1">IFERROR(__xludf.DUMMYFUNCTION("""COMPUTED_VALUE"""),138)</f>
        <v>138</v>
      </c>
      <c r="F70" s="54">
        <f ca="1">IFERROR(__xludf.DUMMYFUNCTION("""COMPUTED_VALUE"""),138)</f>
        <v>138</v>
      </c>
      <c r="G70" s="51">
        <f t="shared" ref="G70:G78" ca="1" si="9">IFERROR(F70/E70,"")</f>
        <v>1</v>
      </c>
      <c r="H70" s="54">
        <f ca="1">IFERROR(__xludf.DUMMYFUNCTION("""COMPUTED_VALUE"""),138)</f>
        <v>138</v>
      </c>
      <c r="I70" s="51">
        <f t="shared" ref="I70:I78" ca="1" si="10">IFERROR(H70/E70,"")</f>
        <v>1</v>
      </c>
      <c r="J70" s="54">
        <f ca="1">IFERROR(__xludf.DUMMYFUNCTION("""COMPUTED_VALUE"""),137)</f>
        <v>137</v>
      </c>
      <c r="K70" s="51">
        <f t="shared" ref="K70:K78" ca="1" si="11">IFERROR(J70/E70,"")</f>
        <v>0.99275362318840576</v>
      </c>
      <c r="L70" s="54">
        <f ca="1">IFERROR(__xludf.DUMMYFUNCTION("""COMPUTED_VALUE"""),126)</f>
        <v>126</v>
      </c>
      <c r="M70" s="51">
        <f t="shared" ref="M70:M78" ca="1" si="12">IFERROR(L70/E70,"")</f>
        <v>0.91304347826086951</v>
      </c>
      <c r="N70" s="54">
        <f ca="1">IFERROR(__xludf.DUMMYFUNCTION("""COMPUTED_VALUE"""),3809)</f>
        <v>3809</v>
      </c>
      <c r="O70" s="54">
        <f ca="1">IFERROR(__xludf.DUMMYFUNCTION("""COMPUTED_VALUE"""),2691)</f>
        <v>2691</v>
      </c>
      <c r="P70" s="51">
        <f t="shared" ref="P70:P78" ca="1" si="13">IFERROR(O70/N70,"")</f>
        <v>0.70648464163822522</v>
      </c>
      <c r="Q70" s="54">
        <f ca="1">IFERROR(__xludf.DUMMYFUNCTION("""COMPUTED_VALUE"""),1250)</f>
        <v>1250</v>
      </c>
      <c r="R70" s="51">
        <f t="shared" ref="R70:R78" ca="1" si="14">IFERROR(Q70/N70,"")</f>
        <v>0.32817012339196638</v>
      </c>
      <c r="S70" s="53"/>
      <c r="T70" s="53"/>
      <c r="U70" s="51" t="str">
        <f t="shared" ref="U70:U78" si="15">IFERROR(T70/S70,"")</f>
        <v/>
      </c>
      <c r="V70" s="53"/>
      <c r="W70" s="51" t="str">
        <f t="shared" ref="W70:W78" si="16">IFERROR(V70/S70,"")</f>
        <v/>
      </c>
      <c r="X70" s="53"/>
      <c r="Y70" s="51" t="str">
        <f t="shared" ref="Y70:Y78" si="17">IFERROR(X70/S70,"")</f>
        <v/>
      </c>
      <c r="Z70" s="2"/>
      <c r="AA70" s="2"/>
      <c r="AB70" s="2"/>
      <c r="AC70" s="2"/>
      <c r="AD70" s="2"/>
      <c r="AE70" s="2"/>
    </row>
    <row r="71" spans="1:31" ht="12.75" x14ac:dyDescent="0.2">
      <c r="A71" s="53">
        <f ca="1">IFERROR(__xludf.DUMMYFUNCTION("""COMPUTED_VALUE"""),6)</f>
        <v>6</v>
      </c>
      <c r="B71" s="53" t="str">
        <f ca="1">IFERROR(__xludf.DUMMYFUNCTION("""COMPUTED_VALUE"""),"TH Hồ Văn Cường")</f>
        <v>TH Hồ Văn Cường</v>
      </c>
      <c r="C71" s="53" t="str">
        <f ca="1">IFERROR(__xludf.DUMMYFUNCTION("""COMPUTED_VALUE"""),"Tiểu học")</f>
        <v>Tiểu học</v>
      </c>
      <c r="D71" s="53" t="str">
        <f ca="1">IFERROR(__xludf.DUMMYFUNCTION("""COMPUTED_VALUE"""),"Tân Phú")</f>
        <v>Tân Phú</v>
      </c>
      <c r="E71" s="54">
        <f ca="1">IFERROR(__xludf.DUMMYFUNCTION("""COMPUTED_VALUE"""),73)</f>
        <v>73</v>
      </c>
      <c r="F71" s="54">
        <f ca="1">IFERROR(__xludf.DUMMYFUNCTION("""COMPUTED_VALUE"""),73)</f>
        <v>73</v>
      </c>
      <c r="G71" s="51">
        <f t="shared" ca="1" si="9"/>
        <v>1</v>
      </c>
      <c r="H71" s="54">
        <f ca="1">IFERROR(__xludf.DUMMYFUNCTION("""COMPUTED_VALUE"""),73)</f>
        <v>73</v>
      </c>
      <c r="I71" s="51">
        <f t="shared" ca="1" si="10"/>
        <v>1</v>
      </c>
      <c r="J71" s="54">
        <f ca="1">IFERROR(__xludf.DUMMYFUNCTION("""COMPUTED_VALUE"""),70)</f>
        <v>70</v>
      </c>
      <c r="K71" s="51">
        <f t="shared" ca="1" si="11"/>
        <v>0.95890410958904104</v>
      </c>
      <c r="L71" s="54">
        <f ca="1">IFERROR(__xludf.DUMMYFUNCTION("""COMPUTED_VALUE"""),45)</f>
        <v>45</v>
      </c>
      <c r="M71" s="51">
        <f t="shared" ca="1" si="12"/>
        <v>0.61643835616438358</v>
      </c>
      <c r="N71" s="54">
        <f ca="1">IFERROR(__xludf.DUMMYFUNCTION("""COMPUTED_VALUE"""),972)</f>
        <v>972</v>
      </c>
      <c r="O71" s="54">
        <f ca="1">IFERROR(__xludf.DUMMYFUNCTION("""COMPUTED_VALUE"""),685)</f>
        <v>685</v>
      </c>
      <c r="P71" s="51">
        <f t="shared" ca="1" si="13"/>
        <v>0.70473251028806583</v>
      </c>
      <c r="Q71" s="54">
        <f ca="1">IFERROR(__xludf.DUMMYFUNCTION("""COMPUTED_VALUE"""),394)</f>
        <v>394</v>
      </c>
      <c r="R71" s="51">
        <f t="shared" ca="1" si="14"/>
        <v>0.40534979423868311</v>
      </c>
      <c r="S71" s="53"/>
      <c r="T71" s="53"/>
      <c r="U71" s="51" t="str">
        <f t="shared" si="15"/>
        <v/>
      </c>
      <c r="V71" s="53"/>
      <c r="W71" s="51" t="str">
        <f t="shared" si="16"/>
        <v/>
      </c>
      <c r="X71" s="53"/>
      <c r="Y71" s="51" t="str">
        <f t="shared" si="17"/>
        <v/>
      </c>
      <c r="Z71" s="2"/>
      <c r="AA71" s="2"/>
      <c r="AB71" s="2"/>
      <c r="AC71" s="2"/>
      <c r="AD71" s="2"/>
      <c r="AE71" s="2"/>
    </row>
    <row r="72" spans="1:31" ht="12.75" x14ac:dyDescent="0.2">
      <c r="A72" s="53">
        <f ca="1">IFERROR(__xludf.DUMMYFUNCTION("""COMPUTED_VALUE"""),7)</f>
        <v>7</v>
      </c>
      <c r="B72" s="53" t="str">
        <f ca="1">IFERROR(__xludf.DUMMYFUNCTION("""COMPUTED_VALUE"""),"TH Lê Lai")</f>
        <v>TH Lê Lai</v>
      </c>
      <c r="C72" s="53" t="str">
        <f ca="1">IFERROR(__xludf.DUMMYFUNCTION("""COMPUTED_VALUE"""),"Tiểu học")</f>
        <v>Tiểu học</v>
      </c>
      <c r="D72" s="53" t="str">
        <f ca="1">IFERROR(__xludf.DUMMYFUNCTION("""COMPUTED_VALUE"""),"Tân Phú")</f>
        <v>Tân Phú</v>
      </c>
      <c r="E72" s="54">
        <f ca="1">IFERROR(__xludf.DUMMYFUNCTION("""COMPUTED_VALUE"""),95)</f>
        <v>95</v>
      </c>
      <c r="F72" s="54">
        <f ca="1">IFERROR(__xludf.DUMMYFUNCTION("""COMPUTED_VALUE"""),95)</f>
        <v>95</v>
      </c>
      <c r="G72" s="51">
        <f t="shared" ca="1" si="9"/>
        <v>1</v>
      </c>
      <c r="H72" s="54">
        <f ca="1">IFERROR(__xludf.DUMMYFUNCTION("""COMPUTED_VALUE"""),95)</f>
        <v>95</v>
      </c>
      <c r="I72" s="51">
        <f t="shared" ca="1" si="10"/>
        <v>1</v>
      </c>
      <c r="J72" s="54">
        <f ca="1">IFERROR(__xludf.DUMMYFUNCTION("""COMPUTED_VALUE"""),93)</f>
        <v>93</v>
      </c>
      <c r="K72" s="51">
        <f t="shared" ca="1" si="11"/>
        <v>0.97894736842105268</v>
      </c>
      <c r="L72" s="54">
        <f ca="1">IFERROR(__xludf.DUMMYFUNCTION("""COMPUTED_VALUE"""),52)</f>
        <v>52</v>
      </c>
      <c r="M72" s="51">
        <f t="shared" ca="1" si="12"/>
        <v>0.54736842105263162</v>
      </c>
      <c r="N72" s="54">
        <f ca="1">IFERROR(__xludf.DUMMYFUNCTION("""COMPUTED_VALUE"""),2875)</f>
        <v>2875</v>
      </c>
      <c r="O72" s="54">
        <f ca="1">IFERROR(__xludf.DUMMYFUNCTION("""COMPUTED_VALUE"""),1875)</f>
        <v>1875</v>
      </c>
      <c r="P72" s="51">
        <f t="shared" ca="1" si="13"/>
        <v>0.65217391304347827</v>
      </c>
      <c r="Q72" s="54">
        <f ca="1">IFERROR(__xludf.DUMMYFUNCTION("""COMPUTED_VALUE"""),850)</f>
        <v>850</v>
      </c>
      <c r="R72" s="51">
        <f t="shared" ca="1" si="14"/>
        <v>0.29565217391304349</v>
      </c>
      <c r="S72" s="53"/>
      <c r="T72" s="53"/>
      <c r="U72" s="51" t="str">
        <f t="shared" si="15"/>
        <v/>
      </c>
      <c r="V72" s="53"/>
      <c r="W72" s="51" t="str">
        <f t="shared" si="16"/>
        <v/>
      </c>
      <c r="X72" s="53"/>
      <c r="Y72" s="51" t="str">
        <f t="shared" si="17"/>
        <v/>
      </c>
      <c r="Z72" s="2"/>
      <c r="AA72" s="2"/>
      <c r="AB72" s="2"/>
      <c r="AC72" s="2"/>
      <c r="AD72" s="2"/>
      <c r="AE72" s="2"/>
    </row>
    <row r="73" spans="1:31" ht="12.75" x14ac:dyDescent="0.2">
      <c r="A73" s="53">
        <f ca="1">IFERROR(__xludf.DUMMYFUNCTION("""COMPUTED_VALUE"""),8)</f>
        <v>8</v>
      </c>
      <c r="B73" s="53" t="str">
        <f ca="1">IFERROR(__xludf.DUMMYFUNCTION("""COMPUTED_VALUE"""),"TH Lê Thánh Tông")</f>
        <v>TH Lê Thánh Tông</v>
      </c>
      <c r="C73" s="53" t="str">
        <f ca="1">IFERROR(__xludf.DUMMYFUNCTION("""COMPUTED_VALUE"""),"Tiểu học")</f>
        <v>Tiểu học</v>
      </c>
      <c r="D73" s="53" t="str">
        <f ca="1">IFERROR(__xludf.DUMMYFUNCTION("""COMPUTED_VALUE"""),"Tân Phú")</f>
        <v>Tân Phú</v>
      </c>
      <c r="E73" s="54">
        <f ca="1">IFERROR(__xludf.DUMMYFUNCTION("""COMPUTED_VALUE"""),46)</f>
        <v>46</v>
      </c>
      <c r="F73" s="54">
        <f ca="1">IFERROR(__xludf.DUMMYFUNCTION("""COMPUTED_VALUE"""),46)</f>
        <v>46</v>
      </c>
      <c r="G73" s="51">
        <f t="shared" ca="1" si="9"/>
        <v>1</v>
      </c>
      <c r="H73" s="54">
        <f ca="1">IFERROR(__xludf.DUMMYFUNCTION("""COMPUTED_VALUE"""),46)</f>
        <v>46</v>
      </c>
      <c r="I73" s="51">
        <f t="shared" ca="1" si="10"/>
        <v>1</v>
      </c>
      <c r="J73" s="54">
        <f ca="1">IFERROR(__xludf.DUMMYFUNCTION("""COMPUTED_VALUE"""),46)</f>
        <v>46</v>
      </c>
      <c r="K73" s="51">
        <f t="shared" ca="1" si="11"/>
        <v>1</v>
      </c>
      <c r="L73" s="54">
        <f ca="1">IFERROR(__xludf.DUMMYFUNCTION("""COMPUTED_VALUE"""),43)</f>
        <v>43</v>
      </c>
      <c r="M73" s="51">
        <f t="shared" ca="1" si="12"/>
        <v>0.93478260869565222</v>
      </c>
      <c r="N73" s="54">
        <f ca="1">IFERROR(__xludf.DUMMYFUNCTION("""COMPUTED_VALUE"""),1172)</f>
        <v>1172</v>
      </c>
      <c r="O73" s="54">
        <f ca="1">IFERROR(__xludf.DUMMYFUNCTION("""COMPUTED_VALUE"""),960)</f>
        <v>960</v>
      </c>
      <c r="P73" s="51">
        <f t="shared" ca="1" si="13"/>
        <v>0.8191126279863481</v>
      </c>
      <c r="Q73" s="54">
        <f ca="1">IFERROR(__xludf.DUMMYFUNCTION("""COMPUTED_VALUE"""),550)</f>
        <v>550</v>
      </c>
      <c r="R73" s="51">
        <f t="shared" ca="1" si="14"/>
        <v>0.46928327645051193</v>
      </c>
      <c r="S73" s="53"/>
      <c r="T73" s="53"/>
      <c r="U73" s="51" t="str">
        <f t="shared" si="15"/>
        <v/>
      </c>
      <c r="V73" s="53"/>
      <c r="W73" s="51" t="str">
        <f t="shared" si="16"/>
        <v/>
      </c>
      <c r="X73" s="53"/>
      <c r="Y73" s="51" t="str">
        <f t="shared" si="17"/>
        <v/>
      </c>
      <c r="Z73" s="2"/>
      <c r="AA73" s="2"/>
      <c r="AB73" s="2"/>
      <c r="AC73" s="2"/>
      <c r="AD73" s="2"/>
      <c r="AE73" s="2"/>
    </row>
    <row r="74" spans="1:31" ht="12.75" x14ac:dyDescent="0.2">
      <c r="A74" s="53">
        <f ca="1">IFERROR(__xludf.DUMMYFUNCTION("""COMPUTED_VALUE"""),9)</f>
        <v>9</v>
      </c>
      <c r="B74" s="53"/>
      <c r="C74" s="53"/>
      <c r="D74" s="53" t="str">
        <f ca="1">IFERROR(__xludf.DUMMYFUNCTION("""COMPUTED_VALUE"""),"Tân Phú")</f>
        <v>Tân Phú</v>
      </c>
      <c r="E74" s="54">
        <f ca="1">IFERROR(__xludf.DUMMYFUNCTION("""COMPUTED_VALUE"""),97)</f>
        <v>97</v>
      </c>
      <c r="F74" s="54">
        <f ca="1">IFERROR(__xludf.DUMMYFUNCTION("""COMPUTED_VALUE"""),97)</f>
        <v>97</v>
      </c>
      <c r="G74" s="51">
        <f t="shared" ca="1" si="9"/>
        <v>1</v>
      </c>
      <c r="H74" s="54">
        <f ca="1">IFERROR(__xludf.DUMMYFUNCTION("""COMPUTED_VALUE"""),97)</f>
        <v>97</v>
      </c>
      <c r="I74" s="51">
        <f t="shared" ca="1" si="10"/>
        <v>1</v>
      </c>
      <c r="J74" s="54">
        <f ca="1">IFERROR(__xludf.DUMMYFUNCTION("""COMPUTED_VALUE"""),97)</f>
        <v>97</v>
      </c>
      <c r="K74" s="51">
        <f t="shared" ca="1" si="11"/>
        <v>1</v>
      </c>
      <c r="L74" s="54">
        <f ca="1">IFERROR(__xludf.DUMMYFUNCTION("""COMPUTED_VALUE"""),91)</f>
        <v>91</v>
      </c>
      <c r="M74" s="51">
        <f t="shared" ca="1" si="12"/>
        <v>0.93814432989690721</v>
      </c>
      <c r="N74" s="54">
        <f ca="1">IFERROR(__xludf.DUMMYFUNCTION("""COMPUTED_VALUE"""),3590)</f>
        <v>3590</v>
      </c>
      <c r="O74" s="54">
        <f ca="1">IFERROR(__xludf.DUMMYFUNCTION("""COMPUTED_VALUE"""),1860)</f>
        <v>1860</v>
      </c>
      <c r="P74" s="51">
        <f t="shared" ca="1" si="13"/>
        <v>0.51810584958217265</v>
      </c>
      <c r="Q74" s="54">
        <f ca="1">IFERROR(__xludf.DUMMYFUNCTION("""COMPUTED_VALUE"""),1002)</f>
        <v>1002</v>
      </c>
      <c r="R74" s="51">
        <f t="shared" ca="1" si="14"/>
        <v>0.27910863509749306</v>
      </c>
      <c r="S74" s="53"/>
      <c r="T74" s="53"/>
      <c r="U74" s="51" t="str">
        <f t="shared" si="15"/>
        <v/>
      </c>
      <c r="V74" s="53"/>
      <c r="W74" s="51" t="str">
        <f t="shared" si="16"/>
        <v/>
      </c>
      <c r="X74" s="53"/>
      <c r="Y74" s="51" t="str">
        <f t="shared" si="17"/>
        <v/>
      </c>
      <c r="Z74" s="2"/>
      <c r="AA74" s="2"/>
      <c r="AB74" s="2"/>
      <c r="AC74" s="2"/>
      <c r="AD74" s="2"/>
      <c r="AE74" s="2"/>
    </row>
    <row r="75" spans="1:31" ht="12.75" x14ac:dyDescent="0.2">
      <c r="A75" s="53">
        <f ca="1">IFERROR(__xludf.DUMMYFUNCTION("""COMPUTED_VALUE"""),10)</f>
        <v>10</v>
      </c>
      <c r="B75" s="53" t="str">
        <f ca="1">IFERROR(__xludf.DUMMYFUNCTION("""COMPUTED_VALUE"""),"TH Tân Hương")</f>
        <v>TH Tân Hương</v>
      </c>
      <c r="C75" s="53" t="str">
        <f ca="1">IFERROR(__xludf.DUMMYFUNCTION("""COMPUTED_VALUE"""),"Tiểu học")</f>
        <v>Tiểu học</v>
      </c>
      <c r="D75" s="53" t="str">
        <f ca="1">IFERROR(__xludf.DUMMYFUNCTION("""COMPUTED_VALUE"""),"Tân Phú")</f>
        <v>Tân Phú</v>
      </c>
      <c r="E75" s="54">
        <f ca="1">IFERROR(__xludf.DUMMYFUNCTION("""COMPUTED_VALUE"""),66)</f>
        <v>66</v>
      </c>
      <c r="F75" s="54">
        <f ca="1">IFERROR(__xludf.DUMMYFUNCTION("""COMPUTED_VALUE"""),66)</f>
        <v>66</v>
      </c>
      <c r="G75" s="51">
        <f t="shared" ca="1" si="9"/>
        <v>1</v>
      </c>
      <c r="H75" s="54">
        <f ca="1">IFERROR(__xludf.DUMMYFUNCTION("""COMPUTED_VALUE"""),66)</f>
        <v>66</v>
      </c>
      <c r="I75" s="51">
        <f t="shared" ca="1" si="10"/>
        <v>1</v>
      </c>
      <c r="J75" s="54">
        <f ca="1">IFERROR(__xludf.DUMMYFUNCTION("""COMPUTED_VALUE"""),65)</f>
        <v>65</v>
      </c>
      <c r="K75" s="51">
        <f t="shared" ca="1" si="11"/>
        <v>0.98484848484848486</v>
      </c>
      <c r="L75" s="54">
        <f ca="1">IFERROR(__xludf.DUMMYFUNCTION("""COMPUTED_VALUE"""),55)</f>
        <v>55</v>
      </c>
      <c r="M75" s="51">
        <f t="shared" ca="1" si="12"/>
        <v>0.83333333333333337</v>
      </c>
      <c r="N75" s="54">
        <f ca="1">IFERROR(__xludf.DUMMYFUNCTION("""COMPUTED_VALUE"""),1015)</f>
        <v>1015</v>
      </c>
      <c r="O75" s="54">
        <f ca="1">IFERROR(__xludf.DUMMYFUNCTION("""COMPUTED_VALUE"""),550)</f>
        <v>550</v>
      </c>
      <c r="P75" s="51">
        <f t="shared" ca="1" si="13"/>
        <v>0.54187192118226601</v>
      </c>
      <c r="Q75" s="54">
        <f ca="1">IFERROR(__xludf.DUMMYFUNCTION("""COMPUTED_VALUE"""),330)</f>
        <v>330</v>
      </c>
      <c r="R75" s="51">
        <f t="shared" ca="1" si="14"/>
        <v>0.3251231527093596</v>
      </c>
      <c r="S75" s="53"/>
      <c r="T75" s="53"/>
      <c r="U75" s="51" t="str">
        <f t="shared" si="15"/>
        <v/>
      </c>
      <c r="V75" s="53"/>
      <c r="W75" s="51" t="str">
        <f t="shared" si="16"/>
        <v/>
      </c>
      <c r="X75" s="53"/>
      <c r="Y75" s="51" t="str">
        <f t="shared" si="17"/>
        <v/>
      </c>
      <c r="Z75" s="2"/>
      <c r="AA75" s="2"/>
      <c r="AB75" s="2"/>
      <c r="AC75" s="2"/>
      <c r="AD75" s="2"/>
      <c r="AE75" s="2"/>
    </row>
    <row r="76" spans="1:31" ht="12.75" x14ac:dyDescent="0.2">
      <c r="A76" s="53">
        <f ca="1">IFERROR(__xludf.DUMMYFUNCTION("""COMPUTED_VALUE"""),11)</f>
        <v>11</v>
      </c>
      <c r="B76" s="53"/>
      <c r="C76" s="53"/>
      <c r="D76" s="53" t="str">
        <f ca="1">IFERROR(__xludf.DUMMYFUNCTION("""COMPUTED_VALUE"""),"Tân Phú")</f>
        <v>Tân Phú</v>
      </c>
      <c r="E76" s="54">
        <f ca="1">IFERROR(__xludf.DUMMYFUNCTION("""COMPUTED_VALUE"""),81)</f>
        <v>81</v>
      </c>
      <c r="F76" s="54">
        <f ca="1">IFERROR(__xludf.DUMMYFUNCTION("""COMPUTED_VALUE"""),81)</f>
        <v>81</v>
      </c>
      <c r="G76" s="51">
        <f t="shared" ca="1" si="9"/>
        <v>1</v>
      </c>
      <c r="H76" s="54">
        <f ca="1">IFERROR(__xludf.DUMMYFUNCTION("""COMPUTED_VALUE"""),81)</f>
        <v>81</v>
      </c>
      <c r="I76" s="51">
        <f t="shared" ca="1" si="10"/>
        <v>1</v>
      </c>
      <c r="J76" s="54">
        <f ca="1">IFERROR(__xludf.DUMMYFUNCTION("""COMPUTED_VALUE"""),81)</f>
        <v>81</v>
      </c>
      <c r="K76" s="51">
        <f t="shared" ca="1" si="11"/>
        <v>1</v>
      </c>
      <c r="L76" s="54">
        <f ca="1">IFERROR(__xludf.DUMMYFUNCTION("""COMPUTED_VALUE"""),55)</f>
        <v>55</v>
      </c>
      <c r="M76" s="51">
        <f t="shared" ca="1" si="12"/>
        <v>0.67901234567901236</v>
      </c>
      <c r="N76" s="54">
        <f ca="1">IFERROR(__xludf.DUMMYFUNCTION("""COMPUTED_VALUE"""),917)</f>
        <v>917</v>
      </c>
      <c r="O76" s="54">
        <f ca="1">IFERROR(__xludf.DUMMYFUNCTION("""COMPUTED_VALUE"""),452)</f>
        <v>452</v>
      </c>
      <c r="P76" s="51">
        <f t="shared" ca="1" si="13"/>
        <v>0.49291166848418755</v>
      </c>
      <c r="Q76" s="54">
        <f ca="1">IFERROR(__xludf.DUMMYFUNCTION("""COMPUTED_VALUE"""),227)</f>
        <v>227</v>
      </c>
      <c r="R76" s="51">
        <f t="shared" ca="1" si="14"/>
        <v>0.24754634678298801</v>
      </c>
      <c r="S76" s="53"/>
      <c r="T76" s="53"/>
      <c r="U76" s="51" t="str">
        <f t="shared" si="15"/>
        <v/>
      </c>
      <c r="V76" s="53"/>
      <c r="W76" s="51" t="str">
        <f t="shared" si="16"/>
        <v/>
      </c>
      <c r="X76" s="53"/>
      <c r="Y76" s="51" t="str">
        <f t="shared" si="17"/>
        <v/>
      </c>
      <c r="Z76" s="2"/>
      <c r="AA76" s="2"/>
      <c r="AB76" s="2"/>
      <c r="AC76" s="2"/>
      <c r="AD76" s="2"/>
      <c r="AE76" s="2"/>
    </row>
    <row r="77" spans="1:31" ht="12.75" x14ac:dyDescent="0.2">
      <c r="A77" s="53">
        <f ca="1">IFERROR(__xludf.DUMMYFUNCTION("""COMPUTED_VALUE"""),12)</f>
        <v>12</v>
      </c>
      <c r="B77" s="53" t="str">
        <f ca="1">IFERROR(__xludf.DUMMYFUNCTION("""COMPUTED_VALUE"""),"TH Tô Vĩnh Diện")</f>
        <v>TH Tô Vĩnh Diện</v>
      </c>
      <c r="C77" s="53" t="str">
        <f ca="1">IFERROR(__xludf.DUMMYFUNCTION("""COMPUTED_VALUE"""),"Tiểu học")</f>
        <v>Tiểu học</v>
      </c>
      <c r="D77" s="53" t="str">
        <f ca="1">IFERROR(__xludf.DUMMYFUNCTION("""COMPUTED_VALUE"""),"Tân Phú")</f>
        <v>Tân Phú</v>
      </c>
      <c r="E77" s="54">
        <f ca="1">IFERROR(__xludf.DUMMYFUNCTION("""COMPUTED_VALUE"""),66)</f>
        <v>66</v>
      </c>
      <c r="F77" s="54">
        <f ca="1">IFERROR(__xludf.DUMMYFUNCTION("""COMPUTED_VALUE"""),66)</f>
        <v>66</v>
      </c>
      <c r="G77" s="51">
        <f t="shared" ca="1" si="9"/>
        <v>1</v>
      </c>
      <c r="H77" s="54">
        <f ca="1">IFERROR(__xludf.DUMMYFUNCTION("""COMPUTED_VALUE"""),66)</f>
        <v>66</v>
      </c>
      <c r="I77" s="51">
        <f t="shared" ca="1" si="10"/>
        <v>1</v>
      </c>
      <c r="J77" s="54">
        <f ca="1">IFERROR(__xludf.DUMMYFUNCTION("""COMPUTED_VALUE"""),62)</f>
        <v>62</v>
      </c>
      <c r="K77" s="51">
        <f t="shared" ca="1" si="11"/>
        <v>0.93939393939393945</v>
      </c>
      <c r="L77" s="54">
        <f ca="1">IFERROR(__xludf.DUMMYFUNCTION("""COMPUTED_VALUE"""),35)</f>
        <v>35</v>
      </c>
      <c r="M77" s="51">
        <f t="shared" ca="1" si="12"/>
        <v>0.53030303030303028</v>
      </c>
      <c r="N77" s="54">
        <f ca="1">IFERROR(__xludf.DUMMYFUNCTION("""COMPUTED_VALUE"""),2090)</f>
        <v>2090</v>
      </c>
      <c r="O77" s="54">
        <f ca="1">IFERROR(__xludf.DUMMYFUNCTION("""COMPUTED_VALUE"""),1256)</f>
        <v>1256</v>
      </c>
      <c r="P77" s="51">
        <f t="shared" ca="1" si="13"/>
        <v>0.60095693779904302</v>
      </c>
      <c r="Q77" s="54">
        <f ca="1">IFERROR(__xludf.DUMMYFUNCTION("""COMPUTED_VALUE"""),642)</f>
        <v>642</v>
      </c>
      <c r="R77" s="51">
        <f t="shared" ca="1" si="14"/>
        <v>0.30717703349282299</v>
      </c>
      <c r="S77" s="53"/>
      <c r="T77" s="53"/>
      <c r="U77" s="51" t="str">
        <f t="shared" si="15"/>
        <v/>
      </c>
      <c r="V77" s="53"/>
      <c r="W77" s="51" t="str">
        <f t="shared" si="16"/>
        <v/>
      </c>
      <c r="X77" s="53"/>
      <c r="Y77" s="51" t="str">
        <f t="shared" si="17"/>
        <v/>
      </c>
      <c r="Z77" s="2"/>
      <c r="AA77" s="2"/>
      <c r="AB77" s="2"/>
      <c r="AC77" s="2"/>
      <c r="AD77" s="2"/>
      <c r="AE77" s="2"/>
    </row>
    <row r="78" spans="1:31" ht="12.75" x14ac:dyDescent="0.2">
      <c r="A78" s="53">
        <f ca="1">IFERROR(__xludf.DUMMYFUNCTION("""COMPUTED_VALUE"""),13)</f>
        <v>13</v>
      </c>
      <c r="B78" s="53" t="str">
        <f ca="1">IFERROR(__xludf.DUMMYFUNCTION("""COMPUTED_VALUE"""),"TH Võ Thị Sáu")</f>
        <v>TH Võ Thị Sáu</v>
      </c>
      <c r="C78" s="53" t="str">
        <f ca="1">IFERROR(__xludf.DUMMYFUNCTION("""COMPUTED_VALUE"""),"Tiểu học")</f>
        <v>Tiểu học</v>
      </c>
      <c r="D78" s="53" t="str">
        <f ca="1">IFERROR(__xludf.DUMMYFUNCTION("""COMPUTED_VALUE"""),"Tân Phú")</f>
        <v>Tân Phú</v>
      </c>
      <c r="E78" s="54">
        <f ca="1">IFERROR(__xludf.DUMMYFUNCTION("""COMPUTED_VALUE"""),66)</f>
        <v>66</v>
      </c>
      <c r="F78" s="54">
        <f ca="1">IFERROR(__xludf.DUMMYFUNCTION("""COMPUTED_VALUE"""),66)</f>
        <v>66</v>
      </c>
      <c r="G78" s="51">
        <f t="shared" ca="1" si="9"/>
        <v>1</v>
      </c>
      <c r="H78" s="54">
        <f ca="1">IFERROR(__xludf.DUMMYFUNCTION("""COMPUTED_VALUE"""),66)</f>
        <v>66</v>
      </c>
      <c r="I78" s="51">
        <f t="shared" ca="1" si="10"/>
        <v>1</v>
      </c>
      <c r="J78" s="54">
        <f ca="1">IFERROR(__xludf.DUMMYFUNCTION("""COMPUTED_VALUE"""),59)</f>
        <v>59</v>
      </c>
      <c r="K78" s="51">
        <f t="shared" ca="1" si="11"/>
        <v>0.89393939393939392</v>
      </c>
      <c r="L78" s="54">
        <f ca="1">IFERROR(__xludf.DUMMYFUNCTION("""COMPUTED_VALUE"""),53)</f>
        <v>53</v>
      </c>
      <c r="M78" s="51">
        <f t="shared" ca="1" si="12"/>
        <v>0.80303030303030298</v>
      </c>
      <c r="N78" s="54">
        <f ca="1">IFERROR(__xludf.DUMMYFUNCTION("""COMPUTED_VALUE"""),2135)</f>
        <v>2135</v>
      </c>
      <c r="O78" s="54">
        <f ca="1">IFERROR(__xludf.DUMMYFUNCTION("""COMPUTED_VALUE"""),1200)</f>
        <v>1200</v>
      </c>
      <c r="P78" s="51">
        <f t="shared" ca="1" si="13"/>
        <v>0.56206088992974235</v>
      </c>
      <c r="Q78" s="54">
        <f ca="1">IFERROR(__xludf.DUMMYFUNCTION("""COMPUTED_VALUE"""),750)</f>
        <v>750</v>
      </c>
      <c r="R78" s="51">
        <f t="shared" ca="1" si="14"/>
        <v>0.35128805620608899</v>
      </c>
      <c r="S78" s="53"/>
      <c r="T78" s="53"/>
      <c r="U78" s="51" t="str">
        <f t="shared" si="15"/>
        <v/>
      </c>
      <c r="V78" s="53"/>
      <c r="W78" s="51" t="str">
        <f t="shared" si="16"/>
        <v/>
      </c>
      <c r="X78" s="53"/>
      <c r="Y78" s="51" t="str">
        <f t="shared" si="17"/>
        <v/>
      </c>
      <c r="Z78" s="2"/>
      <c r="AA78" s="2"/>
      <c r="AB78" s="2"/>
      <c r="AC78" s="2"/>
      <c r="AD78" s="2"/>
      <c r="AE78" s="2"/>
    </row>
    <row r="79" spans="1:31" ht="12.75" x14ac:dyDescent="0.2">
      <c r="A79" s="53">
        <f ca="1">IFERROR(__xludf.DUMMYFUNCTION("""COMPUTED_VALUE"""),14)</f>
        <v>14</v>
      </c>
      <c r="B79" s="53" t="str">
        <f ca="1">IFERROR(__xludf.DUMMYFUNCTION("""COMPUTED_VALUE"""),"TH Âu Cơ")</f>
        <v>TH Âu Cơ</v>
      </c>
      <c r="C79" s="53" t="str">
        <f ca="1">IFERROR(__xludf.DUMMYFUNCTION("""COMPUTED_VALUE"""),"Tiểu học")</f>
        <v>Tiểu học</v>
      </c>
      <c r="D79" s="53" t="str">
        <f ca="1">IFERROR(__xludf.DUMMYFUNCTION("""COMPUTED_VALUE"""),"Tân Phú")</f>
        <v>Tân Phú</v>
      </c>
      <c r="E79" s="54">
        <f ca="1">IFERROR(__xludf.DUMMYFUNCTION("""COMPUTED_VALUE"""),72)</f>
        <v>72</v>
      </c>
      <c r="F79" s="54">
        <f ca="1">IFERROR(__xludf.DUMMYFUNCTION("""COMPUTED_VALUE"""),74)</f>
        <v>74</v>
      </c>
      <c r="G79" s="54"/>
      <c r="H79" s="54">
        <f ca="1">IFERROR(__xludf.DUMMYFUNCTION("""COMPUTED_VALUE"""),74)</f>
        <v>74</v>
      </c>
      <c r="I79" s="54"/>
      <c r="J79" s="54">
        <f ca="1">IFERROR(__xludf.DUMMYFUNCTION("""COMPUTED_VALUE"""),74)</f>
        <v>74</v>
      </c>
      <c r="K79" s="54"/>
      <c r="L79" s="54">
        <f ca="1">IFERROR(__xludf.DUMMYFUNCTION("""COMPUTED_VALUE"""),70)</f>
        <v>70</v>
      </c>
      <c r="M79" s="54"/>
      <c r="N79" s="54">
        <f ca="1">IFERROR(__xludf.DUMMYFUNCTION("""COMPUTED_VALUE"""),950)</f>
        <v>950</v>
      </c>
      <c r="O79" s="54">
        <f ca="1">IFERROR(__xludf.DUMMYFUNCTION("""COMPUTED_VALUE"""),582)</f>
        <v>582</v>
      </c>
      <c r="P79" s="54"/>
      <c r="Q79" s="54">
        <f ca="1">IFERROR(__xludf.DUMMYFUNCTION("""COMPUTED_VALUE"""),302)</f>
        <v>302</v>
      </c>
      <c r="R79" s="54"/>
      <c r="S79" s="53"/>
      <c r="T79" s="53"/>
      <c r="U79" s="53"/>
      <c r="V79" s="53"/>
      <c r="W79" s="53"/>
      <c r="X79" s="53"/>
      <c r="Y79" s="53"/>
      <c r="Z79" s="2"/>
      <c r="AA79" s="2"/>
      <c r="AB79" s="2"/>
      <c r="AC79" s="2"/>
      <c r="AD79" s="2"/>
      <c r="AE79" s="2"/>
    </row>
    <row r="80" spans="1:31" ht="12.75" x14ac:dyDescent="0.2">
      <c r="A80" s="53">
        <f ca="1">IFERROR(__xludf.DUMMYFUNCTION("""COMPUTED_VALUE"""),15)</f>
        <v>15</v>
      </c>
      <c r="B80" s="53" t="str">
        <f ca="1">IFERROR(__xludf.DUMMYFUNCTION("""COMPUTED_VALUE"""),"TH Hiệp Tân")</f>
        <v>TH Hiệp Tân</v>
      </c>
      <c r="C80" s="53" t="str">
        <f ca="1">IFERROR(__xludf.DUMMYFUNCTION("""COMPUTED_VALUE"""),"Tiểu học")</f>
        <v>Tiểu học</v>
      </c>
      <c r="D80" s="53" t="str">
        <f ca="1">IFERROR(__xludf.DUMMYFUNCTION("""COMPUTED_VALUE"""),"Tân Phú")</f>
        <v>Tân Phú</v>
      </c>
      <c r="E80" s="54">
        <f ca="1">IFERROR(__xludf.DUMMYFUNCTION("""COMPUTED_VALUE"""),71)</f>
        <v>71</v>
      </c>
      <c r="F80" s="54">
        <f ca="1">IFERROR(__xludf.DUMMYFUNCTION("""COMPUTED_VALUE"""),70)</f>
        <v>70</v>
      </c>
      <c r="G80" s="54"/>
      <c r="H80" s="54">
        <f ca="1">IFERROR(__xludf.DUMMYFUNCTION("""COMPUTED_VALUE"""),70)</f>
        <v>70</v>
      </c>
      <c r="I80" s="54"/>
      <c r="J80" s="54">
        <f ca="1">IFERROR(__xludf.DUMMYFUNCTION("""COMPUTED_VALUE"""),67)</f>
        <v>67</v>
      </c>
      <c r="K80" s="54"/>
      <c r="L80" s="54">
        <f ca="1">IFERROR(__xludf.DUMMYFUNCTION("""COMPUTED_VALUE"""),55)</f>
        <v>55</v>
      </c>
      <c r="M80" s="54"/>
      <c r="N80" s="54">
        <f ca="1">IFERROR(__xludf.DUMMYFUNCTION("""COMPUTED_VALUE"""),1669)</f>
        <v>1669</v>
      </c>
      <c r="O80" s="54">
        <f ca="1">IFERROR(__xludf.DUMMYFUNCTION("""COMPUTED_VALUE"""),1062)</f>
        <v>1062</v>
      </c>
      <c r="P80" s="54"/>
      <c r="Q80" s="54">
        <f ca="1">IFERROR(__xludf.DUMMYFUNCTION("""COMPUTED_VALUE"""),550)</f>
        <v>550</v>
      </c>
      <c r="R80" s="54"/>
      <c r="S80" s="53"/>
      <c r="T80" s="53"/>
      <c r="U80" s="53"/>
      <c r="V80" s="53"/>
      <c r="W80" s="53"/>
      <c r="X80" s="53"/>
      <c r="Y80" s="53"/>
      <c r="Z80" s="2"/>
      <c r="AA80" s="2"/>
      <c r="AB80" s="2"/>
      <c r="AC80" s="2"/>
      <c r="AD80" s="2"/>
      <c r="AE80" s="2"/>
    </row>
    <row r="81" spans="1:31" ht="12.75" x14ac:dyDescent="0.2">
      <c r="A81" s="53">
        <f ca="1">IFERROR(__xludf.DUMMYFUNCTION("""COMPUTED_VALUE"""),16)</f>
        <v>16</v>
      </c>
      <c r="B81" s="53" t="str">
        <f ca="1">IFERROR(__xludf.DUMMYFUNCTION("""COMPUTED_VALUE"""),"TH Lê Văn Tám")</f>
        <v>TH Lê Văn Tám</v>
      </c>
      <c r="C81" s="53" t="str">
        <f ca="1">IFERROR(__xludf.DUMMYFUNCTION("""COMPUTED_VALUE"""),"Tiểu học")</f>
        <v>Tiểu học</v>
      </c>
      <c r="D81" s="53" t="str">
        <f ca="1">IFERROR(__xludf.DUMMYFUNCTION("""COMPUTED_VALUE"""),"Tân Phú")</f>
        <v>Tân Phú</v>
      </c>
      <c r="E81" s="54">
        <f ca="1">IFERROR(__xludf.DUMMYFUNCTION("""COMPUTED_VALUE"""),121)</f>
        <v>121</v>
      </c>
      <c r="F81" s="54">
        <f ca="1">IFERROR(__xludf.DUMMYFUNCTION("""COMPUTED_VALUE"""),121)</f>
        <v>121</v>
      </c>
      <c r="G81" s="54"/>
      <c r="H81" s="54">
        <f ca="1">IFERROR(__xludf.DUMMYFUNCTION("""COMPUTED_VALUE"""),121)</f>
        <v>121</v>
      </c>
      <c r="I81" s="54"/>
      <c r="J81" s="54">
        <f ca="1">IFERROR(__xludf.DUMMYFUNCTION("""COMPUTED_VALUE"""),119)</f>
        <v>119</v>
      </c>
      <c r="K81" s="54"/>
      <c r="L81" s="54">
        <f ca="1">IFERROR(__xludf.DUMMYFUNCTION("""COMPUTED_VALUE"""),108)</f>
        <v>108</v>
      </c>
      <c r="M81" s="54"/>
      <c r="N81" s="54">
        <f ca="1">IFERROR(__xludf.DUMMYFUNCTION("""COMPUTED_VALUE"""),3672)</f>
        <v>3672</v>
      </c>
      <c r="O81" s="54">
        <f ca="1">IFERROR(__xludf.DUMMYFUNCTION("""COMPUTED_VALUE"""),1982)</f>
        <v>1982</v>
      </c>
      <c r="P81" s="54"/>
      <c r="Q81" s="54">
        <f ca="1">IFERROR(__xludf.DUMMYFUNCTION("""COMPUTED_VALUE"""),912)</f>
        <v>912</v>
      </c>
      <c r="R81" s="54"/>
      <c r="S81" s="53"/>
      <c r="T81" s="53"/>
      <c r="U81" s="53"/>
      <c r="V81" s="53"/>
      <c r="W81" s="53"/>
      <c r="X81" s="53"/>
      <c r="Y81" s="53"/>
      <c r="Z81" s="2"/>
      <c r="AA81" s="2"/>
      <c r="AB81" s="2"/>
      <c r="AC81" s="2"/>
      <c r="AD81" s="2"/>
      <c r="AE81" s="2"/>
    </row>
    <row r="82" spans="1:31" ht="12.75" x14ac:dyDescent="0.2">
      <c r="A82" s="53">
        <f ca="1">IFERROR(__xludf.DUMMYFUNCTION("""COMPUTED_VALUE"""),17)</f>
        <v>17</v>
      </c>
      <c r="B82" s="53" t="str">
        <f ca="1">IFERROR(__xludf.DUMMYFUNCTION("""COMPUTED_VALUE"""),"TH Tân Hóa")</f>
        <v>TH Tân Hóa</v>
      </c>
      <c r="C82" s="53" t="str">
        <f ca="1">IFERROR(__xludf.DUMMYFUNCTION("""COMPUTED_VALUE"""),"Tiểu học")</f>
        <v>Tiểu học</v>
      </c>
      <c r="D82" s="53" t="str">
        <f ca="1">IFERROR(__xludf.DUMMYFUNCTION("""COMPUTED_VALUE"""),"Tân Phú")</f>
        <v>Tân Phú</v>
      </c>
      <c r="E82" s="54">
        <f ca="1">IFERROR(__xludf.DUMMYFUNCTION("""COMPUTED_VALUE"""),36)</f>
        <v>36</v>
      </c>
      <c r="F82" s="54">
        <f ca="1">IFERROR(__xludf.DUMMYFUNCTION("""COMPUTED_VALUE"""),36)</f>
        <v>36</v>
      </c>
      <c r="G82" s="54"/>
      <c r="H82" s="54">
        <f ca="1">IFERROR(__xludf.DUMMYFUNCTION("""COMPUTED_VALUE"""),36)</f>
        <v>36</v>
      </c>
      <c r="I82" s="54"/>
      <c r="J82" s="54">
        <f ca="1">IFERROR(__xludf.DUMMYFUNCTION("""COMPUTED_VALUE"""),36)</f>
        <v>36</v>
      </c>
      <c r="K82" s="54"/>
      <c r="L82" s="54">
        <f ca="1">IFERROR(__xludf.DUMMYFUNCTION("""COMPUTED_VALUE"""),30)</f>
        <v>30</v>
      </c>
      <c r="M82" s="54"/>
      <c r="N82" s="54">
        <f ca="1">IFERROR(__xludf.DUMMYFUNCTION("""COMPUTED_VALUE"""),998)</f>
        <v>998</v>
      </c>
      <c r="O82" s="54">
        <f ca="1">IFERROR(__xludf.DUMMYFUNCTION("""COMPUTED_VALUE"""),796)</f>
        <v>796</v>
      </c>
      <c r="P82" s="54"/>
      <c r="Q82" s="54">
        <f ca="1">IFERROR(__xludf.DUMMYFUNCTION("""COMPUTED_VALUE"""),382)</f>
        <v>382</v>
      </c>
      <c r="R82" s="54"/>
      <c r="S82" s="53"/>
      <c r="T82" s="53"/>
      <c r="U82" s="53"/>
      <c r="V82" s="53"/>
      <c r="W82" s="53"/>
      <c r="X82" s="53"/>
      <c r="Y82" s="53"/>
      <c r="Z82" s="2"/>
      <c r="AA82" s="2"/>
      <c r="AB82" s="2"/>
      <c r="AC82" s="2"/>
      <c r="AD82" s="2"/>
      <c r="AE82" s="2"/>
    </row>
    <row r="83" spans="1:31" ht="12.75" x14ac:dyDescent="0.2">
      <c r="A83" s="53">
        <f ca="1">IFERROR(__xludf.DUMMYFUNCTION("""COMPUTED_VALUE"""),18)</f>
        <v>18</v>
      </c>
      <c r="B83" s="53" t="str">
        <f ca="1">IFERROR(__xludf.DUMMYFUNCTION("""COMPUTED_VALUE"""),"Chuyên biệt Bình Minh")</f>
        <v>Chuyên biệt Bình Minh</v>
      </c>
      <c r="C83" s="53"/>
      <c r="D83" s="53" t="str">
        <f ca="1">IFERROR(__xludf.DUMMYFUNCTION("""COMPUTED_VALUE"""),"Tân Phú")</f>
        <v>Tân Phú</v>
      </c>
      <c r="E83" s="54">
        <f ca="1">IFERROR(__xludf.DUMMYFUNCTION("""COMPUTED_VALUE"""),40)</f>
        <v>40</v>
      </c>
      <c r="F83" s="54">
        <f ca="1">IFERROR(__xludf.DUMMYFUNCTION("""COMPUTED_VALUE"""),40)</f>
        <v>40</v>
      </c>
      <c r="G83" s="54"/>
      <c r="H83" s="54">
        <f ca="1">IFERROR(__xludf.DUMMYFUNCTION("""COMPUTED_VALUE"""),40)</f>
        <v>40</v>
      </c>
      <c r="I83" s="54"/>
      <c r="J83" s="54">
        <f ca="1">IFERROR(__xludf.DUMMYFUNCTION("""COMPUTED_VALUE"""),40)</f>
        <v>40</v>
      </c>
      <c r="K83" s="54"/>
      <c r="L83" s="54">
        <f ca="1">IFERROR(__xludf.DUMMYFUNCTION("""COMPUTED_VALUE"""),29)</f>
        <v>29</v>
      </c>
      <c r="M83" s="54"/>
      <c r="N83" s="54">
        <f ca="1">IFERROR(__xludf.DUMMYFUNCTION("""COMPUTED_VALUE"""),97)</f>
        <v>97</v>
      </c>
      <c r="O83" s="54">
        <f ca="1">IFERROR(__xludf.DUMMYFUNCTION("""COMPUTED_VALUE"""),89)</f>
        <v>89</v>
      </c>
      <c r="P83" s="54"/>
      <c r="Q83" s="54">
        <f ca="1">IFERROR(__xludf.DUMMYFUNCTION("""COMPUTED_VALUE"""),46)</f>
        <v>46</v>
      </c>
      <c r="R83" s="54"/>
      <c r="S83" s="54">
        <f ca="1">IFERROR(__xludf.DUMMYFUNCTION("""COMPUTED_VALUE"""),84)</f>
        <v>84</v>
      </c>
      <c r="T83" s="53">
        <f ca="1">IFERROR(__xludf.DUMMYFUNCTION("""COMPUTED_VALUE"""),81)</f>
        <v>81</v>
      </c>
      <c r="U83" s="53"/>
      <c r="V83" s="54">
        <f ca="1">IFERROR(__xludf.DUMMYFUNCTION("""COMPUTED_VALUE"""),80)</f>
        <v>80</v>
      </c>
      <c r="W83" s="54"/>
      <c r="X83" s="54">
        <f ca="1">IFERROR(__xludf.DUMMYFUNCTION("""COMPUTED_VALUE"""),47)</f>
        <v>47</v>
      </c>
      <c r="Y83" s="54"/>
      <c r="Z83" s="2"/>
      <c r="AA83" s="2"/>
      <c r="AB83" s="2"/>
      <c r="AC83" s="2"/>
      <c r="AD83" s="2"/>
      <c r="AE83" s="2"/>
    </row>
    <row r="84" spans="1:31" ht="12.75" x14ac:dyDescent="0.2">
      <c r="A84" s="53" t="str">
        <f ca="1">IFERROR(__xludf.DUMMYFUNCTION("""COMPUTED_VALUE"""),"THCS")</f>
        <v>THCS</v>
      </c>
      <c r="B84" s="53"/>
      <c r="C84" s="53"/>
      <c r="D84" s="53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2"/>
      <c r="AA84" s="2"/>
      <c r="AB84" s="2"/>
      <c r="AC84" s="2"/>
      <c r="AD84" s="2"/>
      <c r="AE84" s="2"/>
    </row>
    <row r="85" spans="1:31" ht="12.75" x14ac:dyDescent="0.2">
      <c r="A85" s="53">
        <f ca="1">IFERROR(__xludf.DUMMYFUNCTION("""COMPUTED_VALUE"""),1)</f>
        <v>1</v>
      </c>
      <c r="B85" s="53" t="str">
        <f ca="1">IFERROR(__xludf.DUMMYFUNCTION("""COMPUTED_VALUE"""),"THCS Đặng Trần Côn")</f>
        <v>THCS Đặng Trần Côn</v>
      </c>
      <c r="C85" s="53" t="str">
        <f ca="1">IFERROR(__xludf.DUMMYFUNCTION("""COMPUTED_VALUE"""),"THCS")</f>
        <v>THCS</v>
      </c>
      <c r="D85" s="53" t="str">
        <f ca="1">IFERROR(__xludf.DUMMYFUNCTION("""COMPUTED_VALUE"""),"Tân Phú")</f>
        <v>Tân Phú</v>
      </c>
      <c r="E85" s="54">
        <f ca="1">IFERROR(__xludf.DUMMYFUNCTION("""COMPUTED_VALUE"""),82)</f>
        <v>82</v>
      </c>
      <c r="F85" s="54">
        <f ca="1">IFERROR(__xludf.DUMMYFUNCTION("""COMPUTED_VALUE"""),82)</f>
        <v>82</v>
      </c>
      <c r="G85" s="54"/>
      <c r="H85" s="54">
        <f ca="1">IFERROR(__xludf.DUMMYFUNCTION("""COMPUTED_VALUE"""),82)</f>
        <v>82</v>
      </c>
      <c r="I85" s="54"/>
      <c r="J85" s="54">
        <f ca="1">IFERROR(__xludf.DUMMYFUNCTION("""COMPUTED_VALUE"""),80)</f>
        <v>80</v>
      </c>
      <c r="K85" s="54"/>
      <c r="L85" s="54">
        <f ca="1">IFERROR(__xludf.DUMMYFUNCTION("""COMPUTED_VALUE"""),65)</f>
        <v>65</v>
      </c>
      <c r="M85" s="54"/>
      <c r="N85" s="54">
        <f ca="1">IFERROR(__xludf.DUMMYFUNCTION("""COMPUTED_VALUE"""),128)</f>
        <v>128</v>
      </c>
      <c r="O85" s="54">
        <f ca="1">IFERROR(__xludf.DUMMYFUNCTION("""COMPUTED_VALUE"""),245)</f>
        <v>245</v>
      </c>
      <c r="P85" s="54"/>
      <c r="Q85" s="54">
        <f ca="1">IFERROR(__xludf.DUMMYFUNCTION("""COMPUTED_VALUE"""),144)</f>
        <v>144</v>
      </c>
      <c r="R85" s="54"/>
      <c r="S85" s="54">
        <f ca="1">IFERROR(__xludf.DUMMYFUNCTION("""COMPUTED_VALUE"""),1528)</f>
        <v>1528</v>
      </c>
      <c r="T85" s="54">
        <f ca="1">IFERROR(__xludf.DUMMYFUNCTION("""COMPUTED_VALUE"""),1538)</f>
        <v>1538</v>
      </c>
      <c r="U85" s="54"/>
      <c r="V85" s="54">
        <f ca="1">IFERROR(__xludf.DUMMYFUNCTION("""COMPUTED_VALUE"""),1437)</f>
        <v>1437</v>
      </c>
      <c r="W85" s="54"/>
      <c r="X85" s="54">
        <f ca="1">IFERROR(__xludf.DUMMYFUNCTION("""COMPUTED_VALUE"""),399)</f>
        <v>399</v>
      </c>
      <c r="Y85" s="54"/>
      <c r="Z85" s="2"/>
      <c r="AA85" s="2"/>
      <c r="AB85" s="2"/>
      <c r="AC85" s="2"/>
      <c r="AD85" s="2"/>
      <c r="AE85" s="2"/>
    </row>
    <row r="86" spans="1:31" ht="12.75" x14ac:dyDescent="0.2">
      <c r="A86" s="53">
        <f ca="1">IFERROR(__xludf.DUMMYFUNCTION("""COMPUTED_VALUE"""),2)</f>
        <v>2</v>
      </c>
      <c r="B86" s="53" t="str">
        <f ca="1">IFERROR(__xludf.DUMMYFUNCTION("""COMPUTED_VALUE"""),"THCS Trần Quang Khải")</f>
        <v>THCS Trần Quang Khải</v>
      </c>
      <c r="C86" s="53" t="str">
        <f ca="1">IFERROR(__xludf.DUMMYFUNCTION("""COMPUTED_VALUE"""),"THCS")</f>
        <v>THCS</v>
      </c>
      <c r="D86" s="53" t="str">
        <f ca="1">IFERROR(__xludf.DUMMYFUNCTION("""COMPUTED_VALUE"""),"Tân Phú")</f>
        <v>Tân Phú</v>
      </c>
      <c r="E86" s="54">
        <f ca="1">IFERROR(__xludf.DUMMYFUNCTION("""COMPUTED_VALUE"""),63)</f>
        <v>63</v>
      </c>
      <c r="F86" s="54">
        <f ca="1">IFERROR(__xludf.DUMMYFUNCTION("""COMPUTED_VALUE"""),63)</f>
        <v>63</v>
      </c>
      <c r="G86" s="54"/>
      <c r="H86" s="54">
        <f ca="1">IFERROR(__xludf.DUMMYFUNCTION("""COMPUTED_VALUE"""),63)</f>
        <v>63</v>
      </c>
      <c r="I86" s="54"/>
      <c r="J86" s="54">
        <f ca="1">IFERROR(__xludf.DUMMYFUNCTION("""COMPUTED_VALUE"""),63)</f>
        <v>63</v>
      </c>
      <c r="K86" s="54"/>
      <c r="L86" s="54">
        <f ca="1">IFERROR(__xludf.DUMMYFUNCTION("""COMPUTED_VALUE"""),56)</f>
        <v>56</v>
      </c>
      <c r="M86" s="54"/>
      <c r="N86" s="54">
        <f ca="1">IFERROR(__xludf.DUMMYFUNCTION("""COMPUTED_VALUE"""),170)</f>
        <v>170</v>
      </c>
      <c r="O86" s="54">
        <f ca="1">IFERROR(__xludf.DUMMYFUNCTION("""COMPUTED_VALUE"""),353)</f>
        <v>353</v>
      </c>
      <c r="P86" s="54"/>
      <c r="Q86" s="54">
        <f ca="1">IFERROR(__xludf.DUMMYFUNCTION("""COMPUTED_VALUE"""),236)</f>
        <v>236</v>
      </c>
      <c r="R86" s="54"/>
      <c r="S86" s="54">
        <f ca="1">IFERROR(__xludf.DUMMYFUNCTION("""COMPUTED_VALUE"""),913)</f>
        <v>913</v>
      </c>
      <c r="T86" s="53">
        <f ca="1">IFERROR(__xludf.DUMMYFUNCTION("""COMPUTED_VALUE"""),913)</f>
        <v>913</v>
      </c>
      <c r="U86" s="53"/>
      <c r="V86" s="54">
        <f ca="1">IFERROR(__xludf.DUMMYFUNCTION("""COMPUTED_VALUE"""),807)</f>
        <v>807</v>
      </c>
      <c r="W86" s="54"/>
      <c r="X86" s="54">
        <f ca="1">IFERROR(__xludf.DUMMYFUNCTION("""COMPUTED_VALUE"""),270)</f>
        <v>270</v>
      </c>
      <c r="Y86" s="54"/>
      <c r="Z86" s="2"/>
      <c r="AA86" s="2"/>
      <c r="AB86" s="2"/>
      <c r="AC86" s="2"/>
      <c r="AD86" s="2"/>
      <c r="AE86" s="2"/>
    </row>
    <row r="87" spans="1:31" ht="12.75" x14ac:dyDescent="0.2">
      <c r="A87" s="53">
        <f ca="1">IFERROR(__xludf.DUMMYFUNCTION("""COMPUTED_VALUE"""),3)</f>
        <v>3</v>
      </c>
      <c r="B87" s="53" t="str">
        <f ca="1">IFERROR(__xludf.DUMMYFUNCTION("""COMPUTED_VALUE"""),"THCS Tân Thới Hòa")</f>
        <v>THCS Tân Thới Hòa</v>
      </c>
      <c r="C87" s="53" t="str">
        <f ca="1">IFERROR(__xludf.DUMMYFUNCTION("""COMPUTED_VALUE"""),"THCS")</f>
        <v>THCS</v>
      </c>
      <c r="D87" s="53" t="str">
        <f ca="1">IFERROR(__xludf.DUMMYFUNCTION("""COMPUTED_VALUE"""),"Tân Phú")</f>
        <v>Tân Phú</v>
      </c>
      <c r="E87" s="54">
        <f ca="1">IFERROR(__xludf.DUMMYFUNCTION("""COMPUTED_VALUE"""),92)</f>
        <v>92</v>
      </c>
      <c r="F87" s="54">
        <f ca="1">IFERROR(__xludf.DUMMYFUNCTION("""COMPUTED_VALUE"""),92)</f>
        <v>92</v>
      </c>
      <c r="G87" s="54"/>
      <c r="H87" s="54">
        <f ca="1">IFERROR(__xludf.DUMMYFUNCTION("""COMPUTED_VALUE"""),91)</f>
        <v>91</v>
      </c>
      <c r="I87" s="54"/>
      <c r="J87" s="54">
        <f ca="1">IFERROR(__xludf.DUMMYFUNCTION("""COMPUTED_VALUE"""),91)</f>
        <v>91</v>
      </c>
      <c r="K87" s="54"/>
      <c r="L87" s="54">
        <f ca="1">IFERROR(__xludf.DUMMYFUNCTION("""COMPUTED_VALUE"""),46)</f>
        <v>46</v>
      </c>
      <c r="M87" s="54"/>
      <c r="N87" s="54">
        <f ca="1">IFERROR(__xludf.DUMMYFUNCTION("""COMPUTED_VALUE"""),130)</f>
        <v>130</v>
      </c>
      <c r="O87" s="54">
        <f ca="1">IFERROR(__xludf.DUMMYFUNCTION("""COMPUTED_VALUE"""),258)</f>
        <v>258</v>
      </c>
      <c r="P87" s="54"/>
      <c r="Q87" s="54">
        <f ca="1">IFERROR(__xludf.DUMMYFUNCTION("""COMPUTED_VALUE"""),199)</f>
        <v>199</v>
      </c>
      <c r="R87" s="54"/>
      <c r="S87" s="54">
        <f ca="1">IFERROR(__xludf.DUMMYFUNCTION("""COMPUTED_VALUE"""),1236)</f>
        <v>1236</v>
      </c>
      <c r="T87" s="54">
        <f ca="1">IFERROR(__xludf.DUMMYFUNCTION("""COMPUTED_VALUE"""),1256)</f>
        <v>1256</v>
      </c>
      <c r="U87" s="54"/>
      <c r="V87" s="54">
        <f ca="1">IFERROR(__xludf.DUMMYFUNCTION("""COMPUTED_VALUE"""),1252)</f>
        <v>1252</v>
      </c>
      <c r="W87" s="54"/>
      <c r="X87" s="54">
        <f ca="1">IFERROR(__xludf.DUMMYFUNCTION("""COMPUTED_VALUE"""),596)</f>
        <v>596</v>
      </c>
      <c r="Y87" s="54"/>
      <c r="Z87" s="2"/>
      <c r="AA87" s="2"/>
      <c r="AB87" s="2"/>
      <c r="AC87" s="2"/>
      <c r="AD87" s="2"/>
      <c r="AE87" s="2"/>
    </row>
    <row r="88" spans="1:31" ht="12.75" x14ac:dyDescent="0.2">
      <c r="A88" s="53">
        <f ca="1">IFERROR(__xludf.DUMMYFUNCTION("""COMPUTED_VALUE"""),4)</f>
        <v>4</v>
      </c>
      <c r="B88" s="53" t="str">
        <f ca="1">IFERROR(__xludf.DUMMYFUNCTION("""COMPUTED_VALUE"""),"THCS Hoàng Diệu")</f>
        <v>THCS Hoàng Diệu</v>
      </c>
      <c r="C88" s="53" t="str">
        <f ca="1">IFERROR(__xludf.DUMMYFUNCTION("""COMPUTED_VALUE"""),"THCS")</f>
        <v>THCS</v>
      </c>
      <c r="D88" s="53" t="str">
        <f ca="1">IFERROR(__xludf.DUMMYFUNCTION("""COMPUTED_VALUE"""),"Tân Phú")</f>
        <v>Tân Phú</v>
      </c>
      <c r="E88" s="54">
        <f ca="1">IFERROR(__xludf.DUMMYFUNCTION("""COMPUTED_VALUE"""),72)</f>
        <v>72</v>
      </c>
      <c r="F88" s="54">
        <f ca="1">IFERROR(__xludf.DUMMYFUNCTION("""COMPUTED_VALUE"""),72)</f>
        <v>72</v>
      </c>
      <c r="G88" s="54"/>
      <c r="H88" s="54">
        <f ca="1">IFERROR(__xludf.DUMMYFUNCTION("""COMPUTED_VALUE"""),72)</f>
        <v>72</v>
      </c>
      <c r="I88" s="54"/>
      <c r="J88" s="54">
        <f ca="1">IFERROR(__xludf.DUMMYFUNCTION("""COMPUTED_VALUE"""),72)</f>
        <v>72</v>
      </c>
      <c r="K88" s="54"/>
      <c r="L88" s="54">
        <f ca="1">IFERROR(__xludf.DUMMYFUNCTION("""COMPUTED_VALUE"""),29)</f>
        <v>29</v>
      </c>
      <c r="M88" s="54"/>
      <c r="N88" s="54">
        <f ca="1">IFERROR(__xludf.DUMMYFUNCTION("""COMPUTED_VALUE"""),210)</f>
        <v>210</v>
      </c>
      <c r="O88" s="54">
        <f ca="1">IFERROR(__xludf.DUMMYFUNCTION("""COMPUTED_VALUE"""),113)</f>
        <v>113</v>
      </c>
      <c r="P88" s="54"/>
      <c r="Q88" s="54">
        <f ca="1">IFERROR(__xludf.DUMMYFUNCTION("""COMPUTED_VALUE"""),31)</f>
        <v>31</v>
      </c>
      <c r="R88" s="54"/>
      <c r="S88" s="53">
        <f ca="1">IFERROR(__xludf.DUMMYFUNCTION("""COMPUTED_VALUE"""),1218)</f>
        <v>1218</v>
      </c>
      <c r="T88" s="53">
        <f ca="1">IFERROR(__xludf.DUMMYFUNCTION("""COMPUTED_VALUE"""),1223)</f>
        <v>1223</v>
      </c>
      <c r="U88" s="53"/>
      <c r="V88" s="53">
        <f ca="1">IFERROR(__xludf.DUMMYFUNCTION("""COMPUTED_VALUE"""),1151)</f>
        <v>1151</v>
      </c>
      <c r="W88" s="53"/>
      <c r="X88" s="53">
        <f ca="1">IFERROR(__xludf.DUMMYFUNCTION("""COMPUTED_VALUE"""),481)</f>
        <v>481</v>
      </c>
      <c r="Y88" s="53"/>
      <c r="Z88" s="2"/>
      <c r="AA88" s="2"/>
      <c r="AB88" s="2"/>
      <c r="AC88" s="2"/>
      <c r="AD88" s="2"/>
      <c r="AE88" s="2"/>
    </row>
    <row r="89" spans="1:31" ht="12.75" x14ac:dyDescent="0.2">
      <c r="A89" s="53">
        <f ca="1">IFERROR(__xludf.DUMMYFUNCTION("""COMPUTED_VALUE"""),5)</f>
        <v>5</v>
      </c>
      <c r="B89" s="53" t="str">
        <f ca="1">IFERROR(__xludf.DUMMYFUNCTION("""COMPUTED_VALUE"""),"THCS Hùng Vương")</f>
        <v>THCS Hùng Vương</v>
      </c>
      <c r="C89" s="53" t="str">
        <f ca="1">IFERROR(__xludf.DUMMYFUNCTION("""COMPUTED_VALUE"""),"THCS")</f>
        <v>THCS</v>
      </c>
      <c r="D89" s="53" t="str">
        <f ca="1">IFERROR(__xludf.DUMMYFUNCTION("""COMPUTED_VALUE"""),"Tân Phú")</f>
        <v>Tân Phú</v>
      </c>
      <c r="E89" s="54">
        <f ca="1">IFERROR(__xludf.DUMMYFUNCTION("""COMPUTED_VALUE"""),58)</f>
        <v>58</v>
      </c>
      <c r="F89" s="54">
        <f ca="1">IFERROR(__xludf.DUMMYFUNCTION("""COMPUTED_VALUE"""),58)</f>
        <v>58</v>
      </c>
      <c r="G89" s="54"/>
      <c r="H89" s="54">
        <f ca="1">IFERROR(__xludf.DUMMYFUNCTION("""COMPUTED_VALUE"""),58)</f>
        <v>58</v>
      </c>
      <c r="I89" s="54"/>
      <c r="J89" s="54">
        <f ca="1">IFERROR(__xludf.DUMMYFUNCTION("""COMPUTED_VALUE"""),55)</f>
        <v>55</v>
      </c>
      <c r="K89" s="54"/>
      <c r="L89" s="54">
        <f ca="1">IFERROR(__xludf.DUMMYFUNCTION("""COMPUTED_VALUE"""),46)</f>
        <v>46</v>
      </c>
      <c r="M89" s="54"/>
      <c r="N89" s="54">
        <f ca="1">IFERROR(__xludf.DUMMYFUNCTION("""COMPUTED_VALUE"""),100)</f>
        <v>100</v>
      </c>
      <c r="O89" s="54">
        <f ca="1">IFERROR(__xludf.DUMMYFUNCTION("""COMPUTED_VALUE"""),158)</f>
        <v>158</v>
      </c>
      <c r="P89" s="54"/>
      <c r="Q89" s="54">
        <f ca="1">IFERROR(__xludf.DUMMYFUNCTION("""COMPUTED_VALUE"""),136)</f>
        <v>136</v>
      </c>
      <c r="R89" s="54"/>
      <c r="S89" s="54">
        <f ca="1">IFERROR(__xludf.DUMMYFUNCTION("""COMPUTED_VALUE"""),686)</f>
        <v>686</v>
      </c>
      <c r="T89" s="53">
        <f ca="1">IFERROR(__xludf.DUMMYFUNCTION("""COMPUTED_VALUE"""),686)</f>
        <v>686</v>
      </c>
      <c r="U89" s="53"/>
      <c r="V89" s="54">
        <f ca="1">IFERROR(__xludf.DUMMYFUNCTION("""COMPUTED_VALUE"""),741)</f>
        <v>741</v>
      </c>
      <c r="W89" s="54"/>
      <c r="X89" s="54">
        <f ca="1">IFERROR(__xludf.DUMMYFUNCTION("""COMPUTED_VALUE"""),391)</f>
        <v>391</v>
      </c>
      <c r="Y89" s="54"/>
      <c r="Z89" s="2"/>
      <c r="AA89" s="2"/>
      <c r="AB89" s="2"/>
      <c r="AC89" s="2"/>
      <c r="AD89" s="2"/>
      <c r="AE89" s="2"/>
    </row>
    <row r="90" spans="1:31" ht="12.75" x14ac:dyDescent="0.2">
      <c r="A90" s="53">
        <f ca="1">IFERROR(__xludf.DUMMYFUNCTION("""COMPUTED_VALUE"""),6)</f>
        <v>6</v>
      </c>
      <c r="B90" s="53" t="str">
        <f ca="1">IFERROR(__xludf.DUMMYFUNCTION("""COMPUTED_VALUE"""),"THCS Đồng Khởi")</f>
        <v>THCS Đồng Khởi</v>
      </c>
      <c r="C90" s="53" t="str">
        <f ca="1">IFERROR(__xludf.DUMMYFUNCTION("""COMPUTED_VALUE"""),"THCS")</f>
        <v>THCS</v>
      </c>
      <c r="D90" s="53" t="str">
        <f ca="1">IFERROR(__xludf.DUMMYFUNCTION("""COMPUTED_VALUE"""),"Tân Phú")</f>
        <v>Tân Phú</v>
      </c>
      <c r="E90" s="54">
        <f ca="1">IFERROR(__xludf.DUMMYFUNCTION("""COMPUTED_VALUE"""),102)</f>
        <v>102</v>
      </c>
      <c r="F90" s="54">
        <f ca="1">IFERROR(__xludf.DUMMYFUNCTION("""COMPUTED_VALUE"""),102)</f>
        <v>102</v>
      </c>
      <c r="G90" s="54"/>
      <c r="H90" s="54">
        <f ca="1">IFERROR(__xludf.DUMMYFUNCTION("""COMPUTED_VALUE"""),102)</f>
        <v>102</v>
      </c>
      <c r="I90" s="54"/>
      <c r="J90" s="54">
        <f ca="1">IFERROR(__xludf.DUMMYFUNCTION("""COMPUTED_VALUE"""),100)</f>
        <v>100</v>
      </c>
      <c r="K90" s="54"/>
      <c r="L90" s="54">
        <f ca="1">IFERROR(__xludf.DUMMYFUNCTION("""COMPUTED_VALUE"""),79)</f>
        <v>79</v>
      </c>
      <c r="M90" s="54"/>
      <c r="N90" s="54">
        <f ca="1">IFERROR(__xludf.DUMMYFUNCTION("""COMPUTED_VALUE"""),179)</f>
        <v>179</v>
      </c>
      <c r="O90" s="54">
        <f ca="1">IFERROR(__xludf.DUMMYFUNCTION("""COMPUTED_VALUE"""),617)</f>
        <v>617</v>
      </c>
      <c r="P90" s="54"/>
      <c r="Q90" s="54">
        <f ca="1">IFERROR(__xludf.DUMMYFUNCTION("""COMPUTED_VALUE"""),374)</f>
        <v>374</v>
      </c>
      <c r="R90" s="54"/>
      <c r="S90" s="54">
        <f ca="1">IFERROR(__xludf.DUMMYFUNCTION("""COMPUTED_VALUE"""),1993)</f>
        <v>1993</v>
      </c>
      <c r="T90" s="54">
        <f ca="1">IFERROR(__xludf.DUMMYFUNCTION("""COMPUTED_VALUE"""),1993)</f>
        <v>1993</v>
      </c>
      <c r="U90" s="54"/>
      <c r="V90" s="54">
        <f ca="1">IFERROR(__xludf.DUMMYFUNCTION("""COMPUTED_VALUE"""),1804)</f>
        <v>1804</v>
      </c>
      <c r="W90" s="54"/>
      <c r="X90" s="54">
        <f ca="1">IFERROR(__xludf.DUMMYFUNCTION("""COMPUTED_VALUE"""),877)</f>
        <v>877</v>
      </c>
      <c r="Y90" s="54"/>
      <c r="Z90" s="2"/>
      <c r="AA90" s="2"/>
      <c r="AB90" s="2"/>
      <c r="AC90" s="2"/>
      <c r="AD90" s="2"/>
      <c r="AE90" s="2"/>
    </row>
    <row r="91" spans="1:31" ht="12.75" x14ac:dyDescent="0.2">
      <c r="A91" s="53">
        <f ca="1">IFERROR(__xludf.DUMMYFUNCTION("""COMPUTED_VALUE"""),7)</f>
        <v>7</v>
      </c>
      <c r="B91" s="53" t="str">
        <f ca="1">IFERROR(__xludf.DUMMYFUNCTION("""COMPUTED_VALUE"""),"THCS Thoại Ngọc Hầu")</f>
        <v>THCS Thoại Ngọc Hầu</v>
      </c>
      <c r="C91" s="53" t="str">
        <f ca="1">IFERROR(__xludf.DUMMYFUNCTION("""COMPUTED_VALUE"""),"THCS")</f>
        <v>THCS</v>
      </c>
      <c r="D91" s="53" t="str">
        <f ca="1">IFERROR(__xludf.DUMMYFUNCTION("""COMPUTED_VALUE"""),"Tân Phú")</f>
        <v>Tân Phú</v>
      </c>
      <c r="E91" s="54">
        <f ca="1">IFERROR(__xludf.DUMMYFUNCTION("""COMPUTED_VALUE"""),71)</f>
        <v>71</v>
      </c>
      <c r="F91" s="54">
        <f ca="1">IFERROR(__xludf.DUMMYFUNCTION("""COMPUTED_VALUE"""),71)</f>
        <v>71</v>
      </c>
      <c r="G91" s="54"/>
      <c r="H91" s="54">
        <f ca="1">IFERROR(__xludf.DUMMYFUNCTION("""COMPUTED_VALUE"""),71)</f>
        <v>71</v>
      </c>
      <c r="I91" s="54"/>
      <c r="J91" s="54">
        <f ca="1">IFERROR(__xludf.DUMMYFUNCTION("""COMPUTED_VALUE"""),66)</f>
        <v>66</v>
      </c>
      <c r="K91" s="54"/>
      <c r="L91" s="54">
        <f ca="1">IFERROR(__xludf.DUMMYFUNCTION("""COMPUTED_VALUE"""),43)</f>
        <v>43</v>
      </c>
      <c r="M91" s="54"/>
      <c r="N91" s="54">
        <f ca="1">IFERROR(__xludf.DUMMYFUNCTION("""COMPUTED_VALUE"""),85)</f>
        <v>85</v>
      </c>
      <c r="O91" s="54">
        <f ca="1">IFERROR(__xludf.DUMMYFUNCTION("""COMPUTED_VALUE"""),348)</f>
        <v>348</v>
      </c>
      <c r="P91" s="54"/>
      <c r="Q91" s="54">
        <f ca="1">IFERROR(__xludf.DUMMYFUNCTION("""COMPUTED_VALUE"""),233)</f>
        <v>233</v>
      </c>
      <c r="R91" s="54"/>
      <c r="S91" s="54">
        <f ca="1">IFERROR(__xludf.DUMMYFUNCTION("""COMPUTED_VALUE"""),1142)</f>
        <v>1142</v>
      </c>
      <c r="T91" s="54">
        <f ca="1">IFERROR(__xludf.DUMMYFUNCTION("""COMPUTED_VALUE"""),1152)</f>
        <v>1152</v>
      </c>
      <c r="U91" s="54"/>
      <c r="V91" s="54">
        <f ca="1">IFERROR(__xludf.DUMMYFUNCTION("""COMPUTED_VALUE"""),1131)</f>
        <v>1131</v>
      </c>
      <c r="W91" s="54"/>
      <c r="X91" s="54">
        <f ca="1">IFERROR(__xludf.DUMMYFUNCTION("""COMPUTED_VALUE"""),475)</f>
        <v>475</v>
      </c>
      <c r="Y91" s="54"/>
      <c r="Z91" s="2"/>
      <c r="AA91" s="2"/>
      <c r="AB91" s="2"/>
      <c r="AC91" s="2"/>
      <c r="AD91" s="2"/>
      <c r="AE91" s="2"/>
    </row>
    <row r="92" spans="1:31" ht="12.75" x14ac:dyDescent="0.2">
      <c r="A92" s="53">
        <f ca="1">IFERROR(__xludf.DUMMYFUNCTION("""COMPUTED_VALUE"""),8)</f>
        <v>8</v>
      </c>
      <c r="B92" s="53" t="str">
        <f ca="1">IFERROR(__xludf.DUMMYFUNCTION("""COMPUTED_VALUE"""),"THCS Nguyễn Huệ")</f>
        <v>THCS Nguyễn Huệ</v>
      </c>
      <c r="C92" s="53" t="str">
        <f ca="1">IFERROR(__xludf.DUMMYFUNCTION("""COMPUTED_VALUE"""),"THCS")</f>
        <v>THCS</v>
      </c>
      <c r="D92" s="53" t="str">
        <f ca="1">IFERROR(__xludf.DUMMYFUNCTION("""COMPUTED_VALUE"""),"Tân Phú")</f>
        <v>Tân Phú</v>
      </c>
      <c r="E92" s="54">
        <f ca="1">IFERROR(__xludf.DUMMYFUNCTION("""COMPUTED_VALUE"""),75)</f>
        <v>75</v>
      </c>
      <c r="F92" s="54">
        <f ca="1">IFERROR(__xludf.DUMMYFUNCTION("""COMPUTED_VALUE"""),75)</f>
        <v>75</v>
      </c>
      <c r="G92" s="54"/>
      <c r="H92" s="54">
        <f ca="1">IFERROR(__xludf.DUMMYFUNCTION("""COMPUTED_VALUE"""),75)</f>
        <v>75</v>
      </c>
      <c r="I92" s="54"/>
      <c r="J92" s="54">
        <f ca="1">IFERROR(__xludf.DUMMYFUNCTION("""COMPUTED_VALUE"""),75)</f>
        <v>75</v>
      </c>
      <c r="K92" s="54"/>
      <c r="L92" s="54">
        <f ca="1">IFERROR(__xludf.DUMMYFUNCTION("""COMPUTED_VALUE"""),69)</f>
        <v>69</v>
      </c>
      <c r="M92" s="54"/>
      <c r="N92" s="54">
        <f ca="1">IFERROR(__xludf.DUMMYFUNCTION("""COMPUTED_VALUE"""),270)</f>
        <v>270</v>
      </c>
      <c r="O92" s="54">
        <f ca="1">IFERROR(__xludf.DUMMYFUNCTION("""COMPUTED_VALUE"""),310)</f>
        <v>310</v>
      </c>
      <c r="P92" s="54"/>
      <c r="Q92" s="54">
        <f ca="1">IFERROR(__xludf.DUMMYFUNCTION("""COMPUTED_VALUE"""),190)</f>
        <v>190</v>
      </c>
      <c r="R92" s="54"/>
      <c r="S92" s="53">
        <f ca="1">IFERROR(__xludf.DUMMYFUNCTION("""COMPUTED_VALUE"""),982)</f>
        <v>982</v>
      </c>
      <c r="T92" s="53">
        <f ca="1">IFERROR(__xludf.DUMMYFUNCTION("""COMPUTED_VALUE"""),982)</f>
        <v>982</v>
      </c>
      <c r="U92" s="53"/>
      <c r="V92" s="53">
        <f ca="1">IFERROR(__xludf.DUMMYFUNCTION("""COMPUTED_VALUE"""),736)</f>
        <v>736</v>
      </c>
      <c r="W92" s="53"/>
      <c r="X92" s="53">
        <f ca="1">IFERROR(__xludf.DUMMYFUNCTION("""COMPUTED_VALUE"""),363)</f>
        <v>363</v>
      </c>
      <c r="Y92" s="53"/>
      <c r="Z92" s="2"/>
      <c r="AA92" s="2"/>
      <c r="AB92" s="2"/>
      <c r="AC92" s="2"/>
      <c r="AD92" s="2"/>
      <c r="AE92" s="2"/>
    </row>
    <row r="93" spans="1:31" ht="12.75" x14ac:dyDescent="0.2">
      <c r="A93" s="53">
        <f ca="1">IFERROR(__xludf.DUMMYFUNCTION("""COMPUTED_VALUE"""),9)</f>
        <v>9</v>
      </c>
      <c r="B93" s="53" t="str">
        <f ca="1">IFERROR(__xludf.DUMMYFUNCTION("""COMPUTED_VALUE"""),"THCS Phan Bội Châu")</f>
        <v>THCS Phan Bội Châu</v>
      </c>
      <c r="C93" s="53" t="str">
        <f ca="1">IFERROR(__xludf.DUMMYFUNCTION("""COMPUTED_VALUE"""),"THCS")</f>
        <v>THCS</v>
      </c>
      <c r="D93" s="53" t="str">
        <f ca="1">IFERROR(__xludf.DUMMYFUNCTION("""COMPUTED_VALUE"""),"Tân Phú")</f>
        <v>Tân Phú</v>
      </c>
      <c r="E93" s="54">
        <f ca="1">IFERROR(__xludf.DUMMYFUNCTION("""COMPUTED_VALUE"""),112)</f>
        <v>112</v>
      </c>
      <c r="F93" s="54">
        <f ca="1">IFERROR(__xludf.DUMMYFUNCTION("""COMPUTED_VALUE"""),108)</f>
        <v>108</v>
      </c>
      <c r="G93" s="54"/>
      <c r="H93" s="54">
        <f ca="1">IFERROR(__xludf.DUMMYFUNCTION("""COMPUTED_VALUE"""),107)</f>
        <v>107</v>
      </c>
      <c r="I93" s="54"/>
      <c r="J93" s="54">
        <f ca="1">IFERROR(__xludf.DUMMYFUNCTION("""COMPUTED_VALUE"""),99)</f>
        <v>99</v>
      </c>
      <c r="K93" s="54"/>
      <c r="L93" s="54">
        <f ca="1">IFERROR(__xludf.DUMMYFUNCTION("""COMPUTED_VALUE"""),81)</f>
        <v>81</v>
      </c>
      <c r="M93" s="54"/>
      <c r="N93" s="54">
        <f ca="1">IFERROR(__xludf.DUMMYFUNCTION("""COMPUTED_VALUE"""),134)</f>
        <v>134</v>
      </c>
      <c r="O93" s="54">
        <f ca="1">IFERROR(__xludf.DUMMYFUNCTION("""COMPUTED_VALUE"""),172)</f>
        <v>172</v>
      </c>
      <c r="P93" s="54"/>
      <c r="Q93" s="53">
        <f ca="1">IFERROR(__xludf.DUMMYFUNCTION("""COMPUTED_VALUE"""),233)</f>
        <v>233</v>
      </c>
      <c r="R93" s="53"/>
      <c r="S93" s="53">
        <f ca="1">IFERROR(__xludf.DUMMYFUNCTION("""COMPUTED_VALUE"""),2040)</f>
        <v>2040</v>
      </c>
      <c r="T93" s="53">
        <f ca="1">IFERROR(__xludf.DUMMYFUNCTION("""COMPUTED_VALUE"""),2043)</f>
        <v>2043</v>
      </c>
      <c r="U93" s="53"/>
      <c r="V93" s="53">
        <f ca="1">IFERROR(__xludf.DUMMYFUNCTION("""COMPUTED_VALUE"""),1813)</f>
        <v>1813</v>
      </c>
      <c r="W93" s="53"/>
      <c r="X93" s="53">
        <f ca="1">IFERROR(__xludf.DUMMYFUNCTION("""COMPUTED_VALUE"""),662)</f>
        <v>662</v>
      </c>
      <c r="Y93" s="53"/>
      <c r="Z93" s="2"/>
      <c r="AA93" s="2"/>
      <c r="AB93" s="2"/>
      <c r="AC93" s="2"/>
      <c r="AD93" s="2"/>
      <c r="AE93" s="2"/>
    </row>
    <row r="94" spans="1:31" ht="12.75" x14ac:dyDescent="0.2">
      <c r="A94" s="53">
        <f ca="1">IFERROR(__xludf.DUMMYFUNCTION("""COMPUTED_VALUE"""),10)</f>
        <v>10</v>
      </c>
      <c r="B94" s="53" t="str">
        <f ca="1">IFERROR(__xludf.DUMMYFUNCTION("""COMPUTED_VALUE"""),"THCS Tôn Thất Tùng")</f>
        <v>THCS Tôn Thất Tùng</v>
      </c>
      <c r="C94" s="53" t="str">
        <f ca="1">IFERROR(__xludf.DUMMYFUNCTION("""COMPUTED_VALUE"""),"THCS")</f>
        <v>THCS</v>
      </c>
      <c r="D94" s="53" t="str">
        <f ca="1">IFERROR(__xludf.DUMMYFUNCTION("""COMPUTED_VALUE"""),"Tân Phú")</f>
        <v>Tân Phú</v>
      </c>
      <c r="E94" s="54">
        <f ca="1">IFERROR(__xludf.DUMMYFUNCTION("""COMPUTED_VALUE"""),87)</f>
        <v>87</v>
      </c>
      <c r="F94" s="54">
        <f ca="1">IFERROR(__xludf.DUMMYFUNCTION("""COMPUTED_VALUE"""),87)</f>
        <v>87</v>
      </c>
      <c r="G94" s="54"/>
      <c r="H94" s="54">
        <f ca="1">IFERROR(__xludf.DUMMYFUNCTION("""COMPUTED_VALUE"""),87)</f>
        <v>87</v>
      </c>
      <c r="I94" s="54"/>
      <c r="J94" s="54">
        <f ca="1">IFERROR(__xludf.DUMMYFUNCTION("""COMPUTED_VALUE"""),24)</f>
        <v>24</v>
      </c>
      <c r="K94" s="54"/>
      <c r="L94" s="54">
        <f ca="1">IFERROR(__xludf.DUMMYFUNCTION("""COMPUTED_VALUE"""),59)</f>
        <v>59</v>
      </c>
      <c r="M94" s="54"/>
      <c r="N94" s="54">
        <f ca="1">IFERROR(__xludf.DUMMYFUNCTION("""COMPUTED_VALUE"""),147)</f>
        <v>147</v>
      </c>
      <c r="O94" s="54">
        <f ca="1">IFERROR(__xludf.DUMMYFUNCTION("""COMPUTED_VALUE"""),456)</f>
        <v>456</v>
      </c>
      <c r="P94" s="54"/>
      <c r="Q94" s="53">
        <f ca="1">IFERROR(__xludf.DUMMYFUNCTION("""COMPUTED_VALUE"""),166)</f>
        <v>166</v>
      </c>
      <c r="R94" s="53"/>
      <c r="S94" s="53">
        <f ca="1">IFERROR(__xludf.DUMMYFUNCTION("""COMPUTED_VALUE"""),1648)</f>
        <v>1648</v>
      </c>
      <c r="T94" s="53">
        <f ca="1">IFERROR(__xludf.DUMMYFUNCTION("""COMPUTED_VALUE"""),1648)</f>
        <v>1648</v>
      </c>
      <c r="U94" s="53"/>
      <c r="V94" s="53">
        <f ca="1">IFERROR(__xludf.DUMMYFUNCTION("""COMPUTED_VALUE"""),1341)</f>
        <v>1341</v>
      </c>
      <c r="W94" s="53"/>
      <c r="X94" s="53">
        <f ca="1">IFERROR(__xludf.DUMMYFUNCTION("""COMPUTED_VALUE"""),542)</f>
        <v>542</v>
      </c>
      <c r="Y94" s="53"/>
      <c r="Z94" s="2"/>
      <c r="AA94" s="2"/>
      <c r="AB94" s="2"/>
      <c r="AC94" s="2"/>
      <c r="AD94" s="2"/>
      <c r="AE94" s="2"/>
    </row>
    <row r="95" spans="1:31" ht="12.75" x14ac:dyDescent="0.2">
      <c r="A95" s="53">
        <f ca="1">IFERROR(__xludf.DUMMYFUNCTION("""COMPUTED_VALUE"""),11)</f>
        <v>11</v>
      </c>
      <c r="B95" s="53" t="str">
        <f ca="1">IFERROR(__xludf.DUMMYFUNCTION("""COMPUTED_VALUE"""),"THCS Lê Anh Xuân")</f>
        <v>THCS Lê Anh Xuân</v>
      </c>
      <c r="C95" s="53" t="str">
        <f ca="1">IFERROR(__xludf.DUMMYFUNCTION("""COMPUTED_VALUE"""),"THCS")</f>
        <v>THCS</v>
      </c>
      <c r="D95" s="53" t="str">
        <f ca="1">IFERROR(__xludf.DUMMYFUNCTION("""COMPUTED_VALUE"""),"Tân Phú")</f>
        <v>Tân Phú</v>
      </c>
      <c r="E95" s="54">
        <f ca="1">IFERROR(__xludf.DUMMYFUNCTION("""COMPUTED_VALUE"""),117)</f>
        <v>117</v>
      </c>
      <c r="F95" s="54">
        <f ca="1">IFERROR(__xludf.DUMMYFUNCTION("""COMPUTED_VALUE"""),117)</f>
        <v>117</v>
      </c>
      <c r="G95" s="54"/>
      <c r="H95" s="54">
        <f ca="1">IFERROR(__xludf.DUMMYFUNCTION("""COMPUTED_VALUE"""),117)</f>
        <v>117</v>
      </c>
      <c r="I95" s="54"/>
      <c r="J95" s="54">
        <f ca="1">IFERROR(__xludf.DUMMYFUNCTION("""COMPUTED_VALUE"""),116)</f>
        <v>116</v>
      </c>
      <c r="K95" s="54"/>
      <c r="L95" s="54">
        <f ca="1">IFERROR(__xludf.DUMMYFUNCTION("""COMPUTED_VALUE"""),91)</f>
        <v>91</v>
      </c>
      <c r="M95" s="54"/>
      <c r="N95" s="54">
        <f ca="1">IFERROR(__xludf.DUMMYFUNCTION("""COMPUTED_VALUE"""),224)</f>
        <v>224</v>
      </c>
      <c r="O95" s="54">
        <f ca="1">IFERROR(__xludf.DUMMYFUNCTION("""COMPUTED_VALUE"""),265)</f>
        <v>265</v>
      </c>
      <c r="P95" s="54"/>
      <c r="Q95" s="54">
        <f ca="1">IFERROR(__xludf.DUMMYFUNCTION("""COMPUTED_VALUE"""),252)</f>
        <v>252</v>
      </c>
      <c r="R95" s="54"/>
      <c r="S95" s="54">
        <f ca="1">IFERROR(__xludf.DUMMYFUNCTION("""COMPUTED_VALUE"""),1633)</f>
        <v>1633</v>
      </c>
      <c r="T95" s="53">
        <f ca="1">IFERROR(__xludf.DUMMYFUNCTION("""COMPUTED_VALUE"""),1633)</f>
        <v>1633</v>
      </c>
      <c r="U95" s="53"/>
      <c r="V95" s="54">
        <f ca="1">IFERROR(__xludf.DUMMYFUNCTION("""COMPUTED_VALUE"""),2211)</f>
        <v>2211</v>
      </c>
      <c r="W95" s="54"/>
      <c r="X95" s="54">
        <f ca="1">IFERROR(__xludf.DUMMYFUNCTION("""COMPUTED_VALUE"""),838)</f>
        <v>838</v>
      </c>
      <c r="Y95" s="54"/>
      <c r="Z95" s="2"/>
      <c r="AA95" s="2"/>
      <c r="AB95" s="2"/>
      <c r="AC95" s="2"/>
      <c r="AD95" s="2"/>
      <c r="AE95" s="2"/>
    </row>
    <row r="96" spans="1:31" ht="12.75" x14ac:dyDescent="0.2">
      <c r="A96" s="53">
        <f ca="1">IFERROR(__xludf.DUMMYFUNCTION("""COMPUTED_VALUE"""),12)</f>
        <v>12</v>
      </c>
      <c r="B96" s="53" t="str">
        <f ca="1">IFERROR(__xludf.DUMMYFUNCTION("""COMPUTED_VALUE"""),"THCS Võ Thành Trang")</f>
        <v>THCS Võ Thành Trang</v>
      </c>
      <c r="C96" s="53" t="str">
        <f ca="1">IFERROR(__xludf.DUMMYFUNCTION("""COMPUTED_VALUE"""),"THCS")</f>
        <v>THCS</v>
      </c>
      <c r="D96" s="53" t="str">
        <f ca="1">IFERROR(__xludf.DUMMYFUNCTION("""COMPUTED_VALUE"""),"Tân Phú")</f>
        <v>Tân Phú</v>
      </c>
      <c r="E96" s="54">
        <f ca="1">IFERROR(__xludf.DUMMYFUNCTION("""COMPUTED_VALUE"""),111)</f>
        <v>111</v>
      </c>
      <c r="F96" s="54">
        <f ca="1">IFERROR(__xludf.DUMMYFUNCTION("""COMPUTED_VALUE"""),111)</f>
        <v>111</v>
      </c>
      <c r="G96" s="54"/>
      <c r="H96" s="54">
        <f ca="1">IFERROR(__xludf.DUMMYFUNCTION("""COMPUTED_VALUE"""),110)</f>
        <v>110</v>
      </c>
      <c r="I96" s="54"/>
      <c r="J96" s="54">
        <f ca="1">IFERROR(__xludf.DUMMYFUNCTION("""COMPUTED_VALUE"""),101)</f>
        <v>101</v>
      </c>
      <c r="K96" s="54"/>
      <c r="L96" s="54">
        <f ca="1">IFERROR(__xludf.DUMMYFUNCTION("""COMPUTED_VALUE"""),90)</f>
        <v>90</v>
      </c>
      <c r="M96" s="54"/>
      <c r="N96" s="54">
        <f ca="1">IFERROR(__xludf.DUMMYFUNCTION("""COMPUTED_VALUE"""),295)</f>
        <v>295</v>
      </c>
      <c r="O96" s="54">
        <f ca="1">IFERROR(__xludf.DUMMYFUNCTION("""COMPUTED_VALUE"""),566)</f>
        <v>566</v>
      </c>
      <c r="P96" s="54"/>
      <c r="Q96" s="54">
        <f ca="1">IFERROR(__xludf.DUMMYFUNCTION("""COMPUTED_VALUE"""),333)</f>
        <v>333</v>
      </c>
      <c r="R96" s="54"/>
      <c r="S96" s="54">
        <f ca="1">IFERROR(__xludf.DUMMYFUNCTION("""COMPUTED_VALUE"""),2255)</f>
        <v>2255</v>
      </c>
      <c r="T96" s="54">
        <f ca="1">IFERROR(__xludf.DUMMYFUNCTION("""COMPUTED_VALUE"""),2255)</f>
        <v>2255</v>
      </c>
      <c r="U96" s="54"/>
      <c r="V96" s="54">
        <f ca="1">IFERROR(__xludf.DUMMYFUNCTION("""COMPUTED_VALUE"""),2103)</f>
        <v>2103</v>
      </c>
      <c r="W96" s="54"/>
      <c r="X96" s="54">
        <f ca="1">IFERROR(__xludf.DUMMYFUNCTION("""COMPUTED_VALUE"""),628)</f>
        <v>628</v>
      </c>
      <c r="Y96" s="54"/>
      <c r="Z96" s="2"/>
      <c r="AA96" s="2"/>
      <c r="AB96" s="2"/>
      <c r="AC96" s="2"/>
      <c r="AD96" s="2"/>
      <c r="AE96" s="2"/>
    </row>
    <row r="97" spans="1:31" ht="12.75" x14ac:dyDescent="0.2">
      <c r="A97" s="53">
        <f ca="1">IFERROR(__xludf.DUMMYFUNCTION("""COMPUTED_VALUE"""),13)</f>
        <v>13</v>
      </c>
      <c r="B97" s="53" t="str">
        <f ca="1">IFERROR(__xludf.DUMMYFUNCTION("""COMPUTED_VALUE"""),"THCS Nguyễn Trãi")</f>
        <v>THCS Nguyễn Trãi</v>
      </c>
      <c r="C97" s="53" t="str">
        <f ca="1">IFERROR(__xludf.DUMMYFUNCTION("""COMPUTED_VALUE"""),"THCS")</f>
        <v>THCS</v>
      </c>
      <c r="D97" s="53" t="str">
        <f ca="1">IFERROR(__xludf.DUMMYFUNCTION("""COMPUTED_VALUE"""),"Tân Phú")</f>
        <v>Tân Phú</v>
      </c>
      <c r="E97" s="54">
        <f ca="1">IFERROR(__xludf.DUMMYFUNCTION("""COMPUTED_VALUE"""),30)</f>
        <v>30</v>
      </c>
      <c r="F97" s="54">
        <f ca="1">IFERROR(__xludf.DUMMYFUNCTION("""COMPUTED_VALUE"""),30)</f>
        <v>30</v>
      </c>
      <c r="G97" s="54"/>
      <c r="H97" s="54">
        <f ca="1">IFERROR(__xludf.DUMMYFUNCTION("""COMPUTED_VALUE"""),30)</f>
        <v>30</v>
      </c>
      <c r="I97" s="54"/>
      <c r="J97" s="54">
        <f ca="1">IFERROR(__xludf.DUMMYFUNCTION("""COMPUTED_VALUE"""),30)</f>
        <v>30</v>
      </c>
      <c r="K97" s="54"/>
      <c r="L97" s="54">
        <f ca="1">IFERROR(__xludf.DUMMYFUNCTION("""COMPUTED_VALUE"""),23)</f>
        <v>23</v>
      </c>
      <c r="M97" s="54"/>
      <c r="N97" s="54">
        <f ca="1">IFERROR(__xludf.DUMMYFUNCTION("""COMPUTED_VALUE"""),87)</f>
        <v>87</v>
      </c>
      <c r="O97" s="54">
        <f ca="1">IFERROR(__xludf.DUMMYFUNCTION("""COMPUTED_VALUE"""),217)</f>
        <v>217</v>
      </c>
      <c r="P97" s="54"/>
      <c r="Q97" s="54">
        <f ca="1">IFERROR(__xludf.DUMMYFUNCTION("""COMPUTED_VALUE"""),151)</f>
        <v>151</v>
      </c>
      <c r="R97" s="54"/>
      <c r="S97" s="54">
        <f ca="1">IFERROR(__xludf.DUMMYFUNCTION("""COMPUTED_VALUE"""),347)</f>
        <v>347</v>
      </c>
      <c r="T97" s="54">
        <f ca="1">IFERROR(__xludf.DUMMYFUNCTION("""COMPUTED_VALUE"""),347)</f>
        <v>347</v>
      </c>
      <c r="U97" s="54"/>
      <c r="V97" s="54">
        <f ca="1">IFERROR(__xludf.DUMMYFUNCTION("""COMPUTED_VALUE"""),243)</f>
        <v>243</v>
      </c>
      <c r="W97" s="54"/>
      <c r="X97" s="54">
        <f ca="1">IFERROR(__xludf.DUMMYFUNCTION("""COMPUTED_VALUE"""),136)</f>
        <v>136</v>
      </c>
      <c r="Y97" s="54"/>
      <c r="Z97" s="2"/>
      <c r="AA97" s="2"/>
      <c r="AB97" s="2"/>
      <c r="AC97" s="2"/>
      <c r="AD97" s="2"/>
      <c r="AE97" s="2"/>
    </row>
    <row r="98" spans="1:31" ht="12.75" x14ac:dyDescent="0.2">
      <c r="A98" s="53">
        <f ca="1">IFERROR(__xludf.DUMMYFUNCTION("""COMPUTED_VALUE"""),14)</f>
        <v>14</v>
      </c>
      <c r="B98" s="53" t="str">
        <f ca="1">IFERROR(__xludf.DUMMYFUNCTION("""COMPUTED_VALUE"""),"THCS Lê Lợi")</f>
        <v>THCS Lê Lợi</v>
      </c>
      <c r="C98" s="53" t="str">
        <f ca="1">IFERROR(__xludf.DUMMYFUNCTION("""COMPUTED_VALUE"""),"THCS")</f>
        <v>THCS</v>
      </c>
      <c r="D98" s="53" t="str">
        <f ca="1">IFERROR(__xludf.DUMMYFUNCTION("""COMPUTED_VALUE"""),"Tân Phú")</f>
        <v>Tân Phú</v>
      </c>
      <c r="E98" s="54">
        <f ca="1">IFERROR(__xludf.DUMMYFUNCTION("""COMPUTED_VALUE"""),118)</f>
        <v>118</v>
      </c>
      <c r="F98" s="54">
        <f ca="1">IFERROR(__xludf.DUMMYFUNCTION("""COMPUTED_VALUE"""),118)</f>
        <v>118</v>
      </c>
      <c r="G98" s="54"/>
      <c r="H98" s="54">
        <f ca="1">IFERROR(__xludf.DUMMYFUNCTION("""COMPUTED_VALUE"""),118)</f>
        <v>118</v>
      </c>
      <c r="I98" s="54"/>
      <c r="J98" s="54">
        <f ca="1">IFERROR(__xludf.DUMMYFUNCTION("""COMPUTED_VALUE"""),107)</f>
        <v>107</v>
      </c>
      <c r="K98" s="54"/>
      <c r="L98" s="54">
        <f ca="1">IFERROR(__xludf.DUMMYFUNCTION("""COMPUTED_VALUE"""),43)</f>
        <v>43</v>
      </c>
      <c r="M98" s="54"/>
      <c r="N98" s="54">
        <f ca="1">IFERROR(__xludf.DUMMYFUNCTION("""COMPUTED_VALUE"""),265)</f>
        <v>265</v>
      </c>
      <c r="O98" s="54">
        <f ca="1">IFERROR(__xludf.DUMMYFUNCTION("""COMPUTED_VALUE"""),950)</f>
        <v>950</v>
      </c>
      <c r="P98" s="54"/>
      <c r="Q98" s="54">
        <f ca="1">IFERROR(__xludf.DUMMYFUNCTION("""COMPUTED_VALUE"""),430)</f>
        <v>430</v>
      </c>
      <c r="R98" s="54"/>
      <c r="S98" s="54">
        <f ca="1">IFERROR(__xludf.DUMMYFUNCTION("""COMPUTED_VALUE"""),2276)</f>
        <v>2276</v>
      </c>
      <c r="T98" s="53">
        <f ca="1">IFERROR(__xludf.DUMMYFUNCTION("""COMPUTED_VALUE"""),2276)</f>
        <v>2276</v>
      </c>
      <c r="U98" s="53"/>
      <c r="V98" s="54">
        <f ca="1">IFERROR(__xludf.DUMMYFUNCTION("""COMPUTED_VALUE"""),2098)</f>
        <v>2098</v>
      </c>
      <c r="W98" s="54"/>
      <c r="X98" s="54">
        <f ca="1">IFERROR(__xludf.DUMMYFUNCTION("""COMPUTED_VALUE"""),567)</f>
        <v>567</v>
      </c>
      <c r="Y98" s="54"/>
      <c r="Z98" s="2"/>
      <c r="AA98" s="2"/>
      <c r="AB98" s="2"/>
      <c r="AC98" s="2"/>
      <c r="AD98" s="2"/>
      <c r="AE98" s="2"/>
    </row>
    <row r="99" spans="1:31" ht="12.75" x14ac:dyDescent="0.2">
      <c r="A99" s="53" t="str">
        <f ca="1">IFERROR(__xludf.DUMMYFUNCTION("""COMPUTED_VALUE"""),"THPT")</f>
        <v>THPT</v>
      </c>
      <c r="B99" s="53"/>
      <c r="C99" s="53"/>
      <c r="D99" s="53"/>
      <c r="E99" s="53"/>
      <c r="F99" s="53"/>
      <c r="G99" s="53"/>
      <c r="H99" s="53"/>
      <c r="I99" s="53"/>
      <c r="J99" s="53"/>
      <c r="K99" s="53"/>
      <c r="L99" s="53"/>
      <c r="M99" s="53"/>
      <c r="N99" s="53"/>
      <c r="O99" s="53"/>
      <c r="P99" s="53"/>
      <c r="Q99" s="53"/>
      <c r="R99" s="53"/>
      <c r="S99" s="53"/>
      <c r="T99" s="53"/>
      <c r="U99" s="53"/>
      <c r="V99" s="53"/>
      <c r="W99" s="53"/>
      <c r="X99" s="53">
        <f ca="1">IFERROR(__xludf.DUMMYFUNCTION("""COMPUTED_VALUE"""),882)</f>
        <v>882</v>
      </c>
      <c r="Y99" s="53"/>
      <c r="Z99" s="2"/>
      <c r="AA99" s="2"/>
      <c r="AB99" s="2"/>
      <c r="AC99" s="2"/>
      <c r="AD99" s="2"/>
      <c r="AE99" s="2"/>
    </row>
    <row r="100" spans="1:31" ht="12.75" x14ac:dyDescent="0.2">
      <c r="A100" s="53">
        <f ca="1">IFERROR(__xludf.DUMMYFUNCTION("""COMPUTED_VALUE"""),1)</f>
        <v>1</v>
      </c>
      <c r="B100" s="53" t="str">
        <f ca="1">IFERROR(__xludf.DUMMYFUNCTION("""COMPUTED_VALUE"""),"THPT Trần Phú")</f>
        <v>THPT Trần Phú</v>
      </c>
      <c r="C100" s="53" t="str">
        <f ca="1">IFERROR(__xludf.DUMMYFUNCTION("""COMPUTED_VALUE"""),"THPT")</f>
        <v>THPT</v>
      </c>
      <c r="D100" s="53" t="str">
        <f ca="1">IFERROR(__xludf.DUMMYFUNCTION("""COMPUTED_VALUE"""),"Tân Phú")</f>
        <v>Tân Phú</v>
      </c>
      <c r="E100" s="54">
        <f ca="1">IFERROR(__xludf.DUMMYFUNCTION("""COMPUTED_VALUE"""),148)</f>
        <v>148</v>
      </c>
      <c r="F100" s="54">
        <f ca="1">IFERROR(__xludf.DUMMYFUNCTION("""COMPUTED_VALUE"""),148)</f>
        <v>148</v>
      </c>
      <c r="G100" s="54"/>
      <c r="H100" s="54">
        <f ca="1">IFERROR(__xludf.DUMMYFUNCTION("""COMPUTED_VALUE"""),148)</f>
        <v>148</v>
      </c>
      <c r="I100" s="54"/>
      <c r="J100" s="54">
        <f ca="1">IFERROR(__xludf.DUMMYFUNCTION("""COMPUTED_VALUE"""),130)</f>
        <v>130</v>
      </c>
      <c r="K100" s="54"/>
      <c r="L100" s="54">
        <f ca="1">IFERROR(__xludf.DUMMYFUNCTION("""COMPUTED_VALUE"""),49)</f>
        <v>49</v>
      </c>
      <c r="M100" s="54"/>
      <c r="N100" s="54">
        <f ca="1">IFERROR(__xludf.DUMMYFUNCTION("""COMPUTED_VALUE"""),0)</f>
        <v>0</v>
      </c>
      <c r="O100" s="53"/>
      <c r="P100" s="53"/>
      <c r="Q100" s="53"/>
      <c r="R100" s="53"/>
      <c r="S100" s="54">
        <f ca="1">IFERROR(__xludf.DUMMYFUNCTION("""COMPUTED_VALUE"""),2297)</f>
        <v>2297</v>
      </c>
      <c r="T100" s="53">
        <f ca="1">IFERROR(__xludf.DUMMYFUNCTION("""COMPUTED_VALUE"""),2297)</f>
        <v>2297</v>
      </c>
      <c r="U100" s="53"/>
      <c r="V100" s="54">
        <f ca="1">IFERROR(__xludf.DUMMYFUNCTION("""COMPUTED_VALUE"""),2318)</f>
        <v>2318</v>
      </c>
      <c r="W100" s="54"/>
      <c r="X100" s="54">
        <f ca="1">IFERROR(__xludf.DUMMYFUNCTION("""COMPUTED_VALUE"""),587)</f>
        <v>587</v>
      </c>
      <c r="Y100" s="54"/>
      <c r="Z100" s="2"/>
      <c r="AA100" s="2"/>
      <c r="AB100" s="2"/>
      <c r="AC100" s="2"/>
      <c r="AD100" s="2"/>
      <c r="AE100" s="2"/>
    </row>
    <row r="101" spans="1:31" ht="12.75" x14ac:dyDescent="0.2">
      <c r="A101" s="53">
        <f ca="1">IFERROR(__xludf.DUMMYFUNCTION("""COMPUTED_VALUE"""),2)</f>
        <v>2</v>
      </c>
      <c r="B101" s="53" t="str">
        <f ca="1">IFERROR(__xludf.DUMMYFUNCTION("""COMPUTED_VALUE"""),"THPT Tân Bình")</f>
        <v>THPT Tân Bình</v>
      </c>
      <c r="C101" s="53" t="str">
        <f ca="1">IFERROR(__xludf.DUMMYFUNCTION("""COMPUTED_VALUE"""),"THPT")</f>
        <v>THPT</v>
      </c>
      <c r="D101" s="53" t="str">
        <f ca="1">IFERROR(__xludf.DUMMYFUNCTION("""COMPUTED_VALUE"""),"Tân Phú")</f>
        <v>Tân Phú</v>
      </c>
      <c r="E101" s="54">
        <f ca="1">IFERROR(__xludf.DUMMYFUNCTION("""COMPUTED_VALUE"""),126)</f>
        <v>126</v>
      </c>
      <c r="F101" s="54">
        <f ca="1">IFERROR(__xludf.DUMMYFUNCTION("""COMPUTED_VALUE"""),126)</f>
        <v>126</v>
      </c>
      <c r="G101" s="54"/>
      <c r="H101" s="54">
        <f ca="1">IFERROR(__xludf.DUMMYFUNCTION("""COMPUTED_VALUE"""),126)</f>
        <v>126</v>
      </c>
      <c r="I101" s="54"/>
      <c r="J101" s="54">
        <f ca="1">IFERROR(__xludf.DUMMYFUNCTION("""COMPUTED_VALUE"""),124)</f>
        <v>124</v>
      </c>
      <c r="K101" s="54"/>
      <c r="L101" s="54">
        <f ca="1">IFERROR(__xludf.DUMMYFUNCTION("""COMPUTED_VALUE"""),44)</f>
        <v>44</v>
      </c>
      <c r="M101" s="54"/>
      <c r="N101" s="54">
        <f ca="1">IFERROR(__xludf.DUMMYFUNCTION("""COMPUTED_VALUE"""),0)</f>
        <v>0</v>
      </c>
      <c r="O101" s="53"/>
      <c r="P101" s="53"/>
      <c r="Q101" s="53"/>
      <c r="R101" s="53"/>
      <c r="S101" s="54">
        <f ca="1">IFERROR(__xludf.DUMMYFUNCTION("""COMPUTED_VALUE"""),1926)</f>
        <v>1926</v>
      </c>
      <c r="T101" s="53">
        <f ca="1">IFERROR(__xludf.DUMMYFUNCTION("""COMPUTED_VALUE"""),1936)</f>
        <v>1936</v>
      </c>
      <c r="U101" s="53"/>
      <c r="V101" s="54">
        <f ca="1">IFERROR(__xludf.DUMMYFUNCTION("""COMPUTED_VALUE"""),1832)</f>
        <v>1832</v>
      </c>
      <c r="W101" s="54"/>
      <c r="X101" s="54">
        <f ca="1">IFERROR(__xludf.DUMMYFUNCTION("""COMPUTED_VALUE"""),1711)</f>
        <v>1711</v>
      </c>
      <c r="Y101" s="54"/>
      <c r="Z101" s="2"/>
      <c r="AA101" s="2"/>
      <c r="AB101" s="2"/>
      <c r="AC101" s="2"/>
      <c r="AD101" s="2"/>
      <c r="AE101" s="2"/>
    </row>
    <row r="102" spans="1:31" ht="12.75" x14ac:dyDescent="0.2">
      <c r="A102" s="53">
        <f ca="1">IFERROR(__xludf.DUMMYFUNCTION("""COMPUTED_VALUE"""),3)</f>
        <v>3</v>
      </c>
      <c r="B102" s="53" t="str">
        <f ca="1">IFERROR(__xludf.DUMMYFUNCTION("""COMPUTED_VALUE"""),"THPT Tây Thạnh")</f>
        <v>THPT Tây Thạnh</v>
      </c>
      <c r="C102" s="53" t="str">
        <f ca="1">IFERROR(__xludf.DUMMYFUNCTION("""COMPUTED_VALUE"""),"THPT")</f>
        <v>THPT</v>
      </c>
      <c r="D102" s="53" t="str">
        <f ca="1">IFERROR(__xludf.DUMMYFUNCTION("""COMPUTED_VALUE"""),"Tân Phú")</f>
        <v>Tân Phú</v>
      </c>
      <c r="E102" s="54">
        <f ca="1">IFERROR(__xludf.DUMMYFUNCTION("""COMPUTED_VALUE"""),154)</f>
        <v>154</v>
      </c>
      <c r="F102" s="54">
        <f ca="1">IFERROR(__xludf.DUMMYFUNCTION("""COMPUTED_VALUE"""),154)</f>
        <v>154</v>
      </c>
      <c r="G102" s="54"/>
      <c r="H102" s="54">
        <f ca="1">IFERROR(__xludf.DUMMYFUNCTION("""COMPUTED_VALUE"""),154)</f>
        <v>154</v>
      </c>
      <c r="I102" s="54"/>
      <c r="J102" s="54">
        <f ca="1">IFERROR(__xludf.DUMMYFUNCTION("""COMPUTED_VALUE"""),149)</f>
        <v>149</v>
      </c>
      <c r="K102" s="54"/>
      <c r="L102" s="54">
        <f ca="1">IFERROR(__xludf.DUMMYFUNCTION("""COMPUTED_VALUE"""),112)</f>
        <v>112</v>
      </c>
      <c r="M102" s="54"/>
      <c r="N102" s="54">
        <f ca="1">IFERROR(__xludf.DUMMYFUNCTION("""COMPUTED_VALUE"""),0)</f>
        <v>0</v>
      </c>
      <c r="O102" s="53"/>
      <c r="P102" s="53"/>
      <c r="Q102" s="53"/>
      <c r="R102" s="53"/>
      <c r="S102" s="54">
        <f ca="1">IFERROR(__xludf.DUMMYFUNCTION("""COMPUTED_VALUE"""),2606)</f>
        <v>2606</v>
      </c>
      <c r="T102" s="53">
        <f ca="1">IFERROR(__xludf.DUMMYFUNCTION("""COMPUTED_VALUE"""),2606)</f>
        <v>2606</v>
      </c>
      <c r="U102" s="53"/>
      <c r="V102" s="54">
        <f ca="1">IFERROR(__xludf.DUMMYFUNCTION("""COMPUTED_VALUE"""),2661)</f>
        <v>2661</v>
      </c>
      <c r="W102" s="54"/>
      <c r="X102" s="54">
        <f ca="1">IFERROR(__xludf.DUMMYFUNCTION("""COMPUTED_VALUE"""),793)</f>
        <v>793</v>
      </c>
      <c r="Y102" s="54"/>
      <c r="Z102" s="2"/>
      <c r="AA102" s="2"/>
      <c r="AB102" s="2"/>
      <c r="AC102" s="2"/>
      <c r="AD102" s="2"/>
      <c r="AE102" s="2"/>
    </row>
    <row r="103" spans="1:31" ht="12.75" x14ac:dyDescent="0.2">
      <c r="A103" s="53">
        <f ca="1">IFERROR(__xludf.DUMMYFUNCTION("""COMPUTED_VALUE"""),4)</f>
        <v>4</v>
      </c>
      <c r="B103" s="53" t="str">
        <f ca="1">IFERROR(__xludf.DUMMYFUNCTION("""COMPUTED_VALUE"""),"THPT Lê Trọng Tấn")</f>
        <v>THPT Lê Trọng Tấn</v>
      </c>
      <c r="C103" s="53" t="str">
        <f ca="1">IFERROR(__xludf.DUMMYFUNCTION("""COMPUTED_VALUE"""),"THPT")</f>
        <v>THPT</v>
      </c>
      <c r="D103" s="53" t="str">
        <f ca="1">IFERROR(__xludf.DUMMYFUNCTION("""COMPUTED_VALUE"""),"Tân Phú")</f>
        <v>Tân Phú</v>
      </c>
      <c r="E103" s="54">
        <f ca="1">IFERROR(__xludf.DUMMYFUNCTION("""COMPUTED_VALUE"""),121)</f>
        <v>121</v>
      </c>
      <c r="F103" s="54">
        <f ca="1">IFERROR(__xludf.DUMMYFUNCTION("""COMPUTED_VALUE"""),121)</f>
        <v>121</v>
      </c>
      <c r="G103" s="54"/>
      <c r="H103" s="54">
        <f ca="1">IFERROR(__xludf.DUMMYFUNCTION("""COMPUTED_VALUE"""),121)</f>
        <v>121</v>
      </c>
      <c r="I103" s="54"/>
      <c r="J103" s="54">
        <f ca="1">IFERROR(__xludf.DUMMYFUNCTION("""COMPUTED_VALUE"""),95)</f>
        <v>95</v>
      </c>
      <c r="K103" s="54"/>
      <c r="L103" s="54">
        <f ca="1">IFERROR(__xludf.DUMMYFUNCTION("""COMPUTED_VALUE"""),21)</f>
        <v>21</v>
      </c>
      <c r="M103" s="54"/>
      <c r="N103" s="54">
        <f ca="1">IFERROR(__xludf.DUMMYFUNCTION("""COMPUTED_VALUE"""),0)</f>
        <v>0</v>
      </c>
      <c r="O103" s="53"/>
      <c r="P103" s="53"/>
      <c r="Q103" s="53"/>
      <c r="R103" s="53"/>
      <c r="S103" s="53">
        <f ca="1">IFERROR(__xludf.DUMMYFUNCTION("""COMPUTED_VALUE"""),1868)</f>
        <v>1868</v>
      </c>
      <c r="T103" s="53">
        <f ca="1">IFERROR(__xludf.DUMMYFUNCTION("""COMPUTED_VALUE"""),1868)</f>
        <v>1868</v>
      </c>
      <c r="U103" s="53"/>
      <c r="V103" s="53">
        <f ca="1">IFERROR(__xludf.DUMMYFUNCTION("""COMPUTED_VALUE"""),1892)</f>
        <v>1892</v>
      </c>
      <c r="W103" s="53"/>
      <c r="X103" s="53">
        <f ca="1">IFERROR(__xludf.DUMMYFUNCTION("""COMPUTED_VALUE"""),1653)</f>
        <v>1653</v>
      </c>
      <c r="Y103" s="53"/>
      <c r="Z103" s="2"/>
      <c r="AA103" s="2"/>
      <c r="AB103" s="2"/>
      <c r="AC103" s="2"/>
      <c r="AD103" s="2"/>
      <c r="AE103" s="2"/>
    </row>
    <row r="104" spans="1:31" ht="12.75" x14ac:dyDescent="0.2">
      <c r="A104" s="53">
        <f ca="1">IFERROR(__xludf.DUMMYFUNCTION("""COMPUTED_VALUE"""),5)</f>
        <v>5</v>
      </c>
      <c r="B104" s="53" t="str">
        <f ca="1">IFERROR(__xludf.DUMMYFUNCTION("""COMPUTED_VALUE"""),"TT GDNN-GDTX")</f>
        <v>TT GDNN-GDTX</v>
      </c>
      <c r="C104" s="53"/>
      <c r="D104" s="53" t="str">
        <f ca="1">IFERROR(__xludf.DUMMYFUNCTION("""COMPUTED_VALUE"""),"Tân Phú")</f>
        <v>Tân Phú</v>
      </c>
      <c r="E104" s="54">
        <f ca="1">IFERROR(__xludf.DUMMYFUNCTION("""COMPUTED_VALUE"""),56)</f>
        <v>56</v>
      </c>
      <c r="F104" s="54">
        <f ca="1">IFERROR(__xludf.DUMMYFUNCTION("""COMPUTED_VALUE"""),56)</f>
        <v>56</v>
      </c>
      <c r="G104" s="54"/>
      <c r="H104" s="54">
        <f ca="1">IFERROR(__xludf.DUMMYFUNCTION("""COMPUTED_VALUE"""),56)</f>
        <v>56</v>
      </c>
      <c r="I104" s="54"/>
      <c r="J104" s="54">
        <f ca="1">IFERROR(__xludf.DUMMYFUNCTION("""COMPUTED_VALUE"""),54)</f>
        <v>54</v>
      </c>
      <c r="K104" s="54"/>
      <c r="L104" s="54">
        <f ca="1">IFERROR(__xludf.DUMMYFUNCTION("""COMPUTED_VALUE"""),47)</f>
        <v>47</v>
      </c>
      <c r="M104" s="54"/>
      <c r="N104" s="54">
        <f ca="1">IFERROR(__xludf.DUMMYFUNCTION("""COMPUTED_VALUE"""),0)</f>
        <v>0</v>
      </c>
      <c r="O104" s="54">
        <f ca="1">IFERROR(__xludf.DUMMYFUNCTION("""COMPUTED_VALUE"""),13)</f>
        <v>13</v>
      </c>
      <c r="P104" s="54"/>
      <c r="Q104" s="54">
        <f ca="1">IFERROR(__xludf.DUMMYFUNCTION("""COMPUTED_VALUE"""),6)</f>
        <v>6</v>
      </c>
      <c r="R104" s="54"/>
      <c r="S104" s="54">
        <f ca="1">IFERROR(__xludf.DUMMYFUNCTION("""COMPUTED_VALUE"""),1845)</f>
        <v>1845</v>
      </c>
      <c r="T104" s="53">
        <f ca="1">IFERROR(__xludf.DUMMYFUNCTION("""COMPUTED_VALUE"""),1855)</f>
        <v>1855</v>
      </c>
      <c r="U104" s="53"/>
      <c r="V104" s="54">
        <f ca="1">IFERROR(__xludf.DUMMYFUNCTION("""COMPUTED_VALUE"""),1910)</f>
        <v>1910</v>
      </c>
      <c r="W104" s="54"/>
      <c r="X104" s="54">
        <f ca="1">IFERROR(__xludf.DUMMYFUNCTION("""COMPUTED_VALUE"""),386)</f>
        <v>386</v>
      </c>
      <c r="Y104" s="54"/>
      <c r="Z104" s="2"/>
      <c r="AA104" s="2"/>
      <c r="AB104" s="2"/>
      <c r="AC104" s="2"/>
      <c r="AD104" s="2"/>
      <c r="AE104" s="2"/>
    </row>
    <row r="105" spans="1:31" ht="12.75" x14ac:dyDescent="0.2">
      <c r="A105" s="53">
        <f ca="1">IFERROR(__xludf.DUMMYFUNCTION("""COMPUTED_VALUE"""),6)</f>
        <v>6</v>
      </c>
      <c r="B105" s="53" t="str">
        <f ca="1">IFERROR(__xludf.DUMMYFUNCTION("""COMPUTED_VALUE"""),"THCS-THPT Hồng Đức")</f>
        <v>THCS-THPT Hồng Đức</v>
      </c>
      <c r="C105" s="53"/>
      <c r="D105" s="53" t="str">
        <f ca="1">IFERROR(__xludf.DUMMYFUNCTION("""COMPUTED_VALUE"""),"Tân Phú")</f>
        <v>Tân Phú</v>
      </c>
      <c r="E105" s="54">
        <f ca="1">IFERROR(__xludf.DUMMYFUNCTION("""COMPUTED_VALUE"""),78)</f>
        <v>78</v>
      </c>
      <c r="F105" s="54">
        <f ca="1">IFERROR(__xludf.DUMMYFUNCTION("""COMPUTED_VALUE"""),78)</f>
        <v>78</v>
      </c>
      <c r="G105" s="54"/>
      <c r="H105" s="54">
        <f ca="1">IFERROR(__xludf.DUMMYFUNCTION("""COMPUTED_VALUE"""),78)</f>
        <v>78</v>
      </c>
      <c r="I105" s="54"/>
      <c r="J105" s="54">
        <f ca="1">IFERROR(__xludf.DUMMYFUNCTION("""COMPUTED_VALUE"""),78)</f>
        <v>78</v>
      </c>
      <c r="K105" s="54"/>
      <c r="L105" s="54">
        <f ca="1">IFERROR(__xludf.DUMMYFUNCTION("""COMPUTED_VALUE"""),45)</f>
        <v>45</v>
      </c>
      <c r="M105" s="54"/>
      <c r="N105" s="54">
        <f ca="1">IFERROR(__xludf.DUMMYFUNCTION("""COMPUTED_VALUE"""),25)</f>
        <v>25</v>
      </c>
      <c r="O105" s="54">
        <f ca="1">IFERROR(__xludf.DUMMYFUNCTION("""COMPUTED_VALUE"""),1)</f>
        <v>1</v>
      </c>
      <c r="P105" s="54"/>
      <c r="Q105" s="54">
        <f ca="1">IFERROR(__xludf.DUMMYFUNCTION("""COMPUTED_VALUE"""),10)</f>
        <v>10</v>
      </c>
      <c r="R105" s="54"/>
      <c r="S105" s="53">
        <f ca="1">IFERROR(__xludf.DUMMYFUNCTION("""COMPUTED_VALUE"""),807)</f>
        <v>807</v>
      </c>
      <c r="T105" s="53">
        <f ca="1">IFERROR(__xludf.DUMMYFUNCTION("""COMPUTED_VALUE"""),807)</f>
        <v>807</v>
      </c>
      <c r="U105" s="53"/>
      <c r="V105" s="53">
        <f ca="1">IFERROR(__xludf.DUMMYFUNCTION("""COMPUTED_VALUE"""),822)</f>
        <v>822</v>
      </c>
      <c r="W105" s="53"/>
      <c r="X105" s="53">
        <f ca="1">IFERROR(__xludf.DUMMYFUNCTION("""COMPUTED_VALUE"""),105)</f>
        <v>105</v>
      </c>
      <c r="Y105" s="53"/>
      <c r="Z105" s="2"/>
      <c r="AA105" s="2"/>
      <c r="AB105" s="2"/>
      <c r="AC105" s="2"/>
      <c r="AD105" s="2"/>
      <c r="AE105" s="2"/>
    </row>
    <row r="106" spans="1:31" ht="12.75" x14ac:dyDescent="0.2">
      <c r="A106" s="53">
        <f ca="1">IFERROR(__xludf.DUMMYFUNCTION("""COMPUTED_VALUE"""),7)</f>
        <v>7</v>
      </c>
      <c r="B106" s="53" t="str">
        <f ca="1">IFERROR(__xludf.DUMMYFUNCTION("""COMPUTED_VALUE"""),"THCS-THPT Nam Việt")</f>
        <v>THCS-THPT Nam Việt</v>
      </c>
      <c r="C106" s="53"/>
      <c r="D106" s="53" t="str">
        <f ca="1">IFERROR(__xludf.DUMMYFUNCTION("""COMPUTED_VALUE"""),"Tân Phú")</f>
        <v>Tân Phú</v>
      </c>
      <c r="E106" s="54">
        <f ca="1">IFERROR(__xludf.DUMMYFUNCTION("""COMPUTED_VALUE"""),34)</f>
        <v>34</v>
      </c>
      <c r="F106" s="54">
        <f ca="1">IFERROR(__xludf.DUMMYFUNCTION("""COMPUTED_VALUE"""),34)</f>
        <v>34</v>
      </c>
      <c r="G106" s="54"/>
      <c r="H106" s="54">
        <f ca="1">IFERROR(__xludf.DUMMYFUNCTION("""COMPUTED_VALUE"""),34)</f>
        <v>34</v>
      </c>
      <c r="I106" s="54"/>
      <c r="J106" s="54">
        <f ca="1">IFERROR(__xludf.DUMMYFUNCTION("""COMPUTED_VALUE"""),34)</f>
        <v>34</v>
      </c>
      <c r="K106" s="54"/>
      <c r="L106" s="54">
        <f ca="1">IFERROR(__xludf.DUMMYFUNCTION("""COMPUTED_VALUE"""),12)</f>
        <v>12</v>
      </c>
      <c r="M106" s="54"/>
      <c r="N106" s="54">
        <f ca="1">IFERROR(__xludf.DUMMYFUNCTION("""COMPUTED_VALUE"""),7)</f>
        <v>7</v>
      </c>
      <c r="O106" s="53"/>
      <c r="P106" s="53"/>
      <c r="Q106" s="53"/>
      <c r="R106" s="53"/>
      <c r="S106" s="54">
        <f ca="1">IFERROR(__xludf.DUMMYFUNCTION("""COMPUTED_VALUE"""),331)</f>
        <v>331</v>
      </c>
      <c r="T106" s="53">
        <f ca="1">IFERROR(__xludf.DUMMYFUNCTION("""COMPUTED_VALUE"""),331)</f>
        <v>331</v>
      </c>
      <c r="U106" s="53"/>
      <c r="V106" s="54">
        <f ca="1">IFERROR(__xludf.DUMMYFUNCTION("""COMPUTED_VALUE"""),315)</f>
        <v>315</v>
      </c>
      <c r="W106" s="54"/>
      <c r="X106" s="54">
        <f ca="1">IFERROR(__xludf.DUMMYFUNCTION("""COMPUTED_VALUE"""),412)</f>
        <v>412</v>
      </c>
      <c r="Y106" s="54"/>
      <c r="Z106" s="2"/>
      <c r="AA106" s="2"/>
      <c r="AB106" s="2"/>
      <c r="AC106" s="2"/>
      <c r="AD106" s="2"/>
      <c r="AE106" s="2"/>
    </row>
    <row r="107" spans="1:31" ht="12.75" x14ac:dyDescent="0.2">
      <c r="A107" s="53">
        <f ca="1">IFERROR(__xludf.DUMMYFUNCTION("""COMPUTED_VALUE"""),8)</f>
        <v>8</v>
      </c>
      <c r="B107" s="53" t="str">
        <f ca="1">IFERROR(__xludf.DUMMYFUNCTION("""COMPUTED_VALUE"""),"THPT Minh Đức")</f>
        <v>THPT Minh Đức</v>
      </c>
      <c r="C107" s="53"/>
      <c r="D107" s="53" t="str">
        <f ca="1">IFERROR(__xludf.DUMMYFUNCTION("""COMPUTED_VALUE"""),"Tân Phú")</f>
        <v>Tân Phú</v>
      </c>
      <c r="E107" s="54">
        <f ca="1">IFERROR(__xludf.DUMMYFUNCTION("""COMPUTED_VALUE"""),48)</f>
        <v>48</v>
      </c>
      <c r="F107" s="54">
        <f ca="1">IFERROR(__xludf.DUMMYFUNCTION("""COMPUTED_VALUE"""),48)</f>
        <v>48</v>
      </c>
      <c r="G107" s="54"/>
      <c r="H107" s="54">
        <f ca="1">IFERROR(__xludf.DUMMYFUNCTION("""COMPUTED_VALUE"""),48)</f>
        <v>48</v>
      </c>
      <c r="I107" s="54"/>
      <c r="J107" s="54">
        <f ca="1">IFERROR(__xludf.DUMMYFUNCTION("""COMPUTED_VALUE"""),48)</f>
        <v>48</v>
      </c>
      <c r="K107" s="54"/>
      <c r="L107" s="54">
        <f ca="1">IFERROR(__xludf.DUMMYFUNCTION("""COMPUTED_VALUE"""),29)</f>
        <v>29</v>
      </c>
      <c r="M107" s="54"/>
      <c r="N107" s="54">
        <f ca="1">IFERROR(__xludf.DUMMYFUNCTION("""COMPUTED_VALUE"""),0)</f>
        <v>0</v>
      </c>
      <c r="O107" s="54">
        <f ca="1">IFERROR(__xludf.DUMMYFUNCTION("""COMPUTED_VALUE"""),11)</f>
        <v>11</v>
      </c>
      <c r="P107" s="54"/>
      <c r="Q107" s="54">
        <f ca="1">IFERROR(__xludf.DUMMYFUNCTION("""COMPUTED_VALUE"""),8)</f>
        <v>8</v>
      </c>
      <c r="R107" s="54"/>
      <c r="S107" s="54">
        <f ca="1">IFERROR(__xludf.DUMMYFUNCTION("""COMPUTED_VALUE"""),605)</f>
        <v>605</v>
      </c>
      <c r="T107" s="53">
        <f ca="1">IFERROR(__xludf.DUMMYFUNCTION("""COMPUTED_VALUE"""),605)</f>
        <v>605</v>
      </c>
      <c r="U107" s="53"/>
      <c r="V107" s="54">
        <f ca="1">IFERROR(__xludf.DUMMYFUNCTION("""COMPUTED_VALUE"""),620)</f>
        <v>620</v>
      </c>
      <c r="W107" s="54"/>
      <c r="X107" s="54">
        <f ca="1">IFERROR(__xludf.DUMMYFUNCTION("""COMPUTED_VALUE"""),486)</f>
        <v>486</v>
      </c>
      <c r="Y107" s="54"/>
      <c r="Z107" s="2"/>
      <c r="AA107" s="2"/>
      <c r="AB107" s="2"/>
      <c r="AC107" s="2"/>
      <c r="AD107" s="2"/>
      <c r="AE107" s="2"/>
    </row>
    <row r="108" spans="1:31" ht="12.75" x14ac:dyDescent="0.2">
      <c r="A108" s="53">
        <f ca="1">IFERROR(__xludf.DUMMYFUNCTION("""COMPUTED_VALUE"""),9)</f>
        <v>9</v>
      </c>
      <c r="B108" s="53" t="str">
        <f ca="1">IFERROR(__xludf.DUMMYFUNCTION("""COMPUTED_VALUE"""),"THCS-THPT Trần Cao Vân")</f>
        <v>THCS-THPT Trần Cao Vân</v>
      </c>
      <c r="C108" s="53"/>
      <c r="D108" s="53" t="str">
        <f ca="1">IFERROR(__xludf.DUMMYFUNCTION("""COMPUTED_VALUE"""),"Tân Phú")</f>
        <v>Tân Phú</v>
      </c>
      <c r="E108" s="54">
        <f ca="1">IFERROR(__xludf.DUMMYFUNCTION("""COMPUTED_VALUE"""),110)</f>
        <v>110</v>
      </c>
      <c r="F108" s="54">
        <f ca="1">IFERROR(__xludf.DUMMYFUNCTION("""COMPUTED_VALUE"""),110)</f>
        <v>110</v>
      </c>
      <c r="G108" s="54"/>
      <c r="H108" s="54">
        <f ca="1">IFERROR(__xludf.DUMMYFUNCTION("""COMPUTED_VALUE"""),108)</f>
        <v>108</v>
      </c>
      <c r="I108" s="54"/>
      <c r="J108" s="54">
        <f ca="1">IFERROR(__xludf.DUMMYFUNCTION("""COMPUTED_VALUE"""),108)</f>
        <v>108</v>
      </c>
      <c r="K108" s="54"/>
      <c r="L108" s="54">
        <f ca="1">IFERROR(__xludf.DUMMYFUNCTION("""COMPUTED_VALUE"""),31)</f>
        <v>31</v>
      </c>
      <c r="M108" s="54"/>
      <c r="N108" s="54">
        <f ca="1">IFERROR(__xludf.DUMMYFUNCTION("""COMPUTED_VALUE"""),44)</f>
        <v>44</v>
      </c>
      <c r="O108" s="54">
        <f ca="1">IFERROR(__xludf.DUMMYFUNCTION("""COMPUTED_VALUE"""),0)</f>
        <v>0</v>
      </c>
      <c r="P108" s="54"/>
      <c r="Q108" s="54">
        <f ca="1">IFERROR(__xludf.DUMMYFUNCTION("""COMPUTED_VALUE"""),0)</f>
        <v>0</v>
      </c>
      <c r="R108" s="54"/>
      <c r="S108" s="54">
        <f ca="1">IFERROR(__xludf.DUMMYFUNCTION("""COMPUTED_VALUE"""),278)</f>
        <v>278</v>
      </c>
      <c r="T108" s="53">
        <f ca="1">IFERROR(__xludf.DUMMYFUNCTION("""COMPUTED_VALUE"""),278)</f>
        <v>278</v>
      </c>
      <c r="U108" s="53"/>
      <c r="V108" s="54">
        <f ca="1">IFERROR(__xludf.DUMMYFUNCTION("""COMPUTED_VALUE"""),293)</f>
        <v>293</v>
      </c>
      <c r="W108" s="54"/>
      <c r="X108" s="54">
        <f ca="1">IFERROR(__xludf.DUMMYFUNCTION("""COMPUTED_VALUE"""),160)</f>
        <v>160</v>
      </c>
      <c r="Y108" s="54"/>
      <c r="Z108" s="2"/>
      <c r="AA108" s="2"/>
      <c r="AB108" s="2"/>
      <c r="AC108" s="2"/>
      <c r="AD108" s="2"/>
      <c r="AE108" s="2"/>
    </row>
    <row r="109" spans="1:31" ht="12.75" x14ac:dyDescent="0.2">
      <c r="A109" s="53">
        <f ca="1">IFERROR(__xludf.DUMMYFUNCTION("""COMPUTED_VALUE"""),10)</f>
        <v>10</v>
      </c>
      <c r="B109" s="53" t="str">
        <f ca="1">IFERROR(__xludf.DUMMYFUNCTION("""COMPUTED_VALUE"""),"THPT An Dương Vương")</f>
        <v>THPT An Dương Vương</v>
      </c>
      <c r="C109" s="53"/>
      <c r="D109" s="53" t="str">
        <f ca="1">IFERROR(__xludf.DUMMYFUNCTION("""COMPUTED_VALUE"""),"Tân Phú")</f>
        <v>Tân Phú</v>
      </c>
      <c r="E109" s="54">
        <f ca="1">IFERROR(__xludf.DUMMYFUNCTION("""COMPUTED_VALUE"""),47)</f>
        <v>47</v>
      </c>
      <c r="F109" s="54">
        <f ca="1">IFERROR(__xludf.DUMMYFUNCTION("""COMPUTED_VALUE"""),47)</f>
        <v>47</v>
      </c>
      <c r="G109" s="54"/>
      <c r="H109" s="54">
        <f ca="1">IFERROR(__xludf.DUMMYFUNCTION("""COMPUTED_VALUE"""),47)</f>
        <v>47</v>
      </c>
      <c r="I109" s="54"/>
      <c r="J109" s="54">
        <f ca="1">IFERROR(__xludf.DUMMYFUNCTION("""COMPUTED_VALUE"""),47)</f>
        <v>47</v>
      </c>
      <c r="K109" s="54"/>
      <c r="L109" s="54">
        <f ca="1">IFERROR(__xludf.DUMMYFUNCTION("""COMPUTED_VALUE"""),15)</f>
        <v>15</v>
      </c>
      <c r="M109" s="54"/>
      <c r="N109" s="54">
        <f ca="1">IFERROR(__xludf.DUMMYFUNCTION("""COMPUTED_VALUE"""),0)</f>
        <v>0</v>
      </c>
      <c r="O109" s="53"/>
      <c r="P109" s="53"/>
      <c r="Q109" s="53"/>
      <c r="R109" s="53"/>
      <c r="S109" s="54">
        <f ca="1">IFERROR(__xludf.DUMMYFUNCTION("""COMPUTED_VALUE"""),278)</f>
        <v>278</v>
      </c>
      <c r="T109" s="53">
        <f ca="1">IFERROR(__xludf.DUMMYFUNCTION("""COMPUTED_VALUE"""),284)</f>
        <v>284</v>
      </c>
      <c r="U109" s="53"/>
      <c r="V109" s="54">
        <f ca="1">IFERROR(__xludf.DUMMYFUNCTION("""COMPUTED_VALUE"""),299)</f>
        <v>299</v>
      </c>
      <c r="W109" s="54"/>
      <c r="X109" s="54">
        <f ca="1">IFERROR(__xludf.DUMMYFUNCTION("""COMPUTED_VALUE"""),160)</f>
        <v>160</v>
      </c>
      <c r="Y109" s="54"/>
      <c r="Z109" s="2"/>
      <c r="AA109" s="2"/>
      <c r="AB109" s="2"/>
      <c r="AC109" s="2"/>
      <c r="AD109" s="2"/>
      <c r="AE109" s="2"/>
    </row>
    <row r="110" spans="1:31" ht="12.75" x14ac:dyDescent="0.2">
      <c r="A110" s="53">
        <f ca="1">IFERROR(__xludf.DUMMYFUNCTION("""COMPUTED_VALUE"""),11)</f>
        <v>11</v>
      </c>
      <c r="B110" s="53" t="str">
        <f ca="1">IFERROR(__xludf.DUMMYFUNCTION("""COMPUTED_VALUE"""),"TH-THCS Hồng Ngọc")</f>
        <v>TH-THCS Hồng Ngọc</v>
      </c>
      <c r="C110" s="53"/>
      <c r="D110" s="53" t="str">
        <f ca="1">IFERROR(__xludf.DUMMYFUNCTION("""COMPUTED_VALUE"""),"Tân Phú")</f>
        <v>Tân Phú</v>
      </c>
      <c r="E110" s="54">
        <f ca="1">IFERROR(__xludf.DUMMYFUNCTION("""COMPUTED_VALUE"""),102)</f>
        <v>102</v>
      </c>
      <c r="F110" s="54">
        <f ca="1">IFERROR(__xludf.DUMMYFUNCTION("""COMPUTED_VALUE"""),102)</f>
        <v>102</v>
      </c>
      <c r="G110" s="54"/>
      <c r="H110" s="54">
        <f ca="1">IFERROR(__xludf.DUMMYFUNCTION("""COMPUTED_VALUE"""),102)</f>
        <v>102</v>
      </c>
      <c r="I110" s="54"/>
      <c r="J110" s="54">
        <f ca="1">IFERROR(__xludf.DUMMYFUNCTION("""COMPUTED_VALUE"""),80)</f>
        <v>80</v>
      </c>
      <c r="K110" s="54"/>
      <c r="L110" s="54">
        <f ca="1">IFERROR(__xludf.DUMMYFUNCTION("""COMPUTED_VALUE"""),61)</f>
        <v>61</v>
      </c>
      <c r="M110" s="54"/>
      <c r="N110" s="54">
        <f ca="1">IFERROR(__xludf.DUMMYFUNCTION("""COMPUTED_VALUE"""),650)</f>
        <v>650</v>
      </c>
      <c r="O110" s="54">
        <f ca="1">IFERROR(__xludf.DUMMYFUNCTION("""COMPUTED_VALUE"""),50)</f>
        <v>50</v>
      </c>
      <c r="P110" s="54"/>
      <c r="Q110" s="54">
        <f ca="1">IFERROR(__xludf.DUMMYFUNCTION("""COMPUTED_VALUE"""),50)</f>
        <v>50</v>
      </c>
      <c r="R110" s="54"/>
      <c r="S110" s="54">
        <f ca="1">IFERROR(__xludf.DUMMYFUNCTION("""COMPUTED_VALUE"""),214)</f>
        <v>214</v>
      </c>
      <c r="T110" s="53">
        <f ca="1">IFERROR(__xludf.DUMMYFUNCTION("""COMPUTED_VALUE"""),214)</f>
        <v>214</v>
      </c>
      <c r="U110" s="53"/>
      <c r="V110" s="54">
        <f ca="1">IFERROR(__xludf.DUMMYFUNCTION("""COMPUTED_VALUE"""),200)</f>
        <v>200</v>
      </c>
      <c r="W110" s="54"/>
      <c r="X110" s="53"/>
      <c r="Y110" s="53"/>
      <c r="Z110" s="2"/>
      <c r="AA110" s="2"/>
      <c r="AB110" s="2"/>
      <c r="AC110" s="2"/>
      <c r="AD110" s="2"/>
      <c r="AE110" s="2"/>
    </row>
    <row r="111" spans="1:31" ht="12.75" x14ac:dyDescent="0.2">
      <c r="A111" s="53">
        <f ca="1">IFERROR(__xludf.DUMMYFUNCTION("""COMPUTED_VALUE"""),25)</f>
        <v>25</v>
      </c>
      <c r="B111" s="53" t="str">
        <f ca="1">IFERROR(__xludf.DUMMYFUNCTION("""COMPUTED_VALUE"""),"THPT Tre Việt")</f>
        <v>THPT Tre Việt</v>
      </c>
      <c r="C111" s="53"/>
      <c r="D111" s="53" t="str">
        <f ca="1">IFERROR(__xludf.DUMMYFUNCTION("""COMPUTED_VALUE"""),"Tân Phú")</f>
        <v>Tân Phú</v>
      </c>
      <c r="E111" s="54">
        <f ca="1">IFERROR(__xludf.DUMMYFUNCTION("""COMPUTED_VALUE"""),53)</f>
        <v>53</v>
      </c>
      <c r="F111" s="54">
        <f ca="1">IFERROR(__xludf.DUMMYFUNCTION("""COMPUTED_VALUE"""),53)</f>
        <v>53</v>
      </c>
      <c r="G111" s="54"/>
      <c r="H111" s="54">
        <f ca="1">IFERROR(__xludf.DUMMYFUNCTION("""COMPUTED_VALUE"""),53)</f>
        <v>53</v>
      </c>
      <c r="I111" s="54"/>
      <c r="J111" s="54">
        <f ca="1">IFERROR(__xludf.DUMMYFUNCTION("""COMPUTED_VALUE"""),53)</f>
        <v>53</v>
      </c>
      <c r="K111" s="54"/>
      <c r="L111" s="54">
        <f ca="1">IFERROR(__xludf.DUMMYFUNCTION("""COMPUTED_VALUE"""),0)</f>
        <v>0</v>
      </c>
      <c r="M111" s="54"/>
      <c r="N111" s="54">
        <f ca="1">IFERROR(__xludf.DUMMYFUNCTION("""COMPUTED_VALUE"""),139)</f>
        <v>139</v>
      </c>
      <c r="O111" s="54">
        <f ca="1">IFERROR(__xludf.DUMMYFUNCTION("""COMPUTED_VALUE"""),55)</f>
        <v>55</v>
      </c>
      <c r="P111" s="54"/>
      <c r="Q111" s="54">
        <f ca="1">IFERROR(__xludf.DUMMYFUNCTION("""COMPUTED_VALUE"""),24)</f>
        <v>24</v>
      </c>
      <c r="R111" s="54"/>
      <c r="S111" s="54">
        <f ca="1">IFERROR(__xludf.DUMMYFUNCTION("""COMPUTED_VALUE"""),278)</f>
        <v>278</v>
      </c>
      <c r="T111" s="54">
        <f ca="1">IFERROR(__xludf.DUMMYFUNCTION("""COMPUTED_VALUE"""),278)</f>
        <v>278</v>
      </c>
      <c r="U111" s="54"/>
      <c r="V111" s="54">
        <f ca="1">IFERROR(__xludf.DUMMYFUNCTION("""COMPUTED_VALUE"""),293)</f>
        <v>293</v>
      </c>
      <c r="W111" s="54"/>
      <c r="X111" s="54">
        <f ca="1">IFERROR(__xludf.DUMMYFUNCTION("""COMPUTED_VALUE"""),25)</f>
        <v>25</v>
      </c>
      <c r="Y111" s="54"/>
      <c r="Z111" s="2"/>
      <c r="AA111" s="2"/>
      <c r="AB111" s="2"/>
      <c r="AC111" s="2"/>
      <c r="AD111" s="2"/>
      <c r="AE111" s="2"/>
    </row>
    <row r="112" spans="1:31" ht="12.75" x14ac:dyDescent="0.2">
      <c r="A112" s="53">
        <f ca="1">IFERROR(__xludf.DUMMYFUNCTION("""COMPUTED_VALUE"""),800)</f>
        <v>800</v>
      </c>
      <c r="B112" s="53" t="str">
        <f ca="1">IFERROR(__xludf.DUMMYFUNCTION("""COMPUTED_VALUE"""),"TH-THCS-THPT Tân Phú")</f>
        <v>TH-THCS-THPT Tân Phú</v>
      </c>
      <c r="C112" s="53"/>
      <c r="D112" s="53" t="str">
        <f ca="1">IFERROR(__xludf.DUMMYFUNCTION("""COMPUTED_VALUE"""),"Tân Phú")</f>
        <v>Tân Phú</v>
      </c>
      <c r="E112" s="54">
        <f ca="1">IFERROR(__xludf.DUMMYFUNCTION("""COMPUTED_VALUE"""),116)</f>
        <v>116</v>
      </c>
      <c r="F112" s="54">
        <f ca="1">IFERROR(__xludf.DUMMYFUNCTION("""COMPUTED_VALUE"""),116)</f>
        <v>116</v>
      </c>
      <c r="G112" s="54"/>
      <c r="H112" s="54">
        <f ca="1">IFERROR(__xludf.DUMMYFUNCTION("""COMPUTED_VALUE"""),116)</f>
        <v>116</v>
      </c>
      <c r="I112" s="54"/>
      <c r="J112" s="54">
        <f ca="1">IFERROR(__xludf.DUMMYFUNCTION("""COMPUTED_VALUE"""),111)</f>
        <v>111</v>
      </c>
      <c r="K112" s="54"/>
      <c r="L112" s="54">
        <f ca="1">IFERROR(__xludf.DUMMYFUNCTION("""COMPUTED_VALUE"""),86)</f>
        <v>86</v>
      </c>
      <c r="M112" s="54"/>
      <c r="N112" s="54">
        <f ca="1">IFERROR(__xludf.DUMMYFUNCTION("""COMPUTED_VALUE"""),94)</f>
        <v>94</v>
      </c>
      <c r="O112" s="54">
        <f ca="1">IFERROR(__xludf.DUMMYFUNCTION("""COMPUTED_VALUE"""),94)</f>
        <v>94</v>
      </c>
      <c r="P112" s="54"/>
      <c r="Q112" s="54">
        <f ca="1">IFERROR(__xludf.DUMMYFUNCTION("""COMPUTED_VALUE"""),59)</f>
        <v>59</v>
      </c>
      <c r="R112" s="54"/>
      <c r="S112" s="53">
        <f ca="1">IFERROR(__xludf.DUMMYFUNCTION("""COMPUTED_VALUE"""),799)</f>
        <v>799</v>
      </c>
      <c r="T112" s="53">
        <f ca="1">IFERROR(__xludf.DUMMYFUNCTION("""COMPUTED_VALUE"""),799)</f>
        <v>799</v>
      </c>
      <c r="U112" s="53"/>
      <c r="V112" s="53">
        <f ca="1">IFERROR(__xludf.DUMMYFUNCTION("""COMPUTED_VALUE"""),814)</f>
        <v>814</v>
      </c>
      <c r="W112" s="53"/>
      <c r="X112" s="53">
        <f ca="1">IFERROR(__xludf.DUMMYFUNCTION("""COMPUTED_VALUE"""),800)</f>
        <v>800</v>
      </c>
      <c r="Y112" s="53"/>
      <c r="Z112" s="2"/>
      <c r="AA112" s="2"/>
      <c r="AB112" s="2"/>
      <c r="AC112" s="2"/>
      <c r="AD112" s="2"/>
      <c r="AE112" s="2"/>
    </row>
    <row r="113" spans="1:31" ht="12.75" x14ac:dyDescent="0.2">
      <c r="A113" s="53">
        <f ca="1">IFERROR(__xludf.DUMMYFUNCTION("""COMPUTED_VALUE"""),35)</f>
        <v>35</v>
      </c>
      <c r="B113" s="53" t="str">
        <f ca="1">IFERROR(__xludf.DUMMYFUNCTION("""COMPUTED_VALUE"""),"TH-THCS-THPT Hòa Bình")</f>
        <v>TH-THCS-THPT Hòa Bình</v>
      </c>
      <c r="C113" s="53"/>
      <c r="D113" s="53" t="str">
        <f ca="1">IFERROR(__xludf.DUMMYFUNCTION("""COMPUTED_VALUE"""),"Tân Phú")</f>
        <v>Tân Phú</v>
      </c>
      <c r="E113" s="54">
        <f ca="1">IFERROR(__xludf.DUMMYFUNCTION("""COMPUTED_VALUE"""),55)</f>
        <v>55</v>
      </c>
      <c r="F113" s="54">
        <f ca="1">IFERROR(__xludf.DUMMYFUNCTION("""COMPUTED_VALUE"""),55)</f>
        <v>55</v>
      </c>
      <c r="G113" s="54"/>
      <c r="H113" s="54">
        <f ca="1">IFERROR(__xludf.DUMMYFUNCTION("""COMPUTED_VALUE"""),53)</f>
        <v>53</v>
      </c>
      <c r="I113" s="54"/>
      <c r="J113" s="54">
        <f ca="1">IFERROR(__xludf.DUMMYFUNCTION("""COMPUTED_VALUE"""),32)</f>
        <v>32</v>
      </c>
      <c r="K113" s="54"/>
      <c r="L113" s="54">
        <f ca="1">IFERROR(__xludf.DUMMYFUNCTION("""COMPUTED_VALUE"""),10)</f>
        <v>10</v>
      </c>
      <c r="M113" s="54"/>
      <c r="N113" s="54">
        <f ca="1">IFERROR(__xludf.DUMMYFUNCTION("""COMPUTED_VALUE"""),233)</f>
        <v>233</v>
      </c>
      <c r="O113" s="54">
        <f ca="1">IFERROR(__xludf.DUMMYFUNCTION("""COMPUTED_VALUE"""),25)</f>
        <v>25</v>
      </c>
      <c r="P113" s="54"/>
      <c r="Q113" s="54">
        <f ca="1">IFERROR(__xludf.DUMMYFUNCTION("""COMPUTED_VALUE"""),10)</f>
        <v>10</v>
      </c>
      <c r="R113" s="54"/>
      <c r="S113" s="54">
        <f ca="1">IFERROR(__xludf.DUMMYFUNCTION("""COMPUTED_VALUE"""),315)</f>
        <v>315</v>
      </c>
      <c r="T113" s="53">
        <f ca="1">IFERROR(__xludf.DUMMYFUNCTION("""COMPUTED_VALUE"""),315)</f>
        <v>315</v>
      </c>
      <c r="U113" s="53"/>
      <c r="V113" s="54">
        <f ca="1">IFERROR(__xludf.DUMMYFUNCTION("""COMPUTED_VALUE"""),300)</f>
        <v>300</v>
      </c>
      <c r="W113" s="54"/>
      <c r="X113" s="54">
        <f ca="1">IFERROR(__xludf.DUMMYFUNCTION("""COMPUTED_VALUE"""),35)</f>
        <v>35</v>
      </c>
      <c r="Y113" s="54"/>
      <c r="Z113" s="2"/>
      <c r="AA113" s="2"/>
      <c r="AB113" s="2"/>
      <c r="AC113" s="2"/>
      <c r="AD113" s="2"/>
      <c r="AE113" s="2"/>
    </row>
    <row r="114" spans="1:31" ht="12.75" x14ac:dyDescent="0.2">
      <c r="A114" s="53">
        <f ca="1">IFERROR(__xludf.DUMMYFUNCTION("""COMPUTED_VALUE"""),191)</f>
        <v>191</v>
      </c>
      <c r="B114" s="53" t="str">
        <f ca="1">IFERROR(__xludf.DUMMYFUNCTION("""COMPUTED_VALUE"""),"THCS-THPT Trí Đức ")</f>
        <v xml:space="preserve">THCS-THPT Trí Đức </v>
      </c>
      <c r="C114" s="53"/>
      <c r="D114" s="53" t="str">
        <f ca="1">IFERROR(__xludf.DUMMYFUNCTION("""COMPUTED_VALUE"""),"Tân Phú")</f>
        <v>Tân Phú</v>
      </c>
      <c r="E114" s="54">
        <f ca="1">IFERROR(__xludf.DUMMYFUNCTION("""COMPUTED_VALUE"""),238)</f>
        <v>238</v>
      </c>
      <c r="F114" s="54">
        <f ca="1">IFERROR(__xludf.DUMMYFUNCTION("""COMPUTED_VALUE"""),238)</f>
        <v>238</v>
      </c>
      <c r="G114" s="54"/>
      <c r="H114" s="54">
        <f ca="1">IFERROR(__xludf.DUMMYFUNCTION("""COMPUTED_VALUE"""),238)</f>
        <v>238</v>
      </c>
      <c r="I114" s="54"/>
      <c r="J114" s="54">
        <f ca="1">IFERROR(__xludf.DUMMYFUNCTION("""COMPUTED_VALUE"""),220)</f>
        <v>220</v>
      </c>
      <c r="K114" s="54"/>
      <c r="L114" s="54">
        <f ca="1">IFERROR(__xludf.DUMMYFUNCTION("""COMPUTED_VALUE"""),48)</f>
        <v>48</v>
      </c>
      <c r="M114" s="54"/>
      <c r="N114" s="54">
        <f ca="1">IFERROR(__xludf.DUMMYFUNCTION("""COMPUTED_VALUE"""),127)</f>
        <v>127</v>
      </c>
      <c r="O114" s="54">
        <f ca="1">IFERROR(__xludf.DUMMYFUNCTION("""COMPUTED_VALUE"""),42)</f>
        <v>42</v>
      </c>
      <c r="P114" s="54"/>
      <c r="Q114" s="54">
        <f ca="1">IFERROR(__xludf.DUMMYFUNCTION("""COMPUTED_VALUE"""),12)</f>
        <v>12</v>
      </c>
      <c r="R114" s="54"/>
      <c r="S114" s="54">
        <f ca="1">IFERROR(__xludf.DUMMYFUNCTION("""COMPUTED_VALUE"""),1985)</f>
        <v>1985</v>
      </c>
      <c r="T114" s="54">
        <f ca="1">IFERROR(__xludf.DUMMYFUNCTION("""COMPUTED_VALUE"""),1995)</f>
        <v>1995</v>
      </c>
      <c r="U114" s="54"/>
      <c r="V114" s="54">
        <f ca="1">IFERROR(__xludf.DUMMYFUNCTION("""COMPUTED_VALUE"""),1819)</f>
        <v>1819</v>
      </c>
      <c r="W114" s="54"/>
      <c r="X114" s="54">
        <f ca="1">IFERROR(__xludf.DUMMYFUNCTION("""COMPUTED_VALUE"""),627)</f>
        <v>627</v>
      </c>
      <c r="Y114" s="54"/>
      <c r="Z114" s="2"/>
      <c r="AA114" s="2"/>
      <c r="AB114" s="2"/>
      <c r="AC114" s="2"/>
      <c r="AD114" s="2"/>
      <c r="AE114" s="2"/>
    </row>
    <row r="115" spans="1:31" ht="12.75" x14ac:dyDescent="0.2">
      <c r="A115" s="53">
        <f ca="1">IFERROR(__xludf.DUMMYFUNCTION("""COMPUTED_VALUE"""),16)</f>
        <v>16</v>
      </c>
      <c r="B115" s="53" t="str">
        <f ca="1">IFERROR(__xludf.DUMMYFUNCTION("""COMPUTED_VALUE"""),"THPT Thành Nhân")</f>
        <v>THPT Thành Nhân</v>
      </c>
      <c r="C115" s="53"/>
      <c r="D115" s="53" t="str">
        <f ca="1">IFERROR(__xludf.DUMMYFUNCTION("""COMPUTED_VALUE"""),"Tân Phú")</f>
        <v>Tân Phú</v>
      </c>
      <c r="E115" s="54">
        <f ca="1">IFERROR(__xludf.DUMMYFUNCTION("""COMPUTED_VALUE"""),134)</f>
        <v>134</v>
      </c>
      <c r="F115" s="54">
        <f ca="1">IFERROR(__xludf.DUMMYFUNCTION("""COMPUTED_VALUE"""),134)</f>
        <v>134</v>
      </c>
      <c r="G115" s="54"/>
      <c r="H115" s="54">
        <f ca="1">IFERROR(__xludf.DUMMYFUNCTION("""COMPUTED_VALUE"""),134)</f>
        <v>134</v>
      </c>
      <c r="I115" s="54"/>
      <c r="J115" s="54">
        <f ca="1">IFERROR(__xludf.DUMMYFUNCTION("""COMPUTED_VALUE"""),117)</f>
        <v>117</v>
      </c>
      <c r="K115" s="54"/>
      <c r="L115" s="54">
        <f ca="1">IFERROR(__xludf.DUMMYFUNCTION("""COMPUTED_VALUE"""),24)</f>
        <v>24</v>
      </c>
      <c r="M115" s="54"/>
      <c r="N115" s="54">
        <f ca="1">IFERROR(__xludf.DUMMYFUNCTION("""COMPUTED_VALUE"""),0)</f>
        <v>0</v>
      </c>
      <c r="O115" s="53"/>
      <c r="P115" s="53"/>
      <c r="Q115" s="53"/>
      <c r="R115" s="53"/>
      <c r="S115" s="54">
        <f ca="1">IFERROR(__xludf.DUMMYFUNCTION("""COMPUTED_VALUE"""),818)</f>
        <v>818</v>
      </c>
      <c r="T115" s="53">
        <f ca="1">IFERROR(__xludf.DUMMYFUNCTION("""COMPUTED_VALUE"""),818)</f>
        <v>818</v>
      </c>
      <c r="U115" s="53"/>
      <c r="V115" s="54">
        <f ca="1">IFERROR(__xludf.DUMMYFUNCTION("""COMPUTED_VALUE"""),833)</f>
        <v>833</v>
      </c>
      <c r="W115" s="54"/>
      <c r="X115" s="54">
        <f ca="1">IFERROR(__xludf.DUMMYFUNCTION("""COMPUTED_VALUE"""),249)</f>
        <v>249</v>
      </c>
      <c r="Y115" s="54"/>
      <c r="Z115" s="2"/>
      <c r="AA115" s="2"/>
      <c r="AB115" s="2"/>
      <c r="AC115" s="2"/>
      <c r="AD115" s="2"/>
      <c r="AE115" s="2"/>
    </row>
    <row r="116" spans="1:31" ht="12.75" x14ac:dyDescent="0.2">
      <c r="A116" s="53">
        <f ca="1">IFERROR(__xludf.DUMMYFUNCTION("""COMPUTED_VALUE"""),17)</f>
        <v>17</v>
      </c>
      <c r="B116" s="53" t="str">
        <f ca="1">IFERROR(__xludf.DUMMYFUNCTION("""COMPUTED_VALUE"""),"THCS-THPT Đinh Tiên Hoàng")</f>
        <v>THCS-THPT Đinh Tiên Hoàng</v>
      </c>
      <c r="C116" s="53"/>
      <c r="D116" s="53" t="str">
        <f ca="1">IFERROR(__xludf.DUMMYFUNCTION("""COMPUTED_VALUE"""),"Tân Phú")</f>
        <v>Tân Phú</v>
      </c>
      <c r="E116" s="54">
        <f ca="1">IFERROR(__xludf.DUMMYFUNCTION("""COMPUTED_VALUE"""),53)</f>
        <v>53</v>
      </c>
      <c r="F116" s="54">
        <f ca="1">IFERROR(__xludf.DUMMYFUNCTION("""COMPUTED_VALUE"""),53)</f>
        <v>53</v>
      </c>
      <c r="G116" s="54"/>
      <c r="H116" s="54">
        <f ca="1">IFERROR(__xludf.DUMMYFUNCTION("""COMPUTED_VALUE"""),53)</f>
        <v>53</v>
      </c>
      <c r="I116" s="54"/>
      <c r="J116" s="54">
        <f ca="1">IFERROR(__xludf.DUMMYFUNCTION("""COMPUTED_VALUE"""),50)</f>
        <v>50</v>
      </c>
      <c r="K116" s="54"/>
      <c r="L116" s="54">
        <f ca="1">IFERROR(__xludf.DUMMYFUNCTION("""COMPUTED_VALUE"""),22)</f>
        <v>22</v>
      </c>
      <c r="M116" s="54"/>
      <c r="N116" s="54">
        <f ca="1">IFERROR(__xludf.DUMMYFUNCTION("""COMPUTED_VALUE"""),25)</f>
        <v>25</v>
      </c>
      <c r="O116" s="54">
        <f ca="1">IFERROR(__xludf.DUMMYFUNCTION("""COMPUTED_VALUE"""),7)</f>
        <v>7</v>
      </c>
      <c r="P116" s="54"/>
      <c r="Q116" s="54">
        <f ca="1">IFERROR(__xludf.DUMMYFUNCTION("""COMPUTED_VALUE"""),1)</f>
        <v>1</v>
      </c>
      <c r="R116" s="54"/>
      <c r="S116" s="54">
        <f ca="1">IFERROR(__xludf.DUMMYFUNCTION("""COMPUTED_VALUE"""),298)</f>
        <v>298</v>
      </c>
      <c r="T116" s="54">
        <f ca="1">IFERROR(__xludf.DUMMYFUNCTION("""COMPUTED_VALUE"""),298)</f>
        <v>298</v>
      </c>
      <c r="U116" s="54"/>
      <c r="V116" s="54">
        <f ca="1">IFERROR(__xludf.DUMMYFUNCTION("""COMPUTED_VALUE"""),162)</f>
        <v>162</v>
      </c>
      <c r="W116" s="54"/>
      <c r="X116" s="54">
        <f ca="1">IFERROR(__xludf.DUMMYFUNCTION("""COMPUTED_VALUE"""),192)</f>
        <v>192</v>
      </c>
      <c r="Y116" s="54"/>
      <c r="Z116" s="2"/>
      <c r="AA116" s="2"/>
      <c r="AB116" s="2"/>
      <c r="AC116" s="2"/>
      <c r="AD116" s="2"/>
      <c r="AE116" s="2"/>
    </row>
    <row r="117" spans="1:31" ht="12.75" x14ac:dyDescent="0.2">
      <c r="A117" s="53">
        <f ca="1">IFERROR(__xludf.DUMMYFUNCTION("""COMPUTED_VALUE"""),18)</f>
        <v>18</v>
      </c>
      <c r="B117" s="53" t="str">
        <f ca="1">IFERROR(__xludf.DUMMYFUNCTION("""COMPUTED_VALUE"""),"THPT Vĩnh Viễn")</f>
        <v>THPT Vĩnh Viễn</v>
      </c>
      <c r="C117" s="53"/>
      <c r="D117" s="53" t="str">
        <f ca="1">IFERROR(__xludf.DUMMYFUNCTION("""COMPUTED_VALUE"""),"Tân Phú")</f>
        <v>Tân Phú</v>
      </c>
      <c r="E117" s="54">
        <f ca="1">IFERROR(__xludf.DUMMYFUNCTION("""COMPUTED_VALUE"""),21)</f>
        <v>21</v>
      </c>
      <c r="F117" s="54">
        <f ca="1">IFERROR(__xludf.DUMMYFUNCTION("""COMPUTED_VALUE"""),21)</f>
        <v>21</v>
      </c>
      <c r="G117" s="54"/>
      <c r="H117" s="54">
        <f ca="1">IFERROR(__xludf.DUMMYFUNCTION("""COMPUTED_VALUE"""),21)</f>
        <v>21</v>
      </c>
      <c r="I117" s="54"/>
      <c r="J117" s="54">
        <f ca="1">IFERROR(__xludf.DUMMYFUNCTION("""COMPUTED_VALUE"""),20)</f>
        <v>20</v>
      </c>
      <c r="K117" s="54"/>
      <c r="L117" s="54">
        <f ca="1">IFERROR(__xludf.DUMMYFUNCTION("""COMPUTED_VALUE"""),16)</f>
        <v>16</v>
      </c>
      <c r="M117" s="54"/>
      <c r="N117" s="54">
        <f ca="1">IFERROR(__xludf.DUMMYFUNCTION("""COMPUTED_VALUE"""),0)</f>
        <v>0</v>
      </c>
      <c r="O117" s="53"/>
      <c r="P117" s="53"/>
      <c r="Q117" s="53"/>
      <c r="R117" s="53"/>
      <c r="S117" s="54">
        <f ca="1">IFERROR(__xludf.DUMMYFUNCTION("""COMPUTED_VALUE"""),213)</f>
        <v>213</v>
      </c>
      <c r="T117" s="54">
        <f ca="1">IFERROR(__xludf.DUMMYFUNCTION("""COMPUTED_VALUE"""),213)</f>
        <v>213</v>
      </c>
      <c r="U117" s="54"/>
      <c r="V117" s="54">
        <f ca="1">IFERROR(__xludf.DUMMYFUNCTION("""COMPUTED_VALUE"""),211)</f>
        <v>211</v>
      </c>
      <c r="W117" s="54"/>
      <c r="X117" s="54">
        <f ca="1">IFERROR(__xludf.DUMMYFUNCTION("""COMPUTED_VALUE"""),141)</f>
        <v>141</v>
      </c>
      <c r="Y117" s="54"/>
      <c r="Z117" s="2"/>
      <c r="AA117" s="2"/>
      <c r="AB117" s="2"/>
      <c r="AC117" s="2"/>
      <c r="AD117" s="2"/>
      <c r="AE117" s="2"/>
    </row>
    <row r="118" spans="1:31" ht="12.75" x14ac:dyDescent="0.2">
      <c r="A118" s="53">
        <f ca="1">IFERROR(__xludf.DUMMYFUNCTION("""COMPUTED_VALUE"""),19)</f>
        <v>19</v>
      </c>
      <c r="B118" s="53" t="str">
        <f ca="1">IFERROR(__xludf.DUMMYFUNCTION("""COMPUTED_VALUE"""),"TH-THCS-THPT Lê Thánh Tông")</f>
        <v>TH-THCS-THPT Lê Thánh Tông</v>
      </c>
      <c r="C118" s="53"/>
      <c r="D118" s="53" t="str">
        <f ca="1">IFERROR(__xludf.DUMMYFUNCTION("""COMPUTED_VALUE"""),"Tân Phú")</f>
        <v>Tân Phú</v>
      </c>
      <c r="E118" s="54">
        <f ca="1">IFERROR(__xludf.DUMMYFUNCTION("""COMPUTED_VALUE"""),382)</f>
        <v>382</v>
      </c>
      <c r="F118" s="54">
        <f ca="1">IFERROR(__xludf.DUMMYFUNCTION("""COMPUTED_VALUE"""),381)</f>
        <v>381</v>
      </c>
      <c r="G118" s="54"/>
      <c r="H118" s="54">
        <f ca="1">IFERROR(__xludf.DUMMYFUNCTION("""COMPUTED_VALUE"""),381)</f>
        <v>381</v>
      </c>
      <c r="I118" s="54"/>
      <c r="J118" s="54">
        <f ca="1">IFERROR(__xludf.DUMMYFUNCTION("""COMPUTED_VALUE"""),381)</f>
        <v>381</v>
      </c>
      <c r="K118" s="54"/>
      <c r="L118" s="54">
        <f ca="1">IFERROR(__xludf.DUMMYFUNCTION("""COMPUTED_VALUE"""),126)</f>
        <v>126</v>
      </c>
      <c r="M118" s="54"/>
      <c r="N118" s="54">
        <f ca="1">IFERROR(__xludf.DUMMYFUNCTION("""COMPUTED_VALUE"""),350)</f>
        <v>350</v>
      </c>
      <c r="O118" s="54">
        <f ca="1">IFERROR(__xludf.DUMMYFUNCTION("""COMPUTED_VALUE"""),148)</f>
        <v>148</v>
      </c>
      <c r="P118" s="54"/>
      <c r="Q118" s="54">
        <f ca="1">IFERROR(__xludf.DUMMYFUNCTION("""COMPUTED_VALUE"""),83)</f>
        <v>83</v>
      </c>
      <c r="R118" s="54"/>
      <c r="S118" s="54">
        <f ca="1">IFERROR(__xludf.DUMMYFUNCTION("""COMPUTED_VALUE"""),2672)</f>
        <v>2672</v>
      </c>
      <c r="T118" s="53">
        <f ca="1">IFERROR(__xludf.DUMMYFUNCTION("""COMPUTED_VALUE"""),2672)</f>
        <v>2672</v>
      </c>
      <c r="U118" s="53"/>
      <c r="V118" s="54">
        <f ca="1">IFERROR(__xludf.DUMMYFUNCTION("""COMPUTED_VALUE"""),2655)</f>
        <v>2655</v>
      </c>
      <c r="W118" s="54"/>
      <c r="X118" s="54">
        <f ca="1">IFERROR(__xludf.DUMMYFUNCTION("""COMPUTED_VALUE"""),1474)</f>
        <v>1474</v>
      </c>
      <c r="Y118" s="54"/>
      <c r="Z118" s="2"/>
      <c r="AA118" s="2"/>
      <c r="AB118" s="2"/>
      <c r="AC118" s="2"/>
      <c r="AD118" s="2"/>
      <c r="AE118" s="2"/>
    </row>
    <row r="119" spans="1:31" ht="12.75" x14ac:dyDescent="0.2">
      <c r="A119" s="53">
        <f ca="1">IFERROR(__xludf.DUMMYFUNCTION("""COMPUTED_VALUE"""),20)</f>
        <v>20</v>
      </c>
      <c r="B119" s="53" t="str">
        <f ca="1">IFERROR(__xludf.DUMMYFUNCTION("""COMPUTED_VALUE"""),"THCS-THPT Nhân Văn")</f>
        <v>THCS-THPT Nhân Văn</v>
      </c>
      <c r="C119" s="53"/>
      <c r="D119" s="53" t="str">
        <f ca="1">IFERROR(__xludf.DUMMYFUNCTION("""COMPUTED_VALUE"""),"Tân Phú")</f>
        <v>Tân Phú</v>
      </c>
      <c r="E119" s="54">
        <f ca="1">IFERROR(__xludf.DUMMYFUNCTION("""COMPUTED_VALUE"""),90)</f>
        <v>90</v>
      </c>
      <c r="F119" s="54">
        <f ca="1">IFERROR(__xludf.DUMMYFUNCTION("""COMPUTED_VALUE"""),90)</f>
        <v>90</v>
      </c>
      <c r="G119" s="54"/>
      <c r="H119" s="54">
        <f ca="1">IFERROR(__xludf.DUMMYFUNCTION("""COMPUTED_VALUE"""),90)</f>
        <v>90</v>
      </c>
      <c r="I119" s="54"/>
      <c r="J119" s="54">
        <f ca="1">IFERROR(__xludf.DUMMYFUNCTION("""COMPUTED_VALUE"""),85)</f>
        <v>85</v>
      </c>
      <c r="K119" s="54"/>
      <c r="L119" s="54">
        <f ca="1">IFERROR(__xludf.DUMMYFUNCTION("""COMPUTED_VALUE"""),50)</f>
        <v>50</v>
      </c>
      <c r="M119" s="54"/>
      <c r="N119" s="54">
        <f ca="1">IFERROR(__xludf.DUMMYFUNCTION("""COMPUTED_VALUE"""),0)</f>
        <v>0</v>
      </c>
      <c r="O119" s="54">
        <f ca="1">IFERROR(__xludf.DUMMYFUNCTION("""COMPUTED_VALUE"""),10)</f>
        <v>10</v>
      </c>
      <c r="P119" s="54"/>
      <c r="Q119" s="54">
        <f ca="1">IFERROR(__xludf.DUMMYFUNCTION("""COMPUTED_VALUE"""),9)</f>
        <v>9</v>
      </c>
      <c r="R119" s="54"/>
      <c r="S119" s="54">
        <f ca="1">IFERROR(__xludf.DUMMYFUNCTION("""COMPUTED_VALUE"""),194)</f>
        <v>194</v>
      </c>
      <c r="T119" s="53">
        <f ca="1">IFERROR(__xludf.DUMMYFUNCTION("""COMPUTED_VALUE"""),194)</f>
        <v>194</v>
      </c>
      <c r="U119" s="53"/>
      <c r="V119" s="54">
        <f ca="1">IFERROR(__xludf.DUMMYFUNCTION("""COMPUTED_VALUE"""),190)</f>
        <v>190</v>
      </c>
      <c r="W119" s="54"/>
      <c r="X119" s="54">
        <f ca="1">IFERROR(__xludf.DUMMYFUNCTION("""COMPUTED_VALUE"""),214)</f>
        <v>214</v>
      </c>
      <c r="Y119" s="54"/>
      <c r="Z119" s="2"/>
      <c r="AA119" s="2"/>
      <c r="AB119" s="2"/>
      <c r="AC119" s="2"/>
      <c r="AD119" s="2"/>
      <c r="AE119" s="2"/>
    </row>
    <row r="120" spans="1:31" ht="12.75" x14ac:dyDescent="0.2">
      <c r="A120" s="53">
        <f ca="1">IFERROR(__xludf.DUMMYFUNCTION("""COMPUTED_VALUE"""),21)</f>
        <v>21</v>
      </c>
      <c r="B120" s="53" t="str">
        <f ca="1">IFERROR(__xludf.DUMMYFUNCTION("""COMPUTED_VALUE"""),"Đại học Công nghiệp thực phẩm")</f>
        <v>Đại học Công nghiệp thực phẩm</v>
      </c>
      <c r="C120" s="53"/>
      <c r="D120" s="53" t="str">
        <f ca="1">IFERROR(__xludf.DUMMYFUNCTION("""COMPUTED_VALUE"""),"Tân Phú")</f>
        <v>Tân Phú</v>
      </c>
      <c r="E120" s="54">
        <f ca="1">IFERROR(__xludf.DUMMYFUNCTION("""COMPUTED_VALUE"""),95)</f>
        <v>95</v>
      </c>
      <c r="F120" s="54">
        <f ca="1">IFERROR(__xludf.DUMMYFUNCTION("""COMPUTED_VALUE"""),95)</f>
        <v>95</v>
      </c>
      <c r="G120" s="54"/>
      <c r="H120" s="54">
        <f ca="1">IFERROR(__xludf.DUMMYFUNCTION("""COMPUTED_VALUE"""),94)</f>
        <v>94</v>
      </c>
      <c r="I120" s="54"/>
      <c r="J120" s="54">
        <f ca="1">IFERROR(__xludf.DUMMYFUNCTION("""COMPUTED_VALUE"""),58)</f>
        <v>58</v>
      </c>
      <c r="K120" s="54"/>
      <c r="L120" s="54">
        <f ca="1">IFERROR(__xludf.DUMMYFUNCTION("""COMPUTED_VALUE"""),21)</f>
        <v>21</v>
      </c>
      <c r="M120" s="54"/>
      <c r="N120" s="54">
        <f ca="1">IFERROR(__xludf.DUMMYFUNCTION("""COMPUTED_VALUE"""),0)</f>
        <v>0</v>
      </c>
      <c r="O120" s="53"/>
      <c r="P120" s="53"/>
      <c r="Q120" s="53"/>
      <c r="R120" s="53"/>
      <c r="S120" s="53">
        <f ca="1">IFERROR(__xludf.DUMMYFUNCTION("""COMPUTED_VALUE"""),1705)</f>
        <v>1705</v>
      </c>
      <c r="T120" s="53">
        <f ca="1">IFERROR(__xludf.DUMMYFUNCTION("""COMPUTED_VALUE"""),1705)</f>
        <v>1705</v>
      </c>
      <c r="U120" s="53"/>
      <c r="V120" s="53">
        <f ca="1">IFERROR(__xludf.DUMMYFUNCTION("""COMPUTED_VALUE"""),1705)</f>
        <v>1705</v>
      </c>
      <c r="W120" s="53"/>
      <c r="X120" s="53">
        <f ca="1">IFERROR(__xludf.DUMMYFUNCTION("""COMPUTED_VALUE"""),458)</f>
        <v>458</v>
      </c>
      <c r="Y120" s="53"/>
      <c r="Z120" s="2"/>
      <c r="AA120" s="2"/>
      <c r="AB120" s="2"/>
      <c r="AC120" s="2"/>
      <c r="AD120" s="2"/>
      <c r="AE120" s="2"/>
    </row>
    <row r="121" spans="1:31" ht="12.75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 ht="12.75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 ht="12.75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 ht="12.75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 ht="12.75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ht="12.75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ht="12.75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ht="12.75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ht="12.75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ht="12.75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ht="12.75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ht="12.75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ht="12.75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ht="12.75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ht="12.75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ht="12.75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ht="12.75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ht="12.75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ht="12.75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ht="12.75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2.75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2.75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2.75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2.75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2.75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2.75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2.75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2.75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2.75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2.75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2.75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2.75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2.75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2.75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2.75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2.75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2.75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2.75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2.75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2.75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2.75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2.75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2.75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2.75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2.75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2.75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2.75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2.75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2.75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2.75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2.75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2.75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2.75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2.75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2.75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2.75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2.75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2.75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2.75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2.75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2.75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2.75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2.75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2.75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2.75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2.75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2.75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2.75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2.75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2.75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2.75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2.75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2.75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2.75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2.75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2.75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2.75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2.75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2.75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2.75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2.75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2.75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2.75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2.75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2.75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2.75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2.75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2.75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2.75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2.75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2.75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2.75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2.75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2.75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2.75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2.75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2.75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2.75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2.75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2.75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2.75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2.75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2.75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2.75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2.75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2.75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2.75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2.75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2.75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2.75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2.75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2.75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2.75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2.75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2.75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2.75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2.75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2.75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2.75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2.75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2.75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2.75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2.75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2.75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2.75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2.75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2.75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2.75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2.75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2.75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2.75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2.75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2.75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2.75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2.75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2.75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2.75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2.75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2.75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2.75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2.75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2.75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2.75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2.75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2.75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2.75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2.75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2.75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2.75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2.75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2.75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2.75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2.75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2.75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2.75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2.75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2.75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2.75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2.75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2.75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2.75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2.75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2.75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2.75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2.75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2.75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2.75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2.75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2.75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2.75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2.75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2.75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2.75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2.75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2.75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2.75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2.75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2.75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2.75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2.75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2.75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2.75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2.75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2.75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2.75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2.75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2.75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2.75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2.75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2.75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2.75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2.75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2.75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2.75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2.75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2.75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2.75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2.75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2.75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2.75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2.75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2.75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2.75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2.75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2.75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2.75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2.75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2.75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2.75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2.75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2.75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2.75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2.75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2.75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2.75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2.75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2.75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2.75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2.75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2.75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2.75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2.75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2.75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2.75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2.75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2.75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2.75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2.75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2.75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2.75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2.75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2.75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2.75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2.75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2.75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2.75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2.75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2.75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2.75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2.75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2.75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2.75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2.75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2.75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2.75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2.75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2.75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2.75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2.75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2.75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2.75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2.75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2.75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2.75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2.75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2.75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2.75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2.75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2.75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2.75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2.75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2.75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2.75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2.75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2.75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2.75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2.75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2.75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2.75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2.75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2.75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2.75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2.75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2.75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2.75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2.75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2.75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2.75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2.75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2.75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2.75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2.75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2.75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2.75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2.75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2.75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2.75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2.75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2.75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2.75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2.75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2.75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2.75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2.75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2.75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2.75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2.75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2.75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2.75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2.75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2.75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2.75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2.75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2.75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2.75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2.75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2.75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2.75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2.75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2.75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2.75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2.75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2.75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2.75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2.75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2.75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2.75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2.75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2.75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2.75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2.75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2.75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2.75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2.75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2.75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2.75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2.75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2.75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2.75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2.75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2.75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2.75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2.75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2.75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2.75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2.75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2.75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2.75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2.75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2.75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2.75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2.75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2.75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2.75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2.75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2.75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2.75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2.75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2.75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2.75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2.75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2.75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2.75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2.75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2.75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2.75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2.75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2.75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2.75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2.75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2.75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2.75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2.75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2.75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2.75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2.75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2.75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2.75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2.75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2.75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2.75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2.75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2.75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2.75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2.75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2.75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2.75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2.75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2.75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2.75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2.75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2.75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2.75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2.75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2.75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2.75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2.75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2.75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2.75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2.75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2.75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2.75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2.75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2.75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2.75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2.75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2.75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2.75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2.75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2.75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2.75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2.75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2.75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2.75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2.75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2.75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2.75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2.75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2.75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2.75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2.75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2.75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2.75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2.75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2.75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2.75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2.75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2.75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2.75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2.75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2.75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2.75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2.75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2.75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2.75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2.75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2.75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2.75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2.75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2.75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2.75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2.75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2.75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2.75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2.75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2.75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2.75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2.75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2.75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2.75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2.75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2.75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2.75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2.75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2.75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2.75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2.75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2.75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2.75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2.75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2.75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2.75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2.75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2.75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2.75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2.75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2.75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2.75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2.75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2.75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2.75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2.75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2.75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2.75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2.75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2.75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2.75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2.75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2.75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2.75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2.75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2.75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2.75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2.75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2.75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2.75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2.75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2.75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2.75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2.75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2.75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2.75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2.75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2.75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2.75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2.75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2.75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2.75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2.75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2.75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2.75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2.75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2.75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2.75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2.75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2.75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2.75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2.75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2.75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2.75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2.75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2.75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2.75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2.75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2.75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2.75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2.75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2.75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2.75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2.75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2.75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2.75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2.75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2.75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2.75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2.75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2.75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2.75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2.75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2.75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2.75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2.75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2.75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2.75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2.75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2.75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2.75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2.75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2.75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2.75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2.75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2.75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2.75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2.75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2.75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2.75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2.75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2.75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2.75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2.75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2.75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2.75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2.75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2.75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2.75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2.75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2.75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2.75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2.75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2.75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2.75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2.75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2.75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2.75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2.75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2.75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2.75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2.75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2.75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2.75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2.75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2.75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2.75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2.75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2.75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2.75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2.75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2.75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2.75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2.75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2.75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2.75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2.75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2.75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2.75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2.75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2.75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2.75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2.75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2.75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2.75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2.75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2.75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2.75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2.75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2.75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2.75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2.75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2.75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2.75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2.75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2.75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2.75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2.75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2.75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2.75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2.75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2.75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2.75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2.75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2.75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2.75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2.75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2.75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2.75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2.75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2.75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2.75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2.75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2.75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2.75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2.75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2.75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2.75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2.75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2.75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2.75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2.75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2.75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2.75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2.75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2.75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2.75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2.75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2.75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2.75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2.75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2.75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2.75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2.75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2.75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2.75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2.75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2.75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2.75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2.75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2.75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2.75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2.75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2.75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2.75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2.75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2.75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2.75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2.75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2.75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2.75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2.75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2.75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2.75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2.75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2.75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2.75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2.75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2.75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2.75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2.75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2.75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2.75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2.75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2.75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2.75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2.75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2.75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2.75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2.75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2.75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2.75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2.75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2.75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2.75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2.75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2.75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2.75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2.75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2.75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2.75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2.75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2.75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2.75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2.75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2.75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2.75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2.75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2.75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2.75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2.75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2.75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2.75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2.75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2.75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2.75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2.75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2.75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2.75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2.75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2.75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2.75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2.75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2.75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2.75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2.75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2.75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2.75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2.75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2.75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2.75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2.75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2.75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2.75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2.75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2.75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2.75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2.75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2.75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2.75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2.75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2.75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2.75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2.75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2.75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2.75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2.75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2.75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2.75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2.75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2.75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2.75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2.75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2.75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2.75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2.75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2.75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2.75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2.75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2.75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2.75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2.75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2.75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2.75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2.75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2.75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2.75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2.75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2.75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2.75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2.75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2.75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2.75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2.75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2.75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2.75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2.75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2.75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2.75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2.75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2.75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2.75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2.75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2.75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2.75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2.75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2.75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2.75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2.75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2.75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2.75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2.75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2.75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2.75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2.75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2.75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2.75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2.75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2.75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2.75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2.75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2.75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2.75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2.75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2.75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2.75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2.75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2.75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2.75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2.75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2.75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2.75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2.75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2.75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2.75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2.75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2.75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2.75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2.75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2.75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2.75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2.75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2.75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2.75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2.75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2.75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2.75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2.75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2.75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2.75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2.75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2.75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2.75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2.75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2.75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2.75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2.75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2.75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2.75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2.75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2.75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2.75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2.75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2.75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2.75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2.75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2.75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2.75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2.75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2.75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2.75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2.75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2.75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2.75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2.75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2.75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2.75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2.75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2.75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2.75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2.75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2.75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2.75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2.75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2.75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2.75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2.75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2.75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2.75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2.75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2.75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2.75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2.75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2.75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2.75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2.75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2.75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2.75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2.75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2.75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2.75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2.75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2.75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2.75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2.75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2.75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2.75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2.75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2.75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2.75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2.75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2.75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2.75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2.75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2.75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2.75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2.75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2.75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2.75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2.75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2.75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 ht="12.75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 ht="12.75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  <row r="1000" spans="1:31" ht="12.75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</row>
  </sheetData>
  <mergeCells count="16">
    <mergeCell ref="N3:R3"/>
    <mergeCell ref="S3:Y3"/>
    <mergeCell ref="F4:G4"/>
    <mergeCell ref="H4:I4"/>
    <mergeCell ref="J4:K4"/>
    <mergeCell ref="L4:M4"/>
    <mergeCell ref="O4:P4"/>
    <mergeCell ref="Q4:R4"/>
    <mergeCell ref="T4:U4"/>
    <mergeCell ref="V4:W4"/>
    <mergeCell ref="X4:Y4"/>
    <mergeCell ref="A3:A4"/>
    <mergeCell ref="B3:B4"/>
    <mergeCell ref="C3:C4"/>
    <mergeCell ref="D3:D4"/>
    <mergeCell ref="E3:M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E1000"/>
  <sheetViews>
    <sheetView zoomScale="85" zoomScaleNormal="85" workbookViewId="0">
      <selection activeCell="B21" sqref="B21"/>
    </sheetView>
  </sheetViews>
  <sheetFormatPr defaultColWidth="12.5703125" defaultRowHeight="15.75" customHeight="1" x14ac:dyDescent="0.2"/>
  <cols>
    <col min="1" max="1" width="7" style="3" customWidth="1"/>
    <col min="2" max="2" width="37.42578125" style="3" customWidth="1"/>
    <col min="3" max="4" width="12.5703125" style="3"/>
    <col min="5" max="5" width="10.42578125" style="3" customWidth="1"/>
    <col min="6" max="13" width="8.85546875" style="3" customWidth="1"/>
    <col min="14" max="14" width="10.42578125" style="3" customWidth="1"/>
    <col min="15" max="18" width="8.85546875" style="3" customWidth="1"/>
    <col min="19" max="19" width="10.42578125" style="3" customWidth="1"/>
    <col min="20" max="25" width="8.85546875" style="3" customWidth="1"/>
    <col min="26" max="16384" width="12.5703125" style="3"/>
  </cols>
  <sheetData>
    <row r="1" spans="1:31" ht="26.25" customHeight="1" x14ac:dyDescent="0.2">
      <c r="A1" s="49" t="s">
        <v>11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ht="35.25" customHeight="1" x14ac:dyDescent="0.2">
      <c r="A2" s="4" t="s">
        <v>26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</row>
    <row r="3" spans="1:31" ht="30.75" customHeight="1" x14ac:dyDescent="0.2">
      <c r="A3" s="89" t="str">
        <f ca="1">IFERROR(__xludf.DUMMYFUNCTION("IMPORTRANGE(""https://docs.google.com/spreadsheets/d/1giFCfPZvq6d2WPbrXwJ7ksTcnSjmuNbU5G4IRrh5hOk/edit#gid=0"",""TB!A16:T500"")"),"STT")</f>
        <v>STT</v>
      </c>
      <c r="B3" s="101" t="str">
        <f ca="1">IFERROR(__xludf.DUMMYFUNCTION("""COMPUTED_VALUE"""),"TRƯỜNG")</f>
        <v>TRƯỜNG</v>
      </c>
      <c r="C3" s="101" t="str">
        <f ca="1">IFERROR(__xludf.DUMMYFUNCTION("""COMPUTED_VALUE"""),"BẬC HỌC (MN, TH, THCS, THPT, CB, GDTX)")</f>
        <v>BẬC HỌC (MN, TH, THCS, THPT, CB, GDTX)</v>
      </c>
      <c r="D3" s="101" t="str">
        <f ca="1">IFERROR(__xludf.DUMMYFUNCTION("""COMPUTED_VALUE"""),"THÀNH PHỐ, QUẬN, HUYỆN")</f>
        <v>THÀNH PHỐ, QUẬN, HUYỆN</v>
      </c>
      <c r="E3" s="93" t="str">
        <f ca="1">IFERROR(__xludf.DUMMYFUNCTION("""COMPUTED_VALUE"""),"Cán bộ - Giáo viên - Nhân viên:")</f>
        <v>Cán bộ - Giáo viên - Nhân viên:</v>
      </c>
      <c r="F3" s="92"/>
      <c r="G3" s="92"/>
      <c r="H3" s="92"/>
      <c r="I3" s="92"/>
      <c r="J3" s="92"/>
      <c r="K3" s="92"/>
      <c r="L3" s="92"/>
      <c r="M3" s="92"/>
      <c r="N3" s="93" t="str">
        <f ca="1">IFERROR(__xludf.DUMMYFUNCTION("""COMPUTED_VALUE"""),"Học sinh từ 5 đến dưới 12 tuổi")</f>
        <v>Học sinh từ 5 đến dưới 12 tuổi</v>
      </c>
      <c r="O3" s="92"/>
      <c r="P3" s="92"/>
      <c r="Q3" s="92"/>
      <c r="R3" s="92"/>
      <c r="S3" s="94" t="str">
        <f ca="1">IFERROR(__xludf.DUMMYFUNCTION("""COMPUTED_VALUE"""),"Học sinh từ 12 đến dưới 18 tuổi")</f>
        <v>Học sinh từ 12 đến dưới 18 tuổi</v>
      </c>
      <c r="T3" s="95"/>
      <c r="U3" s="95"/>
      <c r="V3" s="95"/>
      <c r="W3" s="95"/>
      <c r="X3" s="95"/>
      <c r="Y3" s="95"/>
      <c r="Z3" s="2"/>
      <c r="AA3" s="2"/>
      <c r="AB3" s="2"/>
      <c r="AC3" s="2"/>
      <c r="AD3" s="2"/>
      <c r="AE3" s="2"/>
    </row>
    <row r="4" spans="1:31" ht="27" customHeight="1" x14ac:dyDescent="0.2">
      <c r="A4" s="90"/>
      <c r="B4" s="88"/>
      <c r="C4" s="88"/>
      <c r="D4" s="88"/>
      <c r="E4" s="58" t="str">
        <f ca="1">IFERROR(__xludf.DUMMYFUNCTION("""COMPUTED_VALUE"""),"Tổng CB-GV-NV")</f>
        <v>Tổng CB-GV-NV</v>
      </c>
      <c r="F4" s="96" t="s">
        <v>22</v>
      </c>
      <c r="G4" s="97"/>
      <c r="H4" s="96" t="s">
        <v>23</v>
      </c>
      <c r="I4" s="97"/>
      <c r="J4" s="96" t="s">
        <v>24</v>
      </c>
      <c r="K4" s="97"/>
      <c r="L4" s="96" t="s">
        <v>25</v>
      </c>
      <c r="M4" s="97"/>
      <c r="N4" s="58" t="str">
        <f ca="1">IFERROR(__xludf.DUMMYFUNCTION("""COMPUTED_VALUE"""),"Tổng học sinh")</f>
        <v>Tổng học sinh</v>
      </c>
      <c r="O4" s="96" t="s">
        <v>22</v>
      </c>
      <c r="P4" s="97"/>
      <c r="Q4" s="96" t="s">
        <v>23</v>
      </c>
      <c r="R4" s="97"/>
      <c r="S4" s="58" t="str">
        <f ca="1">IFERROR(__xludf.DUMMYFUNCTION("""COMPUTED_VALUE"""),"Tổng học sinh")</f>
        <v>Tổng học sinh</v>
      </c>
      <c r="T4" s="98" t="s">
        <v>22</v>
      </c>
      <c r="U4" s="99"/>
      <c r="V4" s="98" t="s">
        <v>23</v>
      </c>
      <c r="W4" s="99"/>
      <c r="X4" s="98" t="s">
        <v>24</v>
      </c>
      <c r="Y4" s="99"/>
      <c r="Z4" s="2"/>
      <c r="AA4" s="2"/>
      <c r="AB4" s="2"/>
      <c r="AC4" s="2"/>
      <c r="AD4" s="2"/>
      <c r="AE4" s="2"/>
    </row>
    <row r="5" spans="1:31" ht="12.75" x14ac:dyDescent="0.2">
      <c r="A5" s="59" t="str">
        <f ca="1">IFERROR(__xludf.DUMMYFUNCTION("""COMPUTED_VALUE"""),"TỔNG TOÀN QUẬN/HUYỆN/TP")</f>
        <v>TỔNG TOÀN QUẬN/HUYỆN/TP</v>
      </c>
      <c r="B5" s="60"/>
      <c r="C5" s="61"/>
      <c r="D5" s="61" t="str">
        <f ca="1">IFERROR(__xludf.DUMMYFUNCTION("""COMPUTED_VALUE"""),"TÂN BÌNH")</f>
        <v>TÂN BÌNH</v>
      </c>
      <c r="E5" s="15">
        <f ca="1">IFERROR(__xludf.DUMMYFUNCTION("""COMPUTED_VALUE"""),6650)</f>
        <v>6650</v>
      </c>
      <c r="F5" s="15">
        <f ca="1">IFERROR(__xludf.DUMMYFUNCTION("""COMPUTED_VALUE"""),6468)</f>
        <v>6468</v>
      </c>
      <c r="G5" s="51">
        <f ca="1">IFERROR(F5/E5,"")</f>
        <v>0.9726315789473684</v>
      </c>
      <c r="H5" s="15">
        <f ca="1">IFERROR(__xludf.DUMMYFUNCTION("""COMPUTED_VALUE"""),6452)</f>
        <v>6452</v>
      </c>
      <c r="I5" s="51">
        <f ca="1">IFERROR(H5/E5,"")</f>
        <v>0.97022556390977444</v>
      </c>
      <c r="J5" s="15">
        <f ca="1">IFERROR(__xludf.DUMMYFUNCTION("""COMPUTED_VALUE"""),6131)</f>
        <v>6131</v>
      </c>
      <c r="K5" s="51">
        <f ca="1">IFERROR(J5/E5,"")</f>
        <v>0.92195488721804508</v>
      </c>
      <c r="L5" s="15">
        <f ca="1">IFERROR(__xludf.DUMMYFUNCTION("""COMPUTED_VALUE"""),2274)</f>
        <v>2274</v>
      </c>
      <c r="M5" s="51">
        <f ca="1">IFERROR(L5/E5,"")</f>
        <v>0.34195488721804512</v>
      </c>
      <c r="N5" s="15">
        <f ca="1">IFERROR(__xludf.DUMMYFUNCTION("""COMPUTED_VALUE"""),37577)</f>
        <v>37577</v>
      </c>
      <c r="O5" s="15">
        <f ca="1">IFERROR(__xludf.DUMMYFUNCTION("""COMPUTED_VALUE"""),14766)</f>
        <v>14766</v>
      </c>
      <c r="P5" s="51">
        <f ca="1">IFERROR(O5/N5,"")</f>
        <v>0.39295313622694733</v>
      </c>
      <c r="Q5" s="15">
        <f ca="1">IFERROR(__xludf.DUMMYFUNCTION("""COMPUTED_VALUE"""),6804)</f>
        <v>6804</v>
      </c>
      <c r="R5" s="51">
        <f ca="1">IFERROR(Q5/N5,"")</f>
        <v>0.18106820661574899</v>
      </c>
      <c r="S5" s="15">
        <f ca="1">IFERROR(__xludf.DUMMYFUNCTION("""COMPUTED_VALUE"""),32940)</f>
        <v>32940</v>
      </c>
      <c r="T5" s="15">
        <f ca="1">IFERROR(__xludf.DUMMYFUNCTION("""COMPUTED_VALUE"""),29663)</f>
        <v>29663</v>
      </c>
      <c r="U5" s="51">
        <f ca="1">IFERROR(T5/S5,"")</f>
        <v>0.90051608986035214</v>
      </c>
      <c r="V5" s="15">
        <f ca="1">IFERROR(__xludf.DUMMYFUNCTION("""COMPUTED_VALUE"""),30174)</f>
        <v>30174</v>
      </c>
      <c r="W5" s="51">
        <f ca="1">IFERROR(V5/S5,"")</f>
        <v>0.91602914389799639</v>
      </c>
      <c r="X5" s="15">
        <f ca="1">IFERROR(__xludf.DUMMYFUNCTION("""COMPUTED_VALUE"""),11734)</f>
        <v>11734</v>
      </c>
      <c r="Y5" s="51">
        <f ca="1">IFERROR(X5/S5,"")</f>
        <v>0.35622343655130539</v>
      </c>
      <c r="Z5" s="2"/>
      <c r="AA5" s="2"/>
      <c r="AB5" s="2"/>
      <c r="AC5" s="2"/>
      <c r="AD5" s="2"/>
      <c r="AE5" s="2"/>
    </row>
    <row r="6" spans="1:31" ht="12.75" x14ac:dyDescent="0.2">
      <c r="A6" s="53">
        <f ca="1">IFERROR(__xludf.DUMMYFUNCTION("""COMPUTED_VALUE"""),67)</f>
        <v>67</v>
      </c>
      <c r="B6" s="53" t="str">
        <f ca="1">IFERROR(__xludf.DUMMYFUNCTION("""COMPUTED_VALUE"""),"Mn TT Quốc Tế Sài Gòn")</f>
        <v>Mn TT Quốc Tế Sài Gòn</v>
      </c>
      <c r="C6" s="53" t="str">
        <f ca="1">IFERROR(__xludf.DUMMYFUNCTION("""COMPUTED_VALUE"""),"Mầm non")</f>
        <v>Mầm non</v>
      </c>
      <c r="D6" s="53" t="str">
        <f ca="1">IFERROR(__xludf.DUMMYFUNCTION("""COMPUTED_VALUE"""),"TÂN BÌNH")</f>
        <v>TÂN BÌNH</v>
      </c>
      <c r="E6" s="54">
        <f ca="1">IFERROR(__xludf.DUMMYFUNCTION("""COMPUTED_VALUE"""),55)</f>
        <v>55</v>
      </c>
      <c r="F6" s="54">
        <f ca="1">IFERROR(__xludf.DUMMYFUNCTION("""COMPUTED_VALUE"""),55)</f>
        <v>55</v>
      </c>
      <c r="G6" s="51">
        <f t="shared" ref="G6:G69" ca="1" si="0">IFERROR(F6/E6,"")</f>
        <v>1</v>
      </c>
      <c r="H6" s="53">
        <f ca="1">IFERROR(__xludf.DUMMYFUNCTION("""COMPUTED_VALUE"""),55)</f>
        <v>55</v>
      </c>
      <c r="I6" s="51">
        <f t="shared" ref="I6:I69" ca="1" si="1">IFERROR(H6/E6,"")</f>
        <v>1</v>
      </c>
      <c r="J6" s="54">
        <f ca="1">IFERROR(__xludf.DUMMYFUNCTION("""COMPUTED_VALUE"""),40)</f>
        <v>40</v>
      </c>
      <c r="K6" s="51">
        <f t="shared" ref="K6:K69" ca="1" si="2">IFERROR(J6/E6,"")</f>
        <v>0.72727272727272729</v>
      </c>
      <c r="L6" s="54">
        <f ca="1">IFERROR(__xludf.DUMMYFUNCTION("""COMPUTED_VALUE"""),0)</f>
        <v>0</v>
      </c>
      <c r="M6" s="51">
        <f t="shared" ref="M6:M69" ca="1" si="3">IFERROR(L6/E6,"")</f>
        <v>0</v>
      </c>
      <c r="N6" s="54">
        <f ca="1">IFERROR(__xludf.DUMMYFUNCTION("""COMPUTED_VALUE"""),65)</f>
        <v>65</v>
      </c>
      <c r="O6" s="54">
        <f ca="1">IFERROR(__xludf.DUMMYFUNCTION("""COMPUTED_VALUE"""),1)</f>
        <v>1</v>
      </c>
      <c r="P6" s="51">
        <f t="shared" ref="P6:P69" ca="1" si="4">IFERROR(O6/N6,"")</f>
        <v>1.5384615384615385E-2</v>
      </c>
      <c r="Q6" s="54">
        <f ca="1">IFERROR(__xludf.DUMMYFUNCTION("""COMPUTED_VALUE"""),1)</f>
        <v>1</v>
      </c>
      <c r="R6" s="51">
        <f t="shared" ref="R6:R69" ca="1" si="5">IFERROR(Q6/N6,"")</f>
        <v>1.5384615384615385E-2</v>
      </c>
      <c r="S6" s="53"/>
      <c r="T6" s="53"/>
      <c r="U6" s="51" t="str">
        <f t="shared" ref="U6:U69" si="6">IFERROR(T6/S6,"")</f>
        <v/>
      </c>
      <c r="V6" s="53"/>
      <c r="W6" s="51" t="str">
        <f t="shared" ref="W6:W69" si="7">IFERROR(V6/S6,"")</f>
        <v/>
      </c>
      <c r="X6" s="53"/>
      <c r="Y6" s="51" t="str">
        <f t="shared" ref="Y6:Y69" si="8">IFERROR(X6/S6,"")</f>
        <v/>
      </c>
      <c r="Z6" s="2"/>
      <c r="AA6" s="2"/>
      <c r="AB6" s="2"/>
      <c r="AC6" s="2"/>
      <c r="AD6" s="2"/>
      <c r="AE6" s="2"/>
    </row>
    <row r="7" spans="1:31" ht="12.75" x14ac:dyDescent="0.2">
      <c r="A7" s="53">
        <f ca="1">IFERROR(__xludf.DUMMYFUNCTION("""COMPUTED_VALUE"""),68)</f>
        <v>68</v>
      </c>
      <c r="B7" s="53" t="str">
        <f ca="1">IFERROR(__xludf.DUMMYFUNCTION("""COMPUTED_VALUE"""),"Mn TT Thần Đồng")</f>
        <v>Mn TT Thần Đồng</v>
      </c>
      <c r="C7" s="53" t="str">
        <f ca="1">IFERROR(__xludf.DUMMYFUNCTION("""COMPUTED_VALUE"""),"Mầm non")</f>
        <v>Mầm non</v>
      </c>
      <c r="D7" s="53" t="str">
        <f ca="1">IFERROR(__xludf.DUMMYFUNCTION("""COMPUTED_VALUE"""),"TÂN BÌNH")</f>
        <v>TÂN BÌNH</v>
      </c>
      <c r="E7" s="54">
        <f ca="1">IFERROR(__xludf.DUMMYFUNCTION("""COMPUTED_VALUE"""),18)</f>
        <v>18</v>
      </c>
      <c r="F7" s="54">
        <f ca="1">IFERROR(__xludf.DUMMYFUNCTION("""COMPUTED_VALUE"""),18)</f>
        <v>18</v>
      </c>
      <c r="G7" s="51">
        <f t="shared" ca="1" si="0"/>
        <v>1</v>
      </c>
      <c r="H7" s="54">
        <f ca="1">IFERROR(__xludf.DUMMYFUNCTION("""COMPUTED_VALUE"""),18)</f>
        <v>18</v>
      </c>
      <c r="I7" s="51">
        <f t="shared" ca="1" si="1"/>
        <v>1</v>
      </c>
      <c r="J7" s="54">
        <f ca="1">IFERROR(__xludf.DUMMYFUNCTION("""COMPUTED_VALUE"""),12)</f>
        <v>12</v>
      </c>
      <c r="K7" s="51">
        <f t="shared" ca="1" si="2"/>
        <v>0.66666666666666663</v>
      </c>
      <c r="L7" s="54">
        <f ca="1">IFERROR(__xludf.DUMMYFUNCTION("""COMPUTED_VALUE"""),1)</f>
        <v>1</v>
      </c>
      <c r="M7" s="51">
        <f t="shared" ca="1" si="3"/>
        <v>5.5555555555555552E-2</v>
      </c>
      <c r="N7" s="54">
        <f ca="1">IFERROR(__xludf.DUMMYFUNCTION("""COMPUTED_VALUE"""),90)</f>
        <v>90</v>
      </c>
      <c r="O7" s="54">
        <f ca="1">IFERROR(__xludf.DUMMYFUNCTION("""COMPUTED_VALUE"""),0)</f>
        <v>0</v>
      </c>
      <c r="P7" s="51">
        <f t="shared" ca="1" si="4"/>
        <v>0</v>
      </c>
      <c r="Q7" s="54">
        <f ca="1">IFERROR(__xludf.DUMMYFUNCTION("""COMPUTED_VALUE"""),0)</f>
        <v>0</v>
      </c>
      <c r="R7" s="51">
        <f t="shared" ca="1" si="5"/>
        <v>0</v>
      </c>
      <c r="S7" s="53"/>
      <c r="T7" s="53"/>
      <c r="U7" s="51" t="str">
        <f t="shared" si="6"/>
        <v/>
      </c>
      <c r="V7" s="53"/>
      <c r="W7" s="51" t="str">
        <f t="shared" si="7"/>
        <v/>
      </c>
      <c r="X7" s="53"/>
      <c r="Y7" s="51" t="str">
        <f t="shared" si="8"/>
        <v/>
      </c>
      <c r="Z7" s="2"/>
      <c r="AA7" s="2"/>
      <c r="AB7" s="2"/>
      <c r="AC7" s="2"/>
      <c r="AD7" s="2"/>
      <c r="AE7" s="2"/>
    </row>
    <row r="8" spans="1:31" ht="12.75" x14ac:dyDescent="0.2">
      <c r="A8" s="53">
        <f ca="1">IFERROR(__xludf.DUMMYFUNCTION("""COMPUTED_VALUE"""),69)</f>
        <v>69</v>
      </c>
      <c r="B8" s="53" t="str">
        <f ca="1">IFERROR(__xludf.DUMMYFUNCTION("""COMPUTED_VALUE"""),"Mn TT Trúc Huy")</f>
        <v>Mn TT Trúc Huy</v>
      </c>
      <c r="C8" s="53" t="str">
        <f ca="1">IFERROR(__xludf.DUMMYFUNCTION("""COMPUTED_VALUE"""),"Mầm non")</f>
        <v>Mầm non</v>
      </c>
      <c r="D8" s="53" t="str">
        <f ca="1">IFERROR(__xludf.DUMMYFUNCTION("""COMPUTED_VALUE"""),"TÂN BÌNH")</f>
        <v>TÂN BÌNH</v>
      </c>
      <c r="E8" s="54">
        <f ca="1">IFERROR(__xludf.DUMMYFUNCTION("""COMPUTED_VALUE"""),18)</f>
        <v>18</v>
      </c>
      <c r="F8" s="54">
        <f ca="1">IFERROR(__xludf.DUMMYFUNCTION("""COMPUTED_VALUE"""),18)</f>
        <v>18</v>
      </c>
      <c r="G8" s="51">
        <f t="shared" ca="1" si="0"/>
        <v>1</v>
      </c>
      <c r="H8" s="54">
        <f ca="1">IFERROR(__xludf.DUMMYFUNCTION("""COMPUTED_VALUE"""),18)</f>
        <v>18</v>
      </c>
      <c r="I8" s="51">
        <f t="shared" ca="1" si="1"/>
        <v>1</v>
      </c>
      <c r="J8" s="54">
        <f ca="1">IFERROR(__xludf.DUMMYFUNCTION("""COMPUTED_VALUE"""),18)</f>
        <v>18</v>
      </c>
      <c r="K8" s="51">
        <f t="shared" ca="1" si="2"/>
        <v>1</v>
      </c>
      <c r="L8" s="54">
        <f ca="1">IFERROR(__xludf.DUMMYFUNCTION("""COMPUTED_VALUE"""),1)</f>
        <v>1</v>
      </c>
      <c r="M8" s="51">
        <f t="shared" ca="1" si="3"/>
        <v>5.5555555555555552E-2</v>
      </c>
      <c r="N8" s="54">
        <f ca="1">IFERROR(__xludf.DUMMYFUNCTION("""COMPUTED_VALUE"""),33)</f>
        <v>33</v>
      </c>
      <c r="O8" s="54">
        <f ca="1">IFERROR(__xludf.DUMMYFUNCTION("""COMPUTED_VALUE"""),4)</f>
        <v>4</v>
      </c>
      <c r="P8" s="51">
        <f t="shared" ca="1" si="4"/>
        <v>0.12121212121212122</v>
      </c>
      <c r="Q8" s="54">
        <f ca="1">IFERROR(__xludf.DUMMYFUNCTION("""COMPUTED_VALUE"""),0)</f>
        <v>0</v>
      </c>
      <c r="R8" s="51">
        <f t="shared" ca="1" si="5"/>
        <v>0</v>
      </c>
      <c r="S8" s="53"/>
      <c r="T8" s="53"/>
      <c r="U8" s="51" t="str">
        <f t="shared" si="6"/>
        <v/>
      </c>
      <c r="V8" s="53"/>
      <c r="W8" s="51" t="str">
        <f t="shared" si="7"/>
        <v/>
      </c>
      <c r="X8" s="53"/>
      <c r="Y8" s="51" t="str">
        <f t="shared" si="8"/>
        <v/>
      </c>
      <c r="Z8" s="2"/>
      <c r="AA8" s="2"/>
      <c r="AB8" s="2"/>
      <c r="AC8" s="2"/>
      <c r="AD8" s="2"/>
      <c r="AE8" s="2"/>
    </row>
    <row r="9" spans="1:31" ht="12.75" x14ac:dyDescent="0.2">
      <c r="A9" s="53">
        <f ca="1">IFERROR(__xludf.DUMMYFUNCTION("""COMPUTED_VALUE"""),70)</f>
        <v>70</v>
      </c>
      <c r="B9" s="53" t="str">
        <f ca="1">IFERROR(__xludf.DUMMYFUNCTION("""COMPUTED_VALUE"""),"Mn TT Sơn Ca")</f>
        <v>Mn TT Sơn Ca</v>
      </c>
      <c r="C9" s="53" t="str">
        <f ca="1">IFERROR(__xludf.DUMMYFUNCTION("""COMPUTED_VALUE"""),"Mầm non")</f>
        <v>Mầm non</v>
      </c>
      <c r="D9" s="53" t="str">
        <f ca="1">IFERROR(__xludf.DUMMYFUNCTION("""COMPUTED_VALUE"""),"TÂN BÌNH")</f>
        <v>TÂN BÌNH</v>
      </c>
      <c r="E9" s="54">
        <f ca="1">IFERROR(__xludf.DUMMYFUNCTION("""COMPUTED_VALUE"""),22)</f>
        <v>22</v>
      </c>
      <c r="F9" s="54">
        <f ca="1">IFERROR(__xludf.DUMMYFUNCTION("""COMPUTED_VALUE"""),22)</f>
        <v>22</v>
      </c>
      <c r="G9" s="51">
        <f t="shared" ca="1" si="0"/>
        <v>1</v>
      </c>
      <c r="H9" s="54">
        <f ca="1">IFERROR(__xludf.DUMMYFUNCTION("""COMPUTED_VALUE"""),22)</f>
        <v>22</v>
      </c>
      <c r="I9" s="51">
        <f t="shared" ca="1" si="1"/>
        <v>1</v>
      </c>
      <c r="J9" s="54">
        <f ca="1">IFERROR(__xludf.DUMMYFUNCTION("""COMPUTED_VALUE"""),18)</f>
        <v>18</v>
      </c>
      <c r="K9" s="51">
        <f t="shared" ca="1" si="2"/>
        <v>0.81818181818181823</v>
      </c>
      <c r="L9" s="54">
        <f ca="1">IFERROR(__xludf.DUMMYFUNCTION("""COMPUTED_VALUE"""),6)</f>
        <v>6</v>
      </c>
      <c r="M9" s="51">
        <f t="shared" ca="1" si="3"/>
        <v>0.27272727272727271</v>
      </c>
      <c r="N9" s="54">
        <f ca="1">IFERROR(__xludf.DUMMYFUNCTION("""COMPUTED_VALUE"""),19)</f>
        <v>19</v>
      </c>
      <c r="O9" s="54">
        <f ca="1">IFERROR(__xludf.DUMMYFUNCTION("""COMPUTED_VALUE"""),4)</f>
        <v>4</v>
      </c>
      <c r="P9" s="51">
        <f t="shared" ca="1" si="4"/>
        <v>0.21052631578947367</v>
      </c>
      <c r="Q9" s="54">
        <f ca="1">IFERROR(__xludf.DUMMYFUNCTION("""COMPUTED_VALUE"""),1)</f>
        <v>1</v>
      </c>
      <c r="R9" s="51">
        <f t="shared" ca="1" si="5"/>
        <v>5.2631578947368418E-2</v>
      </c>
      <c r="S9" s="53"/>
      <c r="T9" s="53"/>
      <c r="U9" s="51" t="str">
        <f t="shared" si="6"/>
        <v/>
      </c>
      <c r="V9" s="53"/>
      <c r="W9" s="51" t="str">
        <f t="shared" si="7"/>
        <v/>
      </c>
      <c r="X9" s="53"/>
      <c r="Y9" s="51" t="str">
        <f t="shared" si="8"/>
        <v/>
      </c>
      <c r="Z9" s="2"/>
      <c r="AA9" s="2"/>
      <c r="AB9" s="2"/>
      <c r="AC9" s="2"/>
      <c r="AD9" s="2"/>
      <c r="AE9" s="2"/>
    </row>
    <row r="10" spans="1:31" ht="12.75" x14ac:dyDescent="0.2">
      <c r="A10" s="53">
        <f ca="1">IFERROR(__xludf.DUMMYFUNCTION("""COMPUTED_VALUE"""),71)</f>
        <v>71</v>
      </c>
      <c r="B10" s="53" t="str">
        <f ca="1">IFERROR(__xludf.DUMMYFUNCTION("""COMPUTED_VALUE"""),"Mn TT Tổ Ong Vàng")</f>
        <v>Mn TT Tổ Ong Vàng</v>
      </c>
      <c r="C10" s="53" t="str">
        <f ca="1">IFERROR(__xludf.DUMMYFUNCTION("""COMPUTED_VALUE"""),"Mầm non")</f>
        <v>Mầm non</v>
      </c>
      <c r="D10" s="53" t="str">
        <f ca="1">IFERROR(__xludf.DUMMYFUNCTION("""COMPUTED_VALUE"""),"TÂN BÌNH")</f>
        <v>TÂN BÌNH</v>
      </c>
      <c r="E10" s="54">
        <f ca="1">IFERROR(__xludf.DUMMYFUNCTION("""COMPUTED_VALUE"""),14)</f>
        <v>14</v>
      </c>
      <c r="F10" s="54">
        <f ca="1">IFERROR(__xludf.DUMMYFUNCTION("""COMPUTED_VALUE"""),14)</f>
        <v>14</v>
      </c>
      <c r="G10" s="51">
        <f t="shared" ca="1" si="0"/>
        <v>1</v>
      </c>
      <c r="H10" s="54">
        <f ca="1">IFERROR(__xludf.DUMMYFUNCTION("""COMPUTED_VALUE"""),13)</f>
        <v>13</v>
      </c>
      <c r="I10" s="51">
        <f t="shared" ca="1" si="1"/>
        <v>0.9285714285714286</v>
      </c>
      <c r="J10" s="54">
        <f ca="1">IFERROR(__xludf.DUMMYFUNCTION("""COMPUTED_VALUE"""),12)</f>
        <v>12</v>
      </c>
      <c r="K10" s="51">
        <f t="shared" ca="1" si="2"/>
        <v>0.8571428571428571</v>
      </c>
      <c r="L10" s="54">
        <f ca="1">IFERROR(__xludf.DUMMYFUNCTION("""COMPUTED_VALUE"""),0)</f>
        <v>0</v>
      </c>
      <c r="M10" s="51">
        <f t="shared" ca="1" si="3"/>
        <v>0</v>
      </c>
      <c r="N10" s="54">
        <f ca="1">IFERROR(__xludf.DUMMYFUNCTION("""COMPUTED_VALUE"""),6)</f>
        <v>6</v>
      </c>
      <c r="O10" s="54">
        <f ca="1">IFERROR(__xludf.DUMMYFUNCTION("""COMPUTED_VALUE"""),0)</f>
        <v>0</v>
      </c>
      <c r="P10" s="51">
        <f t="shared" ca="1" si="4"/>
        <v>0</v>
      </c>
      <c r="Q10" s="54">
        <f ca="1">IFERROR(__xludf.DUMMYFUNCTION("""COMPUTED_VALUE"""),0)</f>
        <v>0</v>
      </c>
      <c r="R10" s="51">
        <f t="shared" ca="1" si="5"/>
        <v>0</v>
      </c>
      <c r="S10" s="53"/>
      <c r="T10" s="53"/>
      <c r="U10" s="51" t="str">
        <f t="shared" si="6"/>
        <v/>
      </c>
      <c r="V10" s="53"/>
      <c r="W10" s="51" t="str">
        <f t="shared" si="7"/>
        <v/>
      </c>
      <c r="X10" s="53"/>
      <c r="Y10" s="51" t="str">
        <f t="shared" si="8"/>
        <v/>
      </c>
      <c r="Z10" s="2"/>
      <c r="AA10" s="2"/>
      <c r="AB10" s="2"/>
      <c r="AC10" s="2"/>
      <c r="AD10" s="2"/>
      <c r="AE10" s="2"/>
    </row>
    <row r="11" spans="1:31" ht="12.75" x14ac:dyDescent="0.2">
      <c r="A11" s="53">
        <f ca="1">IFERROR(__xludf.DUMMYFUNCTION("""COMPUTED_VALUE"""),72)</f>
        <v>72</v>
      </c>
      <c r="B11" s="53" t="str">
        <f ca="1">IFERROR(__xludf.DUMMYFUNCTION("""COMPUTED_VALUE"""),"Mn TT Trẻ Thơ")</f>
        <v>Mn TT Trẻ Thơ</v>
      </c>
      <c r="C11" s="53" t="str">
        <f ca="1">IFERROR(__xludf.DUMMYFUNCTION("""COMPUTED_VALUE"""),"Mầm non")</f>
        <v>Mầm non</v>
      </c>
      <c r="D11" s="53" t="str">
        <f ca="1">IFERROR(__xludf.DUMMYFUNCTION("""COMPUTED_VALUE"""),"TÂN BÌNH")</f>
        <v>TÂN BÌNH</v>
      </c>
      <c r="E11" s="54">
        <f ca="1">IFERROR(__xludf.DUMMYFUNCTION("""COMPUTED_VALUE"""),17)</f>
        <v>17</v>
      </c>
      <c r="F11" s="54">
        <f ca="1">IFERROR(__xludf.DUMMYFUNCTION("""COMPUTED_VALUE"""),17)</f>
        <v>17</v>
      </c>
      <c r="G11" s="51">
        <f t="shared" ca="1" si="0"/>
        <v>1</v>
      </c>
      <c r="H11" s="54">
        <f ca="1">IFERROR(__xludf.DUMMYFUNCTION("""COMPUTED_VALUE"""),17)</f>
        <v>17</v>
      </c>
      <c r="I11" s="51">
        <f t="shared" ca="1" si="1"/>
        <v>1</v>
      </c>
      <c r="J11" s="54">
        <f ca="1">IFERROR(__xludf.DUMMYFUNCTION("""COMPUTED_VALUE"""),16)</f>
        <v>16</v>
      </c>
      <c r="K11" s="51">
        <f t="shared" ca="1" si="2"/>
        <v>0.94117647058823528</v>
      </c>
      <c r="L11" s="54">
        <f ca="1">IFERROR(__xludf.DUMMYFUNCTION("""COMPUTED_VALUE"""),8)</f>
        <v>8</v>
      </c>
      <c r="M11" s="51">
        <f t="shared" ca="1" si="3"/>
        <v>0.47058823529411764</v>
      </c>
      <c r="N11" s="54">
        <f ca="1">IFERROR(__xludf.DUMMYFUNCTION("""COMPUTED_VALUE"""),10)</f>
        <v>10</v>
      </c>
      <c r="O11" s="54">
        <f ca="1">IFERROR(__xludf.DUMMYFUNCTION("""COMPUTED_VALUE"""),0)</f>
        <v>0</v>
      </c>
      <c r="P11" s="51">
        <f t="shared" ca="1" si="4"/>
        <v>0</v>
      </c>
      <c r="Q11" s="54">
        <f ca="1">IFERROR(__xludf.DUMMYFUNCTION("""COMPUTED_VALUE"""),0)</f>
        <v>0</v>
      </c>
      <c r="R11" s="51">
        <f t="shared" ca="1" si="5"/>
        <v>0</v>
      </c>
      <c r="S11" s="53"/>
      <c r="T11" s="53"/>
      <c r="U11" s="51" t="str">
        <f t="shared" si="6"/>
        <v/>
      </c>
      <c r="V11" s="53"/>
      <c r="W11" s="51" t="str">
        <f t="shared" si="7"/>
        <v/>
      </c>
      <c r="X11" s="53"/>
      <c r="Y11" s="51" t="str">
        <f t="shared" si="8"/>
        <v/>
      </c>
      <c r="Z11" s="2"/>
      <c r="AA11" s="2"/>
      <c r="AB11" s="2"/>
      <c r="AC11" s="2"/>
      <c r="AD11" s="2"/>
      <c r="AE11" s="2"/>
    </row>
    <row r="12" spans="1:31" ht="12.75" x14ac:dyDescent="0.2">
      <c r="A12" s="53">
        <f ca="1">IFERROR(__xludf.DUMMYFUNCTION("""COMPUTED_VALUE"""),73)</f>
        <v>73</v>
      </c>
      <c r="B12" s="53" t="str">
        <f ca="1">IFERROR(__xludf.DUMMYFUNCTION("""COMPUTED_VALUE"""),"Mn TT Lá Xanh")</f>
        <v>Mn TT Lá Xanh</v>
      </c>
      <c r="C12" s="53" t="str">
        <f ca="1">IFERROR(__xludf.DUMMYFUNCTION("""COMPUTED_VALUE"""),"Mầm non")</f>
        <v>Mầm non</v>
      </c>
      <c r="D12" s="53" t="str">
        <f ca="1">IFERROR(__xludf.DUMMYFUNCTION("""COMPUTED_VALUE"""),"TÂN BÌNH")</f>
        <v>TÂN BÌNH</v>
      </c>
      <c r="E12" s="54">
        <f ca="1">IFERROR(__xludf.DUMMYFUNCTION("""COMPUTED_VALUE"""),15)</f>
        <v>15</v>
      </c>
      <c r="F12" s="54">
        <f ca="1">IFERROR(__xludf.DUMMYFUNCTION("""COMPUTED_VALUE"""),15)</f>
        <v>15</v>
      </c>
      <c r="G12" s="51">
        <f t="shared" ca="1" si="0"/>
        <v>1</v>
      </c>
      <c r="H12" s="54">
        <f ca="1">IFERROR(__xludf.DUMMYFUNCTION("""COMPUTED_VALUE"""),15)</f>
        <v>15</v>
      </c>
      <c r="I12" s="51">
        <f t="shared" ca="1" si="1"/>
        <v>1</v>
      </c>
      <c r="J12" s="54">
        <f ca="1">IFERROR(__xludf.DUMMYFUNCTION("""COMPUTED_VALUE"""),15)</f>
        <v>15</v>
      </c>
      <c r="K12" s="51">
        <f t="shared" ca="1" si="2"/>
        <v>1</v>
      </c>
      <c r="L12" s="54">
        <f ca="1">IFERROR(__xludf.DUMMYFUNCTION("""COMPUTED_VALUE"""),0)</f>
        <v>0</v>
      </c>
      <c r="M12" s="51">
        <f t="shared" ca="1" si="3"/>
        <v>0</v>
      </c>
      <c r="N12" s="54">
        <f ca="1">IFERROR(__xludf.DUMMYFUNCTION("""COMPUTED_VALUE"""),12)</f>
        <v>12</v>
      </c>
      <c r="O12" s="54">
        <f ca="1">IFERROR(__xludf.DUMMYFUNCTION("""COMPUTED_VALUE"""),0)</f>
        <v>0</v>
      </c>
      <c r="P12" s="51">
        <f t="shared" ca="1" si="4"/>
        <v>0</v>
      </c>
      <c r="Q12" s="54">
        <f ca="1">IFERROR(__xludf.DUMMYFUNCTION("""COMPUTED_VALUE"""),0)</f>
        <v>0</v>
      </c>
      <c r="R12" s="51">
        <f t="shared" ca="1" si="5"/>
        <v>0</v>
      </c>
      <c r="S12" s="53"/>
      <c r="T12" s="53"/>
      <c r="U12" s="51" t="str">
        <f t="shared" si="6"/>
        <v/>
      </c>
      <c r="V12" s="53"/>
      <c r="W12" s="51" t="str">
        <f t="shared" si="7"/>
        <v/>
      </c>
      <c r="X12" s="53"/>
      <c r="Y12" s="51" t="str">
        <f t="shared" si="8"/>
        <v/>
      </c>
      <c r="Z12" s="2"/>
      <c r="AA12" s="2"/>
      <c r="AB12" s="2"/>
      <c r="AC12" s="2"/>
      <c r="AD12" s="2"/>
      <c r="AE12" s="2"/>
    </row>
    <row r="13" spans="1:31" ht="12.75" x14ac:dyDescent="0.2">
      <c r="A13" s="53">
        <f ca="1">IFERROR(__xludf.DUMMYFUNCTION("""COMPUTED_VALUE"""),74)</f>
        <v>74</v>
      </c>
      <c r="B13" s="53" t="str">
        <f ca="1">IFERROR(__xludf.DUMMYFUNCTION("""COMPUTED_VALUE"""),"Mn TT Bích Trúc")</f>
        <v>Mn TT Bích Trúc</v>
      </c>
      <c r="C13" s="53" t="str">
        <f ca="1">IFERROR(__xludf.DUMMYFUNCTION("""COMPUTED_VALUE"""),"Mầm non")</f>
        <v>Mầm non</v>
      </c>
      <c r="D13" s="53" t="str">
        <f ca="1">IFERROR(__xludf.DUMMYFUNCTION("""COMPUTED_VALUE"""),"TÂN BÌNH")</f>
        <v>TÂN BÌNH</v>
      </c>
      <c r="E13" s="54">
        <f ca="1">IFERROR(__xludf.DUMMYFUNCTION("""COMPUTED_VALUE"""),16)</f>
        <v>16</v>
      </c>
      <c r="F13" s="54">
        <f ca="1">IFERROR(__xludf.DUMMYFUNCTION("""COMPUTED_VALUE"""),16)</f>
        <v>16</v>
      </c>
      <c r="G13" s="51">
        <f t="shared" ca="1" si="0"/>
        <v>1</v>
      </c>
      <c r="H13" s="54">
        <f ca="1">IFERROR(__xludf.DUMMYFUNCTION("""COMPUTED_VALUE"""),16)</f>
        <v>16</v>
      </c>
      <c r="I13" s="51">
        <f t="shared" ca="1" si="1"/>
        <v>1</v>
      </c>
      <c r="J13" s="54">
        <f ca="1">IFERROR(__xludf.DUMMYFUNCTION("""COMPUTED_VALUE"""),13)</f>
        <v>13</v>
      </c>
      <c r="K13" s="51">
        <f t="shared" ca="1" si="2"/>
        <v>0.8125</v>
      </c>
      <c r="L13" s="54">
        <f ca="1">IFERROR(__xludf.DUMMYFUNCTION("""COMPUTED_VALUE"""),0)</f>
        <v>0</v>
      </c>
      <c r="M13" s="51">
        <f t="shared" ca="1" si="3"/>
        <v>0</v>
      </c>
      <c r="N13" s="54">
        <f ca="1">IFERROR(__xludf.DUMMYFUNCTION("""COMPUTED_VALUE"""),22)</f>
        <v>22</v>
      </c>
      <c r="O13" s="54">
        <f ca="1">IFERROR(__xludf.DUMMYFUNCTION("""COMPUTED_VALUE"""),1)</f>
        <v>1</v>
      </c>
      <c r="P13" s="51">
        <f t="shared" ca="1" si="4"/>
        <v>4.5454545454545456E-2</v>
      </c>
      <c r="Q13" s="54">
        <f ca="1">IFERROR(__xludf.DUMMYFUNCTION("""COMPUTED_VALUE"""),0)</f>
        <v>0</v>
      </c>
      <c r="R13" s="51">
        <f t="shared" ca="1" si="5"/>
        <v>0</v>
      </c>
      <c r="S13" s="53"/>
      <c r="T13" s="53"/>
      <c r="U13" s="51" t="str">
        <f t="shared" si="6"/>
        <v/>
      </c>
      <c r="V13" s="53"/>
      <c r="W13" s="51" t="str">
        <f t="shared" si="7"/>
        <v/>
      </c>
      <c r="X13" s="53"/>
      <c r="Y13" s="51" t="str">
        <f t="shared" si="8"/>
        <v/>
      </c>
      <c r="Z13" s="2"/>
      <c r="AA13" s="2"/>
      <c r="AB13" s="2"/>
      <c r="AC13" s="2"/>
      <c r="AD13" s="2"/>
      <c r="AE13" s="2"/>
    </row>
    <row r="14" spans="1:31" ht="12.75" x14ac:dyDescent="0.2">
      <c r="A14" s="53">
        <f ca="1">IFERROR(__xludf.DUMMYFUNCTION("""COMPUTED_VALUE"""),75)</f>
        <v>75</v>
      </c>
      <c r="B14" s="53" t="str">
        <f ca="1">IFERROR(__xludf.DUMMYFUNCTION("""COMPUTED_VALUE"""),"Mn TT Tuổi Thơ")</f>
        <v>Mn TT Tuổi Thơ</v>
      </c>
      <c r="C14" s="53" t="str">
        <f ca="1">IFERROR(__xludf.DUMMYFUNCTION("""COMPUTED_VALUE"""),"Mầm non")</f>
        <v>Mầm non</v>
      </c>
      <c r="D14" s="53" t="str">
        <f ca="1">IFERROR(__xludf.DUMMYFUNCTION("""COMPUTED_VALUE"""),"TÂN BÌNH")</f>
        <v>TÂN BÌNH</v>
      </c>
      <c r="E14" s="54">
        <f ca="1">IFERROR(__xludf.DUMMYFUNCTION("""COMPUTED_VALUE"""),14)</f>
        <v>14</v>
      </c>
      <c r="F14" s="54">
        <f ca="1">IFERROR(__xludf.DUMMYFUNCTION("""COMPUTED_VALUE"""),14)</f>
        <v>14</v>
      </c>
      <c r="G14" s="51">
        <f t="shared" ca="1" si="0"/>
        <v>1</v>
      </c>
      <c r="H14" s="54">
        <f ca="1">IFERROR(__xludf.DUMMYFUNCTION("""COMPUTED_VALUE"""),14)</f>
        <v>14</v>
      </c>
      <c r="I14" s="51">
        <f t="shared" ca="1" si="1"/>
        <v>1</v>
      </c>
      <c r="J14" s="54">
        <f ca="1">IFERROR(__xludf.DUMMYFUNCTION("""COMPUTED_VALUE"""),12)</f>
        <v>12</v>
      </c>
      <c r="K14" s="51">
        <f t="shared" ca="1" si="2"/>
        <v>0.8571428571428571</v>
      </c>
      <c r="L14" s="54">
        <f ca="1">IFERROR(__xludf.DUMMYFUNCTION("""COMPUTED_VALUE"""),1)</f>
        <v>1</v>
      </c>
      <c r="M14" s="51">
        <f t="shared" ca="1" si="3"/>
        <v>7.1428571428571425E-2</v>
      </c>
      <c r="N14" s="54">
        <f ca="1">IFERROR(__xludf.DUMMYFUNCTION("""COMPUTED_VALUE"""),25)</f>
        <v>25</v>
      </c>
      <c r="O14" s="54">
        <f ca="1">IFERROR(__xludf.DUMMYFUNCTION("""COMPUTED_VALUE"""),3)</f>
        <v>3</v>
      </c>
      <c r="P14" s="51">
        <f t="shared" ca="1" si="4"/>
        <v>0.12</v>
      </c>
      <c r="Q14" s="54">
        <f ca="1">IFERROR(__xludf.DUMMYFUNCTION("""COMPUTED_VALUE"""),3)</f>
        <v>3</v>
      </c>
      <c r="R14" s="51">
        <f t="shared" ca="1" si="5"/>
        <v>0.12</v>
      </c>
      <c r="S14" s="53"/>
      <c r="T14" s="53"/>
      <c r="U14" s="51" t="str">
        <f t="shared" si="6"/>
        <v/>
      </c>
      <c r="V14" s="53"/>
      <c r="W14" s="51" t="str">
        <f t="shared" si="7"/>
        <v/>
      </c>
      <c r="X14" s="53"/>
      <c r="Y14" s="51" t="str">
        <f t="shared" si="8"/>
        <v/>
      </c>
      <c r="Z14" s="2"/>
      <c r="AA14" s="2"/>
      <c r="AB14" s="2"/>
      <c r="AC14" s="2"/>
      <c r="AD14" s="2"/>
      <c r="AE14" s="2"/>
    </row>
    <row r="15" spans="1:31" ht="12.75" x14ac:dyDescent="0.2">
      <c r="A15" s="53">
        <f ca="1">IFERROR(__xludf.DUMMYFUNCTION("""COMPUTED_VALUE"""),76)</f>
        <v>76</v>
      </c>
      <c r="B15" s="53" t="str">
        <f ca="1">IFERROR(__xludf.DUMMYFUNCTION("""COMPUTED_VALUE"""),"Mn TT Mi Mon")</f>
        <v>Mn TT Mi Mon</v>
      </c>
      <c r="C15" s="53" t="str">
        <f ca="1">IFERROR(__xludf.DUMMYFUNCTION("""COMPUTED_VALUE"""),"Mầm non")</f>
        <v>Mầm non</v>
      </c>
      <c r="D15" s="53" t="str">
        <f ca="1">IFERROR(__xludf.DUMMYFUNCTION("""COMPUTED_VALUE"""),"TÂN BÌNH")</f>
        <v>TÂN BÌNH</v>
      </c>
      <c r="E15" s="54">
        <f ca="1">IFERROR(__xludf.DUMMYFUNCTION("""COMPUTED_VALUE"""),16)</f>
        <v>16</v>
      </c>
      <c r="F15" s="54">
        <f ca="1">IFERROR(__xludf.DUMMYFUNCTION("""COMPUTED_VALUE"""),16)</f>
        <v>16</v>
      </c>
      <c r="G15" s="51">
        <f t="shared" ca="1" si="0"/>
        <v>1</v>
      </c>
      <c r="H15" s="54">
        <f ca="1">IFERROR(__xludf.DUMMYFUNCTION("""COMPUTED_VALUE"""),16)</f>
        <v>16</v>
      </c>
      <c r="I15" s="51">
        <f t="shared" ca="1" si="1"/>
        <v>1</v>
      </c>
      <c r="J15" s="54">
        <f ca="1">IFERROR(__xludf.DUMMYFUNCTION("""COMPUTED_VALUE"""),16)</f>
        <v>16</v>
      </c>
      <c r="K15" s="51">
        <f t="shared" ca="1" si="2"/>
        <v>1</v>
      </c>
      <c r="L15" s="54">
        <f ca="1">IFERROR(__xludf.DUMMYFUNCTION("""COMPUTED_VALUE"""),1)</f>
        <v>1</v>
      </c>
      <c r="M15" s="51">
        <f t="shared" ca="1" si="3"/>
        <v>6.25E-2</v>
      </c>
      <c r="N15" s="54">
        <f ca="1">IFERROR(__xludf.DUMMYFUNCTION("""COMPUTED_VALUE"""),12)</f>
        <v>12</v>
      </c>
      <c r="O15" s="54">
        <f ca="1">IFERROR(__xludf.DUMMYFUNCTION("""COMPUTED_VALUE"""),0)</f>
        <v>0</v>
      </c>
      <c r="P15" s="51">
        <f t="shared" ca="1" si="4"/>
        <v>0</v>
      </c>
      <c r="Q15" s="54">
        <f ca="1">IFERROR(__xludf.DUMMYFUNCTION("""COMPUTED_VALUE"""),0)</f>
        <v>0</v>
      </c>
      <c r="R15" s="51">
        <f t="shared" ca="1" si="5"/>
        <v>0</v>
      </c>
      <c r="S15" s="53"/>
      <c r="T15" s="53"/>
      <c r="U15" s="51" t="str">
        <f t="shared" si="6"/>
        <v/>
      </c>
      <c r="V15" s="53"/>
      <c r="W15" s="51" t="str">
        <f t="shared" si="7"/>
        <v/>
      </c>
      <c r="X15" s="53"/>
      <c r="Y15" s="51" t="str">
        <f t="shared" si="8"/>
        <v/>
      </c>
      <c r="Z15" s="2"/>
      <c r="AA15" s="2"/>
      <c r="AB15" s="2"/>
      <c r="AC15" s="2"/>
      <c r="AD15" s="2"/>
      <c r="AE15" s="2"/>
    </row>
    <row r="16" spans="1:31" ht="12.75" x14ac:dyDescent="0.2">
      <c r="A16" s="53">
        <f ca="1">IFERROR(__xludf.DUMMYFUNCTION("""COMPUTED_VALUE"""),77)</f>
        <v>77</v>
      </c>
      <c r="B16" s="53" t="str">
        <f ca="1">IFERROR(__xludf.DUMMYFUNCTION("""COMPUTED_VALUE"""),"Mn TT Bé Tài Năng")</f>
        <v>Mn TT Bé Tài Năng</v>
      </c>
      <c r="C16" s="53" t="str">
        <f ca="1">IFERROR(__xludf.DUMMYFUNCTION("""COMPUTED_VALUE"""),"Mầm non")</f>
        <v>Mầm non</v>
      </c>
      <c r="D16" s="53" t="str">
        <f ca="1">IFERROR(__xludf.DUMMYFUNCTION("""COMPUTED_VALUE"""),"TÂN BÌNH")</f>
        <v>TÂN BÌNH</v>
      </c>
      <c r="E16" s="54">
        <f ca="1">IFERROR(__xludf.DUMMYFUNCTION("""COMPUTED_VALUE"""),17)</f>
        <v>17</v>
      </c>
      <c r="F16" s="54">
        <f ca="1">IFERROR(__xludf.DUMMYFUNCTION("""COMPUTED_VALUE"""),17)</f>
        <v>17</v>
      </c>
      <c r="G16" s="51">
        <f t="shared" ca="1" si="0"/>
        <v>1</v>
      </c>
      <c r="H16" s="54">
        <f ca="1">IFERROR(__xludf.DUMMYFUNCTION("""COMPUTED_VALUE"""),17)</f>
        <v>17</v>
      </c>
      <c r="I16" s="51">
        <f t="shared" ca="1" si="1"/>
        <v>1</v>
      </c>
      <c r="J16" s="54">
        <f ca="1">IFERROR(__xludf.DUMMYFUNCTION("""COMPUTED_VALUE"""),12)</f>
        <v>12</v>
      </c>
      <c r="K16" s="51">
        <f t="shared" ca="1" si="2"/>
        <v>0.70588235294117652</v>
      </c>
      <c r="L16" s="54">
        <f ca="1">IFERROR(__xludf.DUMMYFUNCTION("""COMPUTED_VALUE"""),0)</f>
        <v>0</v>
      </c>
      <c r="M16" s="51">
        <f t="shared" ca="1" si="3"/>
        <v>0</v>
      </c>
      <c r="N16" s="54">
        <f ca="1">IFERROR(__xludf.DUMMYFUNCTION("""COMPUTED_VALUE"""),13)</f>
        <v>13</v>
      </c>
      <c r="O16" s="54">
        <f ca="1">IFERROR(__xludf.DUMMYFUNCTION("""COMPUTED_VALUE"""),3)</f>
        <v>3</v>
      </c>
      <c r="P16" s="51">
        <f t="shared" ca="1" si="4"/>
        <v>0.23076923076923078</v>
      </c>
      <c r="Q16" s="54">
        <f ca="1">IFERROR(__xludf.DUMMYFUNCTION("""COMPUTED_VALUE"""),1)</f>
        <v>1</v>
      </c>
      <c r="R16" s="51">
        <f t="shared" ca="1" si="5"/>
        <v>7.6923076923076927E-2</v>
      </c>
      <c r="S16" s="53"/>
      <c r="T16" s="53"/>
      <c r="U16" s="51" t="str">
        <f t="shared" si="6"/>
        <v/>
      </c>
      <c r="V16" s="53"/>
      <c r="W16" s="51" t="str">
        <f t="shared" si="7"/>
        <v/>
      </c>
      <c r="X16" s="53"/>
      <c r="Y16" s="51" t="str">
        <f t="shared" si="8"/>
        <v/>
      </c>
      <c r="Z16" s="2"/>
      <c r="AA16" s="2"/>
      <c r="AB16" s="2"/>
      <c r="AC16" s="2"/>
      <c r="AD16" s="2"/>
      <c r="AE16" s="2"/>
    </row>
    <row r="17" spans="1:31" ht="12.75" x14ac:dyDescent="0.2">
      <c r="A17" s="53">
        <f ca="1">IFERROR(__xludf.DUMMYFUNCTION("""COMPUTED_VALUE"""),78)</f>
        <v>78</v>
      </c>
      <c r="B17" s="53" t="str">
        <f ca="1">IFERROR(__xludf.DUMMYFUNCTION("""COMPUTED_VALUE"""),"Mn TT Vườn Yêu Thương")</f>
        <v>Mn TT Vườn Yêu Thương</v>
      </c>
      <c r="C17" s="53" t="str">
        <f ca="1">IFERROR(__xludf.DUMMYFUNCTION("""COMPUTED_VALUE"""),"Mầm non")</f>
        <v>Mầm non</v>
      </c>
      <c r="D17" s="53" t="str">
        <f ca="1">IFERROR(__xludf.DUMMYFUNCTION("""COMPUTED_VALUE"""),"TÂN BÌNH")</f>
        <v>TÂN BÌNH</v>
      </c>
      <c r="E17" s="54">
        <f ca="1">IFERROR(__xludf.DUMMYFUNCTION("""COMPUTED_VALUE"""),13)</f>
        <v>13</v>
      </c>
      <c r="F17" s="54">
        <f ca="1">IFERROR(__xludf.DUMMYFUNCTION("""COMPUTED_VALUE"""),13)</f>
        <v>13</v>
      </c>
      <c r="G17" s="51">
        <f t="shared" ca="1" si="0"/>
        <v>1</v>
      </c>
      <c r="H17" s="54">
        <f ca="1">IFERROR(__xludf.DUMMYFUNCTION("""COMPUTED_VALUE"""),13)</f>
        <v>13</v>
      </c>
      <c r="I17" s="51">
        <f t="shared" ca="1" si="1"/>
        <v>1</v>
      </c>
      <c r="J17" s="54">
        <f ca="1">IFERROR(__xludf.DUMMYFUNCTION("""COMPUTED_VALUE"""),13)</f>
        <v>13</v>
      </c>
      <c r="K17" s="51">
        <f t="shared" ca="1" si="2"/>
        <v>1</v>
      </c>
      <c r="L17" s="54">
        <f ca="1">IFERROR(__xludf.DUMMYFUNCTION("""COMPUTED_VALUE"""),10)</f>
        <v>10</v>
      </c>
      <c r="M17" s="51">
        <f t="shared" ca="1" si="3"/>
        <v>0.76923076923076927</v>
      </c>
      <c r="N17" s="54">
        <f ca="1">IFERROR(__xludf.DUMMYFUNCTION("""COMPUTED_VALUE"""),18)</f>
        <v>18</v>
      </c>
      <c r="O17" s="54">
        <f ca="1">IFERROR(__xludf.DUMMYFUNCTION("""COMPUTED_VALUE"""),2)</f>
        <v>2</v>
      </c>
      <c r="P17" s="51">
        <f t="shared" ca="1" si="4"/>
        <v>0.1111111111111111</v>
      </c>
      <c r="Q17" s="54">
        <f ca="1">IFERROR(__xludf.DUMMYFUNCTION("""COMPUTED_VALUE"""),0)</f>
        <v>0</v>
      </c>
      <c r="R17" s="51">
        <f t="shared" ca="1" si="5"/>
        <v>0</v>
      </c>
      <c r="S17" s="53"/>
      <c r="T17" s="53"/>
      <c r="U17" s="51" t="str">
        <f t="shared" si="6"/>
        <v/>
      </c>
      <c r="V17" s="53"/>
      <c r="W17" s="51" t="str">
        <f t="shared" si="7"/>
        <v/>
      </c>
      <c r="X17" s="53"/>
      <c r="Y17" s="51" t="str">
        <f t="shared" si="8"/>
        <v/>
      </c>
      <c r="Z17" s="2"/>
      <c r="AA17" s="2"/>
      <c r="AB17" s="2"/>
      <c r="AC17" s="2"/>
      <c r="AD17" s="2"/>
      <c r="AE17" s="2"/>
    </row>
    <row r="18" spans="1:31" ht="12.75" x14ac:dyDescent="0.2">
      <c r="A18" s="53">
        <f ca="1">IFERROR(__xludf.DUMMYFUNCTION("""COMPUTED_VALUE"""),79)</f>
        <v>79</v>
      </c>
      <c r="B18" s="53" t="str">
        <f ca="1">IFERROR(__xludf.DUMMYFUNCTION("""COMPUTED_VALUE"""),"Mg TT Hương Hồng")</f>
        <v>Mg TT Hương Hồng</v>
      </c>
      <c r="C18" s="53" t="str">
        <f ca="1">IFERROR(__xludf.DUMMYFUNCTION("""COMPUTED_VALUE"""),"Mầm non")</f>
        <v>Mầm non</v>
      </c>
      <c r="D18" s="53" t="str">
        <f ca="1">IFERROR(__xludf.DUMMYFUNCTION("""COMPUTED_VALUE"""),"TÂN BÌNH")</f>
        <v>TÂN BÌNH</v>
      </c>
      <c r="E18" s="54">
        <f ca="1">IFERROR(__xludf.DUMMYFUNCTION("""COMPUTED_VALUE"""),45)</f>
        <v>45</v>
      </c>
      <c r="F18" s="54">
        <f ca="1">IFERROR(__xludf.DUMMYFUNCTION("""COMPUTED_VALUE"""),45)</f>
        <v>45</v>
      </c>
      <c r="G18" s="51">
        <f t="shared" ca="1" si="0"/>
        <v>1</v>
      </c>
      <c r="H18" s="54">
        <f ca="1">IFERROR(__xludf.DUMMYFUNCTION("""COMPUTED_VALUE"""),45)</f>
        <v>45</v>
      </c>
      <c r="I18" s="51">
        <f t="shared" ca="1" si="1"/>
        <v>1</v>
      </c>
      <c r="J18" s="54">
        <f ca="1">IFERROR(__xludf.DUMMYFUNCTION("""COMPUTED_VALUE"""),45)</f>
        <v>45</v>
      </c>
      <c r="K18" s="51">
        <f t="shared" ca="1" si="2"/>
        <v>1</v>
      </c>
      <c r="L18" s="54">
        <f ca="1">IFERROR(__xludf.DUMMYFUNCTION("""COMPUTED_VALUE"""),0)</f>
        <v>0</v>
      </c>
      <c r="M18" s="51">
        <f t="shared" ca="1" si="3"/>
        <v>0</v>
      </c>
      <c r="N18" s="54">
        <f ca="1">IFERROR(__xludf.DUMMYFUNCTION("""COMPUTED_VALUE"""),144)</f>
        <v>144</v>
      </c>
      <c r="O18" s="54">
        <f ca="1">IFERROR(__xludf.DUMMYFUNCTION("""COMPUTED_VALUE"""),15)</f>
        <v>15</v>
      </c>
      <c r="P18" s="51">
        <f t="shared" ca="1" si="4"/>
        <v>0.10416666666666667</v>
      </c>
      <c r="Q18" s="54">
        <f ca="1">IFERROR(__xludf.DUMMYFUNCTION("""COMPUTED_VALUE"""),5)</f>
        <v>5</v>
      </c>
      <c r="R18" s="51">
        <f t="shared" ca="1" si="5"/>
        <v>3.4722222222222224E-2</v>
      </c>
      <c r="S18" s="53"/>
      <c r="T18" s="53"/>
      <c r="U18" s="51" t="str">
        <f t="shared" si="6"/>
        <v/>
      </c>
      <c r="V18" s="53"/>
      <c r="W18" s="51" t="str">
        <f t="shared" si="7"/>
        <v/>
      </c>
      <c r="X18" s="53"/>
      <c r="Y18" s="51" t="str">
        <f t="shared" si="8"/>
        <v/>
      </c>
      <c r="Z18" s="2"/>
      <c r="AA18" s="2"/>
      <c r="AB18" s="2"/>
      <c r="AC18" s="2"/>
      <c r="AD18" s="2"/>
      <c r="AE18" s="2"/>
    </row>
    <row r="19" spans="1:31" ht="12.75" x14ac:dyDescent="0.2">
      <c r="A19" s="53">
        <f ca="1">IFERROR(__xludf.DUMMYFUNCTION("""COMPUTED_VALUE"""),80)</f>
        <v>80</v>
      </c>
      <c r="B19" s="53" t="str">
        <f ca="1">IFERROR(__xludf.DUMMYFUNCTION("""COMPUTED_VALUE"""),"Mn TT Ánh Sáng")</f>
        <v>Mn TT Ánh Sáng</v>
      </c>
      <c r="C19" s="53" t="str">
        <f ca="1">IFERROR(__xludf.DUMMYFUNCTION("""COMPUTED_VALUE"""),"Mầm non")</f>
        <v>Mầm non</v>
      </c>
      <c r="D19" s="53" t="str">
        <f ca="1">IFERROR(__xludf.DUMMYFUNCTION("""COMPUTED_VALUE"""),"TÂN BÌNH")</f>
        <v>TÂN BÌNH</v>
      </c>
      <c r="E19" s="54">
        <f ca="1">IFERROR(__xludf.DUMMYFUNCTION("""COMPUTED_VALUE"""),44)</f>
        <v>44</v>
      </c>
      <c r="F19" s="54">
        <f ca="1">IFERROR(__xludf.DUMMYFUNCTION("""COMPUTED_VALUE"""),44)</f>
        <v>44</v>
      </c>
      <c r="G19" s="51">
        <f t="shared" ca="1" si="0"/>
        <v>1</v>
      </c>
      <c r="H19" s="54">
        <f ca="1">IFERROR(__xludf.DUMMYFUNCTION("""COMPUTED_VALUE"""),44)</f>
        <v>44</v>
      </c>
      <c r="I19" s="51">
        <f t="shared" ca="1" si="1"/>
        <v>1</v>
      </c>
      <c r="J19" s="54">
        <f ca="1">IFERROR(__xludf.DUMMYFUNCTION("""COMPUTED_VALUE"""),37)</f>
        <v>37</v>
      </c>
      <c r="K19" s="51">
        <f t="shared" ca="1" si="2"/>
        <v>0.84090909090909094</v>
      </c>
      <c r="L19" s="54">
        <f ca="1">IFERROR(__xludf.DUMMYFUNCTION("""COMPUTED_VALUE"""),2)</f>
        <v>2</v>
      </c>
      <c r="M19" s="51">
        <f t="shared" ca="1" si="3"/>
        <v>4.5454545454545456E-2</v>
      </c>
      <c r="N19" s="54">
        <f ca="1">IFERROR(__xludf.DUMMYFUNCTION("""COMPUTED_VALUE"""),131)</f>
        <v>131</v>
      </c>
      <c r="O19" s="54">
        <f ca="1">IFERROR(__xludf.DUMMYFUNCTION("""COMPUTED_VALUE"""),5)</f>
        <v>5</v>
      </c>
      <c r="P19" s="51">
        <f t="shared" ca="1" si="4"/>
        <v>3.8167938931297711E-2</v>
      </c>
      <c r="Q19" s="54">
        <f ca="1">IFERROR(__xludf.DUMMYFUNCTION("""COMPUTED_VALUE"""),4)</f>
        <v>4</v>
      </c>
      <c r="R19" s="51">
        <f t="shared" ca="1" si="5"/>
        <v>3.0534351145038167E-2</v>
      </c>
      <c r="S19" s="53"/>
      <c r="T19" s="53"/>
      <c r="U19" s="51" t="str">
        <f t="shared" si="6"/>
        <v/>
      </c>
      <c r="V19" s="53"/>
      <c r="W19" s="51" t="str">
        <f t="shared" si="7"/>
        <v/>
      </c>
      <c r="X19" s="53"/>
      <c r="Y19" s="51" t="str">
        <f t="shared" si="8"/>
        <v/>
      </c>
      <c r="Z19" s="2"/>
      <c r="AA19" s="2"/>
      <c r="AB19" s="2"/>
      <c r="AC19" s="2"/>
      <c r="AD19" s="2"/>
      <c r="AE19" s="2"/>
    </row>
    <row r="20" spans="1:31" ht="12.75" x14ac:dyDescent="0.2">
      <c r="A20" s="53">
        <f ca="1">IFERROR(__xludf.DUMMYFUNCTION("""COMPUTED_VALUE"""),81)</f>
        <v>81</v>
      </c>
      <c r="B20" s="53" t="str">
        <f ca="1">IFERROR(__xludf.DUMMYFUNCTION("""COMPUTED_VALUE"""),"Mn TT Bambi-k300")</f>
        <v>Mn TT Bambi-k300</v>
      </c>
      <c r="C20" s="53" t="str">
        <f ca="1">IFERROR(__xludf.DUMMYFUNCTION("""COMPUTED_VALUE"""),"Mầm non")</f>
        <v>Mầm non</v>
      </c>
      <c r="D20" s="53" t="str">
        <f ca="1">IFERROR(__xludf.DUMMYFUNCTION("""COMPUTED_VALUE"""),"TÂN BÌNH")</f>
        <v>TÂN BÌNH</v>
      </c>
      <c r="E20" s="54">
        <f ca="1">IFERROR(__xludf.DUMMYFUNCTION("""COMPUTED_VALUE"""),63)</f>
        <v>63</v>
      </c>
      <c r="F20" s="54">
        <f ca="1">IFERROR(__xludf.DUMMYFUNCTION("""COMPUTED_VALUE"""),63)</f>
        <v>63</v>
      </c>
      <c r="G20" s="51">
        <f t="shared" ca="1" si="0"/>
        <v>1</v>
      </c>
      <c r="H20" s="54">
        <f ca="1">IFERROR(__xludf.DUMMYFUNCTION("""COMPUTED_VALUE"""),63)</f>
        <v>63</v>
      </c>
      <c r="I20" s="51">
        <f t="shared" ca="1" si="1"/>
        <v>1</v>
      </c>
      <c r="J20" s="54">
        <f ca="1">IFERROR(__xludf.DUMMYFUNCTION("""COMPUTED_VALUE"""),63)</f>
        <v>63</v>
      </c>
      <c r="K20" s="51">
        <f t="shared" ca="1" si="2"/>
        <v>1</v>
      </c>
      <c r="L20" s="54">
        <f ca="1">IFERROR(__xludf.DUMMYFUNCTION("""COMPUTED_VALUE"""),13)</f>
        <v>13</v>
      </c>
      <c r="M20" s="51">
        <f t="shared" ca="1" si="3"/>
        <v>0.20634920634920634</v>
      </c>
      <c r="N20" s="54">
        <f ca="1">IFERROR(__xludf.DUMMYFUNCTION("""COMPUTED_VALUE"""),89)</f>
        <v>89</v>
      </c>
      <c r="O20" s="54">
        <f ca="1">IFERROR(__xludf.DUMMYFUNCTION("""COMPUTED_VALUE"""),0)</f>
        <v>0</v>
      </c>
      <c r="P20" s="51">
        <f t="shared" ca="1" si="4"/>
        <v>0</v>
      </c>
      <c r="Q20" s="54">
        <f ca="1">IFERROR(__xludf.DUMMYFUNCTION("""COMPUTED_VALUE"""),0)</f>
        <v>0</v>
      </c>
      <c r="R20" s="51">
        <f t="shared" ca="1" si="5"/>
        <v>0</v>
      </c>
      <c r="S20" s="53"/>
      <c r="T20" s="53"/>
      <c r="U20" s="51" t="str">
        <f t="shared" si="6"/>
        <v/>
      </c>
      <c r="V20" s="53"/>
      <c r="W20" s="51" t="str">
        <f t="shared" si="7"/>
        <v/>
      </c>
      <c r="X20" s="53"/>
      <c r="Y20" s="51" t="str">
        <f t="shared" si="8"/>
        <v/>
      </c>
      <c r="Z20" s="2"/>
      <c r="AA20" s="2"/>
      <c r="AB20" s="2"/>
      <c r="AC20" s="2"/>
      <c r="AD20" s="2"/>
      <c r="AE20" s="2"/>
    </row>
    <row r="21" spans="1:31" ht="12.75" x14ac:dyDescent="0.2">
      <c r="A21" s="53">
        <f ca="1">IFERROR(__xludf.DUMMYFUNCTION("""COMPUTED_VALUE"""),82)</f>
        <v>82</v>
      </c>
      <c r="B21" s="53" t="str">
        <f ca="1">IFERROR(__xludf.DUMMYFUNCTION("""COMPUTED_VALUE"""),"Mn TT Học Viện Sài Gòn")</f>
        <v>Mn TT Học Viện Sài Gòn</v>
      </c>
      <c r="C21" s="53" t="str">
        <f ca="1">IFERROR(__xludf.DUMMYFUNCTION("""COMPUTED_VALUE"""),"Mầm non")</f>
        <v>Mầm non</v>
      </c>
      <c r="D21" s="53" t="str">
        <f ca="1">IFERROR(__xludf.DUMMYFUNCTION("""COMPUTED_VALUE"""),"TÂN BÌNH")</f>
        <v>TÂN BÌNH</v>
      </c>
      <c r="E21" s="54">
        <f ca="1">IFERROR(__xludf.DUMMYFUNCTION("""COMPUTED_VALUE"""),23)</f>
        <v>23</v>
      </c>
      <c r="F21" s="54">
        <f ca="1">IFERROR(__xludf.DUMMYFUNCTION("""COMPUTED_VALUE"""),23)</f>
        <v>23</v>
      </c>
      <c r="G21" s="51">
        <f t="shared" ca="1" si="0"/>
        <v>1</v>
      </c>
      <c r="H21" s="54">
        <f ca="1">IFERROR(__xludf.DUMMYFUNCTION("""COMPUTED_VALUE"""),23)</f>
        <v>23</v>
      </c>
      <c r="I21" s="51">
        <f t="shared" ca="1" si="1"/>
        <v>1</v>
      </c>
      <c r="J21" s="54">
        <f ca="1">IFERROR(__xludf.DUMMYFUNCTION("""COMPUTED_VALUE"""),22)</f>
        <v>22</v>
      </c>
      <c r="K21" s="51">
        <f t="shared" ca="1" si="2"/>
        <v>0.95652173913043481</v>
      </c>
      <c r="L21" s="54">
        <f ca="1">IFERROR(__xludf.DUMMYFUNCTION("""COMPUTED_VALUE"""),13)</f>
        <v>13</v>
      </c>
      <c r="M21" s="51">
        <f t="shared" ca="1" si="3"/>
        <v>0.56521739130434778</v>
      </c>
      <c r="N21" s="54">
        <f ca="1">IFERROR(__xludf.DUMMYFUNCTION("""COMPUTED_VALUE"""),24)</f>
        <v>24</v>
      </c>
      <c r="O21" s="54">
        <f ca="1">IFERROR(__xludf.DUMMYFUNCTION("""COMPUTED_VALUE"""),1)</f>
        <v>1</v>
      </c>
      <c r="P21" s="51">
        <f t="shared" ca="1" si="4"/>
        <v>4.1666666666666664E-2</v>
      </c>
      <c r="Q21" s="54">
        <f ca="1">IFERROR(__xludf.DUMMYFUNCTION("""COMPUTED_VALUE"""),0)</f>
        <v>0</v>
      </c>
      <c r="R21" s="51">
        <f t="shared" ca="1" si="5"/>
        <v>0</v>
      </c>
      <c r="S21" s="53"/>
      <c r="T21" s="53"/>
      <c r="U21" s="51" t="str">
        <f t="shared" si="6"/>
        <v/>
      </c>
      <c r="V21" s="53"/>
      <c r="W21" s="51" t="str">
        <f t="shared" si="7"/>
        <v/>
      </c>
      <c r="X21" s="53"/>
      <c r="Y21" s="51" t="str">
        <f t="shared" si="8"/>
        <v/>
      </c>
      <c r="Z21" s="2"/>
      <c r="AA21" s="2"/>
      <c r="AB21" s="2"/>
      <c r="AC21" s="2"/>
      <c r="AD21" s="2"/>
      <c r="AE21" s="2"/>
    </row>
    <row r="22" spans="1:31" ht="12.75" x14ac:dyDescent="0.2">
      <c r="A22" s="53">
        <f ca="1">IFERROR(__xludf.DUMMYFUNCTION("""COMPUTED_VALUE"""),83)</f>
        <v>83</v>
      </c>
      <c r="B22" s="53" t="str">
        <f ca="1">IFERROR(__xludf.DUMMYFUNCTION("""COMPUTED_VALUE"""),"Mn TT Mỹ Úc")</f>
        <v>Mn TT Mỹ Úc</v>
      </c>
      <c r="C22" s="53" t="str">
        <f ca="1">IFERROR(__xludf.DUMMYFUNCTION("""COMPUTED_VALUE"""),"Mầm non")</f>
        <v>Mầm non</v>
      </c>
      <c r="D22" s="53" t="str">
        <f ca="1">IFERROR(__xludf.DUMMYFUNCTION("""COMPUTED_VALUE"""),"TÂN BÌNH")</f>
        <v>TÂN BÌNH</v>
      </c>
      <c r="E22" s="54">
        <f ca="1">IFERROR(__xludf.DUMMYFUNCTION("""COMPUTED_VALUE"""),10)</f>
        <v>10</v>
      </c>
      <c r="F22" s="54">
        <f ca="1">IFERROR(__xludf.DUMMYFUNCTION("""COMPUTED_VALUE"""),10)</f>
        <v>10</v>
      </c>
      <c r="G22" s="51">
        <f t="shared" ca="1" si="0"/>
        <v>1</v>
      </c>
      <c r="H22" s="54">
        <f ca="1">IFERROR(__xludf.DUMMYFUNCTION("""COMPUTED_VALUE"""),10)</f>
        <v>10</v>
      </c>
      <c r="I22" s="51">
        <f t="shared" ca="1" si="1"/>
        <v>1</v>
      </c>
      <c r="J22" s="54">
        <f ca="1">IFERROR(__xludf.DUMMYFUNCTION("""COMPUTED_VALUE"""),5)</f>
        <v>5</v>
      </c>
      <c r="K22" s="51">
        <f t="shared" ca="1" si="2"/>
        <v>0.5</v>
      </c>
      <c r="L22" s="54">
        <f ca="1">IFERROR(__xludf.DUMMYFUNCTION("""COMPUTED_VALUE"""),0)</f>
        <v>0</v>
      </c>
      <c r="M22" s="51">
        <f t="shared" ca="1" si="3"/>
        <v>0</v>
      </c>
      <c r="N22" s="54">
        <f ca="1">IFERROR(__xludf.DUMMYFUNCTION("""COMPUTED_VALUE"""),14)</f>
        <v>14</v>
      </c>
      <c r="O22" s="54">
        <f ca="1">IFERROR(__xludf.DUMMYFUNCTION("""COMPUTED_VALUE"""),0)</f>
        <v>0</v>
      </c>
      <c r="P22" s="51">
        <f t="shared" ca="1" si="4"/>
        <v>0</v>
      </c>
      <c r="Q22" s="54">
        <f ca="1">IFERROR(__xludf.DUMMYFUNCTION("""COMPUTED_VALUE"""),0)</f>
        <v>0</v>
      </c>
      <c r="R22" s="51">
        <f t="shared" ca="1" si="5"/>
        <v>0</v>
      </c>
      <c r="S22" s="53"/>
      <c r="T22" s="53"/>
      <c r="U22" s="51" t="str">
        <f t="shared" si="6"/>
        <v/>
      </c>
      <c r="V22" s="53"/>
      <c r="W22" s="51" t="str">
        <f t="shared" si="7"/>
        <v/>
      </c>
      <c r="X22" s="53"/>
      <c r="Y22" s="51" t="str">
        <f t="shared" si="8"/>
        <v/>
      </c>
      <c r="Z22" s="2"/>
      <c r="AA22" s="2"/>
      <c r="AB22" s="2"/>
      <c r="AC22" s="2"/>
      <c r="AD22" s="2"/>
      <c r="AE22" s="2"/>
    </row>
    <row r="23" spans="1:31" ht="12.75" x14ac:dyDescent="0.2">
      <c r="A23" s="53">
        <f ca="1">IFERROR(__xludf.DUMMYFUNCTION("""COMPUTED_VALUE"""),84)</f>
        <v>84</v>
      </c>
      <c r="B23" s="53" t="str">
        <f ca="1">IFERROR(__xludf.DUMMYFUNCTION("""COMPUTED_VALUE"""),"Mn TT Học Viện Thiên Thần Nhỏ")</f>
        <v>Mn TT Học Viện Thiên Thần Nhỏ</v>
      </c>
      <c r="C23" s="53" t="str">
        <f ca="1">IFERROR(__xludf.DUMMYFUNCTION("""COMPUTED_VALUE"""),"Mầm non")</f>
        <v>Mầm non</v>
      </c>
      <c r="D23" s="53" t="str">
        <f ca="1">IFERROR(__xludf.DUMMYFUNCTION("""COMPUTED_VALUE"""),"TÂN BÌNH")</f>
        <v>TÂN BÌNH</v>
      </c>
      <c r="E23" s="54">
        <f ca="1">IFERROR(__xludf.DUMMYFUNCTION("""COMPUTED_VALUE"""),26)</f>
        <v>26</v>
      </c>
      <c r="F23" s="54">
        <f ca="1">IFERROR(__xludf.DUMMYFUNCTION("""COMPUTED_VALUE"""),26)</f>
        <v>26</v>
      </c>
      <c r="G23" s="51">
        <f t="shared" ca="1" si="0"/>
        <v>1</v>
      </c>
      <c r="H23" s="54">
        <f ca="1">IFERROR(__xludf.DUMMYFUNCTION("""COMPUTED_VALUE"""),26)</f>
        <v>26</v>
      </c>
      <c r="I23" s="51">
        <f t="shared" ca="1" si="1"/>
        <v>1</v>
      </c>
      <c r="J23" s="54">
        <f ca="1">IFERROR(__xludf.DUMMYFUNCTION("""COMPUTED_VALUE"""),22)</f>
        <v>22</v>
      </c>
      <c r="K23" s="51">
        <f t="shared" ca="1" si="2"/>
        <v>0.84615384615384615</v>
      </c>
      <c r="L23" s="54">
        <f ca="1">IFERROR(__xludf.DUMMYFUNCTION("""COMPUTED_VALUE"""),10)</f>
        <v>10</v>
      </c>
      <c r="M23" s="51">
        <f t="shared" ca="1" si="3"/>
        <v>0.38461538461538464</v>
      </c>
      <c r="N23" s="54">
        <f ca="1">IFERROR(__xludf.DUMMYFUNCTION("""COMPUTED_VALUE"""),32)</f>
        <v>32</v>
      </c>
      <c r="O23" s="54">
        <f ca="1">IFERROR(__xludf.DUMMYFUNCTION("""COMPUTED_VALUE"""),0)</f>
        <v>0</v>
      </c>
      <c r="P23" s="51">
        <f t="shared" ca="1" si="4"/>
        <v>0</v>
      </c>
      <c r="Q23" s="54">
        <f ca="1">IFERROR(__xludf.DUMMYFUNCTION("""COMPUTED_VALUE"""),0)</f>
        <v>0</v>
      </c>
      <c r="R23" s="51">
        <f t="shared" ca="1" si="5"/>
        <v>0</v>
      </c>
      <c r="S23" s="53"/>
      <c r="T23" s="53"/>
      <c r="U23" s="51" t="str">
        <f t="shared" si="6"/>
        <v/>
      </c>
      <c r="V23" s="53"/>
      <c r="W23" s="51" t="str">
        <f t="shared" si="7"/>
        <v/>
      </c>
      <c r="X23" s="53"/>
      <c r="Y23" s="51" t="str">
        <f t="shared" si="8"/>
        <v/>
      </c>
      <c r="Z23" s="2"/>
      <c r="AA23" s="2"/>
      <c r="AB23" s="2"/>
      <c r="AC23" s="2"/>
      <c r="AD23" s="2"/>
      <c r="AE23" s="2"/>
    </row>
    <row r="24" spans="1:31" ht="12.75" x14ac:dyDescent="0.2">
      <c r="A24" s="53">
        <f ca="1">IFERROR(__xludf.DUMMYFUNCTION("""COMPUTED_VALUE"""),85)</f>
        <v>85</v>
      </c>
      <c r="B24" s="53" t="str">
        <f ca="1">IFERROR(__xludf.DUMMYFUNCTION("""COMPUTED_VALUE"""),"Mn TT Thanh Mai")</f>
        <v>Mn TT Thanh Mai</v>
      </c>
      <c r="C24" s="53" t="str">
        <f ca="1">IFERROR(__xludf.DUMMYFUNCTION("""COMPUTED_VALUE"""),"Mầm non")</f>
        <v>Mầm non</v>
      </c>
      <c r="D24" s="53" t="str">
        <f ca="1">IFERROR(__xludf.DUMMYFUNCTION("""COMPUTED_VALUE"""),"TÂN BÌNH")</f>
        <v>TÂN BÌNH</v>
      </c>
      <c r="E24" s="54">
        <f ca="1">IFERROR(__xludf.DUMMYFUNCTION("""COMPUTED_VALUE"""),14)</f>
        <v>14</v>
      </c>
      <c r="F24" s="54">
        <f ca="1">IFERROR(__xludf.DUMMYFUNCTION("""COMPUTED_VALUE"""),14)</f>
        <v>14</v>
      </c>
      <c r="G24" s="51">
        <f t="shared" ca="1" si="0"/>
        <v>1</v>
      </c>
      <c r="H24" s="54">
        <f ca="1">IFERROR(__xludf.DUMMYFUNCTION("""COMPUTED_VALUE"""),14)</f>
        <v>14</v>
      </c>
      <c r="I24" s="51">
        <f t="shared" ca="1" si="1"/>
        <v>1</v>
      </c>
      <c r="J24" s="54">
        <f ca="1">IFERROR(__xludf.DUMMYFUNCTION("""COMPUTED_VALUE"""),14)</f>
        <v>14</v>
      </c>
      <c r="K24" s="51">
        <f t="shared" ca="1" si="2"/>
        <v>1</v>
      </c>
      <c r="L24" s="54">
        <f ca="1">IFERROR(__xludf.DUMMYFUNCTION("""COMPUTED_VALUE"""),7)</f>
        <v>7</v>
      </c>
      <c r="M24" s="51">
        <f t="shared" ca="1" si="3"/>
        <v>0.5</v>
      </c>
      <c r="N24" s="54">
        <f ca="1">IFERROR(__xludf.DUMMYFUNCTION("""COMPUTED_VALUE"""),10)</f>
        <v>10</v>
      </c>
      <c r="O24" s="54">
        <f ca="1">IFERROR(__xludf.DUMMYFUNCTION("""COMPUTED_VALUE"""),5)</f>
        <v>5</v>
      </c>
      <c r="P24" s="51">
        <f t="shared" ca="1" si="4"/>
        <v>0.5</v>
      </c>
      <c r="Q24" s="54">
        <f ca="1">IFERROR(__xludf.DUMMYFUNCTION("""COMPUTED_VALUE"""),0)</f>
        <v>0</v>
      </c>
      <c r="R24" s="51">
        <f t="shared" ca="1" si="5"/>
        <v>0</v>
      </c>
      <c r="S24" s="53"/>
      <c r="T24" s="53"/>
      <c r="U24" s="51" t="str">
        <f t="shared" si="6"/>
        <v/>
      </c>
      <c r="V24" s="53"/>
      <c r="W24" s="51" t="str">
        <f t="shared" si="7"/>
        <v/>
      </c>
      <c r="X24" s="53"/>
      <c r="Y24" s="51" t="str">
        <f t="shared" si="8"/>
        <v/>
      </c>
      <c r="Z24" s="2"/>
      <c r="AA24" s="2"/>
      <c r="AB24" s="2"/>
      <c r="AC24" s="2"/>
      <c r="AD24" s="2"/>
      <c r="AE24" s="2"/>
    </row>
    <row r="25" spans="1:31" ht="12.75" x14ac:dyDescent="0.2">
      <c r="A25" s="53">
        <f ca="1">IFERROR(__xludf.DUMMYFUNCTION("""COMPUTED_VALUE"""),86)</f>
        <v>86</v>
      </c>
      <c r="B25" s="53" t="str">
        <f ca="1">IFERROR(__xludf.DUMMYFUNCTION("""COMPUTED_VALUE"""),"Mn TT Ngôi Sao")</f>
        <v>Mn TT Ngôi Sao</v>
      </c>
      <c r="C25" s="53" t="str">
        <f ca="1">IFERROR(__xludf.DUMMYFUNCTION("""COMPUTED_VALUE"""),"Mầm non")</f>
        <v>Mầm non</v>
      </c>
      <c r="D25" s="53" t="str">
        <f ca="1">IFERROR(__xludf.DUMMYFUNCTION("""COMPUTED_VALUE"""),"TÂN BÌNH")</f>
        <v>TÂN BÌNH</v>
      </c>
      <c r="E25" s="54">
        <f ca="1">IFERROR(__xludf.DUMMYFUNCTION("""COMPUTED_VALUE"""),30)</f>
        <v>30</v>
      </c>
      <c r="F25" s="54">
        <f ca="1">IFERROR(__xludf.DUMMYFUNCTION("""COMPUTED_VALUE"""),30)</f>
        <v>30</v>
      </c>
      <c r="G25" s="51">
        <f t="shared" ca="1" si="0"/>
        <v>1</v>
      </c>
      <c r="H25" s="54">
        <f ca="1">IFERROR(__xludf.DUMMYFUNCTION("""COMPUTED_VALUE"""),30)</f>
        <v>30</v>
      </c>
      <c r="I25" s="51">
        <f t="shared" ca="1" si="1"/>
        <v>1</v>
      </c>
      <c r="J25" s="54">
        <f ca="1">IFERROR(__xludf.DUMMYFUNCTION("""COMPUTED_VALUE"""),30)</f>
        <v>30</v>
      </c>
      <c r="K25" s="51">
        <f t="shared" ca="1" si="2"/>
        <v>1</v>
      </c>
      <c r="L25" s="54">
        <f ca="1">IFERROR(__xludf.DUMMYFUNCTION("""COMPUTED_VALUE"""),2)</f>
        <v>2</v>
      </c>
      <c r="M25" s="51">
        <f t="shared" ca="1" si="3"/>
        <v>6.6666666666666666E-2</v>
      </c>
      <c r="N25" s="54">
        <f ca="1">IFERROR(__xludf.DUMMYFUNCTION("""COMPUTED_VALUE"""),49)</f>
        <v>49</v>
      </c>
      <c r="O25" s="54">
        <f ca="1">IFERROR(__xludf.DUMMYFUNCTION("""COMPUTED_VALUE"""),2)</f>
        <v>2</v>
      </c>
      <c r="P25" s="51">
        <f t="shared" ca="1" si="4"/>
        <v>4.0816326530612242E-2</v>
      </c>
      <c r="Q25" s="54">
        <f ca="1">IFERROR(__xludf.DUMMYFUNCTION("""COMPUTED_VALUE"""),0)</f>
        <v>0</v>
      </c>
      <c r="R25" s="51">
        <f t="shared" ca="1" si="5"/>
        <v>0</v>
      </c>
      <c r="S25" s="53"/>
      <c r="T25" s="53"/>
      <c r="U25" s="51" t="str">
        <f t="shared" si="6"/>
        <v/>
      </c>
      <c r="V25" s="53"/>
      <c r="W25" s="51" t="str">
        <f t="shared" si="7"/>
        <v/>
      </c>
      <c r="X25" s="53"/>
      <c r="Y25" s="51" t="str">
        <f t="shared" si="8"/>
        <v/>
      </c>
      <c r="Z25" s="2"/>
      <c r="AA25" s="2"/>
      <c r="AB25" s="2"/>
      <c r="AC25" s="2"/>
      <c r="AD25" s="2"/>
      <c r="AE25" s="2"/>
    </row>
    <row r="26" spans="1:31" ht="12.75" x14ac:dyDescent="0.2">
      <c r="A26" s="53">
        <f ca="1">IFERROR(__xludf.DUMMYFUNCTION("""COMPUTED_VALUE"""),87)</f>
        <v>87</v>
      </c>
      <c r="B26" s="53" t="str">
        <f ca="1">IFERROR(__xludf.DUMMYFUNCTION("""COMPUTED_VALUE"""),"Mn TT Anh Thư")</f>
        <v>Mn TT Anh Thư</v>
      </c>
      <c r="C26" s="53" t="str">
        <f ca="1">IFERROR(__xludf.DUMMYFUNCTION("""COMPUTED_VALUE"""),"Mầm non")</f>
        <v>Mầm non</v>
      </c>
      <c r="D26" s="53" t="str">
        <f ca="1">IFERROR(__xludf.DUMMYFUNCTION("""COMPUTED_VALUE"""),"TÂN BÌNH")</f>
        <v>TÂN BÌNH</v>
      </c>
      <c r="E26" s="54">
        <f ca="1">IFERROR(__xludf.DUMMYFUNCTION("""COMPUTED_VALUE"""),8)</f>
        <v>8</v>
      </c>
      <c r="F26" s="54">
        <f ca="1">IFERROR(__xludf.DUMMYFUNCTION("""COMPUTED_VALUE"""),8)</f>
        <v>8</v>
      </c>
      <c r="G26" s="51">
        <f t="shared" ca="1" si="0"/>
        <v>1</v>
      </c>
      <c r="H26" s="54">
        <f ca="1">IFERROR(__xludf.DUMMYFUNCTION("""COMPUTED_VALUE"""),8)</f>
        <v>8</v>
      </c>
      <c r="I26" s="51">
        <f t="shared" ca="1" si="1"/>
        <v>1</v>
      </c>
      <c r="J26" s="54">
        <f ca="1">IFERROR(__xludf.DUMMYFUNCTION("""COMPUTED_VALUE"""),8)</f>
        <v>8</v>
      </c>
      <c r="K26" s="51">
        <f t="shared" ca="1" si="2"/>
        <v>1</v>
      </c>
      <c r="L26" s="54">
        <f ca="1">IFERROR(__xludf.DUMMYFUNCTION("""COMPUTED_VALUE"""),3)</f>
        <v>3</v>
      </c>
      <c r="M26" s="51">
        <f t="shared" ca="1" si="3"/>
        <v>0.375</v>
      </c>
      <c r="N26" s="54">
        <f ca="1">IFERROR(__xludf.DUMMYFUNCTION("""COMPUTED_VALUE"""),4)</f>
        <v>4</v>
      </c>
      <c r="O26" s="54">
        <f ca="1">IFERROR(__xludf.DUMMYFUNCTION("""COMPUTED_VALUE"""),2)</f>
        <v>2</v>
      </c>
      <c r="P26" s="51">
        <f t="shared" ca="1" si="4"/>
        <v>0.5</v>
      </c>
      <c r="Q26" s="54">
        <f ca="1">IFERROR(__xludf.DUMMYFUNCTION("""COMPUTED_VALUE"""),1)</f>
        <v>1</v>
      </c>
      <c r="R26" s="51">
        <f t="shared" ca="1" si="5"/>
        <v>0.25</v>
      </c>
      <c r="S26" s="53"/>
      <c r="T26" s="53"/>
      <c r="U26" s="51" t="str">
        <f t="shared" si="6"/>
        <v/>
      </c>
      <c r="V26" s="53"/>
      <c r="W26" s="51" t="str">
        <f t="shared" si="7"/>
        <v/>
      </c>
      <c r="X26" s="53"/>
      <c r="Y26" s="51" t="str">
        <f t="shared" si="8"/>
        <v/>
      </c>
      <c r="Z26" s="2"/>
      <c r="AA26" s="2"/>
      <c r="AB26" s="2"/>
      <c r="AC26" s="2"/>
      <c r="AD26" s="2"/>
      <c r="AE26" s="2"/>
    </row>
    <row r="27" spans="1:31" ht="12.75" x14ac:dyDescent="0.2">
      <c r="A27" s="53">
        <f ca="1">IFERROR(__xludf.DUMMYFUNCTION("""COMPUTED_VALUE"""),88)</f>
        <v>88</v>
      </c>
      <c r="B27" s="53" t="str">
        <f ca="1">IFERROR(__xludf.DUMMYFUNCTION("""COMPUTED_VALUE"""),"Mn TT Bé Ngôi Sao")</f>
        <v>Mn TT Bé Ngôi Sao</v>
      </c>
      <c r="C27" s="53" t="str">
        <f ca="1">IFERROR(__xludf.DUMMYFUNCTION("""COMPUTED_VALUE"""),"Mầm non")</f>
        <v>Mầm non</v>
      </c>
      <c r="D27" s="53" t="str">
        <f ca="1">IFERROR(__xludf.DUMMYFUNCTION("""COMPUTED_VALUE"""),"TÂN BÌNH")</f>
        <v>TÂN BÌNH</v>
      </c>
      <c r="E27" s="54">
        <f ca="1">IFERROR(__xludf.DUMMYFUNCTION("""COMPUTED_VALUE"""),20)</f>
        <v>20</v>
      </c>
      <c r="F27" s="54">
        <f ca="1">IFERROR(__xludf.DUMMYFUNCTION("""COMPUTED_VALUE"""),20)</f>
        <v>20</v>
      </c>
      <c r="G27" s="51">
        <f t="shared" ca="1" si="0"/>
        <v>1</v>
      </c>
      <c r="H27" s="54">
        <f ca="1">IFERROR(__xludf.DUMMYFUNCTION("""COMPUTED_VALUE"""),20)</f>
        <v>20</v>
      </c>
      <c r="I27" s="51">
        <f t="shared" ca="1" si="1"/>
        <v>1</v>
      </c>
      <c r="J27" s="54">
        <f ca="1">IFERROR(__xludf.DUMMYFUNCTION("""COMPUTED_VALUE"""),20)</f>
        <v>20</v>
      </c>
      <c r="K27" s="51">
        <f t="shared" ca="1" si="2"/>
        <v>1</v>
      </c>
      <c r="L27" s="54">
        <f ca="1">IFERROR(__xludf.DUMMYFUNCTION("""COMPUTED_VALUE"""),0)</f>
        <v>0</v>
      </c>
      <c r="M27" s="51">
        <f t="shared" ca="1" si="3"/>
        <v>0</v>
      </c>
      <c r="N27" s="54">
        <f ca="1">IFERROR(__xludf.DUMMYFUNCTION("""COMPUTED_VALUE"""),73)</f>
        <v>73</v>
      </c>
      <c r="O27" s="54">
        <f ca="1">IFERROR(__xludf.DUMMYFUNCTION("""COMPUTED_VALUE"""),0)</f>
        <v>0</v>
      </c>
      <c r="P27" s="51">
        <f t="shared" ca="1" si="4"/>
        <v>0</v>
      </c>
      <c r="Q27" s="54">
        <f ca="1">IFERROR(__xludf.DUMMYFUNCTION("""COMPUTED_VALUE"""),0)</f>
        <v>0</v>
      </c>
      <c r="R27" s="51">
        <f t="shared" ca="1" si="5"/>
        <v>0</v>
      </c>
      <c r="S27" s="53"/>
      <c r="T27" s="53"/>
      <c r="U27" s="51" t="str">
        <f t="shared" si="6"/>
        <v/>
      </c>
      <c r="V27" s="53"/>
      <c r="W27" s="51" t="str">
        <f t="shared" si="7"/>
        <v/>
      </c>
      <c r="X27" s="53"/>
      <c r="Y27" s="51" t="str">
        <f t="shared" si="8"/>
        <v/>
      </c>
      <c r="Z27" s="2"/>
      <c r="AA27" s="2"/>
      <c r="AB27" s="2"/>
      <c r="AC27" s="2"/>
      <c r="AD27" s="2"/>
      <c r="AE27" s="2"/>
    </row>
    <row r="28" spans="1:31" ht="12.75" x14ac:dyDescent="0.2">
      <c r="A28" s="53">
        <f ca="1">IFERROR(__xludf.DUMMYFUNCTION("""COMPUTED_VALUE"""),89)</f>
        <v>89</v>
      </c>
      <c r="B28" s="53" t="str">
        <f ca="1">IFERROR(__xludf.DUMMYFUNCTION("""COMPUTED_VALUE"""),"Mn TT Tesla")</f>
        <v>Mn TT Tesla</v>
      </c>
      <c r="C28" s="53" t="str">
        <f ca="1">IFERROR(__xludf.DUMMYFUNCTION("""COMPUTED_VALUE"""),"Mầm non")</f>
        <v>Mầm non</v>
      </c>
      <c r="D28" s="53" t="str">
        <f ca="1">IFERROR(__xludf.DUMMYFUNCTION("""COMPUTED_VALUE"""),"TÂN BÌNH")</f>
        <v>TÂN BÌNH</v>
      </c>
      <c r="E28" s="54">
        <f ca="1">IFERROR(__xludf.DUMMYFUNCTION("""COMPUTED_VALUE"""),25)</f>
        <v>25</v>
      </c>
      <c r="F28" s="54">
        <f ca="1">IFERROR(__xludf.DUMMYFUNCTION("""COMPUTED_VALUE"""),25)</f>
        <v>25</v>
      </c>
      <c r="G28" s="51">
        <f t="shared" ca="1" si="0"/>
        <v>1</v>
      </c>
      <c r="H28" s="54">
        <f ca="1">IFERROR(__xludf.DUMMYFUNCTION("""COMPUTED_VALUE"""),25)</f>
        <v>25</v>
      </c>
      <c r="I28" s="51">
        <f t="shared" ca="1" si="1"/>
        <v>1</v>
      </c>
      <c r="J28" s="54">
        <f ca="1">IFERROR(__xludf.DUMMYFUNCTION("""COMPUTED_VALUE"""),25)</f>
        <v>25</v>
      </c>
      <c r="K28" s="51">
        <f t="shared" ca="1" si="2"/>
        <v>1</v>
      </c>
      <c r="L28" s="54">
        <f ca="1">IFERROR(__xludf.DUMMYFUNCTION("""COMPUTED_VALUE"""),2)</f>
        <v>2</v>
      </c>
      <c r="M28" s="51">
        <f t="shared" ca="1" si="3"/>
        <v>0.08</v>
      </c>
      <c r="N28" s="54">
        <f ca="1">IFERROR(__xludf.DUMMYFUNCTION("""COMPUTED_VALUE"""),14)</f>
        <v>14</v>
      </c>
      <c r="O28" s="54">
        <f ca="1">IFERROR(__xludf.DUMMYFUNCTION("""COMPUTED_VALUE"""),2)</f>
        <v>2</v>
      </c>
      <c r="P28" s="51">
        <f t="shared" ca="1" si="4"/>
        <v>0.14285714285714285</v>
      </c>
      <c r="Q28" s="54">
        <f ca="1">IFERROR(__xludf.DUMMYFUNCTION("""COMPUTED_VALUE"""),1)</f>
        <v>1</v>
      </c>
      <c r="R28" s="51">
        <f t="shared" ca="1" si="5"/>
        <v>7.1428571428571425E-2</v>
      </c>
      <c r="S28" s="53"/>
      <c r="T28" s="53"/>
      <c r="U28" s="51" t="str">
        <f t="shared" si="6"/>
        <v/>
      </c>
      <c r="V28" s="53"/>
      <c r="W28" s="51" t="str">
        <f t="shared" si="7"/>
        <v/>
      </c>
      <c r="X28" s="53"/>
      <c r="Y28" s="51" t="str">
        <f t="shared" si="8"/>
        <v/>
      </c>
      <c r="Z28" s="2"/>
      <c r="AA28" s="2"/>
      <c r="AB28" s="2"/>
      <c r="AC28" s="2"/>
      <c r="AD28" s="2"/>
      <c r="AE28" s="2"/>
    </row>
    <row r="29" spans="1:31" ht="12.75" x14ac:dyDescent="0.2">
      <c r="A29" s="53">
        <f ca="1">IFERROR(__xludf.DUMMYFUNCTION("""COMPUTED_VALUE"""),90)</f>
        <v>90</v>
      </c>
      <c r="B29" s="53" t="str">
        <f ca="1">IFERROR(__xludf.DUMMYFUNCTION("""COMPUTED_VALUE"""),"Mn TT TTC Sài Gòn")</f>
        <v>Mn TT TTC Sài Gòn</v>
      </c>
      <c r="C29" s="53" t="str">
        <f ca="1">IFERROR(__xludf.DUMMYFUNCTION("""COMPUTED_VALUE"""),"Mầm non")</f>
        <v>Mầm non</v>
      </c>
      <c r="D29" s="53" t="str">
        <f ca="1">IFERROR(__xludf.DUMMYFUNCTION("""COMPUTED_VALUE"""),"TÂN BÌNH")</f>
        <v>TÂN BÌNH</v>
      </c>
      <c r="E29" s="54">
        <f ca="1">IFERROR(__xludf.DUMMYFUNCTION("""COMPUTED_VALUE"""),28)</f>
        <v>28</v>
      </c>
      <c r="F29" s="54">
        <f ca="1">IFERROR(__xludf.DUMMYFUNCTION("""COMPUTED_VALUE"""),28)</f>
        <v>28</v>
      </c>
      <c r="G29" s="51">
        <f t="shared" ca="1" si="0"/>
        <v>1</v>
      </c>
      <c r="H29" s="54">
        <f ca="1">IFERROR(__xludf.DUMMYFUNCTION("""COMPUTED_VALUE"""),28)</f>
        <v>28</v>
      </c>
      <c r="I29" s="51">
        <f t="shared" ca="1" si="1"/>
        <v>1</v>
      </c>
      <c r="J29" s="54">
        <f ca="1">IFERROR(__xludf.DUMMYFUNCTION("""COMPUTED_VALUE"""),22)</f>
        <v>22</v>
      </c>
      <c r="K29" s="51">
        <f t="shared" ca="1" si="2"/>
        <v>0.7857142857142857</v>
      </c>
      <c r="L29" s="54">
        <f ca="1">IFERROR(__xludf.DUMMYFUNCTION("""COMPUTED_VALUE"""),4)</f>
        <v>4</v>
      </c>
      <c r="M29" s="51">
        <f t="shared" ca="1" si="3"/>
        <v>0.14285714285714285</v>
      </c>
      <c r="N29" s="54">
        <f ca="1">IFERROR(__xludf.DUMMYFUNCTION("""COMPUTED_VALUE"""),42)</f>
        <v>42</v>
      </c>
      <c r="O29" s="54">
        <f ca="1">IFERROR(__xludf.DUMMYFUNCTION("""COMPUTED_VALUE"""),0)</f>
        <v>0</v>
      </c>
      <c r="P29" s="51">
        <f t="shared" ca="1" si="4"/>
        <v>0</v>
      </c>
      <c r="Q29" s="54">
        <f ca="1">IFERROR(__xludf.DUMMYFUNCTION("""COMPUTED_VALUE"""),0)</f>
        <v>0</v>
      </c>
      <c r="R29" s="51">
        <f t="shared" ca="1" si="5"/>
        <v>0</v>
      </c>
      <c r="S29" s="53"/>
      <c r="T29" s="53"/>
      <c r="U29" s="51" t="str">
        <f t="shared" si="6"/>
        <v/>
      </c>
      <c r="V29" s="53"/>
      <c r="W29" s="51" t="str">
        <f t="shared" si="7"/>
        <v/>
      </c>
      <c r="X29" s="53"/>
      <c r="Y29" s="51" t="str">
        <f t="shared" si="8"/>
        <v/>
      </c>
      <c r="Z29" s="2"/>
      <c r="AA29" s="2"/>
      <c r="AB29" s="2"/>
      <c r="AC29" s="2"/>
      <c r="AD29" s="2"/>
      <c r="AE29" s="2"/>
    </row>
    <row r="30" spans="1:31" ht="12.75" x14ac:dyDescent="0.2">
      <c r="A30" s="53">
        <f ca="1">IFERROR(__xludf.DUMMYFUNCTION("""COMPUTED_VALUE"""),91)</f>
        <v>91</v>
      </c>
      <c r="B30" s="53" t="str">
        <f ca="1">IFERROR(__xludf.DUMMYFUNCTION("""COMPUTED_VALUE"""),"Mn TT Gấu Bông")</f>
        <v>Mn TT Gấu Bông</v>
      </c>
      <c r="C30" s="53" t="str">
        <f ca="1">IFERROR(__xludf.DUMMYFUNCTION("""COMPUTED_VALUE"""),"Mầm non")</f>
        <v>Mầm non</v>
      </c>
      <c r="D30" s="53" t="str">
        <f ca="1">IFERROR(__xludf.DUMMYFUNCTION("""COMPUTED_VALUE"""),"TÂN BÌNH")</f>
        <v>TÂN BÌNH</v>
      </c>
      <c r="E30" s="54">
        <f ca="1">IFERROR(__xludf.DUMMYFUNCTION("""COMPUTED_VALUE"""),12)</f>
        <v>12</v>
      </c>
      <c r="F30" s="54">
        <f ca="1">IFERROR(__xludf.DUMMYFUNCTION("""COMPUTED_VALUE"""),12)</f>
        <v>12</v>
      </c>
      <c r="G30" s="51">
        <f t="shared" ca="1" si="0"/>
        <v>1</v>
      </c>
      <c r="H30" s="54">
        <f ca="1">IFERROR(__xludf.DUMMYFUNCTION("""COMPUTED_VALUE"""),12)</f>
        <v>12</v>
      </c>
      <c r="I30" s="51">
        <f t="shared" ca="1" si="1"/>
        <v>1</v>
      </c>
      <c r="J30" s="54">
        <f ca="1">IFERROR(__xludf.DUMMYFUNCTION("""COMPUTED_VALUE"""),12)</f>
        <v>12</v>
      </c>
      <c r="K30" s="51">
        <f t="shared" ca="1" si="2"/>
        <v>1</v>
      </c>
      <c r="L30" s="54">
        <f ca="1">IFERROR(__xludf.DUMMYFUNCTION("""COMPUTED_VALUE"""),2)</f>
        <v>2</v>
      </c>
      <c r="M30" s="51">
        <f t="shared" ca="1" si="3"/>
        <v>0.16666666666666666</v>
      </c>
      <c r="N30" s="54">
        <f ca="1">IFERROR(__xludf.DUMMYFUNCTION("""COMPUTED_VALUE"""),15)</f>
        <v>15</v>
      </c>
      <c r="O30" s="54">
        <f ca="1">IFERROR(__xludf.DUMMYFUNCTION("""COMPUTED_VALUE"""),3)</f>
        <v>3</v>
      </c>
      <c r="P30" s="51">
        <f t="shared" ca="1" si="4"/>
        <v>0.2</v>
      </c>
      <c r="Q30" s="54">
        <f ca="1">IFERROR(__xludf.DUMMYFUNCTION("""COMPUTED_VALUE"""),3)</f>
        <v>3</v>
      </c>
      <c r="R30" s="51">
        <f t="shared" ca="1" si="5"/>
        <v>0.2</v>
      </c>
      <c r="S30" s="53"/>
      <c r="T30" s="53"/>
      <c r="U30" s="51" t="str">
        <f t="shared" si="6"/>
        <v/>
      </c>
      <c r="V30" s="53"/>
      <c r="W30" s="51" t="str">
        <f t="shared" si="7"/>
        <v/>
      </c>
      <c r="X30" s="53"/>
      <c r="Y30" s="51" t="str">
        <f t="shared" si="8"/>
        <v/>
      </c>
      <c r="Z30" s="2"/>
      <c r="AA30" s="2"/>
      <c r="AB30" s="2"/>
      <c r="AC30" s="2"/>
      <c r="AD30" s="2"/>
      <c r="AE30" s="2"/>
    </row>
    <row r="31" spans="1:31" ht="12.75" x14ac:dyDescent="0.2">
      <c r="A31" s="53">
        <f ca="1">IFERROR(__xludf.DUMMYFUNCTION("""COMPUTED_VALUE"""),92)</f>
        <v>92</v>
      </c>
      <c r="B31" s="53" t="str">
        <f ca="1">IFERROR(__xludf.DUMMYFUNCTION("""COMPUTED_VALUE"""),"Mn TT Gấu Trúc")</f>
        <v>Mn TT Gấu Trúc</v>
      </c>
      <c r="C31" s="53" t="str">
        <f ca="1">IFERROR(__xludf.DUMMYFUNCTION("""COMPUTED_VALUE"""),"Mầm non")</f>
        <v>Mầm non</v>
      </c>
      <c r="D31" s="53" t="str">
        <f ca="1">IFERROR(__xludf.DUMMYFUNCTION("""COMPUTED_VALUE"""),"TÂN BÌNH")</f>
        <v>TÂN BÌNH</v>
      </c>
      <c r="E31" s="54">
        <f ca="1">IFERROR(__xludf.DUMMYFUNCTION("""COMPUTED_VALUE"""),11)</f>
        <v>11</v>
      </c>
      <c r="F31" s="54">
        <f ca="1">IFERROR(__xludf.DUMMYFUNCTION("""COMPUTED_VALUE"""),9)</f>
        <v>9</v>
      </c>
      <c r="G31" s="51">
        <f t="shared" ca="1" si="0"/>
        <v>0.81818181818181823</v>
      </c>
      <c r="H31" s="54">
        <f ca="1">IFERROR(__xludf.DUMMYFUNCTION("""COMPUTED_VALUE"""),9)</f>
        <v>9</v>
      </c>
      <c r="I31" s="51">
        <f t="shared" ca="1" si="1"/>
        <v>0.81818181818181823</v>
      </c>
      <c r="J31" s="54">
        <f ca="1">IFERROR(__xludf.DUMMYFUNCTION("""COMPUTED_VALUE"""),7)</f>
        <v>7</v>
      </c>
      <c r="K31" s="51">
        <f t="shared" ca="1" si="2"/>
        <v>0.63636363636363635</v>
      </c>
      <c r="L31" s="54">
        <f ca="1">IFERROR(__xludf.DUMMYFUNCTION("""COMPUTED_VALUE"""),1)</f>
        <v>1</v>
      </c>
      <c r="M31" s="51">
        <f t="shared" ca="1" si="3"/>
        <v>9.0909090909090912E-2</v>
      </c>
      <c r="N31" s="54">
        <f ca="1">IFERROR(__xludf.DUMMYFUNCTION("""COMPUTED_VALUE"""),6)</f>
        <v>6</v>
      </c>
      <c r="O31" s="54">
        <f ca="1">IFERROR(__xludf.DUMMYFUNCTION("""COMPUTED_VALUE"""),0)</f>
        <v>0</v>
      </c>
      <c r="P31" s="51">
        <f t="shared" ca="1" si="4"/>
        <v>0</v>
      </c>
      <c r="Q31" s="54">
        <f ca="1">IFERROR(__xludf.DUMMYFUNCTION("""COMPUTED_VALUE"""),0)</f>
        <v>0</v>
      </c>
      <c r="R31" s="51">
        <f t="shared" ca="1" si="5"/>
        <v>0</v>
      </c>
      <c r="S31" s="53"/>
      <c r="T31" s="53"/>
      <c r="U31" s="51" t="str">
        <f t="shared" si="6"/>
        <v/>
      </c>
      <c r="V31" s="53"/>
      <c r="W31" s="51" t="str">
        <f t="shared" si="7"/>
        <v/>
      </c>
      <c r="X31" s="53"/>
      <c r="Y31" s="51" t="str">
        <f t="shared" si="8"/>
        <v/>
      </c>
      <c r="Z31" s="2"/>
      <c r="AA31" s="2"/>
      <c r="AB31" s="2"/>
      <c r="AC31" s="2"/>
      <c r="AD31" s="2"/>
      <c r="AE31" s="2"/>
    </row>
    <row r="32" spans="1:31" ht="12.75" x14ac:dyDescent="0.2">
      <c r="A32" s="53">
        <f ca="1">IFERROR(__xludf.DUMMYFUNCTION("""COMPUTED_VALUE"""),93)</f>
        <v>93</v>
      </c>
      <c r="B32" s="53" t="str">
        <f ca="1">IFERROR(__xludf.DUMMYFUNCTION("""COMPUTED_VALUE"""),"Mn TT Minh Quang")</f>
        <v>Mn TT Minh Quang</v>
      </c>
      <c r="C32" s="53" t="str">
        <f ca="1">IFERROR(__xludf.DUMMYFUNCTION("""COMPUTED_VALUE"""),"Mầm non")</f>
        <v>Mầm non</v>
      </c>
      <c r="D32" s="53" t="str">
        <f ca="1">IFERROR(__xludf.DUMMYFUNCTION("""COMPUTED_VALUE"""),"TÂN BÌNH")</f>
        <v>TÂN BÌNH</v>
      </c>
      <c r="E32" s="54">
        <f ca="1">IFERROR(__xludf.DUMMYFUNCTION("""COMPUTED_VALUE"""),22)</f>
        <v>22</v>
      </c>
      <c r="F32" s="54">
        <f ca="1">IFERROR(__xludf.DUMMYFUNCTION("""COMPUTED_VALUE"""),22)</f>
        <v>22</v>
      </c>
      <c r="G32" s="51">
        <f t="shared" ca="1" si="0"/>
        <v>1</v>
      </c>
      <c r="H32" s="54">
        <f ca="1">IFERROR(__xludf.DUMMYFUNCTION("""COMPUTED_VALUE"""),22)</f>
        <v>22</v>
      </c>
      <c r="I32" s="51">
        <f t="shared" ca="1" si="1"/>
        <v>1</v>
      </c>
      <c r="J32" s="54">
        <f ca="1">IFERROR(__xludf.DUMMYFUNCTION("""COMPUTED_VALUE"""),22)</f>
        <v>22</v>
      </c>
      <c r="K32" s="51">
        <f t="shared" ca="1" si="2"/>
        <v>1</v>
      </c>
      <c r="L32" s="54">
        <f ca="1">IFERROR(__xludf.DUMMYFUNCTION("""COMPUTED_VALUE"""),2)</f>
        <v>2</v>
      </c>
      <c r="M32" s="51">
        <f t="shared" ca="1" si="3"/>
        <v>9.0909090909090912E-2</v>
      </c>
      <c r="N32" s="54">
        <f ca="1">IFERROR(__xludf.DUMMYFUNCTION("""COMPUTED_VALUE"""),44)</f>
        <v>44</v>
      </c>
      <c r="O32" s="54">
        <f ca="1">IFERROR(__xludf.DUMMYFUNCTION("""COMPUTED_VALUE"""),4)</f>
        <v>4</v>
      </c>
      <c r="P32" s="51">
        <f t="shared" ca="1" si="4"/>
        <v>9.0909090909090912E-2</v>
      </c>
      <c r="Q32" s="54">
        <f ca="1">IFERROR(__xludf.DUMMYFUNCTION("""COMPUTED_VALUE"""),1)</f>
        <v>1</v>
      </c>
      <c r="R32" s="51">
        <f t="shared" ca="1" si="5"/>
        <v>2.2727272727272728E-2</v>
      </c>
      <c r="S32" s="53"/>
      <c r="T32" s="53"/>
      <c r="U32" s="51" t="str">
        <f t="shared" si="6"/>
        <v/>
      </c>
      <c r="V32" s="53"/>
      <c r="W32" s="51" t="str">
        <f t="shared" si="7"/>
        <v/>
      </c>
      <c r="X32" s="53"/>
      <c r="Y32" s="51" t="str">
        <f t="shared" si="8"/>
        <v/>
      </c>
      <c r="Z32" s="2"/>
      <c r="AA32" s="2"/>
      <c r="AB32" s="2"/>
      <c r="AC32" s="2"/>
      <c r="AD32" s="2"/>
      <c r="AE32" s="2"/>
    </row>
    <row r="33" spans="1:31" ht="12.75" x14ac:dyDescent="0.2">
      <c r="A33" s="53">
        <f ca="1">IFERROR(__xludf.DUMMYFUNCTION("""COMPUTED_VALUE"""),94)</f>
        <v>94</v>
      </c>
      <c r="B33" s="53" t="str">
        <f ca="1">IFERROR(__xludf.DUMMYFUNCTION("""COMPUTED_VALUE"""),"Mn TT I Vy")</f>
        <v>Mn TT I Vy</v>
      </c>
      <c r="C33" s="53" t="str">
        <f ca="1">IFERROR(__xludf.DUMMYFUNCTION("""COMPUTED_VALUE"""),"Mầm non")</f>
        <v>Mầm non</v>
      </c>
      <c r="D33" s="53" t="str">
        <f ca="1">IFERROR(__xludf.DUMMYFUNCTION("""COMPUTED_VALUE"""),"TÂN BÌNH")</f>
        <v>TÂN BÌNH</v>
      </c>
      <c r="E33" s="54">
        <f ca="1">IFERROR(__xludf.DUMMYFUNCTION("""COMPUTED_VALUE"""),22)</f>
        <v>22</v>
      </c>
      <c r="F33" s="54">
        <f ca="1">IFERROR(__xludf.DUMMYFUNCTION("""COMPUTED_VALUE"""),22)</f>
        <v>22</v>
      </c>
      <c r="G33" s="51">
        <f t="shared" ca="1" si="0"/>
        <v>1</v>
      </c>
      <c r="H33" s="54">
        <f ca="1">IFERROR(__xludf.DUMMYFUNCTION("""COMPUTED_VALUE"""),22)</f>
        <v>22</v>
      </c>
      <c r="I33" s="51">
        <f t="shared" ca="1" si="1"/>
        <v>1</v>
      </c>
      <c r="J33" s="54">
        <f ca="1">IFERROR(__xludf.DUMMYFUNCTION("""COMPUTED_VALUE"""),21)</f>
        <v>21</v>
      </c>
      <c r="K33" s="51">
        <f t="shared" ca="1" si="2"/>
        <v>0.95454545454545459</v>
      </c>
      <c r="L33" s="54">
        <f ca="1">IFERROR(__xludf.DUMMYFUNCTION("""COMPUTED_VALUE"""),2)</f>
        <v>2</v>
      </c>
      <c r="M33" s="51">
        <f t="shared" ca="1" si="3"/>
        <v>9.0909090909090912E-2</v>
      </c>
      <c r="N33" s="54">
        <f ca="1">IFERROR(__xludf.DUMMYFUNCTION("""COMPUTED_VALUE"""),14)</f>
        <v>14</v>
      </c>
      <c r="O33" s="54">
        <f ca="1">IFERROR(__xludf.DUMMYFUNCTION("""COMPUTED_VALUE"""),1)</f>
        <v>1</v>
      </c>
      <c r="P33" s="51">
        <f t="shared" ca="1" si="4"/>
        <v>7.1428571428571425E-2</v>
      </c>
      <c r="Q33" s="54">
        <f ca="1">IFERROR(__xludf.DUMMYFUNCTION("""COMPUTED_VALUE"""),0)</f>
        <v>0</v>
      </c>
      <c r="R33" s="51">
        <f t="shared" ca="1" si="5"/>
        <v>0</v>
      </c>
      <c r="S33" s="53"/>
      <c r="T33" s="53"/>
      <c r="U33" s="51" t="str">
        <f t="shared" si="6"/>
        <v/>
      </c>
      <c r="V33" s="53"/>
      <c r="W33" s="51" t="str">
        <f t="shared" si="7"/>
        <v/>
      </c>
      <c r="X33" s="53"/>
      <c r="Y33" s="51" t="str">
        <f t="shared" si="8"/>
        <v/>
      </c>
      <c r="Z33" s="2"/>
      <c r="AA33" s="2"/>
      <c r="AB33" s="2"/>
      <c r="AC33" s="2"/>
      <c r="AD33" s="2"/>
      <c r="AE33" s="2"/>
    </row>
    <row r="34" spans="1:31" ht="12.75" x14ac:dyDescent="0.2">
      <c r="A34" s="53">
        <f ca="1">IFERROR(__xludf.DUMMYFUNCTION("""COMPUTED_VALUE"""),95)</f>
        <v>95</v>
      </c>
      <c r="B34" s="53" t="str">
        <f ca="1">IFERROR(__xludf.DUMMYFUNCTION("""COMPUTED_VALUE"""),"Mn TT Thế Giới Thiên Thần")</f>
        <v>Mn TT Thế Giới Thiên Thần</v>
      </c>
      <c r="C34" s="53" t="str">
        <f ca="1">IFERROR(__xludf.DUMMYFUNCTION("""COMPUTED_VALUE"""),"Mầm non")</f>
        <v>Mầm non</v>
      </c>
      <c r="D34" s="53" t="str">
        <f ca="1">IFERROR(__xludf.DUMMYFUNCTION("""COMPUTED_VALUE"""),"TÂN BÌNH")</f>
        <v>TÂN BÌNH</v>
      </c>
      <c r="E34" s="54">
        <f ca="1">IFERROR(__xludf.DUMMYFUNCTION("""COMPUTED_VALUE"""),22)</f>
        <v>22</v>
      </c>
      <c r="F34" s="54">
        <f ca="1">IFERROR(__xludf.DUMMYFUNCTION("""COMPUTED_VALUE"""),22)</f>
        <v>22</v>
      </c>
      <c r="G34" s="51">
        <f t="shared" ca="1" si="0"/>
        <v>1</v>
      </c>
      <c r="H34" s="54">
        <f ca="1">IFERROR(__xludf.DUMMYFUNCTION("""COMPUTED_VALUE"""),22)</f>
        <v>22</v>
      </c>
      <c r="I34" s="51">
        <f t="shared" ca="1" si="1"/>
        <v>1</v>
      </c>
      <c r="J34" s="54">
        <f ca="1">IFERROR(__xludf.DUMMYFUNCTION("""COMPUTED_VALUE"""),19)</f>
        <v>19</v>
      </c>
      <c r="K34" s="51">
        <f t="shared" ca="1" si="2"/>
        <v>0.86363636363636365</v>
      </c>
      <c r="L34" s="54">
        <f ca="1">IFERROR(__xludf.DUMMYFUNCTION("""COMPUTED_VALUE"""),3)</f>
        <v>3</v>
      </c>
      <c r="M34" s="51">
        <f t="shared" ca="1" si="3"/>
        <v>0.13636363636363635</v>
      </c>
      <c r="N34" s="54">
        <f ca="1">IFERROR(__xludf.DUMMYFUNCTION("""COMPUTED_VALUE"""),27)</f>
        <v>27</v>
      </c>
      <c r="O34" s="54">
        <f ca="1">IFERROR(__xludf.DUMMYFUNCTION("""COMPUTED_VALUE"""),0)</f>
        <v>0</v>
      </c>
      <c r="P34" s="51">
        <f t="shared" ca="1" si="4"/>
        <v>0</v>
      </c>
      <c r="Q34" s="54">
        <f ca="1">IFERROR(__xludf.DUMMYFUNCTION("""COMPUTED_VALUE"""),0)</f>
        <v>0</v>
      </c>
      <c r="R34" s="51">
        <f t="shared" ca="1" si="5"/>
        <v>0</v>
      </c>
      <c r="S34" s="53"/>
      <c r="T34" s="53"/>
      <c r="U34" s="51" t="str">
        <f t="shared" si="6"/>
        <v/>
      </c>
      <c r="V34" s="53"/>
      <c r="W34" s="51" t="str">
        <f t="shared" si="7"/>
        <v/>
      </c>
      <c r="X34" s="53"/>
      <c r="Y34" s="51" t="str">
        <f t="shared" si="8"/>
        <v/>
      </c>
      <c r="Z34" s="2"/>
      <c r="AA34" s="2"/>
      <c r="AB34" s="2"/>
      <c r="AC34" s="2"/>
      <c r="AD34" s="2"/>
      <c r="AE34" s="2"/>
    </row>
    <row r="35" spans="1:31" ht="12.75" x14ac:dyDescent="0.2">
      <c r="A35" s="53">
        <f ca="1">IFERROR(__xludf.DUMMYFUNCTION("""COMPUTED_VALUE"""),96)</f>
        <v>96</v>
      </c>
      <c r="B35" s="53" t="str">
        <f ca="1">IFERROR(__xludf.DUMMYFUNCTION("""COMPUTED_VALUE"""),"Mn TT Vũ Trụ Xanh")</f>
        <v>Mn TT Vũ Trụ Xanh</v>
      </c>
      <c r="C35" s="53" t="str">
        <f ca="1">IFERROR(__xludf.DUMMYFUNCTION("""COMPUTED_VALUE"""),"Mầm non")</f>
        <v>Mầm non</v>
      </c>
      <c r="D35" s="53" t="str">
        <f ca="1">IFERROR(__xludf.DUMMYFUNCTION("""COMPUTED_VALUE"""),"TÂN BÌNH")</f>
        <v>TÂN BÌNH</v>
      </c>
      <c r="E35" s="54">
        <f ca="1">IFERROR(__xludf.DUMMYFUNCTION("""COMPUTED_VALUE"""),27)</f>
        <v>27</v>
      </c>
      <c r="F35" s="54">
        <f ca="1">IFERROR(__xludf.DUMMYFUNCTION("""COMPUTED_VALUE"""),27)</f>
        <v>27</v>
      </c>
      <c r="G35" s="51">
        <f t="shared" ca="1" si="0"/>
        <v>1</v>
      </c>
      <c r="H35" s="54">
        <f ca="1">IFERROR(__xludf.DUMMYFUNCTION("""COMPUTED_VALUE"""),27)</f>
        <v>27</v>
      </c>
      <c r="I35" s="51">
        <f t="shared" ca="1" si="1"/>
        <v>1</v>
      </c>
      <c r="J35" s="54">
        <f ca="1">IFERROR(__xludf.DUMMYFUNCTION("""COMPUTED_VALUE"""),10)</f>
        <v>10</v>
      </c>
      <c r="K35" s="51">
        <f t="shared" ca="1" si="2"/>
        <v>0.37037037037037035</v>
      </c>
      <c r="L35" s="54">
        <f ca="1">IFERROR(__xludf.DUMMYFUNCTION("""COMPUTED_VALUE"""),0)</f>
        <v>0</v>
      </c>
      <c r="M35" s="51">
        <f t="shared" ca="1" si="3"/>
        <v>0</v>
      </c>
      <c r="N35" s="54">
        <f ca="1">IFERROR(__xludf.DUMMYFUNCTION("""COMPUTED_VALUE"""),36)</f>
        <v>36</v>
      </c>
      <c r="O35" s="54">
        <f ca="1">IFERROR(__xludf.DUMMYFUNCTION("""COMPUTED_VALUE"""),1)</f>
        <v>1</v>
      </c>
      <c r="P35" s="51">
        <f t="shared" ca="1" si="4"/>
        <v>2.7777777777777776E-2</v>
      </c>
      <c r="Q35" s="54">
        <f ca="1">IFERROR(__xludf.DUMMYFUNCTION("""COMPUTED_VALUE"""),0)</f>
        <v>0</v>
      </c>
      <c r="R35" s="51">
        <f t="shared" ca="1" si="5"/>
        <v>0</v>
      </c>
      <c r="S35" s="53"/>
      <c r="T35" s="53"/>
      <c r="U35" s="51" t="str">
        <f t="shared" si="6"/>
        <v/>
      </c>
      <c r="V35" s="53"/>
      <c r="W35" s="51" t="str">
        <f t="shared" si="7"/>
        <v/>
      </c>
      <c r="X35" s="53"/>
      <c r="Y35" s="51" t="str">
        <f t="shared" si="8"/>
        <v/>
      </c>
      <c r="Z35" s="2"/>
      <c r="AA35" s="2"/>
      <c r="AB35" s="2"/>
      <c r="AC35" s="2"/>
      <c r="AD35" s="2"/>
      <c r="AE35" s="2"/>
    </row>
    <row r="36" spans="1:31" ht="12.75" x14ac:dyDescent="0.2">
      <c r="A36" s="53">
        <f ca="1">IFERROR(__xludf.DUMMYFUNCTION("""COMPUTED_VALUE"""),97)</f>
        <v>97</v>
      </c>
      <c r="B36" s="53" t="str">
        <f ca="1">IFERROR(__xludf.DUMMYFUNCTION("""COMPUTED_VALUE"""),"Mn TT Ngôi Sao Xinh")</f>
        <v>Mn TT Ngôi Sao Xinh</v>
      </c>
      <c r="C36" s="53" t="str">
        <f ca="1">IFERROR(__xludf.DUMMYFUNCTION("""COMPUTED_VALUE"""),"Mầm non")</f>
        <v>Mầm non</v>
      </c>
      <c r="D36" s="53" t="str">
        <f ca="1">IFERROR(__xludf.DUMMYFUNCTION("""COMPUTED_VALUE"""),"TÂN BÌNH")</f>
        <v>TÂN BÌNH</v>
      </c>
      <c r="E36" s="54">
        <f ca="1">IFERROR(__xludf.DUMMYFUNCTION("""COMPUTED_VALUE"""),20)</f>
        <v>20</v>
      </c>
      <c r="F36" s="54">
        <f ca="1">IFERROR(__xludf.DUMMYFUNCTION("""COMPUTED_VALUE"""),20)</f>
        <v>20</v>
      </c>
      <c r="G36" s="51">
        <f t="shared" ca="1" si="0"/>
        <v>1</v>
      </c>
      <c r="H36" s="54">
        <f ca="1">IFERROR(__xludf.DUMMYFUNCTION("""COMPUTED_VALUE"""),20)</f>
        <v>20</v>
      </c>
      <c r="I36" s="51">
        <f t="shared" ca="1" si="1"/>
        <v>1</v>
      </c>
      <c r="J36" s="54">
        <f ca="1">IFERROR(__xludf.DUMMYFUNCTION("""COMPUTED_VALUE"""),13)</f>
        <v>13</v>
      </c>
      <c r="K36" s="51">
        <f t="shared" ca="1" si="2"/>
        <v>0.65</v>
      </c>
      <c r="L36" s="54">
        <f ca="1">IFERROR(__xludf.DUMMYFUNCTION("""COMPUTED_VALUE"""),2)</f>
        <v>2</v>
      </c>
      <c r="M36" s="51">
        <f t="shared" ca="1" si="3"/>
        <v>0.1</v>
      </c>
      <c r="N36" s="54">
        <f ca="1">IFERROR(__xludf.DUMMYFUNCTION("""COMPUTED_VALUE"""),21)</f>
        <v>21</v>
      </c>
      <c r="O36" s="54">
        <f ca="1">IFERROR(__xludf.DUMMYFUNCTION("""COMPUTED_VALUE"""),0)</f>
        <v>0</v>
      </c>
      <c r="P36" s="51">
        <f t="shared" ca="1" si="4"/>
        <v>0</v>
      </c>
      <c r="Q36" s="54">
        <f ca="1">IFERROR(__xludf.DUMMYFUNCTION("""COMPUTED_VALUE"""),0)</f>
        <v>0</v>
      </c>
      <c r="R36" s="51">
        <f t="shared" ca="1" si="5"/>
        <v>0</v>
      </c>
      <c r="S36" s="53"/>
      <c r="T36" s="53"/>
      <c r="U36" s="51" t="str">
        <f t="shared" si="6"/>
        <v/>
      </c>
      <c r="V36" s="53"/>
      <c r="W36" s="51" t="str">
        <f t="shared" si="7"/>
        <v/>
      </c>
      <c r="X36" s="53"/>
      <c r="Y36" s="51" t="str">
        <f t="shared" si="8"/>
        <v/>
      </c>
      <c r="Z36" s="2"/>
      <c r="AA36" s="2"/>
      <c r="AB36" s="2"/>
      <c r="AC36" s="2"/>
      <c r="AD36" s="2"/>
      <c r="AE36" s="2"/>
    </row>
    <row r="37" spans="1:31" ht="12.75" x14ac:dyDescent="0.2">
      <c r="A37" s="53">
        <f ca="1">IFERROR(__xludf.DUMMYFUNCTION("""COMPUTED_VALUE"""),98)</f>
        <v>98</v>
      </c>
      <c r="B37" s="53" t="str">
        <f ca="1">IFERROR(__xludf.DUMMYFUNCTION("""COMPUTED_VALUE"""),"Mn TT Mây Trắng")</f>
        <v>Mn TT Mây Trắng</v>
      </c>
      <c r="C37" s="53" t="str">
        <f ca="1">IFERROR(__xludf.DUMMYFUNCTION("""COMPUTED_VALUE"""),"Mầm non")</f>
        <v>Mầm non</v>
      </c>
      <c r="D37" s="53" t="str">
        <f ca="1">IFERROR(__xludf.DUMMYFUNCTION("""COMPUTED_VALUE"""),"TÂN BÌNH")</f>
        <v>TÂN BÌNH</v>
      </c>
      <c r="E37" s="54">
        <f ca="1">IFERROR(__xludf.DUMMYFUNCTION("""COMPUTED_VALUE"""),13)</f>
        <v>13</v>
      </c>
      <c r="F37" s="54">
        <f ca="1">IFERROR(__xludf.DUMMYFUNCTION("""COMPUTED_VALUE"""),13)</f>
        <v>13</v>
      </c>
      <c r="G37" s="51">
        <f t="shared" ca="1" si="0"/>
        <v>1</v>
      </c>
      <c r="H37" s="54">
        <f ca="1">IFERROR(__xludf.DUMMYFUNCTION("""COMPUTED_VALUE"""),13)</f>
        <v>13</v>
      </c>
      <c r="I37" s="51">
        <f t="shared" ca="1" si="1"/>
        <v>1</v>
      </c>
      <c r="J37" s="54">
        <f ca="1">IFERROR(__xludf.DUMMYFUNCTION("""COMPUTED_VALUE"""),9)</f>
        <v>9</v>
      </c>
      <c r="K37" s="51">
        <f t="shared" ca="1" si="2"/>
        <v>0.69230769230769229</v>
      </c>
      <c r="L37" s="54">
        <f ca="1">IFERROR(__xludf.DUMMYFUNCTION("""COMPUTED_VALUE"""),0)</f>
        <v>0</v>
      </c>
      <c r="M37" s="51">
        <f t="shared" ca="1" si="3"/>
        <v>0</v>
      </c>
      <c r="N37" s="54">
        <f ca="1">IFERROR(__xludf.DUMMYFUNCTION("""COMPUTED_VALUE"""),21)</f>
        <v>21</v>
      </c>
      <c r="O37" s="54">
        <f ca="1">IFERROR(__xludf.DUMMYFUNCTION("""COMPUTED_VALUE"""),3)</f>
        <v>3</v>
      </c>
      <c r="P37" s="51">
        <f t="shared" ca="1" si="4"/>
        <v>0.14285714285714285</v>
      </c>
      <c r="Q37" s="54">
        <f ca="1">IFERROR(__xludf.DUMMYFUNCTION("""COMPUTED_VALUE"""),0)</f>
        <v>0</v>
      </c>
      <c r="R37" s="51">
        <f t="shared" ca="1" si="5"/>
        <v>0</v>
      </c>
      <c r="S37" s="53"/>
      <c r="T37" s="53">
        <f ca="1">IFERROR(__xludf.DUMMYFUNCTION("""COMPUTED_VALUE"""),0)</f>
        <v>0</v>
      </c>
      <c r="U37" s="51" t="str">
        <f t="shared" ca="1" si="6"/>
        <v/>
      </c>
      <c r="V37" s="54">
        <f ca="1">IFERROR(__xludf.DUMMYFUNCTION("""COMPUTED_VALUE"""),0)</f>
        <v>0</v>
      </c>
      <c r="W37" s="51" t="str">
        <f t="shared" ca="1" si="7"/>
        <v/>
      </c>
      <c r="X37" s="54">
        <f ca="1">IFERROR(__xludf.DUMMYFUNCTION("""COMPUTED_VALUE"""),0)</f>
        <v>0</v>
      </c>
      <c r="Y37" s="51" t="str">
        <f t="shared" ca="1" si="8"/>
        <v/>
      </c>
      <c r="Z37" s="2"/>
      <c r="AA37" s="2"/>
      <c r="AB37" s="2"/>
      <c r="AC37" s="2"/>
      <c r="AD37" s="2"/>
      <c r="AE37" s="2"/>
    </row>
    <row r="38" spans="1:31" ht="12.75" x14ac:dyDescent="0.2">
      <c r="A38" s="53">
        <f ca="1">IFERROR(__xludf.DUMMYFUNCTION("""COMPUTED_VALUE"""),99)</f>
        <v>99</v>
      </c>
      <c r="B38" s="53" t="str">
        <f ca="1">IFERROR(__xludf.DUMMYFUNCTION("""COMPUTED_VALUE"""),"Mn TT Thiên Thần Nhỏ")</f>
        <v>Mn TT Thiên Thần Nhỏ</v>
      </c>
      <c r="C38" s="53" t="str">
        <f ca="1">IFERROR(__xludf.DUMMYFUNCTION("""COMPUTED_VALUE"""),"Mầm non")</f>
        <v>Mầm non</v>
      </c>
      <c r="D38" s="53" t="str">
        <f ca="1">IFERROR(__xludf.DUMMYFUNCTION("""COMPUTED_VALUE"""),"TÂN BÌNH")</f>
        <v>TÂN BÌNH</v>
      </c>
      <c r="E38" s="54">
        <f ca="1">IFERROR(__xludf.DUMMYFUNCTION("""COMPUTED_VALUE"""),20)</f>
        <v>20</v>
      </c>
      <c r="F38" s="54">
        <f ca="1">IFERROR(__xludf.DUMMYFUNCTION("""COMPUTED_VALUE"""),20)</f>
        <v>20</v>
      </c>
      <c r="G38" s="51">
        <f t="shared" ca="1" si="0"/>
        <v>1</v>
      </c>
      <c r="H38" s="54">
        <f ca="1">IFERROR(__xludf.DUMMYFUNCTION("""COMPUTED_VALUE"""),20)</f>
        <v>20</v>
      </c>
      <c r="I38" s="51">
        <f t="shared" ca="1" si="1"/>
        <v>1</v>
      </c>
      <c r="J38" s="54">
        <f ca="1">IFERROR(__xludf.DUMMYFUNCTION("""COMPUTED_VALUE"""),20)</f>
        <v>20</v>
      </c>
      <c r="K38" s="51">
        <f t="shared" ca="1" si="2"/>
        <v>1</v>
      </c>
      <c r="L38" s="54">
        <f ca="1">IFERROR(__xludf.DUMMYFUNCTION("""COMPUTED_VALUE"""),15)</f>
        <v>15</v>
      </c>
      <c r="M38" s="51">
        <f t="shared" ca="1" si="3"/>
        <v>0.75</v>
      </c>
      <c r="N38" s="54">
        <f ca="1">IFERROR(__xludf.DUMMYFUNCTION("""COMPUTED_VALUE"""),31)</f>
        <v>31</v>
      </c>
      <c r="O38" s="54">
        <f ca="1">IFERROR(__xludf.DUMMYFUNCTION("""COMPUTED_VALUE"""),2)</f>
        <v>2</v>
      </c>
      <c r="P38" s="51">
        <f t="shared" ca="1" si="4"/>
        <v>6.4516129032258063E-2</v>
      </c>
      <c r="Q38" s="54">
        <f ca="1">IFERROR(__xludf.DUMMYFUNCTION("""COMPUTED_VALUE"""),0)</f>
        <v>0</v>
      </c>
      <c r="R38" s="51">
        <f t="shared" ca="1" si="5"/>
        <v>0</v>
      </c>
      <c r="S38" s="53"/>
      <c r="T38" s="53"/>
      <c r="U38" s="51" t="str">
        <f t="shared" si="6"/>
        <v/>
      </c>
      <c r="V38" s="53"/>
      <c r="W38" s="51" t="str">
        <f t="shared" si="7"/>
        <v/>
      </c>
      <c r="X38" s="53"/>
      <c r="Y38" s="51" t="str">
        <f t="shared" si="8"/>
        <v/>
      </c>
      <c r="Z38" s="2"/>
      <c r="AA38" s="2"/>
      <c r="AB38" s="2"/>
      <c r="AC38" s="2"/>
      <c r="AD38" s="2"/>
      <c r="AE38" s="2"/>
    </row>
    <row r="39" spans="1:31" ht="12.75" x14ac:dyDescent="0.2">
      <c r="A39" s="53">
        <f ca="1">IFERROR(__xludf.DUMMYFUNCTION("""COMPUTED_VALUE"""),100)</f>
        <v>100</v>
      </c>
      <c r="B39" s="53" t="str">
        <f ca="1">IFERROR(__xludf.DUMMYFUNCTION("""COMPUTED_VALUE"""),"MN TT Thanh Vy")</f>
        <v>MN TT Thanh Vy</v>
      </c>
      <c r="C39" s="53" t="str">
        <f ca="1">IFERROR(__xludf.DUMMYFUNCTION("""COMPUTED_VALUE"""),"Mầm non")</f>
        <v>Mầm non</v>
      </c>
      <c r="D39" s="53" t="str">
        <f ca="1">IFERROR(__xludf.DUMMYFUNCTION("""COMPUTED_VALUE"""),"TÂN BÌNH")</f>
        <v>TÂN BÌNH</v>
      </c>
      <c r="E39" s="54">
        <f ca="1">IFERROR(__xludf.DUMMYFUNCTION("""COMPUTED_VALUE"""),21)</f>
        <v>21</v>
      </c>
      <c r="F39" s="54">
        <f ca="1">IFERROR(__xludf.DUMMYFUNCTION("""COMPUTED_VALUE"""),21)</f>
        <v>21</v>
      </c>
      <c r="G39" s="51">
        <f t="shared" ca="1" si="0"/>
        <v>1</v>
      </c>
      <c r="H39" s="54">
        <f ca="1">IFERROR(__xludf.DUMMYFUNCTION("""COMPUTED_VALUE"""),21)</f>
        <v>21</v>
      </c>
      <c r="I39" s="51">
        <f t="shared" ca="1" si="1"/>
        <v>1</v>
      </c>
      <c r="J39" s="54">
        <f ca="1">IFERROR(__xludf.DUMMYFUNCTION("""COMPUTED_VALUE"""),21)</f>
        <v>21</v>
      </c>
      <c r="K39" s="51">
        <f t="shared" ca="1" si="2"/>
        <v>1</v>
      </c>
      <c r="L39" s="54">
        <f ca="1">IFERROR(__xludf.DUMMYFUNCTION("""COMPUTED_VALUE"""),4)</f>
        <v>4</v>
      </c>
      <c r="M39" s="51">
        <f t="shared" ca="1" si="3"/>
        <v>0.19047619047619047</v>
      </c>
      <c r="N39" s="54">
        <f ca="1">IFERROR(__xludf.DUMMYFUNCTION("""COMPUTED_VALUE"""),15)</f>
        <v>15</v>
      </c>
      <c r="O39" s="54">
        <f ca="1">IFERROR(__xludf.DUMMYFUNCTION("""COMPUTED_VALUE"""),0)</f>
        <v>0</v>
      </c>
      <c r="P39" s="51">
        <f t="shared" ca="1" si="4"/>
        <v>0</v>
      </c>
      <c r="Q39" s="54">
        <f ca="1">IFERROR(__xludf.DUMMYFUNCTION("""COMPUTED_VALUE"""),0)</f>
        <v>0</v>
      </c>
      <c r="R39" s="51">
        <f t="shared" ca="1" si="5"/>
        <v>0</v>
      </c>
      <c r="S39" s="53"/>
      <c r="T39" s="53"/>
      <c r="U39" s="51" t="str">
        <f t="shared" si="6"/>
        <v/>
      </c>
      <c r="V39" s="53"/>
      <c r="W39" s="51" t="str">
        <f t="shared" si="7"/>
        <v/>
      </c>
      <c r="X39" s="53"/>
      <c r="Y39" s="51" t="str">
        <f t="shared" si="8"/>
        <v/>
      </c>
      <c r="Z39" s="2"/>
      <c r="AA39" s="2"/>
      <c r="AB39" s="2"/>
      <c r="AC39" s="2"/>
      <c r="AD39" s="2"/>
      <c r="AE39" s="2"/>
    </row>
    <row r="40" spans="1:31" ht="12.75" x14ac:dyDescent="0.2">
      <c r="A40" s="53">
        <f ca="1">IFERROR(__xludf.DUMMYFUNCTION("""COMPUTED_VALUE"""),101)</f>
        <v>101</v>
      </c>
      <c r="B40" s="53" t="str">
        <f ca="1">IFERROR(__xludf.DUMMYFUNCTION("""COMPUTED_VALUE"""),"Mn TT Hiền Minh")</f>
        <v>Mn TT Hiền Minh</v>
      </c>
      <c r="C40" s="53" t="str">
        <f ca="1">IFERROR(__xludf.DUMMYFUNCTION("""COMPUTED_VALUE"""),"Mầm non")</f>
        <v>Mầm non</v>
      </c>
      <c r="D40" s="53" t="str">
        <f ca="1">IFERROR(__xludf.DUMMYFUNCTION("""COMPUTED_VALUE"""),"TÂN BÌNH")</f>
        <v>TÂN BÌNH</v>
      </c>
      <c r="E40" s="54">
        <f ca="1">IFERROR(__xludf.DUMMYFUNCTION("""COMPUTED_VALUE"""),22)</f>
        <v>22</v>
      </c>
      <c r="F40" s="54">
        <f ca="1">IFERROR(__xludf.DUMMYFUNCTION("""COMPUTED_VALUE"""),22)</f>
        <v>22</v>
      </c>
      <c r="G40" s="51">
        <f t="shared" ca="1" si="0"/>
        <v>1</v>
      </c>
      <c r="H40" s="54">
        <f ca="1">IFERROR(__xludf.DUMMYFUNCTION("""COMPUTED_VALUE"""),22)</f>
        <v>22</v>
      </c>
      <c r="I40" s="51">
        <f t="shared" ca="1" si="1"/>
        <v>1</v>
      </c>
      <c r="J40" s="54">
        <f ca="1">IFERROR(__xludf.DUMMYFUNCTION("""COMPUTED_VALUE"""),22)</f>
        <v>22</v>
      </c>
      <c r="K40" s="51">
        <f t="shared" ca="1" si="2"/>
        <v>1</v>
      </c>
      <c r="L40" s="54">
        <f ca="1">IFERROR(__xludf.DUMMYFUNCTION("""COMPUTED_VALUE"""),3)</f>
        <v>3</v>
      </c>
      <c r="M40" s="51">
        <f t="shared" ca="1" si="3"/>
        <v>0.13636363636363635</v>
      </c>
      <c r="N40" s="54">
        <f ca="1">IFERROR(__xludf.DUMMYFUNCTION("""COMPUTED_VALUE"""),27)</f>
        <v>27</v>
      </c>
      <c r="O40" s="54">
        <f ca="1">IFERROR(__xludf.DUMMYFUNCTION("""COMPUTED_VALUE"""),13)</f>
        <v>13</v>
      </c>
      <c r="P40" s="51">
        <f t="shared" ca="1" si="4"/>
        <v>0.48148148148148145</v>
      </c>
      <c r="Q40" s="54">
        <f ca="1">IFERROR(__xludf.DUMMYFUNCTION("""COMPUTED_VALUE"""),4)</f>
        <v>4</v>
      </c>
      <c r="R40" s="51">
        <f t="shared" ca="1" si="5"/>
        <v>0.14814814814814814</v>
      </c>
      <c r="S40" s="53"/>
      <c r="T40" s="53"/>
      <c r="U40" s="51" t="str">
        <f t="shared" si="6"/>
        <v/>
      </c>
      <c r="V40" s="53"/>
      <c r="W40" s="51" t="str">
        <f t="shared" si="7"/>
        <v/>
      </c>
      <c r="X40" s="53"/>
      <c r="Y40" s="51" t="str">
        <f t="shared" si="8"/>
        <v/>
      </c>
      <c r="Z40" s="2"/>
      <c r="AA40" s="2"/>
      <c r="AB40" s="2"/>
      <c r="AC40" s="2"/>
      <c r="AD40" s="2"/>
      <c r="AE40" s="2"/>
    </row>
    <row r="41" spans="1:31" ht="12.75" x14ac:dyDescent="0.2">
      <c r="A41" s="53">
        <f ca="1">IFERROR(__xludf.DUMMYFUNCTION("""COMPUTED_VALUE"""),102)</f>
        <v>102</v>
      </c>
      <c r="B41" s="53" t="str">
        <f ca="1">IFERROR(__xludf.DUMMYFUNCTION("""COMPUTED_VALUE"""),"Mn TT Thành Phố Tuổi Thơ")</f>
        <v>Mn TT Thành Phố Tuổi Thơ</v>
      </c>
      <c r="C41" s="53" t="str">
        <f ca="1">IFERROR(__xludf.DUMMYFUNCTION("""COMPUTED_VALUE"""),"Mầm non")</f>
        <v>Mầm non</v>
      </c>
      <c r="D41" s="53" t="str">
        <f ca="1">IFERROR(__xludf.DUMMYFUNCTION("""COMPUTED_VALUE"""),"TÂN BÌNH")</f>
        <v>TÂN BÌNH</v>
      </c>
      <c r="E41" s="54">
        <f ca="1">IFERROR(__xludf.DUMMYFUNCTION("""COMPUTED_VALUE"""),34)</f>
        <v>34</v>
      </c>
      <c r="F41" s="54">
        <f ca="1">IFERROR(__xludf.DUMMYFUNCTION("""COMPUTED_VALUE"""),34)</f>
        <v>34</v>
      </c>
      <c r="G41" s="51">
        <f t="shared" ca="1" si="0"/>
        <v>1</v>
      </c>
      <c r="H41" s="54">
        <f ca="1">IFERROR(__xludf.DUMMYFUNCTION("""COMPUTED_VALUE"""),34)</f>
        <v>34</v>
      </c>
      <c r="I41" s="51">
        <f t="shared" ca="1" si="1"/>
        <v>1</v>
      </c>
      <c r="J41" s="54">
        <f ca="1">IFERROR(__xludf.DUMMYFUNCTION("""COMPUTED_VALUE"""),33)</f>
        <v>33</v>
      </c>
      <c r="K41" s="51">
        <f t="shared" ca="1" si="2"/>
        <v>0.97058823529411764</v>
      </c>
      <c r="L41" s="54">
        <f ca="1">IFERROR(__xludf.DUMMYFUNCTION("""COMPUTED_VALUE"""),8)</f>
        <v>8</v>
      </c>
      <c r="M41" s="51">
        <f t="shared" ca="1" si="3"/>
        <v>0.23529411764705882</v>
      </c>
      <c r="N41" s="54">
        <f ca="1">IFERROR(__xludf.DUMMYFUNCTION("""COMPUTED_VALUE"""),12)</f>
        <v>12</v>
      </c>
      <c r="O41" s="54">
        <f ca="1">IFERROR(__xludf.DUMMYFUNCTION("""COMPUTED_VALUE"""),0)</f>
        <v>0</v>
      </c>
      <c r="P41" s="51">
        <f t="shared" ca="1" si="4"/>
        <v>0</v>
      </c>
      <c r="Q41" s="54">
        <f ca="1">IFERROR(__xludf.DUMMYFUNCTION("""COMPUTED_VALUE"""),0)</f>
        <v>0</v>
      </c>
      <c r="R41" s="51">
        <f t="shared" ca="1" si="5"/>
        <v>0</v>
      </c>
      <c r="S41" s="53"/>
      <c r="T41" s="53"/>
      <c r="U41" s="51" t="str">
        <f t="shared" si="6"/>
        <v/>
      </c>
      <c r="V41" s="53"/>
      <c r="W41" s="51" t="str">
        <f t="shared" si="7"/>
        <v/>
      </c>
      <c r="X41" s="53"/>
      <c r="Y41" s="51" t="str">
        <f t="shared" si="8"/>
        <v/>
      </c>
      <c r="Z41" s="2"/>
      <c r="AA41" s="2"/>
      <c r="AB41" s="2"/>
      <c r="AC41" s="2"/>
      <c r="AD41" s="2"/>
      <c r="AE41" s="2"/>
    </row>
    <row r="42" spans="1:31" ht="12.75" x14ac:dyDescent="0.2">
      <c r="A42" s="53">
        <f ca="1">IFERROR(__xludf.DUMMYFUNCTION("""COMPUTED_VALUE"""),103)</f>
        <v>103</v>
      </c>
      <c r="B42" s="53" t="str">
        <f ca="1">IFERROR(__xludf.DUMMYFUNCTION("""COMPUTED_VALUE"""),"MNTT Việt Anh")</f>
        <v>MNTT Việt Anh</v>
      </c>
      <c r="C42" s="53" t="str">
        <f ca="1">IFERROR(__xludf.DUMMYFUNCTION("""COMPUTED_VALUE"""),"Mầm non")</f>
        <v>Mầm non</v>
      </c>
      <c r="D42" s="53" t="str">
        <f ca="1">IFERROR(__xludf.DUMMYFUNCTION("""COMPUTED_VALUE"""),"TÂN BÌNH")</f>
        <v>TÂN BÌNH</v>
      </c>
      <c r="E42" s="54">
        <f ca="1">IFERROR(__xludf.DUMMYFUNCTION("""COMPUTED_VALUE"""),11)</f>
        <v>11</v>
      </c>
      <c r="F42" s="54">
        <f ca="1">IFERROR(__xludf.DUMMYFUNCTION("""COMPUTED_VALUE"""),11)</f>
        <v>11</v>
      </c>
      <c r="G42" s="51">
        <f t="shared" ca="1" si="0"/>
        <v>1</v>
      </c>
      <c r="H42" s="54">
        <f ca="1">IFERROR(__xludf.DUMMYFUNCTION("""COMPUTED_VALUE"""),11)</f>
        <v>11</v>
      </c>
      <c r="I42" s="51">
        <f t="shared" ca="1" si="1"/>
        <v>1</v>
      </c>
      <c r="J42" s="54">
        <f ca="1">IFERROR(__xludf.DUMMYFUNCTION("""COMPUTED_VALUE"""),11)</f>
        <v>11</v>
      </c>
      <c r="K42" s="51">
        <f t="shared" ca="1" si="2"/>
        <v>1</v>
      </c>
      <c r="L42" s="54">
        <f ca="1">IFERROR(__xludf.DUMMYFUNCTION("""COMPUTED_VALUE"""),2)</f>
        <v>2</v>
      </c>
      <c r="M42" s="51">
        <f t="shared" ca="1" si="3"/>
        <v>0.18181818181818182</v>
      </c>
      <c r="N42" s="54">
        <f ca="1">IFERROR(__xludf.DUMMYFUNCTION("""COMPUTED_VALUE"""),0)</f>
        <v>0</v>
      </c>
      <c r="O42" s="54">
        <f ca="1">IFERROR(__xludf.DUMMYFUNCTION("""COMPUTED_VALUE"""),0)</f>
        <v>0</v>
      </c>
      <c r="P42" s="51" t="str">
        <f t="shared" ca="1" si="4"/>
        <v/>
      </c>
      <c r="Q42" s="54">
        <f ca="1">IFERROR(__xludf.DUMMYFUNCTION("""COMPUTED_VALUE"""),0)</f>
        <v>0</v>
      </c>
      <c r="R42" s="51" t="str">
        <f t="shared" ca="1" si="5"/>
        <v/>
      </c>
      <c r="S42" s="53"/>
      <c r="T42" s="53"/>
      <c r="U42" s="51" t="str">
        <f t="shared" si="6"/>
        <v/>
      </c>
      <c r="V42" s="53"/>
      <c r="W42" s="51" t="str">
        <f t="shared" si="7"/>
        <v/>
      </c>
      <c r="X42" s="53"/>
      <c r="Y42" s="51" t="str">
        <f t="shared" si="8"/>
        <v/>
      </c>
      <c r="Z42" s="2"/>
      <c r="AA42" s="2"/>
      <c r="AB42" s="2"/>
      <c r="AC42" s="2"/>
      <c r="AD42" s="2"/>
      <c r="AE42" s="2"/>
    </row>
    <row r="43" spans="1:31" ht="12.75" x14ac:dyDescent="0.2">
      <c r="A43" s="53">
        <f ca="1">IFERROR(__xludf.DUMMYFUNCTION("""COMPUTED_VALUE"""),104)</f>
        <v>104</v>
      </c>
      <c r="B43" s="53" t="str">
        <f ca="1">IFERROR(__xludf.DUMMYFUNCTION("""COMPUTED_VALUE"""),"MN 14")</f>
        <v>MN 14</v>
      </c>
      <c r="C43" s="53" t="str">
        <f ca="1">IFERROR(__xludf.DUMMYFUNCTION("""COMPUTED_VALUE"""),"Mầm non")</f>
        <v>Mầm non</v>
      </c>
      <c r="D43" s="53" t="str">
        <f ca="1">IFERROR(__xludf.DUMMYFUNCTION("""COMPUTED_VALUE"""),"TÂN BÌNH")</f>
        <v>TÂN BÌNH</v>
      </c>
      <c r="E43" s="54">
        <f ca="1">IFERROR(__xludf.DUMMYFUNCTION("""COMPUTED_VALUE"""),50)</f>
        <v>50</v>
      </c>
      <c r="F43" s="54">
        <f ca="1">IFERROR(__xludf.DUMMYFUNCTION("""COMPUTED_VALUE"""),50)</f>
        <v>50</v>
      </c>
      <c r="G43" s="51">
        <f t="shared" ca="1" si="0"/>
        <v>1</v>
      </c>
      <c r="H43" s="54">
        <f ca="1">IFERROR(__xludf.DUMMYFUNCTION("""COMPUTED_VALUE"""),50)</f>
        <v>50</v>
      </c>
      <c r="I43" s="51">
        <f t="shared" ca="1" si="1"/>
        <v>1</v>
      </c>
      <c r="J43" s="54">
        <f ca="1">IFERROR(__xludf.DUMMYFUNCTION("""COMPUTED_VALUE"""),46)</f>
        <v>46</v>
      </c>
      <c r="K43" s="51">
        <f t="shared" ca="1" si="2"/>
        <v>0.92</v>
      </c>
      <c r="L43" s="54">
        <f ca="1">IFERROR(__xludf.DUMMYFUNCTION("""COMPUTED_VALUE"""),26)</f>
        <v>26</v>
      </c>
      <c r="M43" s="51">
        <f t="shared" ca="1" si="3"/>
        <v>0.52</v>
      </c>
      <c r="N43" s="54">
        <f ca="1">IFERROR(__xludf.DUMMYFUNCTION("""COMPUTED_VALUE"""),142)</f>
        <v>142</v>
      </c>
      <c r="O43" s="54">
        <f ca="1">IFERROR(__xludf.DUMMYFUNCTION("""COMPUTED_VALUE"""),30)</f>
        <v>30</v>
      </c>
      <c r="P43" s="51">
        <f t="shared" ca="1" si="4"/>
        <v>0.21126760563380281</v>
      </c>
      <c r="Q43" s="54">
        <f ca="1">IFERROR(__xludf.DUMMYFUNCTION("""COMPUTED_VALUE"""),12)</f>
        <v>12</v>
      </c>
      <c r="R43" s="51">
        <f t="shared" ca="1" si="5"/>
        <v>8.4507042253521125E-2</v>
      </c>
      <c r="S43" s="53"/>
      <c r="T43" s="53"/>
      <c r="U43" s="51" t="str">
        <f t="shared" si="6"/>
        <v/>
      </c>
      <c r="V43" s="53"/>
      <c r="W43" s="51" t="str">
        <f t="shared" si="7"/>
        <v/>
      </c>
      <c r="X43" s="53"/>
      <c r="Y43" s="51" t="str">
        <f t="shared" si="8"/>
        <v/>
      </c>
      <c r="Z43" s="2"/>
      <c r="AA43" s="2"/>
      <c r="AB43" s="2"/>
      <c r="AC43" s="2"/>
      <c r="AD43" s="2"/>
      <c r="AE43" s="2"/>
    </row>
    <row r="44" spans="1:31" ht="12.75" x14ac:dyDescent="0.2">
      <c r="A44" s="53">
        <f ca="1">IFERROR(__xludf.DUMMYFUNCTION("""COMPUTED_VALUE"""),105)</f>
        <v>105</v>
      </c>
      <c r="B44" s="53" t="str">
        <f ca="1">IFERROR(__xludf.DUMMYFUNCTION("""COMPUTED_VALUE"""),"MN 15")</f>
        <v>MN 15</v>
      </c>
      <c r="C44" s="53" t="str">
        <f ca="1">IFERROR(__xludf.DUMMYFUNCTION("""COMPUTED_VALUE"""),"Mầm non")</f>
        <v>Mầm non</v>
      </c>
      <c r="D44" s="53" t="str">
        <f ca="1">IFERROR(__xludf.DUMMYFUNCTION("""COMPUTED_VALUE"""),"TÂN BÌNH")</f>
        <v>TÂN BÌNH</v>
      </c>
      <c r="E44" s="54">
        <f ca="1">IFERROR(__xludf.DUMMYFUNCTION("""COMPUTED_VALUE"""),40)</f>
        <v>40</v>
      </c>
      <c r="F44" s="54">
        <f ca="1">IFERROR(__xludf.DUMMYFUNCTION("""COMPUTED_VALUE"""),40)</f>
        <v>40</v>
      </c>
      <c r="G44" s="51">
        <f t="shared" ca="1" si="0"/>
        <v>1</v>
      </c>
      <c r="H44" s="54">
        <f ca="1">IFERROR(__xludf.DUMMYFUNCTION("""COMPUTED_VALUE"""),40)</f>
        <v>40</v>
      </c>
      <c r="I44" s="51">
        <f t="shared" ca="1" si="1"/>
        <v>1</v>
      </c>
      <c r="J44" s="54">
        <f ca="1">IFERROR(__xludf.DUMMYFUNCTION("""COMPUTED_VALUE"""),40)</f>
        <v>40</v>
      </c>
      <c r="K44" s="51">
        <f t="shared" ca="1" si="2"/>
        <v>1</v>
      </c>
      <c r="L44" s="54">
        <f ca="1">IFERROR(__xludf.DUMMYFUNCTION("""COMPUTED_VALUE"""),39)</f>
        <v>39</v>
      </c>
      <c r="M44" s="51">
        <f t="shared" ca="1" si="3"/>
        <v>0.97499999999999998</v>
      </c>
      <c r="N44" s="54">
        <f ca="1">IFERROR(__xludf.DUMMYFUNCTION("""COMPUTED_VALUE"""),170)</f>
        <v>170</v>
      </c>
      <c r="O44" s="54">
        <f ca="1">IFERROR(__xludf.DUMMYFUNCTION("""COMPUTED_VALUE"""),32)</f>
        <v>32</v>
      </c>
      <c r="P44" s="51">
        <f t="shared" ca="1" si="4"/>
        <v>0.18823529411764706</v>
      </c>
      <c r="Q44" s="54">
        <f ca="1">IFERROR(__xludf.DUMMYFUNCTION("""COMPUTED_VALUE"""),16)</f>
        <v>16</v>
      </c>
      <c r="R44" s="51">
        <f t="shared" ca="1" si="5"/>
        <v>9.4117647058823528E-2</v>
      </c>
      <c r="S44" s="53"/>
      <c r="T44" s="53"/>
      <c r="U44" s="51" t="str">
        <f t="shared" si="6"/>
        <v/>
      </c>
      <c r="V44" s="53"/>
      <c r="W44" s="51" t="str">
        <f t="shared" si="7"/>
        <v/>
      </c>
      <c r="X44" s="53"/>
      <c r="Y44" s="51" t="str">
        <f t="shared" si="8"/>
        <v/>
      </c>
      <c r="Z44" s="2"/>
      <c r="AA44" s="2"/>
      <c r="AB44" s="2"/>
      <c r="AC44" s="2"/>
      <c r="AD44" s="2"/>
      <c r="AE44" s="2"/>
    </row>
    <row r="45" spans="1:31" ht="12.75" x14ac:dyDescent="0.2">
      <c r="A45" s="53">
        <f ca="1">IFERROR(__xludf.DUMMYFUNCTION("""COMPUTED_VALUE"""),106)</f>
        <v>106</v>
      </c>
      <c r="B45" s="53" t="str">
        <f ca="1">IFERROR(__xludf.DUMMYFUNCTION("""COMPUTED_VALUE"""),"MN 5")</f>
        <v>MN 5</v>
      </c>
      <c r="C45" s="53" t="str">
        <f ca="1">IFERROR(__xludf.DUMMYFUNCTION("""COMPUTED_VALUE"""),"Mầm non")</f>
        <v>Mầm non</v>
      </c>
      <c r="D45" s="53" t="str">
        <f ca="1">IFERROR(__xludf.DUMMYFUNCTION("""COMPUTED_VALUE"""),"TÂN BÌNH")</f>
        <v>TÂN BÌNH</v>
      </c>
      <c r="E45" s="54">
        <f ca="1">IFERROR(__xludf.DUMMYFUNCTION("""COMPUTED_VALUE"""),19)</f>
        <v>19</v>
      </c>
      <c r="F45" s="54">
        <f ca="1">IFERROR(__xludf.DUMMYFUNCTION("""COMPUTED_VALUE"""),19)</f>
        <v>19</v>
      </c>
      <c r="G45" s="51">
        <f t="shared" ca="1" si="0"/>
        <v>1</v>
      </c>
      <c r="H45" s="54">
        <f ca="1">IFERROR(__xludf.DUMMYFUNCTION("""COMPUTED_VALUE"""),19)</f>
        <v>19</v>
      </c>
      <c r="I45" s="51">
        <f t="shared" ca="1" si="1"/>
        <v>1</v>
      </c>
      <c r="J45" s="54">
        <f ca="1">IFERROR(__xludf.DUMMYFUNCTION("""COMPUTED_VALUE"""),19)</f>
        <v>19</v>
      </c>
      <c r="K45" s="51">
        <f t="shared" ca="1" si="2"/>
        <v>1</v>
      </c>
      <c r="L45" s="54">
        <f ca="1">IFERROR(__xludf.DUMMYFUNCTION("""COMPUTED_VALUE"""),1)</f>
        <v>1</v>
      </c>
      <c r="M45" s="51">
        <f t="shared" ca="1" si="3"/>
        <v>5.2631578947368418E-2</v>
      </c>
      <c r="N45" s="54">
        <f ca="1">IFERROR(__xludf.DUMMYFUNCTION("""COMPUTED_VALUE"""),120)</f>
        <v>120</v>
      </c>
      <c r="O45" s="54">
        <f ca="1">IFERROR(__xludf.DUMMYFUNCTION("""COMPUTED_VALUE"""),5)</f>
        <v>5</v>
      </c>
      <c r="P45" s="51">
        <f t="shared" ca="1" si="4"/>
        <v>4.1666666666666664E-2</v>
      </c>
      <c r="Q45" s="54">
        <f ca="1">IFERROR(__xludf.DUMMYFUNCTION("""COMPUTED_VALUE"""),1)</f>
        <v>1</v>
      </c>
      <c r="R45" s="51">
        <f t="shared" ca="1" si="5"/>
        <v>8.3333333333333332E-3</v>
      </c>
      <c r="S45" s="53"/>
      <c r="T45" s="53"/>
      <c r="U45" s="51" t="str">
        <f t="shared" si="6"/>
        <v/>
      </c>
      <c r="V45" s="53"/>
      <c r="W45" s="51" t="str">
        <f t="shared" si="7"/>
        <v/>
      </c>
      <c r="X45" s="53"/>
      <c r="Y45" s="51" t="str">
        <f t="shared" si="8"/>
        <v/>
      </c>
      <c r="Z45" s="2"/>
      <c r="AA45" s="2"/>
      <c r="AB45" s="2"/>
      <c r="AC45" s="2"/>
      <c r="AD45" s="2"/>
      <c r="AE45" s="2"/>
    </row>
    <row r="46" spans="1:31" ht="12.75" x14ac:dyDescent="0.2">
      <c r="A46" s="53">
        <f ca="1">IFERROR(__xludf.DUMMYFUNCTION("""COMPUTED_VALUE"""),107)</f>
        <v>107</v>
      </c>
      <c r="B46" s="53" t="str">
        <f ca="1">IFERROR(__xludf.DUMMYFUNCTION("""COMPUTED_VALUE"""),"MN Họa Mi")</f>
        <v>MN Họa Mi</v>
      </c>
      <c r="C46" s="53" t="str">
        <f ca="1">IFERROR(__xludf.DUMMYFUNCTION("""COMPUTED_VALUE"""),"Mầm non")</f>
        <v>Mầm non</v>
      </c>
      <c r="D46" s="53" t="str">
        <f ca="1">IFERROR(__xludf.DUMMYFUNCTION("""COMPUTED_VALUE"""),"TÂN BÌNH")</f>
        <v>TÂN BÌNH</v>
      </c>
      <c r="E46" s="54">
        <f ca="1">IFERROR(__xludf.DUMMYFUNCTION("""COMPUTED_VALUE"""),33)</f>
        <v>33</v>
      </c>
      <c r="F46" s="54">
        <f ca="1">IFERROR(__xludf.DUMMYFUNCTION("""COMPUTED_VALUE"""),33)</f>
        <v>33</v>
      </c>
      <c r="G46" s="51">
        <f t="shared" ca="1" si="0"/>
        <v>1</v>
      </c>
      <c r="H46" s="54">
        <f ca="1">IFERROR(__xludf.DUMMYFUNCTION("""COMPUTED_VALUE"""),33)</f>
        <v>33</v>
      </c>
      <c r="I46" s="51">
        <f t="shared" ca="1" si="1"/>
        <v>1</v>
      </c>
      <c r="J46" s="54">
        <f ca="1">IFERROR(__xludf.DUMMYFUNCTION("""COMPUTED_VALUE"""),33)</f>
        <v>33</v>
      </c>
      <c r="K46" s="51">
        <f t="shared" ca="1" si="2"/>
        <v>1</v>
      </c>
      <c r="L46" s="54">
        <f ca="1">IFERROR(__xludf.DUMMYFUNCTION("""COMPUTED_VALUE"""),27)</f>
        <v>27</v>
      </c>
      <c r="M46" s="51">
        <f t="shared" ca="1" si="3"/>
        <v>0.81818181818181823</v>
      </c>
      <c r="N46" s="54">
        <f ca="1">IFERROR(__xludf.DUMMYFUNCTION("""COMPUTED_VALUE"""),90)</f>
        <v>90</v>
      </c>
      <c r="O46" s="54">
        <f ca="1">IFERROR(__xludf.DUMMYFUNCTION("""COMPUTED_VALUE"""),10)</f>
        <v>10</v>
      </c>
      <c r="P46" s="51">
        <f t="shared" ca="1" si="4"/>
        <v>0.1111111111111111</v>
      </c>
      <c r="Q46" s="54">
        <f ca="1">IFERROR(__xludf.DUMMYFUNCTION("""COMPUTED_VALUE"""),8)</f>
        <v>8</v>
      </c>
      <c r="R46" s="51">
        <f t="shared" ca="1" si="5"/>
        <v>8.8888888888888892E-2</v>
      </c>
      <c r="S46" s="53"/>
      <c r="T46" s="53"/>
      <c r="U46" s="51" t="str">
        <f t="shared" si="6"/>
        <v/>
      </c>
      <c r="V46" s="53"/>
      <c r="W46" s="51" t="str">
        <f t="shared" si="7"/>
        <v/>
      </c>
      <c r="X46" s="53"/>
      <c r="Y46" s="51" t="str">
        <f t="shared" si="8"/>
        <v/>
      </c>
      <c r="Z46" s="2"/>
      <c r="AA46" s="2"/>
      <c r="AB46" s="2"/>
      <c r="AC46" s="2"/>
      <c r="AD46" s="2"/>
      <c r="AE46" s="2"/>
    </row>
    <row r="47" spans="1:31" ht="12.75" x14ac:dyDescent="0.2">
      <c r="A47" s="53">
        <f ca="1">IFERROR(__xludf.DUMMYFUNCTION("""COMPUTED_VALUE"""),108)</f>
        <v>108</v>
      </c>
      <c r="B47" s="53" t="str">
        <f ca="1">IFERROR(__xludf.DUMMYFUNCTION("""COMPUTED_VALUE"""),"MNPhú Hòa")</f>
        <v>MNPhú Hòa</v>
      </c>
      <c r="C47" s="53" t="str">
        <f ca="1">IFERROR(__xludf.DUMMYFUNCTION("""COMPUTED_VALUE"""),"Mầm non")</f>
        <v>Mầm non</v>
      </c>
      <c r="D47" s="53" t="str">
        <f ca="1">IFERROR(__xludf.DUMMYFUNCTION("""COMPUTED_VALUE"""),"TÂN BÌNH")</f>
        <v>TÂN BÌNH</v>
      </c>
      <c r="E47" s="54">
        <f ca="1">IFERROR(__xludf.DUMMYFUNCTION("""COMPUTED_VALUE"""),33)</f>
        <v>33</v>
      </c>
      <c r="F47" s="54">
        <f ca="1">IFERROR(__xludf.DUMMYFUNCTION("""COMPUTED_VALUE"""),33)</f>
        <v>33</v>
      </c>
      <c r="G47" s="51">
        <f t="shared" ca="1" si="0"/>
        <v>1</v>
      </c>
      <c r="H47" s="54">
        <f ca="1">IFERROR(__xludf.DUMMYFUNCTION("""COMPUTED_VALUE"""),33)</f>
        <v>33</v>
      </c>
      <c r="I47" s="51">
        <f t="shared" ca="1" si="1"/>
        <v>1</v>
      </c>
      <c r="J47" s="54">
        <f ca="1">IFERROR(__xludf.DUMMYFUNCTION("""COMPUTED_VALUE"""),32)</f>
        <v>32</v>
      </c>
      <c r="K47" s="51">
        <f t="shared" ca="1" si="2"/>
        <v>0.96969696969696972</v>
      </c>
      <c r="L47" s="54">
        <f ca="1">IFERROR(__xludf.DUMMYFUNCTION("""COMPUTED_VALUE"""),25)</f>
        <v>25</v>
      </c>
      <c r="M47" s="51">
        <f t="shared" ca="1" si="3"/>
        <v>0.75757575757575757</v>
      </c>
      <c r="N47" s="54">
        <f ca="1">IFERROR(__xludf.DUMMYFUNCTION("""COMPUTED_VALUE"""),77)</f>
        <v>77</v>
      </c>
      <c r="O47" s="54">
        <f ca="1">IFERROR(__xludf.DUMMYFUNCTION("""COMPUTED_VALUE"""),7)</f>
        <v>7</v>
      </c>
      <c r="P47" s="51">
        <f t="shared" ca="1" si="4"/>
        <v>9.0909090909090912E-2</v>
      </c>
      <c r="Q47" s="54">
        <f ca="1">IFERROR(__xludf.DUMMYFUNCTION("""COMPUTED_VALUE"""),3)</f>
        <v>3</v>
      </c>
      <c r="R47" s="51">
        <f t="shared" ca="1" si="5"/>
        <v>3.896103896103896E-2</v>
      </c>
      <c r="S47" s="53"/>
      <c r="T47" s="53"/>
      <c r="U47" s="51" t="str">
        <f t="shared" si="6"/>
        <v/>
      </c>
      <c r="V47" s="53"/>
      <c r="W47" s="51" t="str">
        <f t="shared" si="7"/>
        <v/>
      </c>
      <c r="X47" s="53"/>
      <c r="Y47" s="51" t="str">
        <f t="shared" si="8"/>
        <v/>
      </c>
      <c r="Z47" s="2"/>
      <c r="AA47" s="2"/>
      <c r="AB47" s="2"/>
      <c r="AC47" s="2"/>
      <c r="AD47" s="2"/>
      <c r="AE47" s="2"/>
    </row>
    <row r="48" spans="1:31" ht="12.75" x14ac:dyDescent="0.2">
      <c r="A48" s="53">
        <f ca="1">IFERROR(__xludf.DUMMYFUNCTION("""COMPUTED_VALUE"""),109)</f>
        <v>109</v>
      </c>
      <c r="B48" s="53" t="str">
        <f ca="1">IFERROR(__xludf.DUMMYFUNCTION("""COMPUTED_VALUE"""),"MN 4")</f>
        <v>MN 4</v>
      </c>
      <c r="C48" s="53" t="str">
        <f ca="1">IFERROR(__xludf.DUMMYFUNCTION("""COMPUTED_VALUE"""),"Mầm non")</f>
        <v>Mầm non</v>
      </c>
      <c r="D48" s="53" t="str">
        <f ca="1">IFERROR(__xludf.DUMMYFUNCTION("""COMPUTED_VALUE"""),"TÂN BÌNH")</f>
        <v>TÂN BÌNH</v>
      </c>
      <c r="E48" s="54">
        <f ca="1">IFERROR(__xludf.DUMMYFUNCTION("""COMPUTED_VALUE"""),21)</f>
        <v>21</v>
      </c>
      <c r="F48" s="54">
        <f ca="1">IFERROR(__xludf.DUMMYFUNCTION("""COMPUTED_VALUE"""),20)</f>
        <v>20</v>
      </c>
      <c r="G48" s="51">
        <f t="shared" ca="1" si="0"/>
        <v>0.95238095238095233</v>
      </c>
      <c r="H48" s="54">
        <f ca="1">IFERROR(__xludf.DUMMYFUNCTION("""COMPUTED_VALUE"""),20)</f>
        <v>20</v>
      </c>
      <c r="I48" s="51">
        <f t="shared" ca="1" si="1"/>
        <v>0.95238095238095233</v>
      </c>
      <c r="J48" s="54">
        <f ca="1">IFERROR(__xludf.DUMMYFUNCTION("""COMPUTED_VALUE"""),20)</f>
        <v>20</v>
      </c>
      <c r="K48" s="51">
        <f t="shared" ca="1" si="2"/>
        <v>0.95238095238095233</v>
      </c>
      <c r="L48" s="54">
        <f ca="1">IFERROR(__xludf.DUMMYFUNCTION("""COMPUTED_VALUE"""),6)</f>
        <v>6</v>
      </c>
      <c r="M48" s="51">
        <f t="shared" ca="1" si="3"/>
        <v>0.2857142857142857</v>
      </c>
      <c r="N48" s="54">
        <f ca="1">IFERROR(__xludf.DUMMYFUNCTION("""COMPUTED_VALUE"""),32)</f>
        <v>32</v>
      </c>
      <c r="O48" s="54">
        <f ca="1">IFERROR(__xludf.DUMMYFUNCTION("""COMPUTED_VALUE"""),6)</f>
        <v>6</v>
      </c>
      <c r="P48" s="51">
        <f t="shared" ca="1" si="4"/>
        <v>0.1875</v>
      </c>
      <c r="Q48" s="54">
        <f ca="1">IFERROR(__xludf.DUMMYFUNCTION("""COMPUTED_VALUE"""),1)</f>
        <v>1</v>
      </c>
      <c r="R48" s="51">
        <f t="shared" ca="1" si="5"/>
        <v>3.125E-2</v>
      </c>
      <c r="S48" s="53"/>
      <c r="T48" s="53"/>
      <c r="U48" s="51" t="str">
        <f t="shared" si="6"/>
        <v/>
      </c>
      <c r="V48" s="53"/>
      <c r="W48" s="51" t="str">
        <f t="shared" si="7"/>
        <v/>
      </c>
      <c r="X48" s="53"/>
      <c r="Y48" s="51" t="str">
        <f t="shared" si="8"/>
        <v/>
      </c>
      <c r="Z48" s="2"/>
      <c r="AA48" s="2"/>
      <c r="AB48" s="2"/>
      <c r="AC48" s="2"/>
      <c r="AD48" s="2"/>
      <c r="AE48" s="2"/>
    </row>
    <row r="49" spans="1:31" ht="12.75" x14ac:dyDescent="0.2">
      <c r="A49" s="53">
        <f ca="1">IFERROR(__xludf.DUMMYFUNCTION("""COMPUTED_VALUE"""),110)</f>
        <v>110</v>
      </c>
      <c r="B49" s="53" t="str">
        <f ca="1">IFERROR(__xludf.DUMMYFUNCTION("""COMPUTED_VALUE"""),"MN Bàu Cát")</f>
        <v>MN Bàu Cát</v>
      </c>
      <c r="C49" s="53" t="str">
        <f ca="1">IFERROR(__xludf.DUMMYFUNCTION("""COMPUTED_VALUE"""),"Mầm non")</f>
        <v>Mầm non</v>
      </c>
      <c r="D49" s="53" t="str">
        <f ca="1">IFERROR(__xludf.DUMMYFUNCTION("""COMPUTED_VALUE"""),"TÂN BÌNH")</f>
        <v>TÂN BÌNH</v>
      </c>
      <c r="E49" s="54">
        <f ca="1">IFERROR(__xludf.DUMMYFUNCTION("""COMPUTED_VALUE"""),35)</f>
        <v>35</v>
      </c>
      <c r="F49" s="54">
        <f ca="1">IFERROR(__xludf.DUMMYFUNCTION("""COMPUTED_VALUE"""),0)</f>
        <v>0</v>
      </c>
      <c r="G49" s="51">
        <f t="shared" ca="1" si="0"/>
        <v>0</v>
      </c>
      <c r="H49" s="54">
        <f ca="1">IFERROR(__xludf.DUMMYFUNCTION("""COMPUTED_VALUE"""),1)</f>
        <v>1</v>
      </c>
      <c r="I49" s="51">
        <f t="shared" ca="1" si="1"/>
        <v>2.8571428571428571E-2</v>
      </c>
      <c r="J49" s="54">
        <f ca="1">IFERROR(__xludf.DUMMYFUNCTION("""COMPUTED_VALUE"""),2)</f>
        <v>2</v>
      </c>
      <c r="K49" s="51">
        <f t="shared" ca="1" si="2"/>
        <v>5.7142857142857141E-2</v>
      </c>
      <c r="L49" s="54">
        <f ca="1">IFERROR(__xludf.DUMMYFUNCTION("""COMPUTED_VALUE"""),32)</f>
        <v>32</v>
      </c>
      <c r="M49" s="51">
        <f t="shared" ca="1" si="3"/>
        <v>0.91428571428571426</v>
      </c>
      <c r="N49" s="54">
        <f ca="1">IFERROR(__xludf.DUMMYFUNCTION("""COMPUTED_VALUE"""),53)</f>
        <v>53</v>
      </c>
      <c r="O49" s="54">
        <f ca="1">IFERROR(__xludf.DUMMYFUNCTION("""COMPUTED_VALUE"""),10)</f>
        <v>10</v>
      </c>
      <c r="P49" s="51">
        <f t="shared" ca="1" si="4"/>
        <v>0.18867924528301888</v>
      </c>
      <c r="Q49" s="54">
        <f ca="1">IFERROR(__xludf.DUMMYFUNCTION("""COMPUTED_VALUE"""),2)</f>
        <v>2</v>
      </c>
      <c r="R49" s="51">
        <f t="shared" ca="1" si="5"/>
        <v>3.7735849056603772E-2</v>
      </c>
      <c r="S49" s="53"/>
      <c r="T49" s="53"/>
      <c r="U49" s="51" t="str">
        <f t="shared" si="6"/>
        <v/>
      </c>
      <c r="V49" s="53"/>
      <c r="W49" s="51" t="str">
        <f t="shared" si="7"/>
        <v/>
      </c>
      <c r="X49" s="53"/>
      <c r="Y49" s="51" t="str">
        <f t="shared" si="8"/>
        <v/>
      </c>
      <c r="Z49" s="2"/>
      <c r="AA49" s="2"/>
      <c r="AB49" s="2"/>
      <c r="AC49" s="2"/>
      <c r="AD49" s="2"/>
      <c r="AE49" s="2"/>
    </row>
    <row r="50" spans="1:31" ht="12.75" x14ac:dyDescent="0.2">
      <c r="A50" s="53">
        <f ca="1">IFERROR(__xludf.DUMMYFUNCTION("""COMPUTED_VALUE"""),111)</f>
        <v>111</v>
      </c>
      <c r="B50" s="53" t="str">
        <f ca="1">IFERROR(__xludf.DUMMYFUNCTION("""COMPUTED_VALUE"""),"MN 13")</f>
        <v>MN 13</v>
      </c>
      <c r="C50" s="53" t="str">
        <f ca="1">IFERROR(__xludf.DUMMYFUNCTION("""COMPUTED_VALUE"""),"Mầm non")</f>
        <v>Mầm non</v>
      </c>
      <c r="D50" s="53" t="str">
        <f ca="1">IFERROR(__xludf.DUMMYFUNCTION("""COMPUTED_VALUE"""),"TÂN BÌNH")</f>
        <v>TÂN BÌNH</v>
      </c>
      <c r="E50" s="54">
        <f ca="1">IFERROR(__xludf.DUMMYFUNCTION("""COMPUTED_VALUE"""),59)</f>
        <v>59</v>
      </c>
      <c r="F50" s="54">
        <f ca="1">IFERROR(__xludf.DUMMYFUNCTION("""COMPUTED_VALUE"""),59)</f>
        <v>59</v>
      </c>
      <c r="G50" s="51">
        <f t="shared" ca="1" si="0"/>
        <v>1</v>
      </c>
      <c r="H50" s="54">
        <f ca="1">IFERROR(__xludf.DUMMYFUNCTION("""COMPUTED_VALUE"""),59)</f>
        <v>59</v>
      </c>
      <c r="I50" s="51">
        <f t="shared" ca="1" si="1"/>
        <v>1</v>
      </c>
      <c r="J50" s="54">
        <f ca="1">IFERROR(__xludf.DUMMYFUNCTION("""COMPUTED_VALUE"""),59)</f>
        <v>59</v>
      </c>
      <c r="K50" s="51">
        <f t="shared" ca="1" si="2"/>
        <v>1</v>
      </c>
      <c r="L50" s="54">
        <f ca="1">IFERROR(__xludf.DUMMYFUNCTION("""COMPUTED_VALUE"""),19)</f>
        <v>19</v>
      </c>
      <c r="M50" s="51">
        <f t="shared" ca="1" si="3"/>
        <v>0.32203389830508472</v>
      </c>
      <c r="N50" s="54">
        <f ca="1">IFERROR(__xludf.DUMMYFUNCTION("""COMPUTED_VALUE"""),188)</f>
        <v>188</v>
      </c>
      <c r="O50" s="54">
        <f ca="1">IFERROR(__xludf.DUMMYFUNCTION("""COMPUTED_VALUE"""),27)</f>
        <v>27</v>
      </c>
      <c r="P50" s="51">
        <f t="shared" ca="1" si="4"/>
        <v>0.14361702127659576</v>
      </c>
      <c r="Q50" s="54">
        <f ca="1">IFERROR(__xludf.DUMMYFUNCTION("""COMPUTED_VALUE"""),6)</f>
        <v>6</v>
      </c>
      <c r="R50" s="51">
        <f t="shared" ca="1" si="5"/>
        <v>3.1914893617021274E-2</v>
      </c>
      <c r="S50" s="53"/>
      <c r="T50" s="53"/>
      <c r="U50" s="51" t="str">
        <f t="shared" si="6"/>
        <v/>
      </c>
      <c r="V50" s="53"/>
      <c r="W50" s="51" t="str">
        <f t="shared" si="7"/>
        <v/>
      </c>
      <c r="X50" s="53"/>
      <c r="Y50" s="51" t="str">
        <f t="shared" si="8"/>
        <v/>
      </c>
      <c r="Z50" s="2"/>
      <c r="AA50" s="2"/>
      <c r="AB50" s="2"/>
      <c r="AC50" s="2"/>
      <c r="AD50" s="2"/>
      <c r="AE50" s="2"/>
    </row>
    <row r="51" spans="1:31" ht="12.75" x14ac:dyDescent="0.2">
      <c r="A51" s="53">
        <f ca="1">IFERROR(__xludf.DUMMYFUNCTION("""COMPUTED_VALUE"""),112)</f>
        <v>112</v>
      </c>
      <c r="B51" s="53" t="str">
        <f ca="1">IFERROR(__xludf.DUMMYFUNCTION("""COMPUTED_VALUE"""),"MN 10")</f>
        <v>MN 10</v>
      </c>
      <c r="C51" s="53" t="str">
        <f ca="1">IFERROR(__xludf.DUMMYFUNCTION("""COMPUTED_VALUE"""),"Mầm non")</f>
        <v>Mầm non</v>
      </c>
      <c r="D51" s="53" t="str">
        <f ca="1">IFERROR(__xludf.DUMMYFUNCTION("""COMPUTED_VALUE"""),"TÂN BÌNH")</f>
        <v>TÂN BÌNH</v>
      </c>
      <c r="E51" s="54">
        <f ca="1">IFERROR(__xludf.DUMMYFUNCTION("""COMPUTED_VALUE"""),28)</f>
        <v>28</v>
      </c>
      <c r="F51" s="54">
        <f ca="1">IFERROR(__xludf.DUMMYFUNCTION("""COMPUTED_VALUE"""),28)</f>
        <v>28</v>
      </c>
      <c r="G51" s="51">
        <f t="shared" ca="1" si="0"/>
        <v>1</v>
      </c>
      <c r="H51" s="54">
        <f ca="1">IFERROR(__xludf.DUMMYFUNCTION("""COMPUTED_VALUE"""),28)</f>
        <v>28</v>
      </c>
      <c r="I51" s="51">
        <f t="shared" ca="1" si="1"/>
        <v>1</v>
      </c>
      <c r="J51" s="54">
        <f ca="1">IFERROR(__xludf.DUMMYFUNCTION("""COMPUTED_VALUE"""),27)</f>
        <v>27</v>
      </c>
      <c r="K51" s="51">
        <f t="shared" ca="1" si="2"/>
        <v>0.9642857142857143</v>
      </c>
      <c r="L51" s="54">
        <f ca="1">IFERROR(__xludf.DUMMYFUNCTION("""COMPUTED_VALUE"""),9)</f>
        <v>9</v>
      </c>
      <c r="M51" s="51">
        <f t="shared" ca="1" si="3"/>
        <v>0.32142857142857145</v>
      </c>
      <c r="N51" s="54">
        <f ca="1">IFERROR(__xludf.DUMMYFUNCTION("""COMPUTED_VALUE"""),78)</f>
        <v>78</v>
      </c>
      <c r="O51" s="54">
        <f ca="1">IFERROR(__xludf.DUMMYFUNCTION("""COMPUTED_VALUE"""),34)</f>
        <v>34</v>
      </c>
      <c r="P51" s="51">
        <f t="shared" ca="1" si="4"/>
        <v>0.4358974358974359</v>
      </c>
      <c r="Q51" s="54">
        <f ca="1">IFERROR(__xludf.DUMMYFUNCTION("""COMPUTED_VALUE"""),8)</f>
        <v>8</v>
      </c>
      <c r="R51" s="51">
        <f t="shared" ca="1" si="5"/>
        <v>0.10256410256410256</v>
      </c>
      <c r="S51" s="53"/>
      <c r="T51" s="53"/>
      <c r="U51" s="51" t="str">
        <f t="shared" si="6"/>
        <v/>
      </c>
      <c r="V51" s="53"/>
      <c r="W51" s="51" t="str">
        <f t="shared" si="7"/>
        <v/>
      </c>
      <c r="X51" s="53"/>
      <c r="Y51" s="51" t="str">
        <f t="shared" si="8"/>
        <v/>
      </c>
      <c r="Z51" s="2"/>
      <c r="AA51" s="2"/>
      <c r="AB51" s="2"/>
      <c r="AC51" s="2"/>
      <c r="AD51" s="2"/>
      <c r="AE51" s="2"/>
    </row>
    <row r="52" spans="1:31" ht="12.75" x14ac:dyDescent="0.2">
      <c r="A52" s="53">
        <f ca="1">IFERROR(__xludf.DUMMYFUNCTION("""COMPUTED_VALUE"""),113)</f>
        <v>113</v>
      </c>
      <c r="B52" s="53" t="str">
        <f ca="1">IFERROR(__xludf.DUMMYFUNCTION("""COMPUTED_VALUE"""),"MN 7")</f>
        <v>MN 7</v>
      </c>
      <c r="C52" s="53" t="str">
        <f ca="1">IFERROR(__xludf.DUMMYFUNCTION("""COMPUTED_VALUE"""),"Mầm non")</f>
        <v>Mầm non</v>
      </c>
      <c r="D52" s="53" t="str">
        <f ca="1">IFERROR(__xludf.DUMMYFUNCTION("""COMPUTED_VALUE"""),"TÂN BÌNH")</f>
        <v>TÂN BÌNH</v>
      </c>
      <c r="E52" s="54">
        <f ca="1">IFERROR(__xludf.DUMMYFUNCTION("""COMPUTED_VALUE"""),23)</f>
        <v>23</v>
      </c>
      <c r="F52" s="54">
        <f ca="1">IFERROR(__xludf.DUMMYFUNCTION("""COMPUTED_VALUE"""),23)</f>
        <v>23</v>
      </c>
      <c r="G52" s="51">
        <f t="shared" ca="1" si="0"/>
        <v>1</v>
      </c>
      <c r="H52" s="54">
        <f ca="1">IFERROR(__xludf.DUMMYFUNCTION("""COMPUTED_VALUE"""),23)</f>
        <v>23</v>
      </c>
      <c r="I52" s="51">
        <f t="shared" ca="1" si="1"/>
        <v>1</v>
      </c>
      <c r="J52" s="54">
        <f ca="1">IFERROR(__xludf.DUMMYFUNCTION("""COMPUTED_VALUE"""),23)</f>
        <v>23</v>
      </c>
      <c r="K52" s="51">
        <f t="shared" ca="1" si="2"/>
        <v>1</v>
      </c>
      <c r="L52" s="54">
        <f ca="1">IFERROR(__xludf.DUMMYFUNCTION("""COMPUTED_VALUE"""),16)</f>
        <v>16</v>
      </c>
      <c r="M52" s="51">
        <f t="shared" ca="1" si="3"/>
        <v>0.69565217391304346</v>
      </c>
      <c r="N52" s="54">
        <f ca="1">IFERROR(__xludf.DUMMYFUNCTION("""COMPUTED_VALUE"""),52)</f>
        <v>52</v>
      </c>
      <c r="O52" s="54">
        <f ca="1">IFERROR(__xludf.DUMMYFUNCTION("""COMPUTED_VALUE"""),8)</f>
        <v>8</v>
      </c>
      <c r="P52" s="51">
        <f t="shared" ca="1" si="4"/>
        <v>0.15384615384615385</v>
      </c>
      <c r="Q52" s="54">
        <f ca="1">IFERROR(__xludf.DUMMYFUNCTION("""COMPUTED_VALUE"""),1)</f>
        <v>1</v>
      </c>
      <c r="R52" s="51">
        <f t="shared" ca="1" si="5"/>
        <v>1.9230769230769232E-2</v>
      </c>
      <c r="S52" s="53"/>
      <c r="T52" s="53"/>
      <c r="U52" s="51" t="str">
        <f t="shared" si="6"/>
        <v/>
      </c>
      <c r="V52" s="53"/>
      <c r="W52" s="51" t="str">
        <f t="shared" si="7"/>
        <v/>
      </c>
      <c r="X52" s="53"/>
      <c r="Y52" s="51" t="str">
        <f t="shared" si="8"/>
        <v/>
      </c>
      <c r="Z52" s="2"/>
      <c r="AA52" s="2"/>
      <c r="AB52" s="2"/>
      <c r="AC52" s="2"/>
      <c r="AD52" s="2"/>
      <c r="AE52" s="2"/>
    </row>
    <row r="53" spans="1:31" ht="12.75" x14ac:dyDescent="0.2">
      <c r="A53" s="53">
        <f ca="1">IFERROR(__xludf.DUMMYFUNCTION("""COMPUTED_VALUE"""),114)</f>
        <v>114</v>
      </c>
      <c r="B53" s="53" t="str">
        <f ca="1">IFERROR(__xludf.DUMMYFUNCTION("""COMPUTED_VALUE"""),"MN Vườn Hồng")</f>
        <v>MN Vườn Hồng</v>
      </c>
      <c r="C53" s="53" t="str">
        <f ca="1">IFERROR(__xludf.DUMMYFUNCTION("""COMPUTED_VALUE"""),"Mầm non")</f>
        <v>Mầm non</v>
      </c>
      <c r="D53" s="53" t="str">
        <f ca="1">IFERROR(__xludf.DUMMYFUNCTION("""COMPUTED_VALUE"""),"TÂN BÌNH")</f>
        <v>TÂN BÌNH</v>
      </c>
      <c r="E53" s="54">
        <f ca="1">IFERROR(__xludf.DUMMYFUNCTION("""COMPUTED_VALUE"""),21)</f>
        <v>21</v>
      </c>
      <c r="F53" s="54">
        <f ca="1">IFERROR(__xludf.DUMMYFUNCTION("""COMPUTED_VALUE"""),21)</f>
        <v>21</v>
      </c>
      <c r="G53" s="51">
        <f t="shared" ca="1" si="0"/>
        <v>1</v>
      </c>
      <c r="H53" s="54">
        <f ca="1">IFERROR(__xludf.DUMMYFUNCTION("""COMPUTED_VALUE"""),21)</f>
        <v>21</v>
      </c>
      <c r="I53" s="51">
        <f t="shared" ca="1" si="1"/>
        <v>1</v>
      </c>
      <c r="J53" s="54">
        <f ca="1">IFERROR(__xludf.DUMMYFUNCTION("""COMPUTED_VALUE"""),20)</f>
        <v>20</v>
      </c>
      <c r="K53" s="51">
        <f t="shared" ca="1" si="2"/>
        <v>0.95238095238095233</v>
      </c>
      <c r="L53" s="54">
        <f ca="1">IFERROR(__xludf.DUMMYFUNCTION("""COMPUTED_VALUE"""),5)</f>
        <v>5</v>
      </c>
      <c r="M53" s="51">
        <f t="shared" ca="1" si="3"/>
        <v>0.23809523809523808</v>
      </c>
      <c r="N53" s="54">
        <f ca="1">IFERROR(__xludf.DUMMYFUNCTION("""COMPUTED_VALUE"""),36)</f>
        <v>36</v>
      </c>
      <c r="O53" s="54">
        <f ca="1">IFERROR(__xludf.DUMMYFUNCTION("""COMPUTED_VALUE"""),15)</f>
        <v>15</v>
      </c>
      <c r="P53" s="51">
        <f t="shared" ca="1" si="4"/>
        <v>0.41666666666666669</v>
      </c>
      <c r="Q53" s="54">
        <f ca="1">IFERROR(__xludf.DUMMYFUNCTION("""COMPUTED_VALUE"""),7)</f>
        <v>7</v>
      </c>
      <c r="R53" s="51">
        <f t="shared" ca="1" si="5"/>
        <v>0.19444444444444445</v>
      </c>
      <c r="S53" s="53"/>
      <c r="T53" s="53"/>
      <c r="U53" s="51" t="str">
        <f t="shared" si="6"/>
        <v/>
      </c>
      <c r="V53" s="53"/>
      <c r="W53" s="51" t="str">
        <f t="shared" si="7"/>
        <v/>
      </c>
      <c r="X53" s="53"/>
      <c r="Y53" s="51" t="str">
        <f t="shared" si="8"/>
        <v/>
      </c>
      <c r="Z53" s="2"/>
      <c r="AA53" s="2"/>
      <c r="AB53" s="2"/>
      <c r="AC53" s="2"/>
      <c r="AD53" s="2"/>
      <c r="AE53" s="2"/>
    </row>
    <row r="54" spans="1:31" ht="12.75" x14ac:dyDescent="0.2">
      <c r="A54" s="53">
        <f ca="1">IFERROR(__xludf.DUMMYFUNCTION("""COMPUTED_VALUE"""),115)</f>
        <v>115</v>
      </c>
      <c r="B54" s="53" t="str">
        <f ca="1">IFERROR(__xludf.DUMMYFUNCTION("""COMPUTED_VALUE"""),"MN 11")</f>
        <v>MN 11</v>
      </c>
      <c r="C54" s="53" t="str">
        <f ca="1">IFERROR(__xludf.DUMMYFUNCTION("""COMPUTED_VALUE"""),"Mầm non")</f>
        <v>Mầm non</v>
      </c>
      <c r="D54" s="53" t="str">
        <f ca="1">IFERROR(__xludf.DUMMYFUNCTION("""COMPUTED_VALUE"""),"TÂN BÌNH")</f>
        <v>TÂN BÌNH</v>
      </c>
      <c r="E54" s="54">
        <f ca="1">IFERROR(__xludf.DUMMYFUNCTION("""COMPUTED_VALUE"""),41)</f>
        <v>41</v>
      </c>
      <c r="F54" s="54">
        <f ca="1">IFERROR(__xludf.DUMMYFUNCTION("""COMPUTED_VALUE"""),41)</f>
        <v>41</v>
      </c>
      <c r="G54" s="51">
        <f t="shared" ca="1" si="0"/>
        <v>1</v>
      </c>
      <c r="H54" s="54">
        <f ca="1">IFERROR(__xludf.DUMMYFUNCTION("""COMPUTED_VALUE"""),41)</f>
        <v>41</v>
      </c>
      <c r="I54" s="51">
        <f t="shared" ca="1" si="1"/>
        <v>1</v>
      </c>
      <c r="J54" s="54">
        <f ca="1">IFERROR(__xludf.DUMMYFUNCTION("""COMPUTED_VALUE"""),41)</f>
        <v>41</v>
      </c>
      <c r="K54" s="51">
        <f t="shared" ca="1" si="2"/>
        <v>1</v>
      </c>
      <c r="L54" s="54">
        <f ca="1">IFERROR(__xludf.DUMMYFUNCTION("""COMPUTED_VALUE"""),2)</f>
        <v>2</v>
      </c>
      <c r="M54" s="51">
        <f t="shared" ca="1" si="3"/>
        <v>4.878048780487805E-2</v>
      </c>
      <c r="N54" s="54">
        <f ca="1">IFERROR(__xludf.DUMMYFUNCTION("""COMPUTED_VALUE"""),102)</f>
        <v>102</v>
      </c>
      <c r="O54" s="54">
        <f ca="1">IFERROR(__xludf.DUMMYFUNCTION("""COMPUTED_VALUE"""),20)</f>
        <v>20</v>
      </c>
      <c r="P54" s="51">
        <f t="shared" ca="1" si="4"/>
        <v>0.19607843137254902</v>
      </c>
      <c r="Q54" s="54">
        <f ca="1">IFERROR(__xludf.DUMMYFUNCTION("""COMPUTED_VALUE"""),0)</f>
        <v>0</v>
      </c>
      <c r="R54" s="51">
        <f t="shared" ca="1" si="5"/>
        <v>0</v>
      </c>
      <c r="S54" s="53"/>
      <c r="T54" s="53"/>
      <c r="U54" s="51" t="str">
        <f t="shared" si="6"/>
        <v/>
      </c>
      <c r="V54" s="53"/>
      <c r="W54" s="51" t="str">
        <f t="shared" si="7"/>
        <v/>
      </c>
      <c r="X54" s="53"/>
      <c r="Y54" s="51" t="str">
        <f t="shared" si="8"/>
        <v/>
      </c>
      <c r="Z54" s="2"/>
      <c r="AA54" s="2"/>
      <c r="AB54" s="2"/>
      <c r="AC54" s="2"/>
      <c r="AD54" s="2"/>
      <c r="AE54" s="2"/>
    </row>
    <row r="55" spans="1:31" ht="12.75" x14ac:dyDescent="0.2">
      <c r="A55" s="53">
        <f ca="1">IFERROR(__xludf.DUMMYFUNCTION("""COMPUTED_VALUE"""),116)</f>
        <v>116</v>
      </c>
      <c r="B55" s="53" t="str">
        <f ca="1">IFERROR(__xludf.DUMMYFUNCTION("""COMPUTED_VALUE"""),"MN 6")</f>
        <v>MN 6</v>
      </c>
      <c r="C55" s="53" t="str">
        <f ca="1">IFERROR(__xludf.DUMMYFUNCTION("""COMPUTED_VALUE"""),"Mầm non")</f>
        <v>Mầm non</v>
      </c>
      <c r="D55" s="53" t="str">
        <f ca="1">IFERROR(__xludf.DUMMYFUNCTION("""COMPUTED_VALUE"""),"TÂN BÌNH")</f>
        <v>TÂN BÌNH</v>
      </c>
      <c r="E55" s="54">
        <f ca="1">IFERROR(__xludf.DUMMYFUNCTION("""COMPUTED_VALUE"""),27)</f>
        <v>27</v>
      </c>
      <c r="F55" s="54">
        <f ca="1">IFERROR(__xludf.DUMMYFUNCTION("""COMPUTED_VALUE"""),27)</f>
        <v>27</v>
      </c>
      <c r="G55" s="51">
        <f t="shared" ca="1" si="0"/>
        <v>1</v>
      </c>
      <c r="H55" s="54">
        <f ca="1">IFERROR(__xludf.DUMMYFUNCTION("""COMPUTED_VALUE"""),26)</f>
        <v>26</v>
      </c>
      <c r="I55" s="51">
        <f t="shared" ca="1" si="1"/>
        <v>0.96296296296296291</v>
      </c>
      <c r="J55" s="54">
        <f ca="1">IFERROR(__xludf.DUMMYFUNCTION("""COMPUTED_VALUE"""),26)</f>
        <v>26</v>
      </c>
      <c r="K55" s="51">
        <f t="shared" ca="1" si="2"/>
        <v>0.96296296296296291</v>
      </c>
      <c r="L55" s="54">
        <f ca="1">IFERROR(__xludf.DUMMYFUNCTION("""COMPUTED_VALUE"""),8)</f>
        <v>8</v>
      </c>
      <c r="M55" s="51">
        <f t="shared" ca="1" si="3"/>
        <v>0.29629629629629628</v>
      </c>
      <c r="N55" s="54">
        <f ca="1">IFERROR(__xludf.DUMMYFUNCTION("""COMPUTED_VALUE"""),28)</f>
        <v>28</v>
      </c>
      <c r="O55" s="54">
        <f ca="1">IFERROR(__xludf.DUMMYFUNCTION("""COMPUTED_VALUE"""),6)</f>
        <v>6</v>
      </c>
      <c r="P55" s="51">
        <f t="shared" ca="1" si="4"/>
        <v>0.21428571428571427</v>
      </c>
      <c r="Q55" s="54">
        <f ca="1">IFERROR(__xludf.DUMMYFUNCTION("""COMPUTED_VALUE"""),4)</f>
        <v>4</v>
      </c>
      <c r="R55" s="51">
        <f t="shared" ca="1" si="5"/>
        <v>0.14285714285714285</v>
      </c>
      <c r="S55" s="53"/>
      <c r="T55" s="53"/>
      <c r="U55" s="51" t="str">
        <f t="shared" si="6"/>
        <v/>
      </c>
      <c r="V55" s="53"/>
      <c r="W55" s="51" t="str">
        <f t="shared" si="7"/>
        <v/>
      </c>
      <c r="X55" s="53"/>
      <c r="Y55" s="51" t="str">
        <f t="shared" si="8"/>
        <v/>
      </c>
      <c r="Z55" s="2"/>
      <c r="AA55" s="2"/>
      <c r="AB55" s="2"/>
      <c r="AC55" s="2"/>
      <c r="AD55" s="2"/>
      <c r="AE55" s="2"/>
    </row>
    <row r="56" spans="1:31" ht="12.75" x14ac:dyDescent="0.2">
      <c r="A56" s="53">
        <f ca="1">IFERROR(__xludf.DUMMYFUNCTION("""COMPUTED_VALUE"""),117)</f>
        <v>117</v>
      </c>
      <c r="B56" s="53" t="str">
        <f ca="1">IFERROR(__xludf.DUMMYFUNCTION("""COMPUTED_VALUE"""),"MN Tân Sơn Nhất")</f>
        <v>MN Tân Sơn Nhất</v>
      </c>
      <c r="C56" s="53" t="str">
        <f ca="1">IFERROR(__xludf.DUMMYFUNCTION("""COMPUTED_VALUE"""),"Mầm non")</f>
        <v>Mầm non</v>
      </c>
      <c r="D56" s="53" t="str">
        <f ca="1">IFERROR(__xludf.DUMMYFUNCTION("""COMPUTED_VALUE"""),"TÂN BÌNH")</f>
        <v>TÂN BÌNH</v>
      </c>
      <c r="E56" s="54">
        <f ca="1">IFERROR(__xludf.DUMMYFUNCTION("""COMPUTED_VALUE"""),32)</f>
        <v>32</v>
      </c>
      <c r="F56" s="54">
        <f ca="1">IFERROR(__xludf.DUMMYFUNCTION("""COMPUTED_VALUE"""),32)</f>
        <v>32</v>
      </c>
      <c r="G56" s="51">
        <f t="shared" ca="1" si="0"/>
        <v>1</v>
      </c>
      <c r="H56" s="54">
        <f ca="1">IFERROR(__xludf.DUMMYFUNCTION("""COMPUTED_VALUE"""),32)</f>
        <v>32</v>
      </c>
      <c r="I56" s="51">
        <f t="shared" ca="1" si="1"/>
        <v>1</v>
      </c>
      <c r="J56" s="54">
        <f ca="1">IFERROR(__xludf.DUMMYFUNCTION("""COMPUTED_VALUE"""),32)</f>
        <v>32</v>
      </c>
      <c r="K56" s="51">
        <f t="shared" ca="1" si="2"/>
        <v>1</v>
      </c>
      <c r="L56" s="54">
        <f ca="1">IFERROR(__xludf.DUMMYFUNCTION("""COMPUTED_VALUE"""),8)</f>
        <v>8</v>
      </c>
      <c r="M56" s="51">
        <f t="shared" ca="1" si="3"/>
        <v>0.25</v>
      </c>
      <c r="N56" s="54">
        <f ca="1">IFERROR(__xludf.DUMMYFUNCTION("""COMPUTED_VALUE"""),89)</f>
        <v>89</v>
      </c>
      <c r="O56" s="54">
        <f ca="1">IFERROR(__xludf.DUMMYFUNCTION("""COMPUTED_VALUE"""),20)</f>
        <v>20</v>
      </c>
      <c r="P56" s="51">
        <f t="shared" ca="1" si="4"/>
        <v>0.2247191011235955</v>
      </c>
      <c r="Q56" s="54">
        <f ca="1">IFERROR(__xludf.DUMMYFUNCTION("""COMPUTED_VALUE"""),3)</f>
        <v>3</v>
      </c>
      <c r="R56" s="51">
        <f t="shared" ca="1" si="5"/>
        <v>3.3707865168539325E-2</v>
      </c>
      <c r="S56" s="53"/>
      <c r="T56" s="53"/>
      <c r="U56" s="51" t="str">
        <f t="shared" si="6"/>
        <v/>
      </c>
      <c r="V56" s="53"/>
      <c r="W56" s="51" t="str">
        <f t="shared" si="7"/>
        <v/>
      </c>
      <c r="X56" s="53"/>
      <c r="Y56" s="51" t="str">
        <f t="shared" si="8"/>
        <v/>
      </c>
      <c r="Z56" s="2"/>
      <c r="AA56" s="2"/>
      <c r="AB56" s="2"/>
      <c r="AC56" s="2"/>
      <c r="AD56" s="2"/>
      <c r="AE56" s="2"/>
    </row>
    <row r="57" spans="1:31" ht="12.75" x14ac:dyDescent="0.2">
      <c r="A57" s="53">
        <f ca="1">IFERROR(__xludf.DUMMYFUNCTION("""COMPUTED_VALUE"""),118)</f>
        <v>118</v>
      </c>
      <c r="B57" s="53" t="str">
        <f ca="1">IFERROR(__xludf.DUMMYFUNCTION("""COMPUTED_VALUE"""),"MN Kim Đồng")</f>
        <v>MN Kim Đồng</v>
      </c>
      <c r="C57" s="53" t="str">
        <f ca="1">IFERROR(__xludf.DUMMYFUNCTION("""COMPUTED_VALUE"""),"Mầm non")</f>
        <v>Mầm non</v>
      </c>
      <c r="D57" s="53" t="str">
        <f ca="1">IFERROR(__xludf.DUMMYFUNCTION("""COMPUTED_VALUE"""),"TÂN BÌNH")</f>
        <v>TÂN BÌNH</v>
      </c>
      <c r="E57" s="54">
        <f ca="1">IFERROR(__xludf.DUMMYFUNCTION("""COMPUTED_VALUE"""),26)</f>
        <v>26</v>
      </c>
      <c r="F57" s="54">
        <f ca="1">IFERROR(__xludf.DUMMYFUNCTION("""COMPUTED_VALUE"""),26)</f>
        <v>26</v>
      </c>
      <c r="G57" s="51">
        <f t="shared" ca="1" si="0"/>
        <v>1</v>
      </c>
      <c r="H57" s="54">
        <f ca="1">IFERROR(__xludf.DUMMYFUNCTION("""COMPUTED_VALUE"""),26)</f>
        <v>26</v>
      </c>
      <c r="I57" s="51">
        <f t="shared" ca="1" si="1"/>
        <v>1</v>
      </c>
      <c r="J57" s="54">
        <f ca="1">IFERROR(__xludf.DUMMYFUNCTION("""COMPUTED_VALUE"""),26)</f>
        <v>26</v>
      </c>
      <c r="K57" s="51">
        <f t="shared" ca="1" si="2"/>
        <v>1</v>
      </c>
      <c r="L57" s="54">
        <f ca="1">IFERROR(__xludf.DUMMYFUNCTION("""COMPUTED_VALUE"""),19)</f>
        <v>19</v>
      </c>
      <c r="M57" s="51">
        <f t="shared" ca="1" si="3"/>
        <v>0.73076923076923073</v>
      </c>
      <c r="N57" s="54">
        <f ca="1">IFERROR(__xludf.DUMMYFUNCTION("""COMPUTED_VALUE"""),45)</f>
        <v>45</v>
      </c>
      <c r="O57" s="54">
        <f ca="1">IFERROR(__xludf.DUMMYFUNCTION("""COMPUTED_VALUE"""),16)</f>
        <v>16</v>
      </c>
      <c r="P57" s="51">
        <f t="shared" ca="1" si="4"/>
        <v>0.35555555555555557</v>
      </c>
      <c r="Q57" s="54">
        <f ca="1">IFERROR(__xludf.DUMMYFUNCTION("""COMPUTED_VALUE"""),7)</f>
        <v>7</v>
      </c>
      <c r="R57" s="51">
        <f t="shared" ca="1" si="5"/>
        <v>0.15555555555555556</v>
      </c>
      <c r="S57" s="53"/>
      <c r="T57" s="53"/>
      <c r="U57" s="51" t="str">
        <f t="shared" si="6"/>
        <v/>
      </c>
      <c r="V57" s="53"/>
      <c r="W57" s="51" t="str">
        <f t="shared" si="7"/>
        <v/>
      </c>
      <c r="X57" s="53"/>
      <c r="Y57" s="51" t="str">
        <f t="shared" si="8"/>
        <v/>
      </c>
      <c r="Z57" s="2"/>
      <c r="AA57" s="2"/>
      <c r="AB57" s="2"/>
      <c r="AC57" s="2"/>
      <c r="AD57" s="2"/>
      <c r="AE57" s="2"/>
    </row>
    <row r="58" spans="1:31" ht="12.75" x14ac:dyDescent="0.2">
      <c r="A58" s="53">
        <f ca="1">IFERROR(__xludf.DUMMYFUNCTION("""COMPUTED_VALUE"""),119)</f>
        <v>119</v>
      </c>
      <c r="B58" s="53" t="str">
        <f ca="1">IFERROR(__xludf.DUMMYFUNCTION("""COMPUTED_VALUE"""),"MN 8")</f>
        <v>MN 8</v>
      </c>
      <c r="C58" s="53" t="str">
        <f ca="1">IFERROR(__xludf.DUMMYFUNCTION("""COMPUTED_VALUE"""),"Mầm non")</f>
        <v>Mầm non</v>
      </c>
      <c r="D58" s="53" t="str">
        <f ca="1">IFERROR(__xludf.DUMMYFUNCTION("""COMPUTED_VALUE"""),"TÂN BÌNH")</f>
        <v>TÂN BÌNH</v>
      </c>
      <c r="E58" s="54">
        <f ca="1">IFERROR(__xludf.DUMMYFUNCTION("""COMPUTED_VALUE"""),26)</f>
        <v>26</v>
      </c>
      <c r="F58" s="54">
        <f ca="1">IFERROR(__xludf.DUMMYFUNCTION("""COMPUTED_VALUE"""),25)</f>
        <v>25</v>
      </c>
      <c r="G58" s="51">
        <f t="shared" ca="1" si="0"/>
        <v>0.96153846153846156</v>
      </c>
      <c r="H58" s="54">
        <f ca="1">IFERROR(__xludf.DUMMYFUNCTION("""COMPUTED_VALUE"""),25)</f>
        <v>25</v>
      </c>
      <c r="I58" s="51">
        <f t="shared" ca="1" si="1"/>
        <v>0.96153846153846156</v>
      </c>
      <c r="J58" s="54">
        <f ca="1">IFERROR(__xludf.DUMMYFUNCTION("""COMPUTED_VALUE"""),24)</f>
        <v>24</v>
      </c>
      <c r="K58" s="51">
        <f t="shared" ca="1" si="2"/>
        <v>0.92307692307692313</v>
      </c>
      <c r="L58" s="54">
        <f ca="1">IFERROR(__xludf.DUMMYFUNCTION("""COMPUTED_VALUE"""),8)</f>
        <v>8</v>
      </c>
      <c r="M58" s="51">
        <f t="shared" ca="1" si="3"/>
        <v>0.30769230769230771</v>
      </c>
      <c r="N58" s="54">
        <f ca="1">IFERROR(__xludf.DUMMYFUNCTION("""COMPUTED_VALUE"""),26)</f>
        <v>26</v>
      </c>
      <c r="O58" s="54">
        <f ca="1">IFERROR(__xludf.DUMMYFUNCTION("""COMPUTED_VALUE"""),10)</f>
        <v>10</v>
      </c>
      <c r="P58" s="51">
        <f t="shared" ca="1" si="4"/>
        <v>0.38461538461538464</v>
      </c>
      <c r="Q58" s="54">
        <f ca="1">IFERROR(__xludf.DUMMYFUNCTION("""COMPUTED_VALUE"""),0)</f>
        <v>0</v>
      </c>
      <c r="R58" s="51">
        <f t="shared" ca="1" si="5"/>
        <v>0</v>
      </c>
      <c r="S58" s="53"/>
      <c r="T58" s="53"/>
      <c r="U58" s="51" t="str">
        <f t="shared" si="6"/>
        <v/>
      </c>
      <c r="V58" s="53"/>
      <c r="W58" s="51" t="str">
        <f t="shared" si="7"/>
        <v/>
      </c>
      <c r="X58" s="53"/>
      <c r="Y58" s="51" t="str">
        <f t="shared" si="8"/>
        <v/>
      </c>
      <c r="Z58" s="2"/>
      <c r="AA58" s="2"/>
      <c r="AB58" s="2"/>
      <c r="AC58" s="2"/>
      <c r="AD58" s="2"/>
      <c r="AE58" s="2"/>
    </row>
    <row r="59" spans="1:31" ht="12.75" x14ac:dyDescent="0.2">
      <c r="A59" s="53">
        <f ca="1">IFERROR(__xludf.DUMMYFUNCTION("""COMPUTED_VALUE"""),120)</f>
        <v>120</v>
      </c>
      <c r="B59" s="53" t="str">
        <f ca="1">IFERROR(__xludf.DUMMYFUNCTION("""COMPUTED_VALUE"""),"MN Tuổi Xanh")</f>
        <v>MN Tuổi Xanh</v>
      </c>
      <c r="C59" s="53" t="str">
        <f ca="1">IFERROR(__xludf.DUMMYFUNCTION("""COMPUTED_VALUE"""),"Mầm non")</f>
        <v>Mầm non</v>
      </c>
      <c r="D59" s="53" t="str">
        <f ca="1">IFERROR(__xludf.DUMMYFUNCTION("""COMPUTED_VALUE"""),"TÂN BÌNH")</f>
        <v>TÂN BÌNH</v>
      </c>
      <c r="E59" s="54">
        <f ca="1">IFERROR(__xludf.DUMMYFUNCTION("""COMPUTED_VALUE"""),46)</f>
        <v>46</v>
      </c>
      <c r="F59" s="54">
        <f ca="1">IFERROR(__xludf.DUMMYFUNCTION("""COMPUTED_VALUE"""),46)</f>
        <v>46</v>
      </c>
      <c r="G59" s="51">
        <f t="shared" ca="1" si="0"/>
        <v>1</v>
      </c>
      <c r="H59" s="54">
        <f ca="1">IFERROR(__xludf.DUMMYFUNCTION("""COMPUTED_VALUE"""),46)</f>
        <v>46</v>
      </c>
      <c r="I59" s="51">
        <f t="shared" ca="1" si="1"/>
        <v>1</v>
      </c>
      <c r="J59" s="54">
        <f ca="1">IFERROR(__xludf.DUMMYFUNCTION("""COMPUTED_VALUE"""),46)</f>
        <v>46</v>
      </c>
      <c r="K59" s="51">
        <f t="shared" ca="1" si="2"/>
        <v>1</v>
      </c>
      <c r="L59" s="54">
        <f ca="1">IFERROR(__xludf.DUMMYFUNCTION("""COMPUTED_VALUE"""),5)</f>
        <v>5</v>
      </c>
      <c r="M59" s="51">
        <f t="shared" ca="1" si="3"/>
        <v>0.10869565217391304</v>
      </c>
      <c r="N59" s="54">
        <f ca="1">IFERROR(__xludf.DUMMYFUNCTION("""COMPUTED_VALUE"""),80)</f>
        <v>80</v>
      </c>
      <c r="O59" s="54">
        <f ca="1">IFERROR(__xludf.DUMMYFUNCTION("""COMPUTED_VALUE"""),14)</f>
        <v>14</v>
      </c>
      <c r="P59" s="51">
        <f t="shared" ca="1" si="4"/>
        <v>0.17499999999999999</v>
      </c>
      <c r="Q59" s="54">
        <f ca="1">IFERROR(__xludf.DUMMYFUNCTION("""COMPUTED_VALUE"""),7)</f>
        <v>7</v>
      </c>
      <c r="R59" s="51">
        <f t="shared" ca="1" si="5"/>
        <v>8.7499999999999994E-2</v>
      </c>
      <c r="S59" s="53"/>
      <c r="T59" s="53"/>
      <c r="U59" s="51" t="str">
        <f t="shared" si="6"/>
        <v/>
      </c>
      <c r="V59" s="53"/>
      <c r="W59" s="51" t="str">
        <f t="shared" si="7"/>
        <v/>
      </c>
      <c r="X59" s="53"/>
      <c r="Y59" s="51" t="str">
        <f t="shared" si="8"/>
        <v/>
      </c>
      <c r="Z59" s="2"/>
      <c r="AA59" s="2"/>
      <c r="AB59" s="2"/>
      <c r="AC59" s="2"/>
      <c r="AD59" s="2"/>
      <c r="AE59" s="2"/>
    </row>
    <row r="60" spans="1:31" ht="12.75" x14ac:dyDescent="0.2">
      <c r="A60" s="53">
        <f ca="1">IFERROR(__xludf.DUMMYFUNCTION("""COMPUTED_VALUE"""),121)</f>
        <v>121</v>
      </c>
      <c r="B60" s="53" t="str">
        <f ca="1">IFERROR(__xludf.DUMMYFUNCTION("""COMPUTED_VALUE"""),"MN 2")</f>
        <v>MN 2</v>
      </c>
      <c r="C60" s="53" t="str">
        <f ca="1">IFERROR(__xludf.DUMMYFUNCTION("""COMPUTED_VALUE"""),"Mầm non")</f>
        <v>Mầm non</v>
      </c>
      <c r="D60" s="53" t="str">
        <f ca="1">IFERROR(__xludf.DUMMYFUNCTION("""COMPUTED_VALUE"""),"TÂN BÌNH")</f>
        <v>TÂN BÌNH</v>
      </c>
      <c r="E60" s="54">
        <f ca="1">IFERROR(__xludf.DUMMYFUNCTION("""COMPUTED_VALUE"""),32)</f>
        <v>32</v>
      </c>
      <c r="F60" s="54">
        <f ca="1">IFERROR(__xludf.DUMMYFUNCTION("""COMPUTED_VALUE"""),32)</f>
        <v>32</v>
      </c>
      <c r="G60" s="51">
        <f t="shared" ca="1" si="0"/>
        <v>1</v>
      </c>
      <c r="H60" s="54">
        <f ca="1">IFERROR(__xludf.DUMMYFUNCTION("""COMPUTED_VALUE"""),32)</f>
        <v>32</v>
      </c>
      <c r="I60" s="51">
        <f t="shared" ca="1" si="1"/>
        <v>1</v>
      </c>
      <c r="J60" s="54">
        <f ca="1">IFERROR(__xludf.DUMMYFUNCTION("""COMPUTED_VALUE"""),27)</f>
        <v>27</v>
      </c>
      <c r="K60" s="51">
        <f t="shared" ca="1" si="2"/>
        <v>0.84375</v>
      </c>
      <c r="L60" s="54">
        <f ca="1">IFERROR(__xludf.DUMMYFUNCTION("""COMPUTED_VALUE"""),13)</f>
        <v>13</v>
      </c>
      <c r="M60" s="51">
        <f t="shared" ca="1" si="3"/>
        <v>0.40625</v>
      </c>
      <c r="N60" s="54">
        <f ca="1">IFERROR(__xludf.DUMMYFUNCTION("""COMPUTED_VALUE"""),76)</f>
        <v>76</v>
      </c>
      <c r="O60" s="54">
        <f ca="1">IFERROR(__xludf.DUMMYFUNCTION("""COMPUTED_VALUE"""),11)</f>
        <v>11</v>
      </c>
      <c r="P60" s="51">
        <f t="shared" ca="1" si="4"/>
        <v>0.14473684210526316</v>
      </c>
      <c r="Q60" s="54">
        <f ca="1">IFERROR(__xludf.DUMMYFUNCTION("""COMPUTED_VALUE"""),2)</f>
        <v>2</v>
      </c>
      <c r="R60" s="51">
        <f t="shared" ca="1" si="5"/>
        <v>2.6315789473684209E-2</v>
      </c>
      <c r="S60" s="53"/>
      <c r="T60" s="53"/>
      <c r="U60" s="51" t="str">
        <f t="shared" si="6"/>
        <v/>
      </c>
      <c r="V60" s="53"/>
      <c r="W60" s="51" t="str">
        <f t="shared" si="7"/>
        <v/>
      </c>
      <c r="X60" s="53"/>
      <c r="Y60" s="51" t="str">
        <f t="shared" si="8"/>
        <v/>
      </c>
      <c r="Z60" s="2"/>
      <c r="AA60" s="2"/>
      <c r="AB60" s="2"/>
      <c r="AC60" s="2"/>
      <c r="AD60" s="2"/>
      <c r="AE60" s="2"/>
    </row>
    <row r="61" spans="1:31" ht="12.75" x14ac:dyDescent="0.2">
      <c r="A61" s="53">
        <f ca="1">IFERROR(__xludf.DUMMYFUNCTION("""COMPUTED_VALUE"""),122)</f>
        <v>122</v>
      </c>
      <c r="B61" s="53" t="str">
        <f ca="1">IFERROR(__xludf.DUMMYFUNCTION("""COMPUTED_VALUE"""),"MN 9")</f>
        <v>MN 9</v>
      </c>
      <c r="C61" s="53" t="str">
        <f ca="1">IFERROR(__xludf.DUMMYFUNCTION("""COMPUTED_VALUE"""),"Mầm non")</f>
        <v>Mầm non</v>
      </c>
      <c r="D61" s="53" t="str">
        <f ca="1">IFERROR(__xludf.DUMMYFUNCTION("""COMPUTED_VALUE"""),"TÂN BÌNH")</f>
        <v>TÂN BÌNH</v>
      </c>
      <c r="E61" s="54">
        <f ca="1">IFERROR(__xludf.DUMMYFUNCTION("""COMPUTED_VALUE"""),42)</f>
        <v>42</v>
      </c>
      <c r="F61" s="54">
        <f ca="1">IFERROR(__xludf.DUMMYFUNCTION("""COMPUTED_VALUE"""),42)</f>
        <v>42</v>
      </c>
      <c r="G61" s="51">
        <f t="shared" ca="1" si="0"/>
        <v>1</v>
      </c>
      <c r="H61" s="54">
        <f ca="1">IFERROR(__xludf.DUMMYFUNCTION("""COMPUTED_VALUE"""),42)</f>
        <v>42</v>
      </c>
      <c r="I61" s="51">
        <f t="shared" ca="1" si="1"/>
        <v>1</v>
      </c>
      <c r="J61" s="54">
        <f ca="1">IFERROR(__xludf.DUMMYFUNCTION("""COMPUTED_VALUE"""),41)</f>
        <v>41</v>
      </c>
      <c r="K61" s="51">
        <f t="shared" ca="1" si="2"/>
        <v>0.97619047619047616</v>
      </c>
      <c r="L61" s="54">
        <f ca="1">IFERROR(__xludf.DUMMYFUNCTION("""COMPUTED_VALUE"""),31)</f>
        <v>31</v>
      </c>
      <c r="M61" s="51">
        <f t="shared" ca="1" si="3"/>
        <v>0.73809523809523814</v>
      </c>
      <c r="N61" s="54">
        <f ca="1">IFERROR(__xludf.DUMMYFUNCTION("""COMPUTED_VALUE"""),88)</f>
        <v>88</v>
      </c>
      <c r="O61" s="54">
        <f ca="1">IFERROR(__xludf.DUMMYFUNCTION("""COMPUTED_VALUE"""),16)</f>
        <v>16</v>
      </c>
      <c r="P61" s="51">
        <f t="shared" ca="1" si="4"/>
        <v>0.18181818181818182</v>
      </c>
      <c r="Q61" s="54">
        <f ca="1">IFERROR(__xludf.DUMMYFUNCTION("""COMPUTED_VALUE"""),6)</f>
        <v>6</v>
      </c>
      <c r="R61" s="51">
        <f t="shared" ca="1" si="5"/>
        <v>6.8181818181818177E-2</v>
      </c>
      <c r="S61" s="53"/>
      <c r="T61" s="53"/>
      <c r="U61" s="51" t="str">
        <f t="shared" si="6"/>
        <v/>
      </c>
      <c r="V61" s="53"/>
      <c r="W61" s="51" t="str">
        <f t="shared" si="7"/>
        <v/>
      </c>
      <c r="X61" s="53"/>
      <c r="Y61" s="51" t="str">
        <f t="shared" si="8"/>
        <v/>
      </c>
      <c r="Z61" s="2"/>
      <c r="AA61" s="2"/>
      <c r="AB61" s="2"/>
      <c r="AC61" s="2"/>
      <c r="AD61" s="2"/>
      <c r="AE61" s="2"/>
    </row>
    <row r="62" spans="1:31" ht="12.75" x14ac:dyDescent="0.2">
      <c r="A62" s="53">
        <f ca="1">IFERROR(__xludf.DUMMYFUNCTION("""COMPUTED_VALUE"""),123)</f>
        <v>123</v>
      </c>
      <c r="B62" s="53" t="str">
        <f ca="1">IFERROR(__xludf.DUMMYFUNCTION("""COMPUTED_VALUE"""),"MN Quận")</f>
        <v>MN Quận</v>
      </c>
      <c r="C62" s="53" t="str">
        <f ca="1">IFERROR(__xludf.DUMMYFUNCTION("""COMPUTED_VALUE"""),"Mầm non")</f>
        <v>Mầm non</v>
      </c>
      <c r="D62" s="53" t="str">
        <f ca="1">IFERROR(__xludf.DUMMYFUNCTION("""COMPUTED_VALUE"""),"TÂN BÌNH")</f>
        <v>TÂN BÌNH</v>
      </c>
      <c r="E62" s="54">
        <f ca="1">IFERROR(__xludf.DUMMYFUNCTION("""COMPUTED_VALUE"""),43)</f>
        <v>43</v>
      </c>
      <c r="F62" s="54">
        <f ca="1">IFERROR(__xludf.DUMMYFUNCTION("""COMPUTED_VALUE"""),43)</f>
        <v>43</v>
      </c>
      <c r="G62" s="51">
        <f t="shared" ca="1" si="0"/>
        <v>1</v>
      </c>
      <c r="H62" s="54">
        <f ca="1">IFERROR(__xludf.DUMMYFUNCTION("""COMPUTED_VALUE"""),43)</f>
        <v>43</v>
      </c>
      <c r="I62" s="51">
        <f t="shared" ca="1" si="1"/>
        <v>1</v>
      </c>
      <c r="J62" s="54">
        <f ca="1">IFERROR(__xludf.DUMMYFUNCTION("""COMPUTED_VALUE"""),43)</f>
        <v>43</v>
      </c>
      <c r="K62" s="51">
        <f t="shared" ca="1" si="2"/>
        <v>1</v>
      </c>
      <c r="L62" s="54">
        <f ca="1">IFERROR(__xludf.DUMMYFUNCTION("""COMPUTED_VALUE"""),18)</f>
        <v>18</v>
      </c>
      <c r="M62" s="51">
        <f t="shared" ca="1" si="3"/>
        <v>0.41860465116279072</v>
      </c>
      <c r="N62" s="54">
        <f ca="1">IFERROR(__xludf.DUMMYFUNCTION("""COMPUTED_VALUE"""),108)</f>
        <v>108</v>
      </c>
      <c r="O62" s="54">
        <f ca="1">IFERROR(__xludf.DUMMYFUNCTION("""COMPUTED_VALUE"""),7)</f>
        <v>7</v>
      </c>
      <c r="P62" s="51">
        <f t="shared" ca="1" si="4"/>
        <v>6.4814814814814811E-2</v>
      </c>
      <c r="Q62" s="54">
        <f ca="1">IFERROR(__xludf.DUMMYFUNCTION("""COMPUTED_VALUE"""),2)</f>
        <v>2</v>
      </c>
      <c r="R62" s="51">
        <f t="shared" ca="1" si="5"/>
        <v>1.8518518518518517E-2</v>
      </c>
      <c r="S62" s="53"/>
      <c r="T62" s="53"/>
      <c r="U62" s="51" t="str">
        <f t="shared" si="6"/>
        <v/>
      </c>
      <c r="V62" s="53"/>
      <c r="W62" s="51" t="str">
        <f t="shared" si="7"/>
        <v/>
      </c>
      <c r="X62" s="53"/>
      <c r="Y62" s="51" t="str">
        <f t="shared" si="8"/>
        <v/>
      </c>
      <c r="Z62" s="2"/>
      <c r="AA62" s="2"/>
      <c r="AB62" s="2"/>
      <c r="AC62" s="2"/>
      <c r="AD62" s="2"/>
      <c r="AE62" s="2"/>
    </row>
    <row r="63" spans="1:31" ht="12.75" x14ac:dyDescent="0.2">
      <c r="A63" s="53">
        <f ca="1">IFERROR(__xludf.DUMMYFUNCTION("""COMPUTED_VALUE"""),124)</f>
        <v>124</v>
      </c>
      <c r="B63" s="53" t="str">
        <f ca="1">IFERROR(__xludf.DUMMYFUNCTION("""COMPUTED_VALUE"""),"MN 12")</f>
        <v>MN 12</v>
      </c>
      <c r="C63" s="53" t="str">
        <f ca="1">IFERROR(__xludf.DUMMYFUNCTION("""COMPUTED_VALUE"""),"Mầm non")</f>
        <v>Mầm non</v>
      </c>
      <c r="D63" s="53" t="str">
        <f ca="1">IFERROR(__xludf.DUMMYFUNCTION("""COMPUTED_VALUE"""),"TÂN BÌNH")</f>
        <v>TÂN BÌNH</v>
      </c>
      <c r="E63" s="53">
        <f ca="1">IFERROR(__xludf.DUMMYFUNCTION("""COMPUTED_VALUE"""),40)</f>
        <v>40</v>
      </c>
      <c r="F63" s="53">
        <f ca="1">IFERROR(__xludf.DUMMYFUNCTION("""COMPUTED_VALUE"""),40)</f>
        <v>40</v>
      </c>
      <c r="G63" s="51">
        <f t="shared" ca="1" si="0"/>
        <v>1</v>
      </c>
      <c r="H63" s="53">
        <f ca="1">IFERROR(__xludf.DUMMYFUNCTION("""COMPUTED_VALUE"""),40)</f>
        <v>40</v>
      </c>
      <c r="I63" s="51">
        <f t="shared" ca="1" si="1"/>
        <v>1</v>
      </c>
      <c r="J63" s="53">
        <f ca="1">IFERROR(__xludf.DUMMYFUNCTION("""COMPUTED_VALUE"""),40)</f>
        <v>40</v>
      </c>
      <c r="K63" s="51">
        <f t="shared" ca="1" si="2"/>
        <v>1</v>
      </c>
      <c r="L63" s="53">
        <f ca="1">IFERROR(__xludf.DUMMYFUNCTION("""COMPUTED_VALUE"""),27)</f>
        <v>27</v>
      </c>
      <c r="M63" s="51">
        <f t="shared" ca="1" si="3"/>
        <v>0.67500000000000004</v>
      </c>
      <c r="N63" s="54">
        <f ca="1">IFERROR(__xludf.DUMMYFUNCTION("""COMPUTED_VALUE"""),60)</f>
        <v>60</v>
      </c>
      <c r="O63" s="54">
        <f ca="1">IFERROR(__xludf.DUMMYFUNCTION("""COMPUTED_VALUE"""),10)</f>
        <v>10</v>
      </c>
      <c r="P63" s="51">
        <f t="shared" ca="1" si="4"/>
        <v>0.16666666666666666</v>
      </c>
      <c r="Q63" s="54">
        <f ca="1">IFERROR(__xludf.DUMMYFUNCTION("""COMPUTED_VALUE"""),7)</f>
        <v>7</v>
      </c>
      <c r="R63" s="51">
        <f t="shared" ca="1" si="5"/>
        <v>0.11666666666666667</v>
      </c>
      <c r="S63" s="53"/>
      <c r="T63" s="53"/>
      <c r="U63" s="51" t="str">
        <f t="shared" si="6"/>
        <v/>
      </c>
      <c r="V63" s="53"/>
      <c r="W63" s="51" t="str">
        <f t="shared" si="7"/>
        <v/>
      </c>
      <c r="X63" s="53"/>
      <c r="Y63" s="51" t="str">
        <f t="shared" si="8"/>
        <v/>
      </c>
      <c r="Z63" s="2"/>
      <c r="AA63" s="2"/>
      <c r="AB63" s="2"/>
      <c r="AC63" s="2"/>
      <c r="AD63" s="2"/>
      <c r="AE63" s="2"/>
    </row>
    <row r="64" spans="1:31" ht="12.75" x14ac:dyDescent="0.2">
      <c r="A64" s="53">
        <f ca="1">IFERROR(__xludf.DUMMYFUNCTION("""COMPUTED_VALUE"""),125)</f>
        <v>125</v>
      </c>
      <c r="B64" s="53" t="str">
        <f ca="1">IFERROR(__xludf.DUMMYFUNCTION("""COMPUTED_VALUE"""),"MN 10A")</f>
        <v>MN 10A</v>
      </c>
      <c r="C64" s="53" t="str">
        <f ca="1">IFERROR(__xludf.DUMMYFUNCTION("""COMPUTED_VALUE"""),"Mầm non")</f>
        <v>Mầm non</v>
      </c>
      <c r="D64" s="53" t="str">
        <f ca="1">IFERROR(__xludf.DUMMYFUNCTION("""COMPUTED_VALUE"""),"TÂN BÌNH")</f>
        <v>TÂN BÌNH</v>
      </c>
      <c r="E64" s="54">
        <f ca="1">IFERROR(__xludf.DUMMYFUNCTION("""COMPUTED_VALUE"""),23)</f>
        <v>23</v>
      </c>
      <c r="F64" s="54">
        <f ca="1">IFERROR(__xludf.DUMMYFUNCTION("""COMPUTED_VALUE"""),23)</f>
        <v>23</v>
      </c>
      <c r="G64" s="51">
        <f t="shared" ca="1" si="0"/>
        <v>1</v>
      </c>
      <c r="H64" s="54">
        <f ca="1">IFERROR(__xludf.DUMMYFUNCTION("""COMPUTED_VALUE"""),23)</f>
        <v>23</v>
      </c>
      <c r="I64" s="51">
        <f t="shared" ca="1" si="1"/>
        <v>1</v>
      </c>
      <c r="J64" s="54">
        <f ca="1">IFERROR(__xludf.DUMMYFUNCTION("""COMPUTED_VALUE"""),23)</f>
        <v>23</v>
      </c>
      <c r="K64" s="51">
        <f t="shared" ca="1" si="2"/>
        <v>1</v>
      </c>
      <c r="L64" s="54">
        <f ca="1">IFERROR(__xludf.DUMMYFUNCTION("""COMPUTED_VALUE"""),7)</f>
        <v>7</v>
      </c>
      <c r="M64" s="51">
        <f t="shared" ca="1" si="3"/>
        <v>0.30434782608695654</v>
      </c>
      <c r="N64" s="54">
        <f ca="1">IFERROR(__xludf.DUMMYFUNCTION("""COMPUTED_VALUE"""),81)</f>
        <v>81</v>
      </c>
      <c r="O64" s="54">
        <f ca="1">IFERROR(__xludf.DUMMYFUNCTION("""COMPUTED_VALUE"""),13)</f>
        <v>13</v>
      </c>
      <c r="P64" s="51">
        <f t="shared" ca="1" si="4"/>
        <v>0.16049382716049382</v>
      </c>
      <c r="Q64" s="54">
        <f ca="1">IFERROR(__xludf.DUMMYFUNCTION("""COMPUTED_VALUE"""),4)</f>
        <v>4</v>
      </c>
      <c r="R64" s="51">
        <f t="shared" ca="1" si="5"/>
        <v>4.9382716049382713E-2</v>
      </c>
      <c r="S64" s="53"/>
      <c r="T64" s="53"/>
      <c r="U64" s="51" t="str">
        <f t="shared" si="6"/>
        <v/>
      </c>
      <c r="V64" s="53"/>
      <c r="W64" s="51" t="str">
        <f t="shared" si="7"/>
        <v/>
      </c>
      <c r="X64" s="53"/>
      <c r="Y64" s="51" t="str">
        <f t="shared" si="8"/>
        <v/>
      </c>
      <c r="Z64" s="2"/>
      <c r="AA64" s="2"/>
      <c r="AB64" s="2"/>
      <c r="AC64" s="2"/>
      <c r="AD64" s="2"/>
      <c r="AE64" s="2"/>
    </row>
    <row r="65" spans="1:31" ht="12.75" x14ac:dyDescent="0.2">
      <c r="A65" s="53">
        <f ca="1">IFERROR(__xludf.DUMMYFUNCTION("""COMPUTED_VALUE"""),126)</f>
        <v>126</v>
      </c>
      <c r="B65" s="53" t="str">
        <f ca="1">IFERROR(__xludf.DUMMYFUNCTION("""COMPUTED_VALUE"""),"MN 3")</f>
        <v>MN 3</v>
      </c>
      <c r="C65" s="53" t="str">
        <f ca="1">IFERROR(__xludf.DUMMYFUNCTION("""COMPUTED_VALUE"""),"Mầm non")</f>
        <v>Mầm non</v>
      </c>
      <c r="D65" s="53" t="str">
        <f ca="1">IFERROR(__xludf.DUMMYFUNCTION("""COMPUTED_VALUE"""),"TÂN BÌNH")</f>
        <v>TÂN BÌNH</v>
      </c>
      <c r="E65" s="54">
        <f ca="1">IFERROR(__xludf.DUMMYFUNCTION("""COMPUTED_VALUE"""),28)</f>
        <v>28</v>
      </c>
      <c r="F65" s="54">
        <f ca="1">IFERROR(__xludf.DUMMYFUNCTION("""COMPUTED_VALUE"""),28)</f>
        <v>28</v>
      </c>
      <c r="G65" s="51">
        <f t="shared" ca="1" si="0"/>
        <v>1</v>
      </c>
      <c r="H65" s="54">
        <f ca="1">IFERROR(__xludf.DUMMYFUNCTION("""COMPUTED_VALUE"""),28)</f>
        <v>28</v>
      </c>
      <c r="I65" s="51">
        <f t="shared" ca="1" si="1"/>
        <v>1</v>
      </c>
      <c r="J65" s="54">
        <f ca="1">IFERROR(__xludf.DUMMYFUNCTION("""COMPUTED_VALUE"""),26)</f>
        <v>26</v>
      </c>
      <c r="K65" s="51">
        <f t="shared" ca="1" si="2"/>
        <v>0.9285714285714286</v>
      </c>
      <c r="L65" s="54">
        <f ca="1">IFERROR(__xludf.DUMMYFUNCTION("""COMPUTED_VALUE"""),26)</f>
        <v>26</v>
      </c>
      <c r="M65" s="51">
        <f t="shared" ca="1" si="3"/>
        <v>0.9285714285714286</v>
      </c>
      <c r="N65" s="54">
        <f ca="1">IFERROR(__xludf.DUMMYFUNCTION("""COMPUTED_VALUE"""),65)</f>
        <v>65</v>
      </c>
      <c r="O65" s="54">
        <f ca="1">IFERROR(__xludf.DUMMYFUNCTION("""COMPUTED_VALUE"""),19)</f>
        <v>19</v>
      </c>
      <c r="P65" s="51">
        <f t="shared" ca="1" si="4"/>
        <v>0.29230769230769232</v>
      </c>
      <c r="Q65" s="54">
        <f ca="1">IFERROR(__xludf.DUMMYFUNCTION("""COMPUTED_VALUE"""),9)</f>
        <v>9</v>
      </c>
      <c r="R65" s="51">
        <f t="shared" ca="1" si="5"/>
        <v>0.13846153846153847</v>
      </c>
      <c r="S65" s="53"/>
      <c r="T65" s="53"/>
      <c r="U65" s="51" t="str">
        <f t="shared" si="6"/>
        <v/>
      </c>
      <c r="V65" s="53"/>
      <c r="W65" s="51" t="str">
        <f t="shared" si="7"/>
        <v/>
      </c>
      <c r="X65" s="53"/>
      <c r="Y65" s="51" t="str">
        <f t="shared" si="8"/>
        <v/>
      </c>
      <c r="Z65" s="2"/>
      <c r="AA65" s="2"/>
      <c r="AB65" s="2"/>
      <c r="AC65" s="2"/>
      <c r="AD65" s="2"/>
      <c r="AE65" s="2"/>
    </row>
    <row r="66" spans="1:31" ht="12.75" x14ac:dyDescent="0.2">
      <c r="A66" s="53">
        <f ca="1">IFERROR(__xludf.DUMMYFUNCTION("""COMPUTED_VALUE"""),127)</f>
        <v>127</v>
      </c>
      <c r="B66" s="53" t="str">
        <f ca="1">IFERROR(__xludf.DUMMYFUNCTION("""COMPUTED_VALUE"""),"MN 1")</f>
        <v>MN 1</v>
      </c>
      <c r="C66" s="53" t="str">
        <f ca="1">IFERROR(__xludf.DUMMYFUNCTION("""COMPUTED_VALUE"""),"Mầm non")</f>
        <v>Mầm non</v>
      </c>
      <c r="D66" s="53" t="str">
        <f ca="1">IFERROR(__xludf.DUMMYFUNCTION("""COMPUTED_VALUE"""),"TÂN BÌNH")</f>
        <v>TÂN BÌNH</v>
      </c>
      <c r="E66" s="54">
        <f ca="1">IFERROR(__xludf.DUMMYFUNCTION("""COMPUTED_VALUE"""),22)</f>
        <v>22</v>
      </c>
      <c r="F66" s="54">
        <f ca="1">IFERROR(__xludf.DUMMYFUNCTION("""COMPUTED_VALUE"""),22)</f>
        <v>22</v>
      </c>
      <c r="G66" s="51">
        <f t="shared" ca="1" si="0"/>
        <v>1</v>
      </c>
      <c r="H66" s="54">
        <f ca="1">IFERROR(__xludf.DUMMYFUNCTION("""COMPUTED_VALUE"""),22)</f>
        <v>22</v>
      </c>
      <c r="I66" s="51">
        <f t="shared" ca="1" si="1"/>
        <v>1</v>
      </c>
      <c r="J66" s="54">
        <f ca="1">IFERROR(__xludf.DUMMYFUNCTION("""COMPUTED_VALUE"""),22)</f>
        <v>22</v>
      </c>
      <c r="K66" s="51">
        <f t="shared" ca="1" si="2"/>
        <v>1</v>
      </c>
      <c r="L66" s="54">
        <f ca="1">IFERROR(__xludf.DUMMYFUNCTION("""COMPUTED_VALUE"""),19)</f>
        <v>19</v>
      </c>
      <c r="M66" s="51">
        <f t="shared" ca="1" si="3"/>
        <v>0.86363636363636365</v>
      </c>
      <c r="N66" s="54">
        <f ca="1">IFERROR(__xludf.DUMMYFUNCTION("""COMPUTED_VALUE"""),45)</f>
        <v>45</v>
      </c>
      <c r="O66" s="54">
        <f ca="1">IFERROR(__xludf.DUMMYFUNCTION("""COMPUTED_VALUE"""),10)</f>
        <v>10</v>
      </c>
      <c r="P66" s="51">
        <f t="shared" ca="1" si="4"/>
        <v>0.22222222222222221</v>
      </c>
      <c r="Q66" s="54">
        <f ca="1">IFERROR(__xludf.DUMMYFUNCTION("""COMPUTED_VALUE"""),0)</f>
        <v>0</v>
      </c>
      <c r="R66" s="51">
        <f t="shared" ca="1" si="5"/>
        <v>0</v>
      </c>
      <c r="S66" s="53"/>
      <c r="T66" s="53"/>
      <c r="U66" s="51" t="str">
        <f t="shared" si="6"/>
        <v/>
      </c>
      <c r="V66" s="53"/>
      <c r="W66" s="51" t="str">
        <f t="shared" si="7"/>
        <v/>
      </c>
      <c r="X66" s="53"/>
      <c r="Y66" s="51" t="str">
        <f t="shared" si="8"/>
        <v/>
      </c>
      <c r="Z66" s="2"/>
      <c r="AA66" s="2"/>
      <c r="AB66" s="2"/>
      <c r="AC66" s="2"/>
      <c r="AD66" s="2"/>
      <c r="AE66" s="2"/>
    </row>
    <row r="67" spans="1:31" ht="12.75" x14ac:dyDescent="0.2">
      <c r="A67" s="53">
        <f ca="1">IFERROR(__xludf.DUMMYFUNCTION("""COMPUTED_VALUE"""),128)</f>
        <v>128</v>
      </c>
      <c r="B67" s="53" t="str">
        <f ca="1">IFERROR(__xludf.DUMMYFUNCTION("""COMPUTED_VALUE"""),"MN VIỆT MỸ")</f>
        <v>MN VIỆT MỸ</v>
      </c>
      <c r="C67" s="53" t="str">
        <f ca="1">IFERROR(__xludf.DUMMYFUNCTION("""COMPUTED_VALUE"""),"Mầm non")</f>
        <v>Mầm non</v>
      </c>
      <c r="D67" s="53" t="str">
        <f ca="1">IFERROR(__xludf.DUMMYFUNCTION("""COMPUTED_VALUE"""),"TÂN BÌNH")</f>
        <v>TÂN BÌNH</v>
      </c>
      <c r="E67" s="54">
        <f ca="1">IFERROR(__xludf.DUMMYFUNCTION("""COMPUTED_VALUE"""),9)</f>
        <v>9</v>
      </c>
      <c r="F67" s="54">
        <f ca="1">IFERROR(__xludf.DUMMYFUNCTION("""COMPUTED_VALUE"""),9)</f>
        <v>9</v>
      </c>
      <c r="G67" s="51">
        <f t="shared" ca="1" si="0"/>
        <v>1</v>
      </c>
      <c r="H67" s="54">
        <f ca="1">IFERROR(__xludf.DUMMYFUNCTION("""COMPUTED_VALUE"""),9)</f>
        <v>9</v>
      </c>
      <c r="I67" s="51">
        <f t="shared" ca="1" si="1"/>
        <v>1</v>
      </c>
      <c r="J67" s="54">
        <f ca="1">IFERROR(__xludf.DUMMYFUNCTION("""COMPUTED_VALUE"""),9)</f>
        <v>9</v>
      </c>
      <c r="K67" s="51">
        <f t="shared" ca="1" si="2"/>
        <v>1</v>
      </c>
      <c r="L67" s="54">
        <f ca="1">IFERROR(__xludf.DUMMYFUNCTION("""COMPUTED_VALUE"""),2)</f>
        <v>2</v>
      </c>
      <c r="M67" s="51">
        <f t="shared" ca="1" si="3"/>
        <v>0.22222222222222221</v>
      </c>
      <c r="N67" s="54">
        <f ca="1">IFERROR(__xludf.DUMMYFUNCTION("""COMPUTED_VALUE"""),9)</f>
        <v>9</v>
      </c>
      <c r="O67" s="54">
        <f ca="1">IFERROR(__xludf.DUMMYFUNCTION("""COMPUTED_VALUE"""),1)</f>
        <v>1</v>
      </c>
      <c r="P67" s="51">
        <f t="shared" ca="1" si="4"/>
        <v>0.1111111111111111</v>
      </c>
      <c r="Q67" s="54">
        <f ca="1">IFERROR(__xludf.DUMMYFUNCTION("""COMPUTED_VALUE"""),0)</f>
        <v>0</v>
      </c>
      <c r="R67" s="51">
        <f t="shared" ca="1" si="5"/>
        <v>0</v>
      </c>
      <c r="S67" s="53"/>
      <c r="T67" s="53"/>
      <c r="U67" s="51" t="str">
        <f t="shared" si="6"/>
        <v/>
      </c>
      <c r="V67" s="53"/>
      <c r="W67" s="51" t="str">
        <f t="shared" si="7"/>
        <v/>
      </c>
      <c r="X67" s="53"/>
      <c r="Y67" s="51" t="str">
        <f t="shared" si="8"/>
        <v/>
      </c>
      <c r="Z67" s="2"/>
      <c r="AA67" s="2"/>
      <c r="AB67" s="2"/>
      <c r="AC67" s="2"/>
      <c r="AD67" s="2"/>
      <c r="AE67" s="2"/>
    </row>
    <row r="68" spans="1:31" ht="12.75" x14ac:dyDescent="0.2">
      <c r="A68" s="53">
        <f ca="1">IFERROR(__xludf.DUMMYFUNCTION("""COMPUTED_VALUE"""),1)</f>
        <v>1</v>
      </c>
      <c r="B68" s="53" t="str">
        <f ca="1">IFERROR(__xludf.DUMMYFUNCTION("""COMPUTED_VALUE"""),"Trần Văn Ơn")</f>
        <v>Trần Văn Ơn</v>
      </c>
      <c r="C68" s="53" t="str">
        <f ca="1">IFERROR(__xludf.DUMMYFUNCTION("""COMPUTED_VALUE"""),"Tiểu học")</f>
        <v>Tiểu học</v>
      </c>
      <c r="D68" s="53" t="str">
        <f ca="1">IFERROR(__xludf.DUMMYFUNCTION("""COMPUTED_VALUE"""),"TÂN BÌNH")</f>
        <v>TÂN BÌNH</v>
      </c>
      <c r="E68" s="54">
        <f ca="1">IFERROR(__xludf.DUMMYFUNCTION("""COMPUTED_VALUE"""),40)</f>
        <v>40</v>
      </c>
      <c r="F68" s="54">
        <f ca="1">IFERROR(__xludf.DUMMYFUNCTION("""COMPUTED_VALUE"""),40)</f>
        <v>40</v>
      </c>
      <c r="G68" s="51">
        <f t="shared" ca="1" si="0"/>
        <v>1</v>
      </c>
      <c r="H68" s="54">
        <f ca="1">IFERROR(__xludf.DUMMYFUNCTION("""COMPUTED_VALUE"""),40)</f>
        <v>40</v>
      </c>
      <c r="I68" s="51">
        <f t="shared" ca="1" si="1"/>
        <v>1</v>
      </c>
      <c r="J68" s="54">
        <f ca="1">IFERROR(__xludf.DUMMYFUNCTION("""COMPUTED_VALUE"""),36)</f>
        <v>36</v>
      </c>
      <c r="K68" s="51">
        <f t="shared" ca="1" si="2"/>
        <v>0.9</v>
      </c>
      <c r="L68" s="54">
        <f ca="1">IFERROR(__xludf.DUMMYFUNCTION("""COMPUTED_VALUE"""),16)</f>
        <v>16</v>
      </c>
      <c r="M68" s="51">
        <f t="shared" ca="1" si="3"/>
        <v>0.4</v>
      </c>
      <c r="N68" s="54">
        <f ca="1">IFERROR(__xludf.DUMMYFUNCTION("""COMPUTED_VALUE"""),782)</f>
        <v>782</v>
      </c>
      <c r="O68" s="54">
        <f ca="1">IFERROR(__xludf.DUMMYFUNCTION("""COMPUTED_VALUE"""),253)</f>
        <v>253</v>
      </c>
      <c r="P68" s="51">
        <f t="shared" ca="1" si="4"/>
        <v>0.3235294117647059</v>
      </c>
      <c r="Q68" s="54">
        <f ca="1">IFERROR(__xludf.DUMMYFUNCTION("""COMPUTED_VALUE"""),228)</f>
        <v>228</v>
      </c>
      <c r="R68" s="51">
        <f t="shared" ca="1" si="5"/>
        <v>0.2915601023017903</v>
      </c>
      <c r="S68" s="53"/>
      <c r="T68" s="53"/>
      <c r="U68" s="51" t="str">
        <f t="shared" si="6"/>
        <v/>
      </c>
      <c r="V68" s="53"/>
      <c r="W68" s="51" t="str">
        <f t="shared" si="7"/>
        <v/>
      </c>
      <c r="X68" s="53"/>
      <c r="Y68" s="51" t="str">
        <f t="shared" si="8"/>
        <v/>
      </c>
      <c r="Z68" s="2"/>
      <c r="AA68" s="2"/>
      <c r="AB68" s="2"/>
      <c r="AC68" s="2"/>
      <c r="AD68" s="2"/>
      <c r="AE68" s="2"/>
    </row>
    <row r="69" spans="1:31" ht="12.75" x14ac:dyDescent="0.2">
      <c r="A69" s="53">
        <f ca="1">IFERROR(__xludf.DUMMYFUNCTION("""COMPUTED_VALUE"""),2)</f>
        <v>2</v>
      </c>
      <c r="B69" s="53" t="str">
        <f ca="1">IFERROR(__xludf.DUMMYFUNCTION("""COMPUTED_VALUE"""),"Lê Văn Sĩ")</f>
        <v>Lê Văn Sĩ</v>
      </c>
      <c r="C69" s="53" t="str">
        <f ca="1">IFERROR(__xludf.DUMMYFUNCTION("""COMPUTED_VALUE"""),"Tiểu học")</f>
        <v>Tiểu học</v>
      </c>
      <c r="D69" s="53" t="str">
        <f ca="1">IFERROR(__xludf.DUMMYFUNCTION("""COMPUTED_VALUE"""),"TÂN BÌNH")</f>
        <v>TÂN BÌNH</v>
      </c>
      <c r="E69" s="54">
        <f ca="1">IFERROR(__xludf.DUMMYFUNCTION("""COMPUTED_VALUE"""),73)</f>
        <v>73</v>
      </c>
      <c r="F69" s="54">
        <f ca="1">IFERROR(__xludf.DUMMYFUNCTION("""COMPUTED_VALUE"""),73)</f>
        <v>73</v>
      </c>
      <c r="G69" s="51">
        <f t="shared" ca="1" si="0"/>
        <v>1</v>
      </c>
      <c r="H69" s="54">
        <f ca="1">IFERROR(__xludf.DUMMYFUNCTION("""COMPUTED_VALUE"""),73)</f>
        <v>73</v>
      </c>
      <c r="I69" s="51">
        <f t="shared" ca="1" si="1"/>
        <v>1</v>
      </c>
      <c r="J69" s="54">
        <f ca="1">IFERROR(__xludf.DUMMYFUNCTION("""COMPUTED_VALUE"""),67)</f>
        <v>67</v>
      </c>
      <c r="K69" s="51">
        <f t="shared" ca="1" si="2"/>
        <v>0.9178082191780822</v>
      </c>
      <c r="L69" s="54">
        <f ca="1">IFERROR(__xludf.DUMMYFUNCTION("""COMPUTED_VALUE"""),38)</f>
        <v>38</v>
      </c>
      <c r="M69" s="51">
        <f t="shared" ca="1" si="3"/>
        <v>0.52054794520547942</v>
      </c>
      <c r="N69" s="54">
        <f ca="1">IFERROR(__xludf.DUMMYFUNCTION("""COMPUTED_VALUE"""),1091)</f>
        <v>1091</v>
      </c>
      <c r="O69" s="54">
        <f ca="1">IFERROR(__xludf.DUMMYFUNCTION("""COMPUTED_VALUE"""),573)</f>
        <v>573</v>
      </c>
      <c r="P69" s="51">
        <f t="shared" ca="1" si="4"/>
        <v>0.52520623281393219</v>
      </c>
      <c r="Q69" s="54">
        <f ca="1">IFERROR(__xludf.DUMMYFUNCTION("""COMPUTED_VALUE"""),304)</f>
        <v>304</v>
      </c>
      <c r="R69" s="51">
        <f t="shared" ca="1" si="5"/>
        <v>0.27864344637946836</v>
      </c>
      <c r="S69" s="53"/>
      <c r="T69" s="53"/>
      <c r="U69" s="51" t="str">
        <f t="shared" si="6"/>
        <v/>
      </c>
      <c r="V69" s="53"/>
      <c r="W69" s="51" t="str">
        <f t="shared" si="7"/>
        <v/>
      </c>
      <c r="X69" s="53"/>
      <c r="Y69" s="51" t="str">
        <f t="shared" si="8"/>
        <v/>
      </c>
      <c r="Z69" s="2"/>
      <c r="AA69" s="2"/>
      <c r="AB69" s="2"/>
      <c r="AC69" s="2"/>
      <c r="AD69" s="2"/>
      <c r="AE69" s="2"/>
    </row>
    <row r="70" spans="1:31" ht="12.75" x14ac:dyDescent="0.2">
      <c r="A70" s="53">
        <f ca="1">IFERROR(__xludf.DUMMYFUNCTION("""COMPUTED_VALUE"""),3)</f>
        <v>3</v>
      </c>
      <c r="B70" s="53" t="str">
        <f ca="1">IFERROR(__xludf.DUMMYFUNCTION("""COMPUTED_VALUE"""),"Trần Quốc Tuấn")</f>
        <v>Trần Quốc Tuấn</v>
      </c>
      <c r="C70" s="53" t="str">
        <f ca="1">IFERROR(__xludf.DUMMYFUNCTION("""COMPUTED_VALUE"""),"Tiểu học")</f>
        <v>Tiểu học</v>
      </c>
      <c r="D70" s="53" t="str">
        <f ca="1">IFERROR(__xludf.DUMMYFUNCTION("""COMPUTED_VALUE"""),"TÂN BÌNH")</f>
        <v>TÂN BÌNH</v>
      </c>
      <c r="E70" s="54">
        <f ca="1">IFERROR(__xludf.DUMMYFUNCTION("""COMPUTED_VALUE"""),88)</f>
        <v>88</v>
      </c>
      <c r="F70" s="54">
        <f ca="1">IFERROR(__xludf.DUMMYFUNCTION("""COMPUTED_VALUE"""),88)</f>
        <v>88</v>
      </c>
      <c r="G70" s="51">
        <f t="shared" ref="G70:G78" ca="1" si="9">IFERROR(F70/E70,"")</f>
        <v>1</v>
      </c>
      <c r="H70" s="54">
        <f ca="1">IFERROR(__xludf.DUMMYFUNCTION("""COMPUTED_VALUE"""),88)</f>
        <v>88</v>
      </c>
      <c r="I70" s="51">
        <f t="shared" ref="I70:I78" ca="1" si="10">IFERROR(H70/E70,"")</f>
        <v>1</v>
      </c>
      <c r="J70" s="54">
        <f ca="1">IFERROR(__xludf.DUMMYFUNCTION("""COMPUTED_VALUE"""),81)</f>
        <v>81</v>
      </c>
      <c r="K70" s="51">
        <f t="shared" ref="K70:K78" ca="1" si="11">IFERROR(J70/E70,"")</f>
        <v>0.92045454545454541</v>
      </c>
      <c r="L70" s="54">
        <f ca="1">IFERROR(__xludf.DUMMYFUNCTION("""COMPUTED_VALUE"""),43)</f>
        <v>43</v>
      </c>
      <c r="M70" s="51">
        <f t="shared" ref="M70:M78" ca="1" si="12">IFERROR(L70/E70,"")</f>
        <v>0.48863636363636365</v>
      </c>
      <c r="N70" s="54">
        <f ca="1">IFERROR(__xludf.DUMMYFUNCTION("""COMPUTED_VALUE"""),1352)</f>
        <v>1352</v>
      </c>
      <c r="O70" s="54">
        <f ca="1">IFERROR(__xludf.DUMMYFUNCTION("""COMPUTED_VALUE"""),397)</f>
        <v>397</v>
      </c>
      <c r="P70" s="51">
        <f t="shared" ref="P70:P78" ca="1" si="13">IFERROR(O70/N70,"")</f>
        <v>0.29363905325443784</v>
      </c>
      <c r="Q70" s="54">
        <f ca="1">IFERROR(__xludf.DUMMYFUNCTION("""COMPUTED_VALUE"""),91)</f>
        <v>91</v>
      </c>
      <c r="R70" s="51">
        <f t="shared" ref="R70:R78" ca="1" si="14">IFERROR(Q70/N70,"")</f>
        <v>6.7307692307692304E-2</v>
      </c>
      <c r="S70" s="53"/>
      <c r="T70" s="53"/>
      <c r="U70" s="51" t="str">
        <f t="shared" ref="U70:U78" si="15">IFERROR(T70/S70,"")</f>
        <v/>
      </c>
      <c r="V70" s="53"/>
      <c r="W70" s="51" t="str">
        <f t="shared" ref="W70:W78" si="16">IFERROR(V70/S70,"")</f>
        <v/>
      </c>
      <c r="X70" s="53"/>
      <c r="Y70" s="51" t="str">
        <f t="shared" ref="Y70:Y78" si="17">IFERROR(X70/S70,"")</f>
        <v/>
      </c>
      <c r="Z70" s="2"/>
      <c r="AA70" s="2"/>
      <c r="AB70" s="2"/>
      <c r="AC70" s="2"/>
      <c r="AD70" s="2"/>
      <c r="AE70" s="2"/>
    </row>
    <row r="71" spans="1:31" ht="12.75" x14ac:dyDescent="0.2">
      <c r="A71" s="53">
        <f ca="1">IFERROR(__xludf.DUMMYFUNCTION("""COMPUTED_VALUE"""),4)</f>
        <v>4</v>
      </c>
      <c r="B71" s="53" t="str">
        <f ca="1">IFERROR(__xludf.DUMMYFUNCTION("""COMPUTED_VALUE"""),"Lê Thị Hồng Gấm")</f>
        <v>Lê Thị Hồng Gấm</v>
      </c>
      <c r="C71" s="53" t="str">
        <f ca="1">IFERROR(__xludf.DUMMYFUNCTION("""COMPUTED_VALUE"""),"Tiểu học")</f>
        <v>Tiểu học</v>
      </c>
      <c r="D71" s="53" t="str">
        <f ca="1">IFERROR(__xludf.DUMMYFUNCTION("""COMPUTED_VALUE"""),"TÂN BÌNH")</f>
        <v>TÂN BÌNH</v>
      </c>
      <c r="E71" s="54">
        <f ca="1">IFERROR(__xludf.DUMMYFUNCTION("""COMPUTED_VALUE"""),89)</f>
        <v>89</v>
      </c>
      <c r="F71" s="54">
        <f ca="1">IFERROR(__xludf.DUMMYFUNCTION("""COMPUTED_VALUE"""),89)</f>
        <v>89</v>
      </c>
      <c r="G71" s="51">
        <f t="shared" ca="1" si="9"/>
        <v>1</v>
      </c>
      <c r="H71" s="54">
        <f ca="1">IFERROR(__xludf.DUMMYFUNCTION("""COMPUTED_VALUE"""),89)</f>
        <v>89</v>
      </c>
      <c r="I71" s="51">
        <f t="shared" ca="1" si="10"/>
        <v>1</v>
      </c>
      <c r="J71" s="54">
        <f ca="1">IFERROR(__xludf.DUMMYFUNCTION("""COMPUTED_VALUE"""),86)</f>
        <v>86</v>
      </c>
      <c r="K71" s="51">
        <f t="shared" ca="1" si="11"/>
        <v>0.9662921348314607</v>
      </c>
      <c r="L71" s="54">
        <f ca="1">IFERROR(__xludf.DUMMYFUNCTION("""COMPUTED_VALUE"""),50)</f>
        <v>50</v>
      </c>
      <c r="M71" s="51">
        <f t="shared" ca="1" si="12"/>
        <v>0.5617977528089888</v>
      </c>
      <c r="N71" s="54">
        <f ca="1">IFERROR(__xludf.DUMMYFUNCTION("""COMPUTED_VALUE"""),1542)</f>
        <v>1542</v>
      </c>
      <c r="O71" s="54">
        <f ca="1">IFERROR(__xludf.DUMMYFUNCTION("""COMPUTED_VALUE"""),649)</f>
        <v>649</v>
      </c>
      <c r="P71" s="51">
        <f t="shared" ca="1" si="13"/>
        <v>0.42088197146562906</v>
      </c>
      <c r="Q71" s="54">
        <f ca="1">IFERROR(__xludf.DUMMYFUNCTION("""COMPUTED_VALUE"""),285)</f>
        <v>285</v>
      </c>
      <c r="R71" s="51">
        <f t="shared" ca="1" si="14"/>
        <v>0.18482490272373542</v>
      </c>
      <c r="S71" s="53"/>
      <c r="T71" s="53"/>
      <c r="U71" s="51" t="str">
        <f t="shared" si="15"/>
        <v/>
      </c>
      <c r="V71" s="53"/>
      <c r="W71" s="51" t="str">
        <f t="shared" si="16"/>
        <v/>
      </c>
      <c r="X71" s="53"/>
      <c r="Y71" s="51" t="str">
        <f t="shared" si="17"/>
        <v/>
      </c>
      <c r="Z71" s="2"/>
      <c r="AA71" s="2"/>
      <c r="AB71" s="2"/>
      <c r="AC71" s="2"/>
      <c r="AD71" s="2"/>
      <c r="AE71" s="2"/>
    </row>
    <row r="72" spans="1:31" ht="12.75" x14ac:dyDescent="0.2">
      <c r="A72" s="53">
        <f ca="1">IFERROR(__xludf.DUMMYFUNCTION("""COMPUTED_VALUE"""),5)</f>
        <v>5</v>
      </c>
      <c r="B72" s="53" t="str">
        <f ca="1">IFERROR(__xludf.DUMMYFUNCTION("""COMPUTED_VALUE"""),"Thân Nhân Trung")</f>
        <v>Thân Nhân Trung</v>
      </c>
      <c r="C72" s="53" t="str">
        <f ca="1">IFERROR(__xludf.DUMMYFUNCTION("""COMPUTED_VALUE"""),"Tiểu học")</f>
        <v>Tiểu học</v>
      </c>
      <c r="D72" s="53" t="str">
        <f ca="1">IFERROR(__xludf.DUMMYFUNCTION("""COMPUTED_VALUE"""),"TÂN BÌNH")</f>
        <v>TÂN BÌNH</v>
      </c>
      <c r="E72" s="54">
        <f ca="1">IFERROR(__xludf.DUMMYFUNCTION("""COMPUTED_VALUE"""),71)</f>
        <v>71</v>
      </c>
      <c r="F72" s="54">
        <f ca="1">IFERROR(__xludf.DUMMYFUNCTION("""COMPUTED_VALUE"""),71)</f>
        <v>71</v>
      </c>
      <c r="G72" s="51">
        <f t="shared" ca="1" si="9"/>
        <v>1</v>
      </c>
      <c r="H72" s="54">
        <f ca="1">IFERROR(__xludf.DUMMYFUNCTION("""COMPUTED_VALUE"""),71)</f>
        <v>71</v>
      </c>
      <c r="I72" s="51">
        <f t="shared" ca="1" si="10"/>
        <v>1</v>
      </c>
      <c r="J72" s="54">
        <f ca="1">IFERROR(__xludf.DUMMYFUNCTION("""COMPUTED_VALUE"""),71)</f>
        <v>71</v>
      </c>
      <c r="K72" s="51">
        <f t="shared" ca="1" si="11"/>
        <v>1</v>
      </c>
      <c r="L72" s="54">
        <f ca="1">IFERROR(__xludf.DUMMYFUNCTION("""COMPUTED_VALUE"""),24)</f>
        <v>24</v>
      </c>
      <c r="M72" s="51">
        <f t="shared" ca="1" si="12"/>
        <v>0.3380281690140845</v>
      </c>
      <c r="N72" s="54">
        <f ca="1">IFERROR(__xludf.DUMMYFUNCTION("""COMPUTED_VALUE"""),998)</f>
        <v>998</v>
      </c>
      <c r="O72" s="54">
        <f ca="1">IFERROR(__xludf.DUMMYFUNCTION("""COMPUTED_VALUE"""),270)</f>
        <v>270</v>
      </c>
      <c r="P72" s="51">
        <f t="shared" ca="1" si="13"/>
        <v>0.27054108216432865</v>
      </c>
      <c r="Q72" s="54">
        <f ca="1">IFERROR(__xludf.DUMMYFUNCTION("""COMPUTED_VALUE"""),93)</f>
        <v>93</v>
      </c>
      <c r="R72" s="51">
        <f t="shared" ca="1" si="14"/>
        <v>9.3186372745490978E-2</v>
      </c>
      <c r="S72" s="53"/>
      <c r="T72" s="53"/>
      <c r="U72" s="51" t="str">
        <f t="shared" si="15"/>
        <v/>
      </c>
      <c r="V72" s="53"/>
      <c r="W72" s="51" t="str">
        <f t="shared" si="16"/>
        <v/>
      </c>
      <c r="X72" s="53"/>
      <c r="Y72" s="51" t="str">
        <f t="shared" si="17"/>
        <v/>
      </c>
      <c r="Z72" s="2"/>
      <c r="AA72" s="2"/>
      <c r="AB72" s="2"/>
      <c r="AC72" s="2"/>
      <c r="AD72" s="2"/>
      <c r="AE72" s="2"/>
    </row>
    <row r="73" spans="1:31" ht="12.75" x14ac:dyDescent="0.2">
      <c r="A73" s="53">
        <f ca="1">IFERROR(__xludf.DUMMYFUNCTION("""COMPUTED_VALUE"""),6)</f>
        <v>6</v>
      </c>
      <c r="B73" s="53" t="str">
        <f ca="1">IFERROR(__xludf.DUMMYFUNCTION("""COMPUTED_VALUE"""),"Phú Thọ Hòa")</f>
        <v>Phú Thọ Hòa</v>
      </c>
      <c r="C73" s="53" t="str">
        <f ca="1">IFERROR(__xludf.DUMMYFUNCTION("""COMPUTED_VALUE"""),"Tiểu học")</f>
        <v>Tiểu học</v>
      </c>
      <c r="D73" s="53" t="str">
        <f ca="1">IFERROR(__xludf.DUMMYFUNCTION("""COMPUTED_VALUE"""),"TÂN BÌNH")</f>
        <v>TÂN BÌNH</v>
      </c>
      <c r="E73" s="54">
        <f ca="1">IFERROR(__xludf.DUMMYFUNCTION("""COMPUTED_VALUE"""),70)</f>
        <v>70</v>
      </c>
      <c r="F73" s="54">
        <f ca="1">IFERROR(__xludf.DUMMYFUNCTION("""COMPUTED_VALUE"""),70)</f>
        <v>70</v>
      </c>
      <c r="G73" s="51">
        <f t="shared" ca="1" si="9"/>
        <v>1</v>
      </c>
      <c r="H73" s="54">
        <f ca="1">IFERROR(__xludf.DUMMYFUNCTION("""COMPUTED_VALUE"""),70)</f>
        <v>70</v>
      </c>
      <c r="I73" s="51">
        <f t="shared" ca="1" si="10"/>
        <v>1</v>
      </c>
      <c r="J73" s="54">
        <f ca="1">IFERROR(__xludf.DUMMYFUNCTION("""COMPUTED_VALUE"""),70)</f>
        <v>70</v>
      </c>
      <c r="K73" s="51">
        <f t="shared" ca="1" si="11"/>
        <v>1</v>
      </c>
      <c r="L73" s="54">
        <f ca="1">IFERROR(__xludf.DUMMYFUNCTION("""COMPUTED_VALUE"""),48)</f>
        <v>48</v>
      </c>
      <c r="M73" s="51">
        <f t="shared" ca="1" si="12"/>
        <v>0.68571428571428572</v>
      </c>
      <c r="N73" s="54">
        <f ca="1">IFERROR(__xludf.DUMMYFUNCTION("""COMPUTED_VALUE"""),1173)</f>
        <v>1173</v>
      </c>
      <c r="O73" s="54">
        <f ca="1">IFERROR(__xludf.DUMMYFUNCTION("""COMPUTED_VALUE"""),610)</f>
        <v>610</v>
      </c>
      <c r="P73" s="51">
        <f t="shared" ca="1" si="13"/>
        <v>0.52003410059676047</v>
      </c>
      <c r="Q73" s="54">
        <f ca="1">IFERROR(__xludf.DUMMYFUNCTION("""COMPUTED_VALUE"""),261)</f>
        <v>261</v>
      </c>
      <c r="R73" s="51">
        <f t="shared" ca="1" si="14"/>
        <v>0.22250639386189258</v>
      </c>
      <c r="S73" s="53"/>
      <c r="T73" s="53"/>
      <c r="U73" s="51" t="str">
        <f t="shared" si="15"/>
        <v/>
      </c>
      <c r="V73" s="53"/>
      <c r="W73" s="51" t="str">
        <f t="shared" si="16"/>
        <v/>
      </c>
      <c r="X73" s="53"/>
      <c r="Y73" s="51" t="str">
        <f t="shared" si="17"/>
        <v/>
      </c>
      <c r="Z73" s="2"/>
      <c r="AA73" s="2"/>
      <c r="AB73" s="2"/>
      <c r="AC73" s="2"/>
      <c r="AD73" s="2"/>
      <c r="AE73" s="2"/>
    </row>
    <row r="74" spans="1:31" ht="12.75" x14ac:dyDescent="0.2">
      <c r="A74" s="53">
        <f ca="1">IFERROR(__xludf.DUMMYFUNCTION("""COMPUTED_VALUE"""),7)</f>
        <v>7</v>
      </c>
      <c r="B74" s="53" t="str">
        <f ca="1">IFERROR(__xludf.DUMMYFUNCTION("""COMPUTED_VALUE"""),"Tân Trụ")</f>
        <v>Tân Trụ</v>
      </c>
      <c r="C74" s="53" t="str">
        <f ca="1">IFERROR(__xludf.DUMMYFUNCTION("""COMPUTED_VALUE"""),"Tiểu học")</f>
        <v>Tiểu học</v>
      </c>
      <c r="D74" s="53" t="str">
        <f ca="1">IFERROR(__xludf.DUMMYFUNCTION("""COMPUTED_VALUE"""),"TÂN BÌNH")</f>
        <v>TÂN BÌNH</v>
      </c>
      <c r="E74" s="54">
        <f ca="1">IFERROR(__xludf.DUMMYFUNCTION("""COMPUTED_VALUE"""),78)</f>
        <v>78</v>
      </c>
      <c r="F74" s="54">
        <f ca="1">IFERROR(__xludf.DUMMYFUNCTION("""COMPUTED_VALUE"""),78)</f>
        <v>78</v>
      </c>
      <c r="G74" s="51">
        <f t="shared" ca="1" si="9"/>
        <v>1</v>
      </c>
      <c r="H74" s="54">
        <f ca="1">IFERROR(__xludf.DUMMYFUNCTION("""COMPUTED_VALUE"""),77)</f>
        <v>77</v>
      </c>
      <c r="I74" s="51">
        <f t="shared" ca="1" si="10"/>
        <v>0.98717948717948723</v>
      </c>
      <c r="J74" s="54">
        <f ca="1">IFERROR(__xludf.DUMMYFUNCTION("""COMPUTED_VALUE"""),73)</f>
        <v>73</v>
      </c>
      <c r="K74" s="51">
        <f t="shared" ca="1" si="11"/>
        <v>0.9358974358974359</v>
      </c>
      <c r="L74" s="54">
        <f ca="1">IFERROR(__xludf.DUMMYFUNCTION("""COMPUTED_VALUE"""),23)</f>
        <v>23</v>
      </c>
      <c r="M74" s="51">
        <f t="shared" ca="1" si="12"/>
        <v>0.29487179487179488</v>
      </c>
      <c r="N74" s="54">
        <f ca="1">IFERROR(__xludf.DUMMYFUNCTION("""COMPUTED_VALUE"""),1330)</f>
        <v>1330</v>
      </c>
      <c r="O74" s="54">
        <f ca="1">IFERROR(__xludf.DUMMYFUNCTION("""COMPUTED_VALUE"""),676)</f>
        <v>676</v>
      </c>
      <c r="P74" s="51">
        <f t="shared" ca="1" si="13"/>
        <v>0.50827067669172932</v>
      </c>
      <c r="Q74" s="54">
        <f ca="1">IFERROR(__xludf.DUMMYFUNCTION("""COMPUTED_VALUE"""),415)</f>
        <v>415</v>
      </c>
      <c r="R74" s="51">
        <f t="shared" ca="1" si="14"/>
        <v>0.31203007518796994</v>
      </c>
      <c r="S74" s="53"/>
      <c r="T74" s="53"/>
      <c r="U74" s="51" t="str">
        <f t="shared" si="15"/>
        <v/>
      </c>
      <c r="V74" s="53"/>
      <c r="W74" s="51" t="str">
        <f t="shared" si="16"/>
        <v/>
      </c>
      <c r="X74" s="53"/>
      <c r="Y74" s="51" t="str">
        <f t="shared" si="17"/>
        <v/>
      </c>
      <c r="Z74" s="2"/>
      <c r="AA74" s="2"/>
      <c r="AB74" s="2"/>
      <c r="AC74" s="2"/>
      <c r="AD74" s="2"/>
      <c r="AE74" s="2"/>
    </row>
    <row r="75" spans="1:31" ht="12.75" x14ac:dyDescent="0.2">
      <c r="A75" s="53">
        <f ca="1">IFERROR(__xludf.DUMMYFUNCTION("""COMPUTED_VALUE"""),8)</f>
        <v>8</v>
      </c>
      <c r="B75" s="53" t="str">
        <f ca="1">IFERROR(__xludf.DUMMYFUNCTION("""COMPUTED_VALUE"""),"Phạm Văn Hai")</f>
        <v>Phạm Văn Hai</v>
      </c>
      <c r="C75" s="53" t="str">
        <f ca="1">IFERROR(__xludf.DUMMYFUNCTION("""COMPUTED_VALUE"""),"Tiểu học")</f>
        <v>Tiểu học</v>
      </c>
      <c r="D75" s="53" t="str">
        <f ca="1">IFERROR(__xludf.DUMMYFUNCTION("""COMPUTED_VALUE"""),"TÂN BÌNH")</f>
        <v>TÂN BÌNH</v>
      </c>
      <c r="E75" s="54">
        <f ca="1">IFERROR(__xludf.DUMMYFUNCTION("""COMPUTED_VALUE"""),32)</f>
        <v>32</v>
      </c>
      <c r="F75" s="54">
        <f ca="1">IFERROR(__xludf.DUMMYFUNCTION("""COMPUTED_VALUE"""),31)</f>
        <v>31</v>
      </c>
      <c r="G75" s="51">
        <f t="shared" ca="1" si="9"/>
        <v>0.96875</v>
      </c>
      <c r="H75" s="54">
        <f ca="1">IFERROR(__xludf.DUMMYFUNCTION("""COMPUTED_VALUE"""),31)</f>
        <v>31</v>
      </c>
      <c r="I75" s="51">
        <f t="shared" ca="1" si="10"/>
        <v>0.96875</v>
      </c>
      <c r="J75" s="54">
        <f ca="1">IFERROR(__xludf.DUMMYFUNCTION("""COMPUTED_VALUE"""),29)</f>
        <v>29</v>
      </c>
      <c r="K75" s="51">
        <f t="shared" ca="1" si="11"/>
        <v>0.90625</v>
      </c>
      <c r="L75" s="54">
        <f ca="1">IFERROR(__xludf.DUMMYFUNCTION("""COMPUTED_VALUE"""),14)</f>
        <v>14</v>
      </c>
      <c r="M75" s="51">
        <f t="shared" ca="1" si="12"/>
        <v>0.4375</v>
      </c>
      <c r="N75" s="54">
        <f ca="1">IFERROR(__xludf.DUMMYFUNCTION("""COMPUTED_VALUE"""),697)</f>
        <v>697</v>
      </c>
      <c r="O75" s="54">
        <f ca="1">IFERROR(__xludf.DUMMYFUNCTION("""COMPUTED_VALUE"""),337)</f>
        <v>337</v>
      </c>
      <c r="P75" s="51">
        <f t="shared" ca="1" si="13"/>
        <v>0.4835007173601148</v>
      </c>
      <c r="Q75" s="54">
        <f ca="1">IFERROR(__xludf.DUMMYFUNCTION("""COMPUTED_VALUE"""),105)</f>
        <v>105</v>
      </c>
      <c r="R75" s="51">
        <f t="shared" ca="1" si="14"/>
        <v>0.15064562410329985</v>
      </c>
      <c r="S75" s="53"/>
      <c r="T75" s="53"/>
      <c r="U75" s="51" t="str">
        <f t="shared" si="15"/>
        <v/>
      </c>
      <c r="V75" s="53"/>
      <c r="W75" s="51" t="str">
        <f t="shared" si="16"/>
        <v/>
      </c>
      <c r="X75" s="53"/>
      <c r="Y75" s="51" t="str">
        <f t="shared" si="17"/>
        <v/>
      </c>
      <c r="Z75" s="2"/>
      <c r="AA75" s="2"/>
      <c r="AB75" s="2"/>
      <c r="AC75" s="2"/>
      <c r="AD75" s="2"/>
      <c r="AE75" s="2"/>
    </row>
    <row r="76" spans="1:31" ht="12.75" x14ac:dyDescent="0.2">
      <c r="A76" s="53">
        <f ca="1">IFERROR(__xludf.DUMMYFUNCTION("""COMPUTED_VALUE"""),9)</f>
        <v>9</v>
      </c>
      <c r="B76" s="53" t="str">
        <f ca="1">IFERROR(__xludf.DUMMYFUNCTION("""COMPUTED_VALUE"""),"Phan Huy Ích")</f>
        <v>Phan Huy Ích</v>
      </c>
      <c r="C76" s="53" t="str">
        <f ca="1">IFERROR(__xludf.DUMMYFUNCTION("""COMPUTED_VALUE"""),"Tiểu học")</f>
        <v>Tiểu học</v>
      </c>
      <c r="D76" s="53" t="str">
        <f ca="1">IFERROR(__xludf.DUMMYFUNCTION("""COMPUTED_VALUE"""),"TÂN BÌNH")</f>
        <v>TÂN BÌNH</v>
      </c>
      <c r="E76" s="54">
        <f ca="1">IFERROR(__xludf.DUMMYFUNCTION("""COMPUTED_VALUE"""),54)</f>
        <v>54</v>
      </c>
      <c r="F76" s="54">
        <f ca="1">IFERROR(__xludf.DUMMYFUNCTION("""COMPUTED_VALUE"""),54)</f>
        <v>54</v>
      </c>
      <c r="G76" s="51">
        <f t="shared" ca="1" si="9"/>
        <v>1</v>
      </c>
      <c r="H76" s="54">
        <f ca="1">IFERROR(__xludf.DUMMYFUNCTION("""COMPUTED_VALUE"""),54)</f>
        <v>54</v>
      </c>
      <c r="I76" s="51">
        <f t="shared" ca="1" si="10"/>
        <v>1</v>
      </c>
      <c r="J76" s="54">
        <f ca="1">IFERROR(__xludf.DUMMYFUNCTION("""COMPUTED_VALUE"""),36)</f>
        <v>36</v>
      </c>
      <c r="K76" s="51">
        <f t="shared" ca="1" si="11"/>
        <v>0.66666666666666663</v>
      </c>
      <c r="L76" s="54">
        <f ca="1">IFERROR(__xludf.DUMMYFUNCTION("""COMPUTED_VALUE"""),22)</f>
        <v>22</v>
      </c>
      <c r="M76" s="51">
        <f t="shared" ca="1" si="12"/>
        <v>0.40740740740740738</v>
      </c>
      <c r="N76" s="54">
        <f ca="1">IFERROR(__xludf.DUMMYFUNCTION("""COMPUTED_VALUE"""),1325)</f>
        <v>1325</v>
      </c>
      <c r="O76" s="54">
        <f ca="1">IFERROR(__xludf.DUMMYFUNCTION("""COMPUTED_VALUE"""),515)</f>
        <v>515</v>
      </c>
      <c r="P76" s="51">
        <f t="shared" ca="1" si="13"/>
        <v>0.38867924528301889</v>
      </c>
      <c r="Q76" s="54">
        <f ca="1">IFERROR(__xludf.DUMMYFUNCTION("""COMPUTED_VALUE"""),284)</f>
        <v>284</v>
      </c>
      <c r="R76" s="51">
        <f t="shared" ca="1" si="14"/>
        <v>0.21433962264150944</v>
      </c>
      <c r="S76" s="53"/>
      <c r="T76" s="53"/>
      <c r="U76" s="51" t="str">
        <f t="shared" si="15"/>
        <v/>
      </c>
      <c r="V76" s="53"/>
      <c r="W76" s="51" t="str">
        <f t="shared" si="16"/>
        <v/>
      </c>
      <c r="X76" s="53"/>
      <c r="Y76" s="51" t="str">
        <f t="shared" si="17"/>
        <v/>
      </c>
      <c r="Z76" s="2"/>
      <c r="AA76" s="2"/>
      <c r="AB76" s="2"/>
      <c r="AC76" s="2"/>
      <c r="AD76" s="2"/>
      <c r="AE76" s="2"/>
    </row>
    <row r="77" spans="1:31" ht="12.75" x14ac:dyDescent="0.2">
      <c r="A77" s="53">
        <f ca="1">IFERROR(__xludf.DUMMYFUNCTION("""COMPUTED_VALUE"""),10)</f>
        <v>10</v>
      </c>
      <c r="B77" s="53" t="str">
        <f ca="1">IFERROR(__xludf.DUMMYFUNCTION("""COMPUTED_VALUE"""),"Hoàng Văn Thụ")</f>
        <v>Hoàng Văn Thụ</v>
      </c>
      <c r="C77" s="53" t="str">
        <f ca="1">IFERROR(__xludf.DUMMYFUNCTION("""COMPUTED_VALUE"""),"Tiểu học")</f>
        <v>Tiểu học</v>
      </c>
      <c r="D77" s="53" t="str">
        <f ca="1">IFERROR(__xludf.DUMMYFUNCTION("""COMPUTED_VALUE"""),"TÂN BÌNH")</f>
        <v>TÂN BÌNH</v>
      </c>
      <c r="E77" s="54">
        <f ca="1">IFERROR(__xludf.DUMMYFUNCTION("""COMPUTED_VALUE"""),76)</f>
        <v>76</v>
      </c>
      <c r="F77" s="54">
        <f ca="1">IFERROR(__xludf.DUMMYFUNCTION("""COMPUTED_VALUE"""),76)</f>
        <v>76</v>
      </c>
      <c r="G77" s="51">
        <f t="shared" ca="1" si="9"/>
        <v>1</v>
      </c>
      <c r="H77" s="54">
        <f ca="1">IFERROR(__xludf.DUMMYFUNCTION("""COMPUTED_VALUE"""),76)</f>
        <v>76</v>
      </c>
      <c r="I77" s="51">
        <f t="shared" ca="1" si="10"/>
        <v>1</v>
      </c>
      <c r="J77" s="54">
        <f ca="1">IFERROR(__xludf.DUMMYFUNCTION("""COMPUTED_VALUE"""),71)</f>
        <v>71</v>
      </c>
      <c r="K77" s="51">
        <f t="shared" ca="1" si="11"/>
        <v>0.93421052631578949</v>
      </c>
      <c r="L77" s="54">
        <f ca="1">IFERROR(__xludf.DUMMYFUNCTION("""COMPUTED_VALUE"""),32)</f>
        <v>32</v>
      </c>
      <c r="M77" s="51">
        <f t="shared" ca="1" si="12"/>
        <v>0.42105263157894735</v>
      </c>
      <c r="N77" s="54">
        <f ca="1">IFERROR(__xludf.DUMMYFUNCTION("""COMPUTED_VALUE"""),1517)</f>
        <v>1517</v>
      </c>
      <c r="O77" s="54">
        <f ca="1">IFERROR(__xludf.DUMMYFUNCTION("""COMPUTED_VALUE"""),435)</f>
        <v>435</v>
      </c>
      <c r="P77" s="51">
        <f t="shared" ca="1" si="13"/>
        <v>0.28675016479894527</v>
      </c>
      <c r="Q77" s="54">
        <f ca="1">IFERROR(__xludf.DUMMYFUNCTION("""COMPUTED_VALUE"""),362)</f>
        <v>362</v>
      </c>
      <c r="R77" s="51">
        <f t="shared" ca="1" si="14"/>
        <v>0.23862887277521425</v>
      </c>
      <c r="S77" s="53"/>
      <c r="T77" s="53"/>
      <c r="U77" s="51" t="str">
        <f t="shared" si="15"/>
        <v/>
      </c>
      <c r="V77" s="53"/>
      <c r="W77" s="51" t="str">
        <f t="shared" si="16"/>
        <v/>
      </c>
      <c r="X77" s="53"/>
      <c r="Y77" s="51" t="str">
        <f t="shared" si="17"/>
        <v/>
      </c>
      <c r="Z77" s="2"/>
      <c r="AA77" s="2"/>
      <c r="AB77" s="2"/>
      <c r="AC77" s="2"/>
      <c r="AD77" s="2"/>
      <c r="AE77" s="2"/>
    </row>
    <row r="78" spans="1:31" ht="12.75" x14ac:dyDescent="0.2">
      <c r="A78" s="53">
        <f ca="1">IFERROR(__xludf.DUMMYFUNCTION("""COMPUTED_VALUE"""),11)</f>
        <v>11</v>
      </c>
      <c r="B78" s="53" t="str">
        <f ca="1">IFERROR(__xludf.DUMMYFUNCTION("""COMPUTED_VALUE"""),"Nguyễn Văn Kịp")</f>
        <v>Nguyễn Văn Kịp</v>
      </c>
      <c r="C78" s="53" t="str">
        <f ca="1">IFERROR(__xludf.DUMMYFUNCTION("""COMPUTED_VALUE"""),"Tiểu học")</f>
        <v>Tiểu học</v>
      </c>
      <c r="D78" s="53" t="str">
        <f ca="1">IFERROR(__xludf.DUMMYFUNCTION("""COMPUTED_VALUE"""),"TÂN BÌNH")</f>
        <v>TÂN BÌNH</v>
      </c>
      <c r="E78" s="54">
        <f ca="1">IFERROR(__xludf.DUMMYFUNCTION("""COMPUTED_VALUE"""),62)</f>
        <v>62</v>
      </c>
      <c r="F78" s="54">
        <f ca="1">IFERROR(__xludf.DUMMYFUNCTION("""COMPUTED_VALUE"""),62)</f>
        <v>62</v>
      </c>
      <c r="G78" s="51">
        <f t="shared" ca="1" si="9"/>
        <v>1</v>
      </c>
      <c r="H78" s="54">
        <f ca="1">IFERROR(__xludf.DUMMYFUNCTION("""COMPUTED_VALUE"""),62)</f>
        <v>62</v>
      </c>
      <c r="I78" s="51">
        <f t="shared" ca="1" si="10"/>
        <v>1</v>
      </c>
      <c r="J78" s="54">
        <f ca="1">IFERROR(__xludf.DUMMYFUNCTION("""COMPUTED_VALUE"""),60)</f>
        <v>60</v>
      </c>
      <c r="K78" s="51">
        <f t="shared" ca="1" si="11"/>
        <v>0.967741935483871</v>
      </c>
      <c r="L78" s="54">
        <f ca="1">IFERROR(__xludf.DUMMYFUNCTION("""COMPUTED_VALUE"""),36)</f>
        <v>36</v>
      </c>
      <c r="M78" s="51">
        <f t="shared" ca="1" si="12"/>
        <v>0.58064516129032262</v>
      </c>
      <c r="N78" s="54">
        <f ca="1">IFERROR(__xludf.DUMMYFUNCTION("""COMPUTED_VALUE"""),1620)</f>
        <v>1620</v>
      </c>
      <c r="O78" s="54">
        <f ca="1">IFERROR(__xludf.DUMMYFUNCTION("""COMPUTED_VALUE"""),807)</f>
        <v>807</v>
      </c>
      <c r="P78" s="51">
        <f t="shared" ca="1" si="13"/>
        <v>0.49814814814814817</v>
      </c>
      <c r="Q78" s="54">
        <f ca="1">IFERROR(__xludf.DUMMYFUNCTION("""COMPUTED_VALUE"""),417)</f>
        <v>417</v>
      </c>
      <c r="R78" s="51">
        <f t="shared" ca="1" si="14"/>
        <v>0.25740740740740742</v>
      </c>
      <c r="S78" s="53"/>
      <c r="T78" s="53"/>
      <c r="U78" s="51" t="str">
        <f t="shared" si="15"/>
        <v/>
      </c>
      <c r="V78" s="53"/>
      <c r="W78" s="51" t="str">
        <f t="shared" si="16"/>
        <v/>
      </c>
      <c r="X78" s="53"/>
      <c r="Y78" s="51" t="str">
        <f t="shared" si="17"/>
        <v/>
      </c>
      <c r="Z78" s="2"/>
      <c r="AA78" s="2"/>
      <c r="AB78" s="2"/>
      <c r="AC78" s="2"/>
      <c r="AD78" s="2"/>
      <c r="AE78" s="2"/>
    </row>
    <row r="79" spans="1:31" ht="12.75" x14ac:dyDescent="0.2">
      <c r="A79" s="53">
        <f ca="1">IFERROR(__xludf.DUMMYFUNCTION("""COMPUTED_VALUE"""),12)</f>
        <v>12</v>
      </c>
      <c r="B79" s="53" t="str">
        <f ca="1">IFERROR(__xludf.DUMMYFUNCTION("""COMPUTED_VALUE"""),"Yên Thế")</f>
        <v>Yên Thế</v>
      </c>
      <c r="C79" s="53" t="str">
        <f ca="1">IFERROR(__xludf.DUMMYFUNCTION("""COMPUTED_VALUE"""),"Tiểu học")</f>
        <v>Tiểu học</v>
      </c>
      <c r="D79" s="53" t="str">
        <f ca="1">IFERROR(__xludf.DUMMYFUNCTION("""COMPUTED_VALUE"""),"TÂN BÌNH")</f>
        <v>TÂN BÌNH</v>
      </c>
      <c r="E79" s="54">
        <f ca="1">IFERROR(__xludf.DUMMYFUNCTION("""COMPUTED_VALUE"""),85)</f>
        <v>85</v>
      </c>
      <c r="F79" s="54">
        <f ca="1">IFERROR(__xludf.DUMMYFUNCTION("""COMPUTED_VALUE"""),85)</f>
        <v>85</v>
      </c>
      <c r="G79" s="54"/>
      <c r="H79" s="54">
        <f ca="1">IFERROR(__xludf.DUMMYFUNCTION("""COMPUTED_VALUE"""),85)</f>
        <v>85</v>
      </c>
      <c r="I79" s="54"/>
      <c r="J79" s="54">
        <f ca="1">IFERROR(__xludf.DUMMYFUNCTION("""COMPUTED_VALUE"""),85)</f>
        <v>85</v>
      </c>
      <c r="K79" s="54"/>
      <c r="L79" s="54">
        <f ca="1">IFERROR(__xludf.DUMMYFUNCTION("""COMPUTED_VALUE"""),26)</f>
        <v>26</v>
      </c>
      <c r="M79" s="54"/>
      <c r="N79" s="54">
        <f ca="1">IFERROR(__xludf.DUMMYFUNCTION("""COMPUTED_VALUE"""),1387)</f>
        <v>1387</v>
      </c>
      <c r="O79" s="54">
        <f ca="1">IFERROR(__xludf.DUMMYFUNCTION("""COMPUTED_VALUE"""),524)</f>
        <v>524</v>
      </c>
      <c r="P79" s="54"/>
      <c r="Q79" s="54">
        <f ca="1">IFERROR(__xludf.DUMMYFUNCTION("""COMPUTED_VALUE"""),237)</f>
        <v>237</v>
      </c>
      <c r="R79" s="54"/>
      <c r="S79" s="53"/>
      <c r="T79" s="53"/>
      <c r="U79" s="53"/>
      <c r="V79" s="53"/>
      <c r="W79" s="53"/>
      <c r="X79" s="53"/>
      <c r="Y79" s="53"/>
      <c r="Z79" s="2"/>
      <c r="AA79" s="2"/>
      <c r="AB79" s="2"/>
      <c r="AC79" s="2"/>
      <c r="AD79" s="2"/>
      <c r="AE79" s="2"/>
    </row>
    <row r="80" spans="1:31" ht="12.75" x14ac:dyDescent="0.2">
      <c r="A80" s="53">
        <f ca="1">IFERROR(__xludf.DUMMYFUNCTION("""COMPUTED_VALUE"""),13)</f>
        <v>13</v>
      </c>
      <c r="B80" s="53" t="str">
        <f ca="1">IFERROR(__xludf.DUMMYFUNCTION("""COMPUTED_VALUE"""),"Ngọc Hồi")</f>
        <v>Ngọc Hồi</v>
      </c>
      <c r="C80" s="53" t="str">
        <f ca="1">IFERROR(__xludf.DUMMYFUNCTION("""COMPUTED_VALUE"""),"Tiểu học")</f>
        <v>Tiểu học</v>
      </c>
      <c r="D80" s="53" t="str">
        <f ca="1">IFERROR(__xludf.DUMMYFUNCTION("""COMPUTED_VALUE"""),"TÂN BÌNH")</f>
        <v>TÂN BÌNH</v>
      </c>
      <c r="E80" s="54">
        <f ca="1">IFERROR(__xludf.DUMMYFUNCTION("""COMPUTED_VALUE"""),44)</f>
        <v>44</v>
      </c>
      <c r="F80" s="54">
        <f ca="1">IFERROR(__xludf.DUMMYFUNCTION("""COMPUTED_VALUE"""),44)</f>
        <v>44</v>
      </c>
      <c r="G80" s="54"/>
      <c r="H80" s="54">
        <f ca="1">IFERROR(__xludf.DUMMYFUNCTION("""COMPUTED_VALUE"""),44)</f>
        <v>44</v>
      </c>
      <c r="I80" s="54"/>
      <c r="J80" s="54">
        <f ca="1">IFERROR(__xludf.DUMMYFUNCTION("""COMPUTED_VALUE"""),43)</f>
        <v>43</v>
      </c>
      <c r="K80" s="54"/>
      <c r="L80" s="54">
        <f ca="1">IFERROR(__xludf.DUMMYFUNCTION("""COMPUTED_VALUE"""),31)</f>
        <v>31</v>
      </c>
      <c r="M80" s="54"/>
      <c r="N80" s="54">
        <f ca="1">IFERROR(__xludf.DUMMYFUNCTION("""COMPUTED_VALUE"""),939)</f>
        <v>939</v>
      </c>
      <c r="O80" s="54">
        <f ca="1">IFERROR(__xludf.DUMMYFUNCTION("""COMPUTED_VALUE"""),578)</f>
        <v>578</v>
      </c>
      <c r="P80" s="54"/>
      <c r="Q80" s="54">
        <f ca="1">IFERROR(__xludf.DUMMYFUNCTION("""COMPUTED_VALUE"""),256)</f>
        <v>256</v>
      </c>
      <c r="R80" s="54"/>
      <c r="S80" s="53"/>
      <c r="T80" s="53"/>
      <c r="U80" s="53"/>
      <c r="V80" s="53"/>
      <c r="W80" s="53"/>
      <c r="X80" s="53"/>
      <c r="Y80" s="53"/>
      <c r="Z80" s="2"/>
      <c r="AA80" s="2"/>
      <c r="AB80" s="2"/>
      <c r="AC80" s="2"/>
      <c r="AD80" s="2"/>
      <c r="AE80" s="2"/>
    </row>
    <row r="81" spans="1:31" ht="12.75" x14ac:dyDescent="0.2">
      <c r="A81" s="53">
        <f ca="1">IFERROR(__xludf.DUMMYFUNCTION("""COMPUTED_VALUE"""),14)</f>
        <v>14</v>
      </c>
      <c r="B81" s="53" t="str">
        <f ca="1">IFERROR(__xludf.DUMMYFUNCTION("""COMPUTED_VALUE"""),"Cách Mạng Tháng Tám")</f>
        <v>Cách Mạng Tháng Tám</v>
      </c>
      <c r="C81" s="53" t="str">
        <f ca="1">IFERROR(__xludf.DUMMYFUNCTION("""COMPUTED_VALUE"""),"Tiểu học")</f>
        <v>Tiểu học</v>
      </c>
      <c r="D81" s="53" t="str">
        <f ca="1">IFERROR(__xludf.DUMMYFUNCTION("""COMPUTED_VALUE"""),"TÂN BÌNH")</f>
        <v>TÂN BÌNH</v>
      </c>
      <c r="E81" s="54">
        <f ca="1">IFERROR(__xludf.DUMMYFUNCTION("""COMPUTED_VALUE"""),53)</f>
        <v>53</v>
      </c>
      <c r="F81" s="54">
        <f ca="1">IFERROR(__xludf.DUMMYFUNCTION("""COMPUTED_VALUE"""),53)</f>
        <v>53</v>
      </c>
      <c r="G81" s="54"/>
      <c r="H81" s="54">
        <f ca="1">IFERROR(__xludf.DUMMYFUNCTION("""COMPUTED_VALUE"""),53)</f>
        <v>53</v>
      </c>
      <c r="I81" s="54"/>
      <c r="J81" s="54">
        <f ca="1">IFERROR(__xludf.DUMMYFUNCTION("""COMPUTED_VALUE"""),51)</f>
        <v>51</v>
      </c>
      <c r="K81" s="54"/>
      <c r="L81" s="54">
        <f ca="1">IFERROR(__xludf.DUMMYFUNCTION("""COMPUTED_VALUE"""),28)</f>
        <v>28</v>
      </c>
      <c r="M81" s="54"/>
      <c r="N81" s="54">
        <f ca="1">IFERROR(__xludf.DUMMYFUNCTION("""COMPUTED_VALUE"""),847)</f>
        <v>847</v>
      </c>
      <c r="O81" s="54">
        <f ca="1">IFERROR(__xludf.DUMMYFUNCTION("""COMPUTED_VALUE"""),253)</f>
        <v>253</v>
      </c>
      <c r="P81" s="54"/>
      <c r="Q81" s="54">
        <f ca="1">IFERROR(__xludf.DUMMYFUNCTION("""COMPUTED_VALUE"""),49)</f>
        <v>49</v>
      </c>
      <c r="R81" s="54"/>
      <c r="S81" s="53"/>
      <c r="T81" s="53"/>
      <c r="U81" s="53"/>
      <c r="V81" s="53"/>
      <c r="W81" s="53"/>
      <c r="X81" s="53"/>
      <c r="Y81" s="53"/>
      <c r="Z81" s="2"/>
      <c r="AA81" s="2"/>
      <c r="AB81" s="2"/>
      <c r="AC81" s="2"/>
      <c r="AD81" s="2"/>
      <c r="AE81" s="2"/>
    </row>
    <row r="82" spans="1:31" ht="12.75" x14ac:dyDescent="0.2">
      <c r="A82" s="53">
        <f ca="1">IFERROR(__xludf.DUMMYFUNCTION("""COMPUTED_VALUE"""),15)</f>
        <v>15</v>
      </c>
      <c r="B82" s="53" t="str">
        <f ca="1">IFERROR(__xludf.DUMMYFUNCTION("""COMPUTED_VALUE"""),"Lạc Long Quân")</f>
        <v>Lạc Long Quân</v>
      </c>
      <c r="C82" s="53" t="str">
        <f ca="1">IFERROR(__xludf.DUMMYFUNCTION("""COMPUTED_VALUE"""),"Tiểu học")</f>
        <v>Tiểu học</v>
      </c>
      <c r="D82" s="53" t="str">
        <f ca="1">IFERROR(__xludf.DUMMYFUNCTION("""COMPUTED_VALUE"""),"TÂN BÌNH")</f>
        <v>TÂN BÌNH</v>
      </c>
      <c r="E82" s="54">
        <f ca="1">IFERROR(__xludf.DUMMYFUNCTION("""COMPUTED_VALUE"""),35)</f>
        <v>35</v>
      </c>
      <c r="F82" s="54">
        <f ca="1">IFERROR(__xludf.DUMMYFUNCTION("""COMPUTED_VALUE"""),35)</f>
        <v>35</v>
      </c>
      <c r="G82" s="54"/>
      <c r="H82" s="54">
        <f ca="1">IFERROR(__xludf.DUMMYFUNCTION("""COMPUTED_VALUE"""),34)</f>
        <v>34</v>
      </c>
      <c r="I82" s="54"/>
      <c r="J82" s="54">
        <f ca="1">IFERROR(__xludf.DUMMYFUNCTION("""COMPUTED_VALUE"""),33)</f>
        <v>33</v>
      </c>
      <c r="K82" s="54"/>
      <c r="L82" s="54">
        <f ca="1">IFERROR(__xludf.DUMMYFUNCTION("""COMPUTED_VALUE"""),11)</f>
        <v>11</v>
      </c>
      <c r="M82" s="54"/>
      <c r="N82" s="54">
        <f ca="1">IFERROR(__xludf.DUMMYFUNCTION("""COMPUTED_VALUE"""),519)</f>
        <v>519</v>
      </c>
      <c r="O82" s="54">
        <f ca="1">IFERROR(__xludf.DUMMYFUNCTION("""COMPUTED_VALUE"""),223)</f>
        <v>223</v>
      </c>
      <c r="P82" s="54"/>
      <c r="Q82" s="54">
        <f ca="1">IFERROR(__xludf.DUMMYFUNCTION("""COMPUTED_VALUE"""),75)</f>
        <v>75</v>
      </c>
      <c r="R82" s="54"/>
      <c r="S82" s="53"/>
      <c r="T82" s="53"/>
      <c r="U82" s="53"/>
      <c r="V82" s="53"/>
      <c r="W82" s="53"/>
      <c r="X82" s="53"/>
      <c r="Y82" s="53"/>
      <c r="Z82" s="2"/>
      <c r="AA82" s="2"/>
      <c r="AB82" s="2"/>
      <c r="AC82" s="2"/>
      <c r="AD82" s="2"/>
      <c r="AE82" s="2"/>
    </row>
    <row r="83" spans="1:31" ht="12.75" x14ac:dyDescent="0.2">
      <c r="A83" s="53">
        <f ca="1">IFERROR(__xludf.DUMMYFUNCTION("""COMPUTED_VALUE"""),39)</f>
        <v>39</v>
      </c>
      <c r="B83" s="53" t="str">
        <f ca="1">IFERROR(__xludf.DUMMYFUNCTION("""COMPUTED_VALUE"""),"Nguyễn Khuyến")</f>
        <v>Nguyễn Khuyến</v>
      </c>
      <c r="C83" s="53" t="str">
        <f ca="1">IFERROR(__xludf.DUMMYFUNCTION("""COMPUTED_VALUE"""),"Tiểu học")</f>
        <v>Tiểu học</v>
      </c>
      <c r="D83" s="53" t="str">
        <f ca="1">IFERROR(__xludf.DUMMYFUNCTION("""COMPUTED_VALUE"""),"TÂN BÌNH")</f>
        <v>TÂN BÌNH</v>
      </c>
      <c r="E83" s="54">
        <f ca="1">IFERROR(__xludf.DUMMYFUNCTION("""COMPUTED_VALUE"""),50)</f>
        <v>50</v>
      </c>
      <c r="F83" s="54">
        <f ca="1">IFERROR(__xludf.DUMMYFUNCTION("""COMPUTED_VALUE"""),50)</f>
        <v>50</v>
      </c>
      <c r="G83" s="54"/>
      <c r="H83" s="54">
        <f ca="1">IFERROR(__xludf.DUMMYFUNCTION("""COMPUTED_VALUE"""),50)</f>
        <v>50</v>
      </c>
      <c r="I83" s="54"/>
      <c r="J83" s="54">
        <f ca="1">IFERROR(__xludf.DUMMYFUNCTION("""COMPUTED_VALUE"""),45)</f>
        <v>45</v>
      </c>
      <c r="K83" s="54"/>
      <c r="L83" s="54">
        <f ca="1">IFERROR(__xludf.DUMMYFUNCTION("""COMPUTED_VALUE"""),17)</f>
        <v>17</v>
      </c>
      <c r="M83" s="54"/>
      <c r="N83" s="54">
        <f ca="1">IFERROR(__xludf.DUMMYFUNCTION("""COMPUTED_VALUE"""),1125)</f>
        <v>1125</v>
      </c>
      <c r="O83" s="54">
        <f ca="1">IFERROR(__xludf.DUMMYFUNCTION("""COMPUTED_VALUE"""),445)</f>
        <v>445</v>
      </c>
      <c r="P83" s="54"/>
      <c r="Q83" s="54">
        <f ca="1">IFERROR(__xludf.DUMMYFUNCTION("""COMPUTED_VALUE"""),137)</f>
        <v>137</v>
      </c>
      <c r="R83" s="54"/>
      <c r="S83" s="53"/>
      <c r="T83" s="53"/>
      <c r="U83" s="53"/>
      <c r="V83" s="53"/>
      <c r="W83" s="53"/>
      <c r="X83" s="53"/>
      <c r="Y83" s="53"/>
      <c r="Z83" s="2"/>
      <c r="AA83" s="2"/>
      <c r="AB83" s="2"/>
      <c r="AC83" s="2"/>
      <c r="AD83" s="2"/>
      <c r="AE83" s="2"/>
    </row>
    <row r="84" spans="1:31" ht="12.75" x14ac:dyDescent="0.2">
      <c r="A84" s="53">
        <f ca="1">IFERROR(__xludf.DUMMYFUNCTION("""COMPUTED_VALUE"""),17)</f>
        <v>17</v>
      </c>
      <c r="B84" s="53" t="str">
        <f ca="1">IFERROR(__xludf.DUMMYFUNCTION("""COMPUTED_VALUE"""),"Nguyễn Văn Trỗi")</f>
        <v>Nguyễn Văn Trỗi</v>
      </c>
      <c r="C84" s="53" t="str">
        <f ca="1">IFERROR(__xludf.DUMMYFUNCTION("""COMPUTED_VALUE"""),"Tiểu học")</f>
        <v>Tiểu học</v>
      </c>
      <c r="D84" s="53" t="str">
        <f ca="1">IFERROR(__xludf.DUMMYFUNCTION("""COMPUTED_VALUE"""),"TÂN BÌNH")</f>
        <v>TÂN BÌNH</v>
      </c>
      <c r="E84" s="54">
        <f ca="1">IFERROR(__xludf.DUMMYFUNCTION("""COMPUTED_VALUE"""),70)</f>
        <v>70</v>
      </c>
      <c r="F84" s="54">
        <f ca="1">IFERROR(__xludf.DUMMYFUNCTION("""COMPUTED_VALUE"""),70)</f>
        <v>70</v>
      </c>
      <c r="G84" s="54"/>
      <c r="H84" s="54">
        <f ca="1">IFERROR(__xludf.DUMMYFUNCTION("""COMPUTED_VALUE"""),70)</f>
        <v>70</v>
      </c>
      <c r="I84" s="54"/>
      <c r="J84" s="54">
        <f ca="1">IFERROR(__xludf.DUMMYFUNCTION("""COMPUTED_VALUE"""),70)</f>
        <v>70</v>
      </c>
      <c r="K84" s="54"/>
      <c r="L84" s="54">
        <f ca="1">IFERROR(__xludf.DUMMYFUNCTION("""COMPUTED_VALUE"""),20)</f>
        <v>20</v>
      </c>
      <c r="M84" s="54"/>
      <c r="N84" s="54">
        <f ca="1">IFERROR(__xludf.DUMMYFUNCTION("""COMPUTED_VALUE"""),1664)</f>
        <v>1664</v>
      </c>
      <c r="O84" s="54">
        <f ca="1">IFERROR(__xludf.DUMMYFUNCTION("""COMPUTED_VALUE"""),649)</f>
        <v>649</v>
      </c>
      <c r="P84" s="54"/>
      <c r="Q84" s="54">
        <f ca="1">IFERROR(__xludf.DUMMYFUNCTION("""COMPUTED_VALUE"""),340)</f>
        <v>340</v>
      </c>
      <c r="R84" s="54"/>
      <c r="S84" s="53"/>
      <c r="T84" s="53"/>
      <c r="U84" s="53"/>
      <c r="V84" s="53"/>
      <c r="W84" s="53"/>
      <c r="X84" s="53"/>
      <c r="Y84" s="53"/>
      <c r="Z84" s="2"/>
      <c r="AA84" s="2"/>
      <c r="AB84" s="2"/>
      <c r="AC84" s="2"/>
      <c r="AD84" s="2"/>
      <c r="AE84" s="2"/>
    </row>
    <row r="85" spans="1:31" ht="12.75" x14ac:dyDescent="0.2">
      <c r="A85" s="53">
        <f ca="1">IFERROR(__xludf.DUMMYFUNCTION("""COMPUTED_VALUE"""),18)</f>
        <v>18</v>
      </c>
      <c r="B85" s="53" t="str">
        <f ca="1">IFERROR(__xludf.DUMMYFUNCTION("""COMPUTED_VALUE"""),"Chi Lăng")</f>
        <v>Chi Lăng</v>
      </c>
      <c r="C85" s="53" t="str">
        <f ca="1">IFERROR(__xludf.DUMMYFUNCTION("""COMPUTED_VALUE"""),"Tiểu học")</f>
        <v>Tiểu học</v>
      </c>
      <c r="D85" s="53" t="str">
        <f ca="1">IFERROR(__xludf.DUMMYFUNCTION("""COMPUTED_VALUE"""),"TÂN BÌNH")</f>
        <v>TÂN BÌNH</v>
      </c>
      <c r="E85" s="54">
        <f ca="1">IFERROR(__xludf.DUMMYFUNCTION("""COMPUTED_VALUE"""),42)</f>
        <v>42</v>
      </c>
      <c r="F85" s="54">
        <f ca="1">IFERROR(__xludf.DUMMYFUNCTION("""COMPUTED_VALUE"""),42)</f>
        <v>42</v>
      </c>
      <c r="G85" s="54"/>
      <c r="H85" s="54">
        <f ca="1">IFERROR(__xludf.DUMMYFUNCTION("""COMPUTED_VALUE"""),42)</f>
        <v>42</v>
      </c>
      <c r="I85" s="54"/>
      <c r="J85" s="54">
        <f ca="1">IFERROR(__xludf.DUMMYFUNCTION("""COMPUTED_VALUE"""),42)</f>
        <v>42</v>
      </c>
      <c r="K85" s="54"/>
      <c r="L85" s="54">
        <f ca="1">IFERROR(__xludf.DUMMYFUNCTION("""COMPUTED_VALUE"""),3)</f>
        <v>3</v>
      </c>
      <c r="M85" s="54"/>
      <c r="N85" s="54">
        <f ca="1">IFERROR(__xludf.DUMMYFUNCTION("""COMPUTED_VALUE"""),511)</f>
        <v>511</v>
      </c>
      <c r="O85" s="54">
        <f ca="1">IFERROR(__xludf.DUMMYFUNCTION("""COMPUTED_VALUE"""),237)</f>
        <v>237</v>
      </c>
      <c r="P85" s="54"/>
      <c r="Q85" s="54">
        <f ca="1">IFERROR(__xludf.DUMMYFUNCTION("""COMPUTED_VALUE"""),97)</f>
        <v>97</v>
      </c>
      <c r="R85" s="54"/>
      <c r="S85" s="53"/>
      <c r="T85" s="53"/>
      <c r="U85" s="53"/>
      <c r="V85" s="53"/>
      <c r="W85" s="53"/>
      <c r="X85" s="53"/>
      <c r="Y85" s="53"/>
      <c r="Z85" s="2"/>
      <c r="AA85" s="2"/>
      <c r="AB85" s="2"/>
      <c r="AC85" s="2"/>
      <c r="AD85" s="2"/>
      <c r="AE85" s="2"/>
    </row>
    <row r="86" spans="1:31" ht="12.75" x14ac:dyDescent="0.2">
      <c r="A86" s="53">
        <f ca="1">IFERROR(__xludf.DUMMYFUNCTION("""COMPUTED_VALUE"""),19)</f>
        <v>19</v>
      </c>
      <c r="B86" s="53" t="str">
        <f ca="1">IFERROR(__xludf.DUMMYFUNCTION("""COMPUTED_VALUE"""),"Đống Đa")</f>
        <v>Đống Đa</v>
      </c>
      <c r="C86" s="53" t="str">
        <f ca="1">IFERROR(__xludf.DUMMYFUNCTION("""COMPUTED_VALUE"""),"Tiểu học")</f>
        <v>Tiểu học</v>
      </c>
      <c r="D86" s="53" t="str">
        <f ca="1">IFERROR(__xludf.DUMMYFUNCTION("""COMPUTED_VALUE"""),"TÂN BÌNH")</f>
        <v>TÂN BÌNH</v>
      </c>
      <c r="E86" s="54">
        <f ca="1">IFERROR(__xludf.DUMMYFUNCTION("""COMPUTED_VALUE"""),53)</f>
        <v>53</v>
      </c>
      <c r="F86" s="54">
        <f ca="1">IFERROR(__xludf.DUMMYFUNCTION("""COMPUTED_VALUE"""),53)</f>
        <v>53</v>
      </c>
      <c r="G86" s="54"/>
      <c r="H86" s="54">
        <f ca="1">IFERROR(__xludf.DUMMYFUNCTION("""COMPUTED_VALUE"""),53)</f>
        <v>53</v>
      </c>
      <c r="I86" s="54"/>
      <c r="J86" s="54">
        <f ca="1">IFERROR(__xludf.DUMMYFUNCTION("""COMPUTED_VALUE"""),52)</f>
        <v>52</v>
      </c>
      <c r="K86" s="54"/>
      <c r="L86" s="54">
        <f ca="1">IFERROR(__xludf.DUMMYFUNCTION("""COMPUTED_VALUE"""),32)</f>
        <v>32</v>
      </c>
      <c r="M86" s="54"/>
      <c r="N86" s="54">
        <f ca="1">IFERROR(__xludf.DUMMYFUNCTION("""COMPUTED_VALUE"""),835)</f>
        <v>835</v>
      </c>
      <c r="O86" s="54">
        <f ca="1">IFERROR(__xludf.DUMMYFUNCTION("""COMPUTED_VALUE"""),310)</f>
        <v>310</v>
      </c>
      <c r="P86" s="54"/>
      <c r="Q86" s="54">
        <f ca="1">IFERROR(__xludf.DUMMYFUNCTION("""COMPUTED_VALUE"""),136)</f>
        <v>136</v>
      </c>
      <c r="R86" s="54"/>
      <c r="S86" s="53"/>
      <c r="T86" s="53"/>
      <c r="U86" s="53"/>
      <c r="V86" s="53"/>
      <c r="W86" s="53"/>
      <c r="X86" s="53"/>
      <c r="Y86" s="53"/>
      <c r="Z86" s="2"/>
      <c r="AA86" s="2"/>
      <c r="AB86" s="2"/>
      <c r="AC86" s="2"/>
      <c r="AD86" s="2"/>
      <c r="AE86" s="2"/>
    </row>
    <row r="87" spans="1:31" ht="12.75" x14ac:dyDescent="0.2">
      <c r="A87" s="53">
        <f ca="1">IFERROR(__xludf.DUMMYFUNCTION("""COMPUTED_VALUE"""),20)</f>
        <v>20</v>
      </c>
      <c r="B87" s="53" t="str">
        <f ca="1">IFERROR(__xludf.DUMMYFUNCTION("""COMPUTED_VALUE"""),"Bình Giã")</f>
        <v>Bình Giã</v>
      </c>
      <c r="C87" s="53" t="str">
        <f ca="1">IFERROR(__xludf.DUMMYFUNCTION("""COMPUTED_VALUE"""),"Tiểu học")</f>
        <v>Tiểu học</v>
      </c>
      <c r="D87" s="53" t="str">
        <f ca="1">IFERROR(__xludf.DUMMYFUNCTION("""COMPUTED_VALUE"""),"TÂN BÌNH")</f>
        <v>TÂN BÌNH</v>
      </c>
      <c r="E87" s="54">
        <f ca="1">IFERROR(__xludf.DUMMYFUNCTION("""COMPUTED_VALUE"""),35)</f>
        <v>35</v>
      </c>
      <c r="F87" s="54">
        <f ca="1">IFERROR(__xludf.DUMMYFUNCTION("""COMPUTED_VALUE"""),35)</f>
        <v>35</v>
      </c>
      <c r="G87" s="54"/>
      <c r="H87" s="54">
        <f ca="1">IFERROR(__xludf.DUMMYFUNCTION("""COMPUTED_VALUE"""),35)</f>
        <v>35</v>
      </c>
      <c r="I87" s="54"/>
      <c r="J87" s="54">
        <f ca="1">IFERROR(__xludf.DUMMYFUNCTION("""COMPUTED_VALUE"""),19)</f>
        <v>19</v>
      </c>
      <c r="K87" s="54"/>
      <c r="L87" s="54">
        <f ca="1">IFERROR(__xludf.DUMMYFUNCTION("""COMPUTED_VALUE"""),15)</f>
        <v>15</v>
      </c>
      <c r="M87" s="54"/>
      <c r="N87" s="54">
        <f ca="1">IFERROR(__xludf.DUMMYFUNCTION("""COMPUTED_VALUE"""),551)</f>
        <v>551</v>
      </c>
      <c r="O87" s="54">
        <f ca="1">IFERROR(__xludf.DUMMYFUNCTION("""COMPUTED_VALUE"""),288)</f>
        <v>288</v>
      </c>
      <c r="P87" s="54"/>
      <c r="Q87" s="54">
        <f ca="1">IFERROR(__xludf.DUMMYFUNCTION("""COMPUTED_VALUE"""),134)</f>
        <v>134</v>
      </c>
      <c r="R87" s="54"/>
      <c r="S87" s="53"/>
      <c r="T87" s="53"/>
      <c r="U87" s="53"/>
      <c r="V87" s="53"/>
      <c r="W87" s="53"/>
      <c r="X87" s="53"/>
      <c r="Y87" s="53"/>
      <c r="Z87" s="2"/>
      <c r="AA87" s="2"/>
      <c r="AB87" s="2"/>
      <c r="AC87" s="2"/>
      <c r="AD87" s="2"/>
      <c r="AE87" s="2"/>
    </row>
    <row r="88" spans="1:31" ht="12.75" x14ac:dyDescent="0.2">
      <c r="A88" s="53">
        <f ca="1">IFERROR(__xludf.DUMMYFUNCTION("""COMPUTED_VALUE"""),21)</f>
        <v>21</v>
      </c>
      <c r="B88" s="53" t="str">
        <f ca="1">IFERROR(__xludf.DUMMYFUNCTION("""COMPUTED_VALUE"""),"Sơn Cang")</f>
        <v>Sơn Cang</v>
      </c>
      <c r="C88" s="53" t="str">
        <f ca="1">IFERROR(__xludf.DUMMYFUNCTION("""COMPUTED_VALUE"""),"Tiểu học")</f>
        <v>Tiểu học</v>
      </c>
      <c r="D88" s="53" t="str">
        <f ca="1">IFERROR(__xludf.DUMMYFUNCTION("""COMPUTED_VALUE"""),"TÂN BÌNH")</f>
        <v>TÂN BÌNH</v>
      </c>
      <c r="E88" s="54">
        <f ca="1">IFERROR(__xludf.DUMMYFUNCTION("""COMPUTED_VALUE"""),62)</f>
        <v>62</v>
      </c>
      <c r="F88" s="54">
        <f ca="1">IFERROR(__xludf.DUMMYFUNCTION("""COMPUTED_VALUE"""),62)</f>
        <v>62</v>
      </c>
      <c r="G88" s="54"/>
      <c r="H88" s="54">
        <f ca="1">IFERROR(__xludf.DUMMYFUNCTION("""COMPUTED_VALUE"""),62)</f>
        <v>62</v>
      </c>
      <c r="I88" s="54"/>
      <c r="J88" s="54">
        <f ca="1">IFERROR(__xludf.DUMMYFUNCTION("""COMPUTED_VALUE"""),59)</f>
        <v>59</v>
      </c>
      <c r="K88" s="54"/>
      <c r="L88" s="54">
        <f ca="1">IFERROR(__xludf.DUMMYFUNCTION("""COMPUTED_VALUE"""),24)</f>
        <v>24</v>
      </c>
      <c r="M88" s="54"/>
      <c r="N88" s="54">
        <f ca="1">IFERROR(__xludf.DUMMYFUNCTION("""COMPUTED_VALUE"""),952)</f>
        <v>952</v>
      </c>
      <c r="O88" s="54">
        <f ca="1">IFERROR(__xludf.DUMMYFUNCTION("""COMPUTED_VALUE"""),424)</f>
        <v>424</v>
      </c>
      <c r="P88" s="54"/>
      <c r="Q88" s="54">
        <f ca="1">IFERROR(__xludf.DUMMYFUNCTION("""COMPUTED_VALUE"""),183)</f>
        <v>183</v>
      </c>
      <c r="R88" s="54"/>
      <c r="S88" s="53"/>
      <c r="T88" s="53"/>
      <c r="U88" s="53"/>
      <c r="V88" s="53"/>
      <c r="W88" s="53"/>
      <c r="X88" s="53"/>
      <c r="Y88" s="53"/>
      <c r="Z88" s="2"/>
      <c r="AA88" s="2"/>
      <c r="AB88" s="2"/>
      <c r="AC88" s="2"/>
      <c r="AD88" s="2"/>
      <c r="AE88" s="2"/>
    </row>
    <row r="89" spans="1:31" ht="12.75" x14ac:dyDescent="0.2">
      <c r="A89" s="53">
        <f ca="1">IFERROR(__xludf.DUMMYFUNCTION("""COMPUTED_VALUE"""),22)</f>
        <v>22</v>
      </c>
      <c r="B89" s="53" t="str">
        <f ca="1">IFERROR(__xludf.DUMMYFUNCTION("""COMPUTED_VALUE"""),"Trần Quốc Toản")</f>
        <v>Trần Quốc Toản</v>
      </c>
      <c r="C89" s="53" t="str">
        <f ca="1">IFERROR(__xludf.DUMMYFUNCTION("""COMPUTED_VALUE"""),"Tiểu học")</f>
        <v>Tiểu học</v>
      </c>
      <c r="D89" s="53" t="str">
        <f ca="1">IFERROR(__xludf.DUMMYFUNCTION("""COMPUTED_VALUE"""),"TÂN BÌNH")</f>
        <v>TÂN BÌNH</v>
      </c>
      <c r="E89" s="54">
        <f ca="1">IFERROR(__xludf.DUMMYFUNCTION("""COMPUTED_VALUE"""),71)</f>
        <v>71</v>
      </c>
      <c r="F89" s="54">
        <f ca="1">IFERROR(__xludf.DUMMYFUNCTION("""COMPUTED_VALUE"""),71)</f>
        <v>71</v>
      </c>
      <c r="G89" s="54"/>
      <c r="H89" s="54">
        <f ca="1">IFERROR(__xludf.DUMMYFUNCTION("""COMPUTED_VALUE"""),71)</f>
        <v>71</v>
      </c>
      <c r="I89" s="54"/>
      <c r="J89" s="54">
        <f ca="1">IFERROR(__xludf.DUMMYFUNCTION("""COMPUTED_VALUE"""),71)</f>
        <v>71</v>
      </c>
      <c r="K89" s="54"/>
      <c r="L89" s="54">
        <f ca="1">IFERROR(__xludf.DUMMYFUNCTION("""COMPUTED_VALUE"""),15)</f>
        <v>15</v>
      </c>
      <c r="M89" s="54"/>
      <c r="N89" s="54">
        <f ca="1">IFERROR(__xludf.DUMMYFUNCTION("""COMPUTED_VALUE"""),1795)</f>
        <v>1795</v>
      </c>
      <c r="O89" s="54">
        <f ca="1">IFERROR(__xludf.DUMMYFUNCTION("""COMPUTED_VALUE"""),676)</f>
        <v>676</v>
      </c>
      <c r="P89" s="54"/>
      <c r="Q89" s="54">
        <f ca="1">IFERROR(__xludf.DUMMYFUNCTION("""COMPUTED_VALUE"""),294)</f>
        <v>294</v>
      </c>
      <c r="R89" s="54"/>
      <c r="S89" s="53"/>
      <c r="T89" s="53"/>
      <c r="U89" s="53"/>
      <c r="V89" s="53"/>
      <c r="W89" s="53"/>
      <c r="X89" s="53"/>
      <c r="Y89" s="53"/>
      <c r="Z89" s="2"/>
      <c r="AA89" s="2"/>
      <c r="AB89" s="2"/>
      <c r="AC89" s="2"/>
      <c r="AD89" s="2"/>
      <c r="AE89" s="2"/>
    </row>
    <row r="90" spans="1:31" ht="12.75" x14ac:dyDescent="0.2">
      <c r="A90" s="53">
        <f ca="1">IFERROR(__xludf.DUMMYFUNCTION("""COMPUTED_VALUE"""),23)</f>
        <v>23</v>
      </c>
      <c r="B90" s="53" t="str">
        <f ca="1">IFERROR(__xludf.DUMMYFUNCTION("""COMPUTED_VALUE"""),"Bành Văn Trân")</f>
        <v>Bành Văn Trân</v>
      </c>
      <c r="C90" s="53" t="str">
        <f ca="1">IFERROR(__xludf.DUMMYFUNCTION("""COMPUTED_VALUE"""),"Tiểu học")</f>
        <v>Tiểu học</v>
      </c>
      <c r="D90" s="53" t="str">
        <f ca="1">IFERROR(__xludf.DUMMYFUNCTION("""COMPUTED_VALUE"""),"TÂN BÌNH")</f>
        <v>TÂN BÌNH</v>
      </c>
      <c r="E90" s="54">
        <f ca="1">IFERROR(__xludf.DUMMYFUNCTION("""COMPUTED_VALUE"""),95)</f>
        <v>95</v>
      </c>
      <c r="F90" s="54">
        <f ca="1">IFERROR(__xludf.DUMMYFUNCTION("""COMPUTED_VALUE"""),95)</f>
        <v>95</v>
      </c>
      <c r="G90" s="54"/>
      <c r="H90" s="54">
        <f ca="1">IFERROR(__xludf.DUMMYFUNCTION("""COMPUTED_VALUE"""),95)</f>
        <v>95</v>
      </c>
      <c r="I90" s="54"/>
      <c r="J90" s="54">
        <f ca="1">IFERROR(__xludf.DUMMYFUNCTION("""COMPUTED_VALUE"""),93)</f>
        <v>93</v>
      </c>
      <c r="K90" s="54"/>
      <c r="L90" s="54">
        <f ca="1">IFERROR(__xludf.DUMMYFUNCTION("""COMPUTED_VALUE"""),32)</f>
        <v>32</v>
      </c>
      <c r="M90" s="54"/>
      <c r="N90" s="54">
        <f ca="1">IFERROR(__xludf.DUMMYFUNCTION("""COMPUTED_VALUE"""),1546)</f>
        <v>1546</v>
      </c>
      <c r="O90" s="54">
        <f ca="1">IFERROR(__xludf.DUMMYFUNCTION("""COMPUTED_VALUE"""),666)</f>
        <v>666</v>
      </c>
      <c r="P90" s="54"/>
      <c r="Q90" s="54">
        <f ca="1">IFERROR(__xludf.DUMMYFUNCTION("""COMPUTED_VALUE"""),321)</f>
        <v>321</v>
      </c>
      <c r="R90" s="54"/>
      <c r="S90" s="53"/>
      <c r="T90" s="53"/>
      <c r="U90" s="53"/>
      <c r="V90" s="53"/>
      <c r="W90" s="53"/>
      <c r="X90" s="53"/>
      <c r="Y90" s="53"/>
      <c r="Z90" s="2"/>
      <c r="AA90" s="2"/>
      <c r="AB90" s="2"/>
      <c r="AC90" s="2"/>
      <c r="AD90" s="2"/>
      <c r="AE90" s="2"/>
    </row>
    <row r="91" spans="1:31" ht="12.75" x14ac:dyDescent="0.2">
      <c r="A91" s="53">
        <f ca="1">IFERROR(__xludf.DUMMYFUNCTION("""COMPUTED_VALUE"""),24)</f>
        <v>24</v>
      </c>
      <c r="B91" s="53" t="str">
        <f ca="1">IFERROR(__xludf.DUMMYFUNCTION("""COMPUTED_VALUE"""),"Nguyễn Thanh Tuyền")</f>
        <v>Nguyễn Thanh Tuyền</v>
      </c>
      <c r="C91" s="53" t="str">
        <f ca="1">IFERROR(__xludf.DUMMYFUNCTION("""COMPUTED_VALUE"""),"Tiểu học")</f>
        <v>Tiểu học</v>
      </c>
      <c r="D91" s="53" t="str">
        <f ca="1">IFERROR(__xludf.DUMMYFUNCTION("""COMPUTED_VALUE"""),"TÂN BÌNH")</f>
        <v>TÂN BÌNH</v>
      </c>
      <c r="E91" s="54">
        <f ca="1">IFERROR(__xludf.DUMMYFUNCTION("""COMPUTED_VALUE"""),83)</f>
        <v>83</v>
      </c>
      <c r="F91" s="54">
        <f ca="1">IFERROR(__xludf.DUMMYFUNCTION("""COMPUTED_VALUE"""),83)</f>
        <v>83</v>
      </c>
      <c r="G91" s="54"/>
      <c r="H91" s="54">
        <f ca="1">IFERROR(__xludf.DUMMYFUNCTION("""COMPUTED_VALUE"""),83)</f>
        <v>83</v>
      </c>
      <c r="I91" s="54"/>
      <c r="J91" s="54">
        <f ca="1">IFERROR(__xludf.DUMMYFUNCTION("""COMPUTED_VALUE"""),82)</f>
        <v>82</v>
      </c>
      <c r="K91" s="54"/>
      <c r="L91" s="54">
        <f ca="1">IFERROR(__xludf.DUMMYFUNCTION("""COMPUTED_VALUE"""),49)</f>
        <v>49</v>
      </c>
      <c r="M91" s="54"/>
      <c r="N91" s="54">
        <f ca="1">IFERROR(__xludf.DUMMYFUNCTION("""COMPUTED_VALUE"""),1224)</f>
        <v>1224</v>
      </c>
      <c r="O91" s="54">
        <f ca="1">IFERROR(__xludf.DUMMYFUNCTION("""COMPUTED_VALUE"""),547)</f>
        <v>547</v>
      </c>
      <c r="P91" s="54"/>
      <c r="Q91" s="53">
        <f ca="1">IFERROR(__xludf.DUMMYFUNCTION("""COMPUTED_VALUE"""),211)</f>
        <v>211</v>
      </c>
      <c r="R91" s="53"/>
      <c r="S91" s="53"/>
      <c r="T91" s="53"/>
      <c r="U91" s="53"/>
      <c r="V91" s="53"/>
      <c r="W91" s="53"/>
      <c r="X91" s="53"/>
      <c r="Y91" s="53"/>
      <c r="Z91" s="2"/>
      <c r="AA91" s="2"/>
      <c r="AB91" s="2"/>
      <c r="AC91" s="2"/>
      <c r="AD91" s="2"/>
      <c r="AE91" s="2"/>
    </row>
    <row r="92" spans="1:31" ht="12.75" x14ac:dyDescent="0.2">
      <c r="A92" s="53">
        <f ca="1">IFERROR(__xludf.DUMMYFUNCTION("""COMPUTED_VALUE"""),25)</f>
        <v>25</v>
      </c>
      <c r="B92" s="53" t="str">
        <f ca="1">IFERROR(__xludf.DUMMYFUNCTION("""COMPUTED_VALUE"""),"Bạch Đằng")</f>
        <v>Bạch Đằng</v>
      </c>
      <c r="C92" s="53" t="str">
        <f ca="1">IFERROR(__xludf.DUMMYFUNCTION("""COMPUTED_VALUE"""),"Tiểu học")</f>
        <v>Tiểu học</v>
      </c>
      <c r="D92" s="53" t="str">
        <f ca="1">IFERROR(__xludf.DUMMYFUNCTION("""COMPUTED_VALUE"""),"TÂN BÌNH")</f>
        <v>TÂN BÌNH</v>
      </c>
      <c r="E92" s="54">
        <f ca="1">IFERROR(__xludf.DUMMYFUNCTION("""COMPUTED_VALUE"""),30)</f>
        <v>30</v>
      </c>
      <c r="F92" s="54">
        <f ca="1">IFERROR(__xludf.DUMMYFUNCTION("""COMPUTED_VALUE"""),30)</f>
        <v>30</v>
      </c>
      <c r="G92" s="54"/>
      <c r="H92" s="54">
        <f ca="1">IFERROR(__xludf.DUMMYFUNCTION("""COMPUTED_VALUE"""),30)</f>
        <v>30</v>
      </c>
      <c r="I92" s="54"/>
      <c r="J92" s="54">
        <f ca="1">IFERROR(__xludf.DUMMYFUNCTION("""COMPUTED_VALUE"""),28)</f>
        <v>28</v>
      </c>
      <c r="K92" s="54"/>
      <c r="L92" s="54">
        <f ca="1">IFERROR(__xludf.DUMMYFUNCTION("""COMPUTED_VALUE"""),5)</f>
        <v>5</v>
      </c>
      <c r="M92" s="54"/>
      <c r="N92" s="54">
        <f ca="1">IFERROR(__xludf.DUMMYFUNCTION("""COMPUTED_VALUE"""),498)</f>
        <v>498</v>
      </c>
      <c r="O92" s="54">
        <f ca="1">IFERROR(__xludf.DUMMYFUNCTION("""COMPUTED_VALUE"""),179)</f>
        <v>179</v>
      </c>
      <c r="P92" s="54"/>
      <c r="Q92" s="53">
        <f ca="1">IFERROR(__xludf.DUMMYFUNCTION("""COMPUTED_VALUE"""),106)</f>
        <v>106</v>
      </c>
      <c r="R92" s="53"/>
      <c r="S92" s="53"/>
      <c r="T92" s="53"/>
      <c r="U92" s="53"/>
      <c r="V92" s="53"/>
      <c r="W92" s="53"/>
      <c r="X92" s="53"/>
      <c r="Y92" s="53"/>
      <c r="Z92" s="2"/>
      <c r="AA92" s="2"/>
      <c r="AB92" s="2"/>
      <c r="AC92" s="2"/>
      <c r="AD92" s="2"/>
      <c r="AE92" s="2"/>
    </row>
    <row r="93" spans="1:31" ht="12.75" x14ac:dyDescent="0.2">
      <c r="A93" s="53">
        <f ca="1">IFERROR(__xludf.DUMMYFUNCTION("""COMPUTED_VALUE"""),26)</f>
        <v>26</v>
      </c>
      <c r="B93" s="53" t="str">
        <f ca="1">IFERROR(__xludf.DUMMYFUNCTION("""COMPUTED_VALUE"""),"Tân Sơn Nhất")</f>
        <v>Tân Sơn Nhất</v>
      </c>
      <c r="C93" s="53" t="str">
        <f ca="1">IFERROR(__xludf.DUMMYFUNCTION("""COMPUTED_VALUE"""),"Tiểu học")</f>
        <v>Tiểu học</v>
      </c>
      <c r="D93" s="53" t="str">
        <f ca="1">IFERROR(__xludf.DUMMYFUNCTION("""COMPUTED_VALUE"""),"TÂN BÌNH")</f>
        <v>TÂN BÌNH</v>
      </c>
      <c r="E93" s="54">
        <f ca="1">IFERROR(__xludf.DUMMYFUNCTION("""COMPUTED_VALUE"""),39)</f>
        <v>39</v>
      </c>
      <c r="F93" s="54">
        <f ca="1">IFERROR(__xludf.DUMMYFUNCTION("""COMPUTED_VALUE"""),39)</f>
        <v>39</v>
      </c>
      <c r="G93" s="54"/>
      <c r="H93" s="54">
        <f ca="1">IFERROR(__xludf.DUMMYFUNCTION("""COMPUTED_VALUE"""),39)</f>
        <v>39</v>
      </c>
      <c r="I93" s="54"/>
      <c r="J93" s="54">
        <f ca="1">IFERROR(__xludf.DUMMYFUNCTION("""COMPUTED_VALUE"""),35)</f>
        <v>35</v>
      </c>
      <c r="K93" s="54"/>
      <c r="L93" s="54">
        <f ca="1">IFERROR(__xludf.DUMMYFUNCTION("""COMPUTED_VALUE"""),6)</f>
        <v>6</v>
      </c>
      <c r="M93" s="54"/>
      <c r="N93" s="54">
        <f ca="1">IFERROR(__xludf.DUMMYFUNCTION("""COMPUTED_VALUE"""),815)</f>
        <v>815</v>
      </c>
      <c r="O93" s="54">
        <f ca="1">IFERROR(__xludf.DUMMYFUNCTION("""COMPUTED_VALUE"""),321)</f>
        <v>321</v>
      </c>
      <c r="P93" s="54"/>
      <c r="Q93" s="54">
        <f ca="1">IFERROR(__xludf.DUMMYFUNCTION("""COMPUTED_VALUE"""),80)</f>
        <v>80</v>
      </c>
      <c r="R93" s="54"/>
      <c r="S93" s="53"/>
      <c r="T93" s="53"/>
      <c r="U93" s="53"/>
      <c r="V93" s="53"/>
      <c r="W93" s="53"/>
      <c r="X93" s="53"/>
      <c r="Y93" s="53"/>
      <c r="Z93" s="2"/>
      <c r="AA93" s="2"/>
      <c r="AB93" s="2"/>
      <c r="AC93" s="2"/>
      <c r="AD93" s="2"/>
      <c r="AE93" s="2"/>
    </row>
    <row r="94" spans="1:31" ht="12.75" x14ac:dyDescent="0.2">
      <c r="A94" s="53">
        <f ca="1">IFERROR(__xludf.DUMMYFUNCTION("""COMPUTED_VALUE"""),27)</f>
        <v>27</v>
      </c>
      <c r="B94" s="53" t="str">
        <f ca="1">IFERROR(__xludf.DUMMYFUNCTION("""COMPUTED_VALUE"""),"Lương Thế Vinh")</f>
        <v>Lương Thế Vinh</v>
      </c>
      <c r="C94" s="53" t="str">
        <f ca="1">IFERROR(__xludf.DUMMYFUNCTION("""COMPUTED_VALUE"""),"Tiểu học")</f>
        <v>Tiểu học</v>
      </c>
      <c r="D94" s="53" t="str">
        <f ca="1">IFERROR(__xludf.DUMMYFUNCTION("""COMPUTED_VALUE"""),"TÂN BÌNH")</f>
        <v>TÂN BÌNH</v>
      </c>
      <c r="E94" s="54">
        <f ca="1">IFERROR(__xludf.DUMMYFUNCTION("""COMPUTED_VALUE"""),41)</f>
        <v>41</v>
      </c>
      <c r="F94" s="54">
        <f ca="1">IFERROR(__xludf.DUMMYFUNCTION("""COMPUTED_VALUE"""),41)</f>
        <v>41</v>
      </c>
      <c r="G94" s="54"/>
      <c r="H94" s="54">
        <f ca="1">IFERROR(__xludf.DUMMYFUNCTION("""COMPUTED_VALUE"""),41)</f>
        <v>41</v>
      </c>
      <c r="I94" s="54"/>
      <c r="J94" s="54">
        <f ca="1">IFERROR(__xludf.DUMMYFUNCTION("""COMPUTED_VALUE"""),41)</f>
        <v>41</v>
      </c>
      <c r="K94" s="54"/>
      <c r="L94" s="54">
        <f ca="1">IFERROR(__xludf.DUMMYFUNCTION("""COMPUTED_VALUE"""),15)</f>
        <v>15</v>
      </c>
      <c r="M94" s="54"/>
      <c r="N94" s="54">
        <f ca="1">IFERROR(__xludf.DUMMYFUNCTION("""COMPUTED_VALUE"""),333)</f>
        <v>333</v>
      </c>
      <c r="O94" s="54">
        <f ca="1">IFERROR(__xludf.DUMMYFUNCTION("""COMPUTED_VALUE"""),75)</f>
        <v>75</v>
      </c>
      <c r="P94" s="54"/>
      <c r="Q94" s="54">
        <f ca="1">IFERROR(__xludf.DUMMYFUNCTION("""COMPUTED_VALUE"""),15)</f>
        <v>15</v>
      </c>
      <c r="R94" s="54"/>
      <c r="S94" s="53"/>
      <c r="T94" s="53"/>
      <c r="U94" s="53"/>
      <c r="V94" s="53"/>
      <c r="W94" s="53"/>
      <c r="X94" s="53"/>
      <c r="Y94" s="53"/>
      <c r="Z94" s="2"/>
      <c r="AA94" s="2"/>
      <c r="AB94" s="2"/>
      <c r="AC94" s="2"/>
      <c r="AD94" s="2"/>
      <c r="AE94" s="2"/>
    </row>
    <row r="95" spans="1:31" ht="12.75" x14ac:dyDescent="0.2">
      <c r="A95" s="53">
        <f ca="1">IFERROR(__xludf.DUMMYFUNCTION("""COMPUTED_VALUE"""),28)</f>
        <v>28</v>
      </c>
      <c r="B95" s="53" t="str">
        <f ca="1">IFERROR(__xludf.DUMMYFUNCTION("""COMPUTED_VALUE"""),"Quốc tế Á Châu")</f>
        <v>Quốc tế Á Châu</v>
      </c>
      <c r="C95" s="53" t="str">
        <f ca="1">IFERROR(__xludf.DUMMYFUNCTION("""COMPUTED_VALUE"""),"Tiểu học")</f>
        <v>Tiểu học</v>
      </c>
      <c r="D95" s="53" t="str">
        <f ca="1">IFERROR(__xludf.DUMMYFUNCTION("""COMPUTED_VALUE"""),"TÂN BÌNH")</f>
        <v>TÂN BÌNH</v>
      </c>
      <c r="E95" s="54">
        <f ca="1">IFERROR(__xludf.DUMMYFUNCTION("""COMPUTED_VALUE"""),282)</f>
        <v>282</v>
      </c>
      <c r="F95" s="54">
        <f ca="1">IFERROR(__xludf.DUMMYFUNCTION("""COMPUTED_VALUE"""),282)</f>
        <v>282</v>
      </c>
      <c r="G95" s="54"/>
      <c r="H95" s="54">
        <f ca="1">IFERROR(__xludf.DUMMYFUNCTION("""COMPUTED_VALUE"""),277)</f>
        <v>277</v>
      </c>
      <c r="I95" s="54"/>
      <c r="J95" s="54">
        <f ca="1">IFERROR(__xludf.DUMMYFUNCTION("""COMPUTED_VALUE"""),198)</f>
        <v>198</v>
      </c>
      <c r="K95" s="54"/>
      <c r="L95" s="54">
        <f ca="1">IFERROR(__xludf.DUMMYFUNCTION("""COMPUTED_VALUE"""),42)</f>
        <v>42</v>
      </c>
      <c r="M95" s="54"/>
      <c r="N95" s="54">
        <f ca="1">IFERROR(__xludf.DUMMYFUNCTION("""COMPUTED_VALUE"""),1471)</f>
        <v>1471</v>
      </c>
      <c r="O95" s="54">
        <f ca="1">IFERROR(__xludf.DUMMYFUNCTION("""COMPUTED_VALUE"""),474)</f>
        <v>474</v>
      </c>
      <c r="P95" s="54"/>
      <c r="Q95" s="54">
        <f ca="1">IFERROR(__xludf.DUMMYFUNCTION("""COMPUTED_VALUE"""),133)</f>
        <v>133</v>
      </c>
      <c r="R95" s="54"/>
      <c r="S95" s="53"/>
      <c r="T95" s="53"/>
      <c r="U95" s="53"/>
      <c r="V95" s="53"/>
      <c r="W95" s="53"/>
      <c r="X95" s="53"/>
      <c r="Y95" s="53"/>
      <c r="Z95" s="2"/>
      <c r="AA95" s="2"/>
      <c r="AB95" s="2"/>
      <c r="AC95" s="2"/>
      <c r="AD95" s="2"/>
      <c r="AE95" s="2"/>
    </row>
    <row r="96" spans="1:31" ht="12.75" x14ac:dyDescent="0.2">
      <c r="A96" s="53">
        <f ca="1">IFERROR(__xludf.DUMMYFUNCTION("""COMPUTED_VALUE"""),29)</f>
        <v>29</v>
      </c>
      <c r="B96" s="53" t="str">
        <f ca="1">IFERROR(__xludf.DUMMYFUNCTION("""COMPUTED_VALUE"""),"TesLa")</f>
        <v>TesLa</v>
      </c>
      <c r="C96" s="53" t="str">
        <f ca="1">IFERROR(__xludf.DUMMYFUNCTION("""COMPUTED_VALUE"""),"Tiểu học")</f>
        <v>Tiểu học</v>
      </c>
      <c r="D96" s="53" t="str">
        <f ca="1">IFERROR(__xludf.DUMMYFUNCTION("""COMPUTED_VALUE"""),"TÂN BÌNH")</f>
        <v>TÂN BÌNH</v>
      </c>
      <c r="E96" s="54">
        <f ca="1">IFERROR(__xludf.DUMMYFUNCTION("""COMPUTED_VALUE"""),26)</f>
        <v>26</v>
      </c>
      <c r="F96" s="54">
        <f ca="1">IFERROR(__xludf.DUMMYFUNCTION("""COMPUTED_VALUE"""),26)</f>
        <v>26</v>
      </c>
      <c r="G96" s="54"/>
      <c r="H96" s="54">
        <f ca="1">IFERROR(__xludf.DUMMYFUNCTION("""COMPUTED_VALUE"""),26)</f>
        <v>26</v>
      </c>
      <c r="I96" s="54"/>
      <c r="J96" s="54">
        <f ca="1">IFERROR(__xludf.DUMMYFUNCTION("""COMPUTED_VALUE"""),26)</f>
        <v>26</v>
      </c>
      <c r="K96" s="54"/>
      <c r="L96" s="54">
        <f ca="1">IFERROR(__xludf.DUMMYFUNCTION("""COMPUTED_VALUE"""),1)</f>
        <v>1</v>
      </c>
      <c r="M96" s="54"/>
      <c r="N96" s="54">
        <f ca="1">IFERROR(__xludf.DUMMYFUNCTION("""COMPUTED_VALUE"""),62)</f>
        <v>62</v>
      </c>
      <c r="O96" s="54">
        <f ca="1">IFERROR(__xludf.DUMMYFUNCTION("""COMPUTED_VALUE"""),6)</f>
        <v>6</v>
      </c>
      <c r="P96" s="54"/>
      <c r="Q96" s="54">
        <f ca="1">IFERROR(__xludf.DUMMYFUNCTION("""COMPUTED_VALUE"""),2)</f>
        <v>2</v>
      </c>
      <c r="R96" s="54"/>
      <c r="S96" s="53"/>
      <c r="T96" s="53"/>
      <c r="U96" s="53"/>
      <c r="V96" s="53"/>
      <c r="W96" s="53"/>
      <c r="X96" s="53"/>
      <c r="Y96" s="53"/>
      <c r="Z96" s="2"/>
      <c r="AA96" s="2"/>
      <c r="AB96" s="2"/>
      <c r="AC96" s="2"/>
      <c r="AD96" s="2"/>
      <c r="AE96" s="2"/>
    </row>
    <row r="97" spans="1:31" ht="12.75" x14ac:dyDescent="0.2">
      <c r="A97" s="53">
        <f ca="1">IFERROR(__xludf.DUMMYFUNCTION("""COMPUTED_VALUE"""),30)</f>
        <v>30</v>
      </c>
      <c r="B97" s="53" t="str">
        <f ca="1">IFERROR(__xludf.DUMMYFUNCTION("""COMPUTED_VALUE"""),"Thái Bình Dương")</f>
        <v>Thái Bình Dương</v>
      </c>
      <c r="C97" s="53" t="str">
        <f ca="1">IFERROR(__xludf.DUMMYFUNCTION("""COMPUTED_VALUE"""),"Tiểu học")</f>
        <v>Tiểu học</v>
      </c>
      <c r="D97" s="53" t="str">
        <f ca="1">IFERROR(__xludf.DUMMYFUNCTION("""COMPUTED_VALUE"""),"TÂN BÌNH")</f>
        <v>TÂN BÌNH</v>
      </c>
      <c r="E97" s="54">
        <f ca="1">IFERROR(__xludf.DUMMYFUNCTION("""COMPUTED_VALUE"""),11)</f>
        <v>11</v>
      </c>
      <c r="F97" s="54">
        <f ca="1">IFERROR(__xludf.DUMMYFUNCTION("""COMPUTED_VALUE"""),11)</f>
        <v>11</v>
      </c>
      <c r="G97" s="54"/>
      <c r="H97" s="54">
        <f ca="1">IFERROR(__xludf.DUMMYFUNCTION("""COMPUTED_VALUE"""),11)</f>
        <v>11</v>
      </c>
      <c r="I97" s="54"/>
      <c r="J97" s="54">
        <f ca="1">IFERROR(__xludf.DUMMYFUNCTION("""COMPUTED_VALUE"""),11)</f>
        <v>11</v>
      </c>
      <c r="K97" s="54"/>
      <c r="L97" s="54">
        <f ca="1">IFERROR(__xludf.DUMMYFUNCTION("""COMPUTED_VALUE"""),2)</f>
        <v>2</v>
      </c>
      <c r="M97" s="54"/>
      <c r="N97" s="54">
        <f ca="1">IFERROR(__xludf.DUMMYFUNCTION("""COMPUTED_VALUE"""),160)</f>
        <v>160</v>
      </c>
      <c r="O97" s="54">
        <f ca="1">IFERROR(__xludf.DUMMYFUNCTION("""COMPUTED_VALUE"""),21)</f>
        <v>21</v>
      </c>
      <c r="P97" s="54"/>
      <c r="Q97" s="54">
        <f ca="1">IFERROR(__xludf.DUMMYFUNCTION("""COMPUTED_VALUE"""),10)</f>
        <v>10</v>
      </c>
      <c r="R97" s="54"/>
      <c r="S97" s="53"/>
      <c r="T97" s="53"/>
      <c r="U97" s="53"/>
      <c r="V97" s="53"/>
      <c r="W97" s="53"/>
      <c r="X97" s="53"/>
      <c r="Y97" s="53"/>
      <c r="Z97" s="2"/>
      <c r="AA97" s="2"/>
      <c r="AB97" s="2"/>
      <c r="AC97" s="2"/>
      <c r="AD97" s="2"/>
      <c r="AE97" s="2"/>
    </row>
    <row r="98" spans="1:31" ht="12.75" x14ac:dyDescent="0.2">
      <c r="A98" s="53">
        <f ca="1">IFERROR(__xludf.DUMMYFUNCTION("""COMPUTED_VALUE"""),1)</f>
        <v>1</v>
      </c>
      <c r="B98" s="53" t="str">
        <f ca="1">IFERROR(__xludf.DUMMYFUNCTION("""COMPUTED_VALUE"""),"Ngô Sĩ Liên")</f>
        <v>Ngô Sĩ Liên</v>
      </c>
      <c r="C98" s="53" t="str">
        <f ca="1">IFERROR(__xludf.DUMMYFUNCTION("""COMPUTED_VALUE"""),"THCS")</f>
        <v>THCS</v>
      </c>
      <c r="D98" s="53" t="str">
        <f ca="1">IFERROR(__xludf.DUMMYFUNCTION("""COMPUTED_VALUE"""),"TÂN BÌNH")</f>
        <v>TÂN BÌNH</v>
      </c>
      <c r="E98" s="54">
        <f ca="1">IFERROR(__xludf.DUMMYFUNCTION("""COMPUTED_VALUE"""),108)</f>
        <v>108</v>
      </c>
      <c r="F98" s="54">
        <f ca="1">IFERROR(__xludf.DUMMYFUNCTION("""COMPUTED_VALUE"""),0)</f>
        <v>0</v>
      </c>
      <c r="G98" s="54"/>
      <c r="H98" s="54">
        <f ca="1">IFERROR(__xludf.DUMMYFUNCTION("""COMPUTED_VALUE"""),0)</f>
        <v>0</v>
      </c>
      <c r="I98" s="54"/>
      <c r="J98" s="54">
        <f ca="1">IFERROR(__xludf.DUMMYFUNCTION("""COMPUTED_VALUE"""),108)</f>
        <v>108</v>
      </c>
      <c r="K98" s="54"/>
      <c r="L98" s="54">
        <f ca="1">IFERROR(__xludf.DUMMYFUNCTION("""COMPUTED_VALUE"""),25)</f>
        <v>25</v>
      </c>
      <c r="M98" s="54"/>
      <c r="N98" s="54">
        <f ca="1">IFERROR(__xludf.DUMMYFUNCTION("""COMPUTED_VALUE"""),174)</f>
        <v>174</v>
      </c>
      <c r="O98" s="54">
        <f ca="1">IFERROR(__xludf.DUMMYFUNCTION("""COMPUTED_VALUE"""),46)</f>
        <v>46</v>
      </c>
      <c r="P98" s="54"/>
      <c r="Q98" s="54">
        <f ca="1">IFERROR(__xludf.DUMMYFUNCTION("""COMPUTED_VALUE"""),39)</f>
        <v>39</v>
      </c>
      <c r="R98" s="54"/>
      <c r="S98" s="54">
        <f ca="1">IFERROR(__xludf.DUMMYFUNCTION("""COMPUTED_VALUE"""),1802)</f>
        <v>1802</v>
      </c>
      <c r="T98" s="53">
        <f ca="1">IFERROR(__xludf.DUMMYFUNCTION("""COMPUTED_VALUE"""),149)</f>
        <v>149</v>
      </c>
      <c r="U98" s="53"/>
      <c r="V98" s="54">
        <f ca="1">IFERROR(__xludf.DUMMYFUNCTION("""COMPUTED_VALUE"""),1166)</f>
        <v>1166</v>
      </c>
      <c r="W98" s="54"/>
      <c r="X98" s="54">
        <f ca="1">IFERROR(__xludf.DUMMYFUNCTION("""COMPUTED_VALUE"""),382)</f>
        <v>382</v>
      </c>
      <c r="Y98" s="54"/>
      <c r="Z98" s="2"/>
      <c r="AA98" s="2"/>
      <c r="AB98" s="2"/>
      <c r="AC98" s="2"/>
      <c r="AD98" s="2"/>
      <c r="AE98" s="2"/>
    </row>
    <row r="99" spans="1:31" ht="12.75" x14ac:dyDescent="0.2">
      <c r="A99" s="53">
        <f ca="1">IFERROR(__xludf.DUMMYFUNCTION("""COMPUTED_VALUE"""),2)</f>
        <v>2</v>
      </c>
      <c r="B99" s="53" t="str">
        <f ca="1">IFERROR(__xludf.DUMMYFUNCTION("""COMPUTED_VALUE"""),"Nguyễn Gia Thiều")</f>
        <v>Nguyễn Gia Thiều</v>
      </c>
      <c r="C99" s="53" t="str">
        <f ca="1">IFERROR(__xludf.DUMMYFUNCTION("""COMPUTED_VALUE"""),"THCS")</f>
        <v>THCS</v>
      </c>
      <c r="D99" s="53" t="str">
        <f ca="1">IFERROR(__xludf.DUMMYFUNCTION("""COMPUTED_VALUE"""),"TÂN BÌNH")</f>
        <v>TÂN BÌNH</v>
      </c>
      <c r="E99" s="54">
        <f ca="1">IFERROR(__xludf.DUMMYFUNCTION("""COMPUTED_VALUE"""),78)</f>
        <v>78</v>
      </c>
      <c r="F99" s="54">
        <f ca="1">IFERROR(__xludf.DUMMYFUNCTION("""COMPUTED_VALUE"""),78)</f>
        <v>78</v>
      </c>
      <c r="G99" s="54"/>
      <c r="H99" s="54">
        <f ca="1">IFERROR(__xludf.DUMMYFUNCTION("""COMPUTED_VALUE"""),78)</f>
        <v>78</v>
      </c>
      <c r="I99" s="54"/>
      <c r="J99" s="54">
        <f ca="1">IFERROR(__xludf.DUMMYFUNCTION("""COMPUTED_VALUE"""),78)</f>
        <v>78</v>
      </c>
      <c r="K99" s="54"/>
      <c r="L99" s="54">
        <f ca="1">IFERROR(__xludf.DUMMYFUNCTION("""COMPUTED_VALUE"""),17)</f>
        <v>17</v>
      </c>
      <c r="M99" s="54"/>
      <c r="N99" s="54">
        <f ca="1">IFERROR(__xludf.DUMMYFUNCTION("""COMPUTED_VALUE"""),115)</f>
        <v>115</v>
      </c>
      <c r="O99" s="54">
        <f ca="1">IFERROR(__xludf.DUMMYFUNCTION("""COMPUTED_VALUE"""),50)</f>
        <v>50</v>
      </c>
      <c r="P99" s="54"/>
      <c r="Q99" s="54">
        <f ca="1">IFERROR(__xludf.DUMMYFUNCTION("""COMPUTED_VALUE"""),29)</f>
        <v>29</v>
      </c>
      <c r="R99" s="54"/>
      <c r="S99" s="54">
        <f ca="1">IFERROR(__xludf.DUMMYFUNCTION("""COMPUTED_VALUE"""),1364)</f>
        <v>1364</v>
      </c>
      <c r="T99" s="53">
        <f ca="1">IFERROR(__xludf.DUMMYFUNCTION("""COMPUTED_VALUE"""),1243)</f>
        <v>1243</v>
      </c>
      <c r="U99" s="53"/>
      <c r="V99" s="54">
        <f ca="1">IFERROR(__xludf.DUMMYFUNCTION("""COMPUTED_VALUE"""),1194)</f>
        <v>1194</v>
      </c>
      <c r="W99" s="54"/>
      <c r="X99" s="54">
        <f ca="1">IFERROR(__xludf.DUMMYFUNCTION("""COMPUTED_VALUE"""),251)</f>
        <v>251</v>
      </c>
      <c r="Y99" s="54"/>
      <c r="Z99" s="2"/>
      <c r="AA99" s="2"/>
      <c r="AB99" s="2"/>
      <c r="AC99" s="2"/>
      <c r="AD99" s="2"/>
      <c r="AE99" s="2"/>
    </row>
    <row r="100" spans="1:31" ht="12.75" x14ac:dyDescent="0.2">
      <c r="A100" s="53">
        <f ca="1">IFERROR(__xludf.DUMMYFUNCTION("""COMPUTED_VALUE"""),3)</f>
        <v>3</v>
      </c>
      <c r="B100" s="53" t="str">
        <f ca="1">IFERROR(__xludf.DUMMYFUNCTION("""COMPUTED_VALUE"""),"Trần Văn Quang")</f>
        <v>Trần Văn Quang</v>
      </c>
      <c r="C100" s="53" t="str">
        <f ca="1">IFERROR(__xludf.DUMMYFUNCTION("""COMPUTED_VALUE"""),"THCS")</f>
        <v>THCS</v>
      </c>
      <c r="D100" s="53" t="str">
        <f ca="1">IFERROR(__xludf.DUMMYFUNCTION("""COMPUTED_VALUE"""),"TÂN BÌNH")</f>
        <v>TÂN BÌNH</v>
      </c>
      <c r="E100" s="54">
        <f ca="1">IFERROR(__xludf.DUMMYFUNCTION("""COMPUTED_VALUE"""),60)</f>
        <v>60</v>
      </c>
      <c r="F100" s="54">
        <f ca="1">IFERROR(__xludf.DUMMYFUNCTION("""COMPUTED_VALUE"""),60)</f>
        <v>60</v>
      </c>
      <c r="G100" s="54"/>
      <c r="H100" s="54">
        <f ca="1">IFERROR(__xludf.DUMMYFUNCTION("""COMPUTED_VALUE"""),60)</f>
        <v>60</v>
      </c>
      <c r="I100" s="54"/>
      <c r="J100" s="54">
        <f ca="1">IFERROR(__xludf.DUMMYFUNCTION("""COMPUTED_VALUE"""),32)</f>
        <v>32</v>
      </c>
      <c r="K100" s="54"/>
      <c r="L100" s="54">
        <f ca="1">IFERROR(__xludf.DUMMYFUNCTION("""COMPUTED_VALUE"""),16)</f>
        <v>16</v>
      </c>
      <c r="M100" s="54"/>
      <c r="N100" s="54">
        <f ca="1">IFERROR(__xludf.DUMMYFUNCTION("""COMPUTED_VALUE"""),75)</f>
        <v>75</v>
      </c>
      <c r="O100" s="54">
        <f ca="1">IFERROR(__xludf.DUMMYFUNCTION("""COMPUTED_VALUE"""),33)</f>
        <v>33</v>
      </c>
      <c r="P100" s="54"/>
      <c r="Q100" s="54">
        <f ca="1">IFERROR(__xludf.DUMMYFUNCTION("""COMPUTED_VALUE"""),33)</f>
        <v>33</v>
      </c>
      <c r="R100" s="54"/>
      <c r="S100" s="54">
        <f ca="1">IFERROR(__xludf.DUMMYFUNCTION("""COMPUTED_VALUE"""),936)</f>
        <v>936</v>
      </c>
      <c r="T100" s="53">
        <f ca="1">IFERROR(__xludf.DUMMYFUNCTION("""COMPUTED_VALUE"""),21)</f>
        <v>21</v>
      </c>
      <c r="U100" s="53"/>
      <c r="V100" s="54">
        <f ca="1">IFERROR(__xludf.DUMMYFUNCTION("""COMPUTED_VALUE"""),754)</f>
        <v>754</v>
      </c>
      <c r="W100" s="54"/>
      <c r="X100" s="54">
        <f ca="1">IFERROR(__xludf.DUMMYFUNCTION("""COMPUTED_VALUE"""),84)</f>
        <v>84</v>
      </c>
      <c r="Y100" s="54"/>
      <c r="Z100" s="2"/>
      <c r="AA100" s="2"/>
      <c r="AB100" s="2"/>
      <c r="AC100" s="2"/>
      <c r="AD100" s="2"/>
      <c r="AE100" s="2"/>
    </row>
    <row r="101" spans="1:31" ht="12.75" x14ac:dyDescent="0.2">
      <c r="A101" s="53">
        <f ca="1">IFERROR(__xludf.DUMMYFUNCTION("""COMPUTED_VALUE"""),4)</f>
        <v>4</v>
      </c>
      <c r="B101" s="53" t="str">
        <f ca="1">IFERROR(__xludf.DUMMYFUNCTION("""COMPUTED_VALUE"""),"Hoàng Hoa Thám")</f>
        <v>Hoàng Hoa Thám</v>
      </c>
      <c r="C101" s="53" t="str">
        <f ca="1">IFERROR(__xludf.DUMMYFUNCTION("""COMPUTED_VALUE"""),"THCS")</f>
        <v>THCS</v>
      </c>
      <c r="D101" s="53" t="str">
        <f ca="1">IFERROR(__xludf.DUMMYFUNCTION("""COMPUTED_VALUE"""),"TÂN BÌNH")</f>
        <v>TÂN BÌNH</v>
      </c>
      <c r="E101" s="54">
        <f ca="1">IFERROR(__xludf.DUMMYFUNCTION("""COMPUTED_VALUE"""),132)</f>
        <v>132</v>
      </c>
      <c r="F101" s="54">
        <f ca="1">IFERROR(__xludf.DUMMYFUNCTION("""COMPUTED_VALUE"""),132)</f>
        <v>132</v>
      </c>
      <c r="G101" s="54"/>
      <c r="H101" s="54">
        <f ca="1">IFERROR(__xludf.DUMMYFUNCTION("""COMPUTED_VALUE"""),132)</f>
        <v>132</v>
      </c>
      <c r="I101" s="54"/>
      <c r="J101" s="54">
        <f ca="1">IFERROR(__xludf.DUMMYFUNCTION("""COMPUTED_VALUE"""),132)</f>
        <v>132</v>
      </c>
      <c r="K101" s="54"/>
      <c r="L101" s="54">
        <f ca="1">IFERROR(__xludf.DUMMYFUNCTION("""COMPUTED_VALUE"""),18)</f>
        <v>18</v>
      </c>
      <c r="M101" s="54"/>
      <c r="N101" s="54">
        <f ca="1">IFERROR(__xludf.DUMMYFUNCTION("""COMPUTED_VALUE"""),187)</f>
        <v>187</v>
      </c>
      <c r="O101" s="54">
        <f ca="1">IFERROR(__xludf.DUMMYFUNCTION("""COMPUTED_VALUE"""),87)</f>
        <v>87</v>
      </c>
      <c r="P101" s="54"/>
      <c r="Q101" s="54">
        <f ca="1">IFERROR(__xludf.DUMMYFUNCTION("""COMPUTED_VALUE"""),49)</f>
        <v>49</v>
      </c>
      <c r="R101" s="54"/>
      <c r="S101" s="53">
        <f ca="1">IFERROR(__xludf.DUMMYFUNCTION("""COMPUTED_VALUE"""),3059)</f>
        <v>3059</v>
      </c>
      <c r="T101" s="53">
        <f ca="1">IFERROR(__xludf.DUMMYFUNCTION("""COMPUTED_VALUE"""),2813)</f>
        <v>2813</v>
      </c>
      <c r="U101" s="53"/>
      <c r="V101" s="53">
        <f ca="1">IFERROR(__xludf.DUMMYFUNCTION("""COMPUTED_VALUE"""),2641)</f>
        <v>2641</v>
      </c>
      <c r="W101" s="53"/>
      <c r="X101" s="53">
        <f ca="1">IFERROR(__xludf.DUMMYFUNCTION("""COMPUTED_VALUE"""),652)</f>
        <v>652</v>
      </c>
      <c r="Y101" s="53"/>
      <c r="Z101" s="2"/>
      <c r="AA101" s="2"/>
      <c r="AB101" s="2"/>
      <c r="AC101" s="2"/>
      <c r="AD101" s="2"/>
      <c r="AE101" s="2"/>
    </row>
    <row r="102" spans="1:31" ht="12.75" x14ac:dyDescent="0.2">
      <c r="A102" s="53">
        <f ca="1">IFERROR(__xludf.DUMMYFUNCTION("""COMPUTED_VALUE"""),5)</f>
        <v>5</v>
      </c>
      <c r="B102" s="53" t="str">
        <f ca="1">IFERROR(__xludf.DUMMYFUNCTION("""COMPUTED_VALUE"""),"Tân Bình")</f>
        <v>Tân Bình</v>
      </c>
      <c r="C102" s="53" t="str">
        <f ca="1">IFERROR(__xludf.DUMMYFUNCTION("""COMPUTED_VALUE"""),"THCS")</f>
        <v>THCS</v>
      </c>
      <c r="D102" s="53" t="str">
        <f ca="1">IFERROR(__xludf.DUMMYFUNCTION("""COMPUTED_VALUE"""),"TÂN BÌNH")</f>
        <v>TÂN BÌNH</v>
      </c>
      <c r="E102" s="54">
        <f ca="1">IFERROR(__xludf.DUMMYFUNCTION("""COMPUTED_VALUE"""),101)</f>
        <v>101</v>
      </c>
      <c r="F102" s="54">
        <f ca="1">IFERROR(__xludf.DUMMYFUNCTION("""COMPUTED_VALUE"""),101)</f>
        <v>101</v>
      </c>
      <c r="G102" s="54"/>
      <c r="H102" s="54">
        <f ca="1">IFERROR(__xludf.DUMMYFUNCTION("""COMPUTED_VALUE"""),101)</f>
        <v>101</v>
      </c>
      <c r="I102" s="54"/>
      <c r="J102" s="54">
        <f ca="1">IFERROR(__xludf.DUMMYFUNCTION("""COMPUTED_VALUE"""),99)</f>
        <v>99</v>
      </c>
      <c r="K102" s="54"/>
      <c r="L102" s="54">
        <f ca="1">IFERROR(__xludf.DUMMYFUNCTION("""COMPUTED_VALUE"""),24)</f>
        <v>24</v>
      </c>
      <c r="M102" s="54"/>
      <c r="N102" s="54">
        <f ca="1">IFERROR(__xludf.DUMMYFUNCTION("""COMPUTED_VALUE"""),302)</f>
        <v>302</v>
      </c>
      <c r="O102" s="54">
        <f ca="1">IFERROR(__xludf.DUMMYFUNCTION("""COMPUTED_VALUE"""),87)</f>
        <v>87</v>
      </c>
      <c r="P102" s="54"/>
      <c r="Q102" s="54">
        <f ca="1">IFERROR(__xludf.DUMMYFUNCTION("""COMPUTED_VALUE"""),57)</f>
        <v>57</v>
      </c>
      <c r="R102" s="54"/>
      <c r="S102" s="54">
        <f ca="1">IFERROR(__xludf.DUMMYFUNCTION("""COMPUTED_VALUE"""),1876)</f>
        <v>1876</v>
      </c>
      <c r="T102" s="53">
        <f ca="1">IFERROR(__xludf.DUMMYFUNCTION("""COMPUTED_VALUE"""),1875)</f>
        <v>1875</v>
      </c>
      <c r="U102" s="53"/>
      <c r="V102" s="54">
        <f ca="1">IFERROR(__xludf.DUMMYFUNCTION("""COMPUTED_VALUE"""),1816)</f>
        <v>1816</v>
      </c>
      <c r="W102" s="54"/>
      <c r="X102" s="54">
        <f ca="1">IFERROR(__xludf.DUMMYFUNCTION("""COMPUTED_VALUE"""),384)</f>
        <v>384</v>
      </c>
      <c r="Y102" s="54"/>
      <c r="Z102" s="2"/>
      <c r="AA102" s="2"/>
      <c r="AB102" s="2"/>
      <c r="AC102" s="2"/>
      <c r="AD102" s="2"/>
      <c r="AE102" s="2"/>
    </row>
    <row r="103" spans="1:31" ht="12.75" x14ac:dyDescent="0.2">
      <c r="A103" s="53">
        <f ca="1">IFERROR(__xludf.DUMMYFUNCTION("""COMPUTED_VALUE"""),6)</f>
        <v>6</v>
      </c>
      <c r="B103" s="53" t="str">
        <f ca="1">IFERROR(__xludf.DUMMYFUNCTION("""COMPUTED_VALUE"""),"Lý Thường Kiệt")</f>
        <v>Lý Thường Kiệt</v>
      </c>
      <c r="C103" s="53" t="str">
        <f ca="1">IFERROR(__xludf.DUMMYFUNCTION("""COMPUTED_VALUE"""),"THCS")</f>
        <v>THCS</v>
      </c>
      <c r="D103" s="53" t="str">
        <f ca="1">IFERROR(__xludf.DUMMYFUNCTION("""COMPUTED_VALUE"""),"TÂN BÌNH")</f>
        <v>TÂN BÌNH</v>
      </c>
      <c r="E103" s="54">
        <f ca="1">IFERROR(__xludf.DUMMYFUNCTION("""COMPUTED_VALUE"""),52)</f>
        <v>52</v>
      </c>
      <c r="F103" s="54">
        <f ca="1">IFERROR(__xludf.DUMMYFUNCTION("""COMPUTED_VALUE"""),52)</f>
        <v>52</v>
      </c>
      <c r="G103" s="54"/>
      <c r="H103" s="54">
        <f ca="1">IFERROR(__xludf.DUMMYFUNCTION("""COMPUTED_VALUE"""),52)</f>
        <v>52</v>
      </c>
      <c r="I103" s="54"/>
      <c r="J103" s="54">
        <f ca="1">IFERROR(__xludf.DUMMYFUNCTION("""COMPUTED_VALUE"""),47)</f>
        <v>47</v>
      </c>
      <c r="K103" s="54"/>
      <c r="L103" s="54">
        <f ca="1">IFERROR(__xludf.DUMMYFUNCTION("""COMPUTED_VALUE"""),25)</f>
        <v>25</v>
      </c>
      <c r="M103" s="54"/>
      <c r="N103" s="54">
        <f ca="1">IFERROR(__xludf.DUMMYFUNCTION("""COMPUTED_VALUE"""),54)</f>
        <v>54</v>
      </c>
      <c r="O103" s="54">
        <f ca="1">IFERROR(__xludf.DUMMYFUNCTION("""COMPUTED_VALUE"""),38)</f>
        <v>38</v>
      </c>
      <c r="P103" s="54"/>
      <c r="Q103" s="54">
        <f ca="1">IFERROR(__xludf.DUMMYFUNCTION("""COMPUTED_VALUE"""),30)</f>
        <v>30</v>
      </c>
      <c r="R103" s="54"/>
      <c r="S103" s="53">
        <f ca="1">IFERROR(__xludf.DUMMYFUNCTION("""COMPUTED_VALUE"""),665)</f>
        <v>665</v>
      </c>
      <c r="T103" s="53">
        <f ca="1">IFERROR(__xludf.DUMMYFUNCTION("""COMPUTED_VALUE"""),634)</f>
        <v>634</v>
      </c>
      <c r="U103" s="53"/>
      <c r="V103" s="53">
        <f ca="1">IFERROR(__xludf.DUMMYFUNCTION("""COMPUTED_VALUE"""),593)</f>
        <v>593</v>
      </c>
      <c r="W103" s="53"/>
      <c r="X103" s="53">
        <f ca="1">IFERROR(__xludf.DUMMYFUNCTION("""COMPUTED_VALUE"""),158)</f>
        <v>158</v>
      </c>
      <c r="Y103" s="53"/>
      <c r="Z103" s="2"/>
      <c r="AA103" s="2"/>
      <c r="AB103" s="2"/>
      <c r="AC103" s="2"/>
      <c r="AD103" s="2"/>
      <c r="AE103" s="2"/>
    </row>
    <row r="104" spans="1:31" ht="12.75" x14ac:dyDescent="0.2">
      <c r="A104" s="53">
        <f ca="1">IFERROR(__xludf.DUMMYFUNCTION("""COMPUTED_VALUE"""),7)</f>
        <v>7</v>
      </c>
      <c r="B104" s="53" t="str">
        <f ca="1">IFERROR(__xludf.DUMMYFUNCTION("""COMPUTED_VALUE"""),"Trường Chinh")</f>
        <v>Trường Chinh</v>
      </c>
      <c r="C104" s="53" t="str">
        <f ca="1">IFERROR(__xludf.DUMMYFUNCTION("""COMPUTED_VALUE"""),"THCS")</f>
        <v>THCS</v>
      </c>
      <c r="D104" s="53" t="str">
        <f ca="1">IFERROR(__xludf.DUMMYFUNCTION("""COMPUTED_VALUE"""),"TÂN BÌNH")</f>
        <v>TÂN BÌNH</v>
      </c>
      <c r="E104" s="54">
        <f ca="1">IFERROR(__xludf.DUMMYFUNCTION("""COMPUTED_VALUE"""),97)</f>
        <v>97</v>
      </c>
      <c r="F104" s="54">
        <f ca="1">IFERROR(__xludf.DUMMYFUNCTION("""COMPUTED_VALUE"""),96)</f>
        <v>96</v>
      </c>
      <c r="G104" s="54"/>
      <c r="H104" s="54">
        <f ca="1">IFERROR(__xludf.DUMMYFUNCTION("""COMPUTED_VALUE"""),88)</f>
        <v>88</v>
      </c>
      <c r="I104" s="54"/>
      <c r="J104" s="54">
        <f ca="1">IFERROR(__xludf.DUMMYFUNCTION("""COMPUTED_VALUE"""),73)</f>
        <v>73</v>
      </c>
      <c r="K104" s="54"/>
      <c r="L104" s="54">
        <f ca="1">IFERROR(__xludf.DUMMYFUNCTION("""COMPUTED_VALUE"""),22)</f>
        <v>22</v>
      </c>
      <c r="M104" s="54"/>
      <c r="N104" s="54">
        <f ca="1">IFERROR(__xludf.DUMMYFUNCTION("""COMPUTED_VALUE"""),133)</f>
        <v>133</v>
      </c>
      <c r="O104" s="54">
        <f ca="1">IFERROR(__xludf.DUMMYFUNCTION("""COMPUTED_VALUE"""),50)</f>
        <v>50</v>
      </c>
      <c r="P104" s="54"/>
      <c r="Q104" s="54">
        <f ca="1">IFERROR(__xludf.DUMMYFUNCTION("""COMPUTED_VALUE"""),31)</f>
        <v>31</v>
      </c>
      <c r="R104" s="54"/>
      <c r="S104" s="54">
        <f ca="1">IFERROR(__xludf.DUMMYFUNCTION("""COMPUTED_VALUE"""),1759)</f>
        <v>1759</v>
      </c>
      <c r="T104" s="53">
        <f ca="1">IFERROR(__xludf.DUMMYFUNCTION("""COMPUTED_VALUE"""),1570)</f>
        <v>1570</v>
      </c>
      <c r="U104" s="53"/>
      <c r="V104" s="54">
        <f ca="1">IFERROR(__xludf.DUMMYFUNCTION("""COMPUTED_VALUE"""),1466)</f>
        <v>1466</v>
      </c>
      <c r="W104" s="54"/>
      <c r="X104" s="54">
        <f ca="1">IFERROR(__xludf.DUMMYFUNCTION("""COMPUTED_VALUE"""),356)</f>
        <v>356</v>
      </c>
      <c r="Y104" s="54"/>
      <c r="Z104" s="2"/>
      <c r="AA104" s="2"/>
      <c r="AB104" s="2"/>
      <c r="AC104" s="2"/>
      <c r="AD104" s="2"/>
      <c r="AE104" s="2"/>
    </row>
    <row r="105" spans="1:31" ht="12.75" x14ac:dyDescent="0.2">
      <c r="A105" s="53">
        <f ca="1">IFERROR(__xludf.DUMMYFUNCTION("""COMPUTED_VALUE"""),8)</f>
        <v>8</v>
      </c>
      <c r="B105" s="53" t="str">
        <f ca="1">IFERROR(__xludf.DUMMYFUNCTION("""COMPUTED_VALUE"""),"Võ Văn Tần")</f>
        <v>Võ Văn Tần</v>
      </c>
      <c r="C105" s="53" t="str">
        <f ca="1">IFERROR(__xludf.DUMMYFUNCTION("""COMPUTED_VALUE"""),"THCS")</f>
        <v>THCS</v>
      </c>
      <c r="D105" s="53" t="str">
        <f ca="1">IFERROR(__xludf.DUMMYFUNCTION("""COMPUTED_VALUE"""),"TÂN BÌNH")</f>
        <v>TÂN BÌNH</v>
      </c>
      <c r="E105" s="54">
        <f ca="1">IFERROR(__xludf.DUMMYFUNCTION("""COMPUTED_VALUE"""),79)</f>
        <v>79</v>
      </c>
      <c r="F105" s="54">
        <f ca="1">IFERROR(__xludf.DUMMYFUNCTION("""COMPUTED_VALUE"""),79)</f>
        <v>79</v>
      </c>
      <c r="G105" s="54"/>
      <c r="H105" s="54">
        <f ca="1">IFERROR(__xludf.DUMMYFUNCTION("""COMPUTED_VALUE"""),79)</f>
        <v>79</v>
      </c>
      <c r="I105" s="54"/>
      <c r="J105" s="54">
        <f ca="1">IFERROR(__xludf.DUMMYFUNCTION("""COMPUTED_VALUE"""),79)</f>
        <v>79</v>
      </c>
      <c r="K105" s="54"/>
      <c r="L105" s="54">
        <f ca="1">IFERROR(__xludf.DUMMYFUNCTION("""COMPUTED_VALUE"""),55)</f>
        <v>55</v>
      </c>
      <c r="M105" s="54"/>
      <c r="N105" s="54">
        <f ca="1">IFERROR(__xludf.DUMMYFUNCTION("""COMPUTED_VALUE"""),160)</f>
        <v>160</v>
      </c>
      <c r="O105" s="54">
        <f ca="1">IFERROR(__xludf.DUMMYFUNCTION("""COMPUTED_VALUE"""),90)</f>
        <v>90</v>
      </c>
      <c r="P105" s="54"/>
      <c r="Q105" s="54">
        <f ca="1">IFERROR(__xludf.DUMMYFUNCTION("""COMPUTED_VALUE"""),46)</f>
        <v>46</v>
      </c>
      <c r="R105" s="54"/>
      <c r="S105" s="54">
        <f ca="1">IFERROR(__xludf.DUMMYFUNCTION("""COMPUTED_VALUE"""),1504)</f>
        <v>1504</v>
      </c>
      <c r="T105" s="53">
        <f ca="1">IFERROR(__xludf.DUMMYFUNCTION("""COMPUTED_VALUE"""),1504)</f>
        <v>1504</v>
      </c>
      <c r="U105" s="53"/>
      <c r="V105" s="54">
        <f ca="1">IFERROR(__xludf.DUMMYFUNCTION("""COMPUTED_VALUE"""),1332)</f>
        <v>1332</v>
      </c>
      <c r="W105" s="54"/>
      <c r="X105" s="54">
        <f ca="1">IFERROR(__xludf.DUMMYFUNCTION("""COMPUTED_VALUE"""),307)</f>
        <v>307</v>
      </c>
      <c r="Y105" s="54"/>
      <c r="Z105" s="2"/>
      <c r="AA105" s="2"/>
      <c r="AB105" s="2"/>
      <c r="AC105" s="2"/>
      <c r="AD105" s="2"/>
      <c r="AE105" s="2"/>
    </row>
    <row r="106" spans="1:31" ht="12.75" x14ac:dyDescent="0.2">
      <c r="A106" s="53">
        <f ca="1">IFERROR(__xludf.DUMMYFUNCTION("""COMPUTED_VALUE"""),9)</f>
        <v>9</v>
      </c>
      <c r="B106" s="53" t="str">
        <f ca="1">IFERROR(__xludf.DUMMYFUNCTION("""COMPUTED_VALUE"""),"Quang Trung")</f>
        <v>Quang Trung</v>
      </c>
      <c r="C106" s="53" t="str">
        <f ca="1">IFERROR(__xludf.DUMMYFUNCTION("""COMPUTED_VALUE"""),"THCS")</f>
        <v>THCS</v>
      </c>
      <c r="D106" s="53" t="str">
        <f ca="1">IFERROR(__xludf.DUMMYFUNCTION("""COMPUTED_VALUE"""),"TÂN BÌNH")</f>
        <v>TÂN BÌNH</v>
      </c>
      <c r="E106" s="54">
        <f ca="1">IFERROR(__xludf.DUMMYFUNCTION("""COMPUTED_VALUE"""),60)</f>
        <v>60</v>
      </c>
      <c r="F106" s="54">
        <f ca="1">IFERROR(__xludf.DUMMYFUNCTION("""COMPUTED_VALUE"""),60)</f>
        <v>60</v>
      </c>
      <c r="G106" s="54"/>
      <c r="H106" s="54">
        <f ca="1">IFERROR(__xludf.DUMMYFUNCTION("""COMPUTED_VALUE"""),60)</f>
        <v>60</v>
      </c>
      <c r="I106" s="54"/>
      <c r="J106" s="54">
        <f ca="1">IFERROR(__xludf.DUMMYFUNCTION("""COMPUTED_VALUE"""),56)</f>
        <v>56</v>
      </c>
      <c r="K106" s="54"/>
      <c r="L106" s="54">
        <f ca="1">IFERROR(__xludf.DUMMYFUNCTION("""COMPUTED_VALUE"""),24)</f>
        <v>24</v>
      </c>
      <c r="M106" s="54"/>
      <c r="N106" s="54">
        <f ca="1">IFERROR(__xludf.DUMMYFUNCTION("""COMPUTED_VALUE"""),70)</f>
        <v>70</v>
      </c>
      <c r="O106" s="54">
        <f ca="1">IFERROR(__xludf.DUMMYFUNCTION("""COMPUTED_VALUE"""),19)</f>
        <v>19</v>
      </c>
      <c r="P106" s="54"/>
      <c r="Q106" s="54">
        <f ca="1">IFERROR(__xludf.DUMMYFUNCTION("""COMPUTED_VALUE"""),17)</f>
        <v>17</v>
      </c>
      <c r="R106" s="54"/>
      <c r="S106" s="54">
        <f ca="1">IFERROR(__xludf.DUMMYFUNCTION("""COMPUTED_VALUE"""),989)</f>
        <v>989</v>
      </c>
      <c r="T106" s="53">
        <f ca="1">IFERROR(__xludf.DUMMYFUNCTION("""COMPUTED_VALUE"""),964)</f>
        <v>964</v>
      </c>
      <c r="U106" s="53"/>
      <c r="V106" s="54">
        <f ca="1">IFERROR(__xludf.DUMMYFUNCTION("""COMPUTED_VALUE"""),900)</f>
        <v>900</v>
      </c>
      <c r="W106" s="54"/>
      <c r="X106" s="54">
        <f ca="1">IFERROR(__xludf.DUMMYFUNCTION("""COMPUTED_VALUE"""),236)</f>
        <v>236</v>
      </c>
      <c r="Y106" s="54"/>
      <c r="Z106" s="2"/>
      <c r="AA106" s="2"/>
      <c r="AB106" s="2"/>
      <c r="AC106" s="2"/>
      <c r="AD106" s="2"/>
      <c r="AE106" s="2"/>
    </row>
    <row r="107" spans="1:31" ht="12.75" x14ac:dyDescent="0.2">
      <c r="A107" s="53">
        <f ca="1">IFERROR(__xludf.DUMMYFUNCTION("""COMPUTED_VALUE"""),10)</f>
        <v>10</v>
      </c>
      <c r="B107" s="53" t="str">
        <f ca="1">IFERROR(__xludf.DUMMYFUNCTION("""COMPUTED_VALUE"""),"Âu Lạc")</f>
        <v>Âu Lạc</v>
      </c>
      <c r="C107" s="53" t="str">
        <f ca="1">IFERROR(__xludf.DUMMYFUNCTION("""COMPUTED_VALUE"""),"THCS")</f>
        <v>THCS</v>
      </c>
      <c r="D107" s="53" t="str">
        <f ca="1">IFERROR(__xludf.DUMMYFUNCTION("""COMPUTED_VALUE"""),"TÂN BÌNH")</f>
        <v>TÂN BÌNH</v>
      </c>
      <c r="E107" s="54">
        <f ca="1">IFERROR(__xludf.DUMMYFUNCTION("""COMPUTED_VALUE"""),67)</f>
        <v>67</v>
      </c>
      <c r="F107" s="54">
        <f ca="1">IFERROR(__xludf.DUMMYFUNCTION("""COMPUTED_VALUE"""),67)</f>
        <v>67</v>
      </c>
      <c r="G107" s="54"/>
      <c r="H107" s="54">
        <f ca="1">IFERROR(__xludf.DUMMYFUNCTION("""COMPUTED_VALUE"""),67)</f>
        <v>67</v>
      </c>
      <c r="I107" s="54"/>
      <c r="J107" s="54">
        <f ca="1">IFERROR(__xludf.DUMMYFUNCTION("""COMPUTED_VALUE"""),58)</f>
        <v>58</v>
      </c>
      <c r="K107" s="54"/>
      <c r="L107" s="54">
        <f ca="1">IFERROR(__xludf.DUMMYFUNCTION("""COMPUTED_VALUE"""),9)</f>
        <v>9</v>
      </c>
      <c r="M107" s="54"/>
      <c r="N107" s="54">
        <f ca="1">IFERROR(__xludf.DUMMYFUNCTION("""COMPUTED_VALUE"""),227)</f>
        <v>227</v>
      </c>
      <c r="O107" s="54">
        <f ca="1">IFERROR(__xludf.DUMMYFUNCTION("""COMPUTED_VALUE"""),125)</f>
        <v>125</v>
      </c>
      <c r="P107" s="54"/>
      <c r="Q107" s="54">
        <f ca="1">IFERROR(__xludf.DUMMYFUNCTION("""COMPUTED_VALUE"""),94)</f>
        <v>94</v>
      </c>
      <c r="R107" s="54"/>
      <c r="S107" s="54">
        <f ca="1">IFERROR(__xludf.DUMMYFUNCTION("""COMPUTED_VALUE"""),1099)</f>
        <v>1099</v>
      </c>
      <c r="T107" s="53">
        <f ca="1">IFERROR(__xludf.DUMMYFUNCTION("""COMPUTED_VALUE"""),1094)</f>
        <v>1094</v>
      </c>
      <c r="U107" s="53"/>
      <c r="V107" s="54">
        <f ca="1">IFERROR(__xludf.DUMMYFUNCTION("""COMPUTED_VALUE"""),1085)</f>
        <v>1085</v>
      </c>
      <c r="W107" s="54"/>
      <c r="X107" s="54">
        <f ca="1">IFERROR(__xludf.DUMMYFUNCTION("""COMPUTED_VALUE"""),306)</f>
        <v>306</v>
      </c>
      <c r="Y107" s="54"/>
      <c r="Z107" s="2"/>
      <c r="AA107" s="2"/>
      <c r="AB107" s="2"/>
      <c r="AC107" s="2"/>
      <c r="AD107" s="2"/>
      <c r="AE107" s="2"/>
    </row>
    <row r="108" spans="1:31" ht="12.75" x14ac:dyDescent="0.2">
      <c r="A108" s="53">
        <f ca="1">IFERROR(__xludf.DUMMYFUNCTION("""COMPUTED_VALUE"""),11)</f>
        <v>11</v>
      </c>
      <c r="B108" s="53" t="str">
        <f ca="1">IFERROR(__xludf.DUMMYFUNCTION("""COMPUTED_VALUE"""),"Trần Văn Đang")</f>
        <v>Trần Văn Đang</v>
      </c>
      <c r="C108" s="53" t="str">
        <f ca="1">IFERROR(__xludf.DUMMYFUNCTION("""COMPUTED_VALUE"""),"THCS")</f>
        <v>THCS</v>
      </c>
      <c r="D108" s="53" t="str">
        <f ca="1">IFERROR(__xludf.DUMMYFUNCTION("""COMPUTED_VALUE"""),"TÂN BÌNH")</f>
        <v>TÂN BÌNH</v>
      </c>
      <c r="E108" s="54">
        <f ca="1">IFERROR(__xludf.DUMMYFUNCTION("""COMPUTED_VALUE"""),44)</f>
        <v>44</v>
      </c>
      <c r="F108" s="54">
        <f ca="1">IFERROR(__xludf.DUMMYFUNCTION("""COMPUTED_VALUE"""),44)</f>
        <v>44</v>
      </c>
      <c r="G108" s="54"/>
      <c r="H108" s="54">
        <f ca="1">IFERROR(__xludf.DUMMYFUNCTION("""COMPUTED_VALUE"""),44)</f>
        <v>44</v>
      </c>
      <c r="I108" s="54"/>
      <c r="J108" s="54">
        <f ca="1">IFERROR(__xludf.DUMMYFUNCTION("""COMPUTED_VALUE"""),44)</f>
        <v>44</v>
      </c>
      <c r="K108" s="54"/>
      <c r="L108" s="54">
        <f ca="1">IFERROR(__xludf.DUMMYFUNCTION("""COMPUTED_VALUE"""),25)</f>
        <v>25</v>
      </c>
      <c r="M108" s="54"/>
      <c r="N108" s="54">
        <f ca="1">IFERROR(__xludf.DUMMYFUNCTION("""COMPUTED_VALUE"""),95)</f>
        <v>95</v>
      </c>
      <c r="O108" s="54">
        <f ca="1">IFERROR(__xludf.DUMMYFUNCTION("""COMPUTED_VALUE"""),49)</f>
        <v>49</v>
      </c>
      <c r="P108" s="54"/>
      <c r="Q108" s="54">
        <f ca="1">IFERROR(__xludf.DUMMYFUNCTION("""COMPUTED_VALUE"""),44)</f>
        <v>44</v>
      </c>
      <c r="R108" s="54"/>
      <c r="S108" s="54">
        <f ca="1">IFERROR(__xludf.DUMMYFUNCTION("""COMPUTED_VALUE"""),371)</f>
        <v>371</v>
      </c>
      <c r="T108" s="53">
        <f ca="1">IFERROR(__xludf.DUMMYFUNCTION("""COMPUTED_VALUE"""),371)</f>
        <v>371</v>
      </c>
      <c r="U108" s="53"/>
      <c r="V108" s="54">
        <f ca="1">IFERROR(__xludf.DUMMYFUNCTION("""COMPUTED_VALUE"""),366)</f>
        <v>366</v>
      </c>
      <c r="W108" s="54"/>
      <c r="X108" s="54">
        <f ca="1">IFERROR(__xludf.DUMMYFUNCTION("""COMPUTED_VALUE"""),38)</f>
        <v>38</v>
      </c>
      <c r="Y108" s="54"/>
      <c r="Z108" s="2"/>
      <c r="AA108" s="2"/>
      <c r="AB108" s="2"/>
      <c r="AC108" s="2"/>
      <c r="AD108" s="2"/>
      <c r="AE108" s="2"/>
    </row>
    <row r="109" spans="1:31" ht="12.75" x14ac:dyDescent="0.2">
      <c r="A109" s="53">
        <f ca="1">IFERROR(__xludf.DUMMYFUNCTION("""COMPUTED_VALUE"""),12)</f>
        <v>12</v>
      </c>
      <c r="B109" s="53" t="str">
        <f ca="1">IFERROR(__xludf.DUMMYFUNCTION("""COMPUTED_VALUE"""),"Phạm Ngọc Thạch")</f>
        <v>Phạm Ngọc Thạch</v>
      </c>
      <c r="C109" s="53" t="str">
        <f ca="1">IFERROR(__xludf.DUMMYFUNCTION("""COMPUTED_VALUE"""),"THCS")</f>
        <v>THCS</v>
      </c>
      <c r="D109" s="53" t="str">
        <f ca="1">IFERROR(__xludf.DUMMYFUNCTION("""COMPUTED_VALUE"""),"TÂN BÌNH")</f>
        <v>TÂN BÌNH</v>
      </c>
      <c r="E109" s="54">
        <f ca="1">IFERROR(__xludf.DUMMYFUNCTION("""COMPUTED_VALUE"""),52)</f>
        <v>52</v>
      </c>
      <c r="F109" s="54">
        <f ca="1">IFERROR(__xludf.DUMMYFUNCTION("""COMPUTED_VALUE"""),52)</f>
        <v>52</v>
      </c>
      <c r="G109" s="54"/>
      <c r="H109" s="54">
        <f ca="1">IFERROR(__xludf.DUMMYFUNCTION("""COMPUTED_VALUE"""),52)</f>
        <v>52</v>
      </c>
      <c r="I109" s="54"/>
      <c r="J109" s="54">
        <f ca="1">IFERROR(__xludf.DUMMYFUNCTION("""COMPUTED_VALUE"""),50)</f>
        <v>50</v>
      </c>
      <c r="K109" s="54"/>
      <c r="L109" s="54">
        <f ca="1">IFERROR(__xludf.DUMMYFUNCTION("""COMPUTED_VALUE"""),24)</f>
        <v>24</v>
      </c>
      <c r="M109" s="54"/>
      <c r="N109" s="54">
        <f ca="1">IFERROR(__xludf.DUMMYFUNCTION("""COMPUTED_VALUE"""),63)</f>
        <v>63</v>
      </c>
      <c r="O109" s="54">
        <f ca="1">IFERROR(__xludf.DUMMYFUNCTION("""COMPUTED_VALUE"""),41)</f>
        <v>41</v>
      </c>
      <c r="P109" s="54"/>
      <c r="Q109" s="54">
        <f ca="1">IFERROR(__xludf.DUMMYFUNCTION("""COMPUTED_VALUE"""),18)</f>
        <v>18</v>
      </c>
      <c r="R109" s="54"/>
      <c r="S109" s="54">
        <f ca="1">IFERROR(__xludf.DUMMYFUNCTION("""COMPUTED_VALUE"""),684)</f>
        <v>684</v>
      </c>
      <c r="T109" s="54">
        <f ca="1">IFERROR(__xludf.DUMMYFUNCTION("""COMPUTED_VALUE"""),663)</f>
        <v>663</v>
      </c>
      <c r="U109" s="54"/>
      <c r="V109" s="54">
        <f ca="1">IFERROR(__xludf.DUMMYFUNCTION("""COMPUTED_VALUE"""),592)</f>
        <v>592</v>
      </c>
      <c r="W109" s="54"/>
      <c r="X109" s="54">
        <f ca="1">IFERROR(__xludf.DUMMYFUNCTION("""COMPUTED_VALUE"""),120)</f>
        <v>120</v>
      </c>
      <c r="Y109" s="54"/>
      <c r="Z109" s="2"/>
      <c r="AA109" s="2"/>
      <c r="AB109" s="2"/>
      <c r="AC109" s="2"/>
      <c r="AD109" s="2"/>
      <c r="AE109" s="2"/>
    </row>
    <row r="110" spans="1:31" ht="12.75" x14ac:dyDescent="0.2">
      <c r="A110" s="53">
        <f ca="1">IFERROR(__xludf.DUMMYFUNCTION("""COMPUTED_VALUE"""),13)</f>
        <v>13</v>
      </c>
      <c r="B110" s="53" t="str">
        <f ca="1">IFERROR(__xludf.DUMMYFUNCTION("""COMPUTED_VALUE"""),"Ngô Quyền")</f>
        <v>Ngô Quyền</v>
      </c>
      <c r="C110" s="53" t="str">
        <f ca="1">IFERROR(__xludf.DUMMYFUNCTION("""COMPUTED_VALUE"""),"THCS")</f>
        <v>THCS</v>
      </c>
      <c r="D110" s="53" t="str">
        <f ca="1">IFERROR(__xludf.DUMMYFUNCTION("""COMPUTED_VALUE"""),"TÂN BÌNH")</f>
        <v>TÂN BÌNH</v>
      </c>
      <c r="E110" s="54">
        <f ca="1">IFERROR(__xludf.DUMMYFUNCTION("""COMPUTED_VALUE"""),108)</f>
        <v>108</v>
      </c>
      <c r="F110" s="54">
        <f ca="1">IFERROR(__xludf.DUMMYFUNCTION("""COMPUTED_VALUE"""),108)</f>
        <v>108</v>
      </c>
      <c r="G110" s="54"/>
      <c r="H110" s="54">
        <f ca="1">IFERROR(__xludf.DUMMYFUNCTION("""COMPUTED_VALUE"""),108)</f>
        <v>108</v>
      </c>
      <c r="I110" s="54"/>
      <c r="J110" s="54">
        <f ca="1">IFERROR(__xludf.DUMMYFUNCTION("""COMPUTED_VALUE"""),108)</f>
        <v>108</v>
      </c>
      <c r="K110" s="54"/>
      <c r="L110" s="54">
        <f ca="1">IFERROR(__xludf.DUMMYFUNCTION("""COMPUTED_VALUE"""),14)</f>
        <v>14</v>
      </c>
      <c r="M110" s="54"/>
      <c r="N110" s="54">
        <f ca="1">IFERROR(__xludf.DUMMYFUNCTION("""COMPUTED_VALUE"""),420)</f>
        <v>420</v>
      </c>
      <c r="O110" s="54">
        <f ca="1">IFERROR(__xludf.DUMMYFUNCTION("""COMPUTED_VALUE"""),260)</f>
        <v>260</v>
      </c>
      <c r="P110" s="54"/>
      <c r="Q110" s="54">
        <f ca="1">IFERROR(__xludf.DUMMYFUNCTION("""COMPUTED_VALUE"""),171)</f>
        <v>171</v>
      </c>
      <c r="R110" s="54"/>
      <c r="S110" s="53">
        <f ca="1">IFERROR(__xludf.DUMMYFUNCTION("""COMPUTED_VALUE"""),1955)</f>
        <v>1955</v>
      </c>
      <c r="T110" s="53">
        <f ca="1">IFERROR(__xludf.DUMMYFUNCTION("""COMPUTED_VALUE"""),1955)</f>
        <v>1955</v>
      </c>
      <c r="U110" s="53"/>
      <c r="V110" s="53">
        <f ca="1">IFERROR(__xludf.DUMMYFUNCTION("""COMPUTED_VALUE"""),1795)</f>
        <v>1795</v>
      </c>
      <c r="W110" s="53"/>
      <c r="X110" s="53">
        <f ca="1">IFERROR(__xludf.DUMMYFUNCTION("""COMPUTED_VALUE"""),439)</f>
        <v>439</v>
      </c>
      <c r="Y110" s="53"/>
      <c r="Z110" s="2"/>
      <c r="AA110" s="2"/>
      <c r="AB110" s="2"/>
      <c r="AC110" s="2"/>
      <c r="AD110" s="2"/>
      <c r="AE110" s="2"/>
    </row>
    <row r="111" spans="1:31" ht="12.75" x14ac:dyDescent="0.2">
      <c r="A111" s="53">
        <f ca="1">IFERROR(__xludf.DUMMYFUNCTION("""COMPUTED_VALUE"""),1)</f>
        <v>1</v>
      </c>
      <c r="B111" s="53" t="str">
        <f ca="1">IFERROR(__xludf.DUMMYFUNCTION("""COMPUTED_VALUE"""),"Nguyễn Thượng Hiền")</f>
        <v>Nguyễn Thượng Hiền</v>
      </c>
      <c r="C111" s="53" t="str">
        <f ca="1">IFERROR(__xludf.DUMMYFUNCTION("""COMPUTED_VALUE"""),"THPT")</f>
        <v>THPT</v>
      </c>
      <c r="D111" s="53" t="str">
        <f ca="1">IFERROR(__xludf.DUMMYFUNCTION("""COMPUTED_VALUE"""),"TÂN BÌNH")</f>
        <v>TÂN BÌNH</v>
      </c>
      <c r="E111" s="54">
        <f ca="1">IFERROR(__xludf.DUMMYFUNCTION("""COMPUTED_VALUE"""),139)</f>
        <v>139</v>
      </c>
      <c r="F111" s="54">
        <f ca="1">IFERROR(__xludf.DUMMYFUNCTION("""COMPUTED_VALUE"""),139)</f>
        <v>139</v>
      </c>
      <c r="G111" s="54"/>
      <c r="H111" s="54">
        <f ca="1">IFERROR(__xludf.DUMMYFUNCTION("""COMPUTED_VALUE"""),138)</f>
        <v>138</v>
      </c>
      <c r="I111" s="54"/>
      <c r="J111" s="54">
        <f ca="1">IFERROR(__xludf.DUMMYFUNCTION("""COMPUTED_VALUE"""),138)</f>
        <v>138</v>
      </c>
      <c r="K111" s="54"/>
      <c r="L111" s="54">
        <f ca="1">IFERROR(__xludf.DUMMYFUNCTION("""COMPUTED_VALUE"""),44)</f>
        <v>44</v>
      </c>
      <c r="M111" s="54"/>
      <c r="N111" s="53"/>
      <c r="O111" s="53"/>
      <c r="P111" s="53"/>
      <c r="Q111" s="53"/>
      <c r="R111" s="53"/>
      <c r="S111" s="54">
        <f ca="1">IFERROR(__xludf.DUMMYFUNCTION("""COMPUTED_VALUE"""),1851)</f>
        <v>1851</v>
      </c>
      <c r="T111" s="53">
        <f ca="1">IFERROR(__xludf.DUMMYFUNCTION("""COMPUTED_VALUE"""),1851)</f>
        <v>1851</v>
      </c>
      <c r="U111" s="53"/>
      <c r="V111" s="54">
        <f ca="1">IFERROR(__xludf.DUMMYFUNCTION("""COMPUTED_VALUE"""),1851)</f>
        <v>1851</v>
      </c>
      <c r="W111" s="54"/>
      <c r="X111" s="54">
        <f ca="1">IFERROR(__xludf.DUMMYFUNCTION("""COMPUTED_VALUE"""),549)</f>
        <v>549</v>
      </c>
      <c r="Y111" s="54"/>
      <c r="Z111" s="2"/>
      <c r="AA111" s="2"/>
      <c r="AB111" s="2"/>
      <c r="AC111" s="2"/>
      <c r="AD111" s="2"/>
      <c r="AE111" s="2"/>
    </row>
    <row r="112" spans="1:31" ht="12.75" x14ac:dyDescent="0.2">
      <c r="A112" s="53">
        <f ca="1">IFERROR(__xludf.DUMMYFUNCTION("""COMPUTED_VALUE"""),2)</f>
        <v>2</v>
      </c>
      <c r="B112" s="53" t="str">
        <f ca="1">IFERROR(__xludf.DUMMYFUNCTION("""COMPUTED_VALUE"""),"Nguyễn Chí Thanh")</f>
        <v>Nguyễn Chí Thanh</v>
      </c>
      <c r="C112" s="53" t="str">
        <f ca="1">IFERROR(__xludf.DUMMYFUNCTION("""COMPUTED_VALUE"""),"THPT")</f>
        <v>THPT</v>
      </c>
      <c r="D112" s="53" t="str">
        <f ca="1">IFERROR(__xludf.DUMMYFUNCTION("""COMPUTED_VALUE"""),"TÂN BÌNH")</f>
        <v>TÂN BÌNH</v>
      </c>
      <c r="E112" s="54">
        <f ca="1">IFERROR(__xludf.DUMMYFUNCTION("""COMPUTED_VALUE"""),116)</f>
        <v>116</v>
      </c>
      <c r="F112" s="54">
        <f ca="1">IFERROR(__xludf.DUMMYFUNCTION("""COMPUTED_VALUE"""),116)</f>
        <v>116</v>
      </c>
      <c r="G112" s="54"/>
      <c r="H112" s="54">
        <f ca="1">IFERROR(__xludf.DUMMYFUNCTION("""COMPUTED_VALUE"""),116)</f>
        <v>116</v>
      </c>
      <c r="I112" s="54"/>
      <c r="J112" s="54">
        <f ca="1">IFERROR(__xludf.DUMMYFUNCTION("""COMPUTED_VALUE"""),116)</f>
        <v>116</v>
      </c>
      <c r="K112" s="54"/>
      <c r="L112" s="54">
        <f ca="1">IFERROR(__xludf.DUMMYFUNCTION("""COMPUTED_VALUE"""),81)</f>
        <v>81</v>
      </c>
      <c r="M112" s="54"/>
      <c r="N112" s="53"/>
      <c r="O112" s="53"/>
      <c r="P112" s="53"/>
      <c r="Q112" s="53"/>
      <c r="R112" s="53"/>
      <c r="S112" s="54">
        <f ca="1">IFERROR(__xludf.DUMMYFUNCTION("""COMPUTED_VALUE"""),1915)</f>
        <v>1915</v>
      </c>
      <c r="T112" s="54">
        <f ca="1">IFERROR(__xludf.DUMMYFUNCTION("""COMPUTED_VALUE"""),1915)</f>
        <v>1915</v>
      </c>
      <c r="U112" s="54"/>
      <c r="V112" s="54">
        <f ca="1">IFERROR(__xludf.DUMMYFUNCTION("""COMPUTED_VALUE"""),1915)</f>
        <v>1915</v>
      </c>
      <c r="W112" s="54"/>
      <c r="X112" s="54">
        <f ca="1">IFERROR(__xludf.DUMMYFUNCTION("""COMPUTED_VALUE"""),701)</f>
        <v>701</v>
      </c>
      <c r="Y112" s="54"/>
      <c r="Z112" s="2"/>
      <c r="AA112" s="2"/>
      <c r="AB112" s="2"/>
      <c r="AC112" s="2"/>
      <c r="AD112" s="2"/>
      <c r="AE112" s="2"/>
    </row>
    <row r="113" spans="1:31" ht="12.75" x14ac:dyDescent="0.2">
      <c r="A113" s="53">
        <f ca="1">IFERROR(__xludf.DUMMYFUNCTION("""COMPUTED_VALUE"""),3)</f>
        <v>3</v>
      </c>
      <c r="B113" s="53" t="str">
        <f ca="1">IFERROR(__xludf.DUMMYFUNCTION("""COMPUTED_VALUE"""),"Nguyễn Thái Bình")</f>
        <v>Nguyễn Thái Bình</v>
      </c>
      <c r="C113" s="53" t="str">
        <f ca="1">IFERROR(__xludf.DUMMYFUNCTION("""COMPUTED_VALUE"""),"THPT")</f>
        <v>THPT</v>
      </c>
      <c r="D113" s="53" t="str">
        <f ca="1">IFERROR(__xludf.DUMMYFUNCTION("""COMPUTED_VALUE"""),"TÂN BÌNH")</f>
        <v>TÂN BÌNH</v>
      </c>
      <c r="E113" s="54">
        <f ca="1">IFERROR(__xludf.DUMMYFUNCTION("""COMPUTED_VALUE"""),113)</f>
        <v>113</v>
      </c>
      <c r="F113" s="54">
        <f ca="1">IFERROR(__xludf.DUMMYFUNCTION("""COMPUTED_VALUE"""),113)</f>
        <v>113</v>
      </c>
      <c r="G113" s="54"/>
      <c r="H113" s="54">
        <f ca="1">IFERROR(__xludf.DUMMYFUNCTION("""COMPUTED_VALUE"""),113)</f>
        <v>113</v>
      </c>
      <c r="I113" s="54"/>
      <c r="J113" s="54">
        <f ca="1">IFERROR(__xludf.DUMMYFUNCTION("""COMPUTED_VALUE"""),103)</f>
        <v>103</v>
      </c>
      <c r="K113" s="54"/>
      <c r="L113" s="54">
        <f ca="1">IFERROR(__xludf.DUMMYFUNCTION("""COMPUTED_VALUE"""),17)</f>
        <v>17</v>
      </c>
      <c r="M113" s="54"/>
      <c r="N113" s="53"/>
      <c r="O113" s="53"/>
      <c r="P113" s="53"/>
      <c r="Q113" s="53"/>
      <c r="R113" s="53"/>
      <c r="S113" s="54">
        <f ca="1">IFERROR(__xludf.DUMMYFUNCTION("""COMPUTED_VALUE"""),1859)</f>
        <v>1859</v>
      </c>
      <c r="T113" s="53">
        <f ca="1">IFERROR(__xludf.DUMMYFUNCTION("""COMPUTED_VALUE"""),1858)</f>
        <v>1858</v>
      </c>
      <c r="U113" s="53"/>
      <c r="V113" s="54">
        <f ca="1">IFERROR(__xludf.DUMMYFUNCTION("""COMPUTED_VALUE"""),1852)</f>
        <v>1852</v>
      </c>
      <c r="W113" s="54"/>
      <c r="X113" s="54">
        <f ca="1">IFERROR(__xludf.DUMMYFUNCTION("""COMPUTED_VALUE"""),624)</f>
        <v>624</v>
      </c>
      <c r="Y113" s="54"/>
      <c r="Z113" s="2"/>
      <c r="AA113" s="2"/>
      <c r="AB113" s="2"/>
      <c r="AC113" s="2"/>
      <c r="AD113" s="2"/>
      <c r="AE113" s="2"/>
    </row>
    <row r="114" spans="1:31" ht="12.75" x14ac:dyDescent="0.2">
      <c r="A114" s="53">
        <f ca="1">IFERROR(__xludf.DUMMYFUNCTION("""COMPUTED_VALUE"""),4)</f>
        <v>4</v>
      </c>
      <c r="B114" s="53" t="str">
        <f ca="1">IFERROR(__xludf.DUMMYFUNCTION("""COMPUTED_VALUE"""),"Quốc Tế Á Châu")</f>
        <v>Quốc Tế Á Châu</v>
      </c>
      <c r="C114" s="53" t="str">
        <f ca="1">IFERROR(__xludf.DUMMYFUNCTION("""COMPUTED_VALUE"""),"THPT")</f>
        <v>THPT</v>
      </c>
      <c r="D114" s="53" t="str">
        <f ca="1">IFERROR(__xludf.DUMMYFUNCTION("""COMPUTED_VALUE"""),"TÂN BÌNH")</f>
        <v>TÂN BÌNH</v>
      </c>
      <c r="E114" s="54">
        <f ca="1">IFERROR(__xludf.DUMMYFUNCTION("""COMPUTED_VALUE"""),304)</f>
        <v>304</v>
      </c>
      <c r="F114" s="54">
        <f ca="1">IFERROR(__xludf.DUMMYFUNCTION("""COMPUTED_VALUE"""),304)</f>
        <v>304</v>
      </c>
      <c r="G114" s="54"/>
      <c r="H114" s="54">
        <f ca="1">IFERROR(__xludf.DUMMYFUNCTION("""COMPUTED_VALUE"""),304)</f>
        <v>304</v>
      </c>
      <c r="I114" s="54"/>
      <c r="J114" s="54">
        <f ca="1">IFERROR(__xludf.DUMMYFUNCTION("""COMPUTED_VALUE"""),267)</f>
        <v>267</v>
      </c>
      <c r="K114" s="54"/>
      <c r="L114" s="54">
        <f ca="1">IFERROR(__xludf.DUMMYFUNCTION("""COMPUTED_VALUE"""),121)</f>
        <v>121</v>
      </c>
      <c r="M114" s="54"/>
      <c r="N114" s="54">
        <f ca="1">IFERROR(__xludf.DUMMYFUNCTION("""COMPUTED_VALUE"""),348)</f>
        <v>348</v>
      </c>
      <c r="O114" s="54">
        <f ca="1">IFERROR(__xludf.DUMMYFUNCTION("""COMPUTED_VALUE"""),124)</f>
        <v>124</v>
      </c>
      <c r="P114" s="54"/>
      <c r="Q114" s="54">
        <f ca="1">IFERROR(__xludf.DUMMYFUNCTION("""COMPUTED_VALUE"""),37)</f>
        <v>37</v>
      </c>
      <c r="R114" s="54"/>
      <c r="S114" s="54">
        <f ca="1">IFERROR(__xludf.DUMMYFUNCTION("""COMPUTED_VALUE"""),1170)</f>
        <v>1170</v>
      </c>
      <c r="T114" s="54">
        <f ca="1">IFERROR(__xludf.DUMMYFUNCTION("""COMPUTED_VALUE"""),1079)</f>
        <v>1079</v>
      </c>
      <c r="U114" s="54"/>
      <c r="V114" s="54">
        <f ca="1">IFERROR(__xludf.DUMMYFUNCTION("""COMPUTED_VALUE"""),1029)</f>
        <v>1029</v>
      </c>
      <c r="W114" s="54"/>
      <c r="X114" s="54">
        <f ca="1">IFERROR(__xludf.DUMMYFUNCTION("""COMPUTED_VALUE"""),177)</f>
        <v>177</v>
      </c>
      <c r="Y114" s="54"/>
      <c r="Z114" s="2"/>
      <c r="AA114" s="2"/>
      <c r="AB114" s="2"/>
      <c r="AC114" s="2"/>
      <c r="AD114" s="2"/>
      <c r="AE114" s="2"/>
    </row>
    <row r="115" spans="1:31" ht="12.75" x14ac:dyDescent="0.2">
      <c r="A115" s="53">
        <f ca="1">IFERROR(__xludf.DUMMYFUNCTION("""COMPUTED_VALUE"""),5)</f>
        <v>5</v>
      </c>
      <c r="B115" s="53" t="str">
        <f ca="1">IFERROR(__xludf.DUMMYFUNCTION("""COMPUTED_VALUE"""),"Thanh Bình")</f>
        <v>Thanh Bình</v>
      </c>
      <c r="C115" s="53" t="str">
        <f ca="1">IFERROR(__xludf.DUMMYFUNCTION("""COMPUTED_VALUE"""),"THPT")</f>
        <v>THPT</v>
      </c>
      <c r="D115" s="53" t="str">
        <f ca="1">IFERROR(__xludf.DUMMYFUNCTION("""COMPUTED_VALUE"""),"TÂN BÌNH")</f>
        <v>TÂN BÌNH</v>
      </c>
      <c r="E115" s="54">
        <f ca="1">IFERROR(__xludf.DUMMYFUNCTION("""COMPUTED_VALUE"""),130)</f>
        <v>130</v>
      </c>
      <c r="F115" s="54">
        <f ca="1">IFERROR(__xludf.DUMMYFUNCTION("""COMPUTED_VALUE"""),130)</f>
        <v>130</v>
      </c>
      <c r="G115" s="54"/>
      <c r="H115" s="54">
        <f ca="1">IFERROR(__xludf.DUMMYFUNCTION("""COMPUTED_VALUE"""),130)</f>
        <v>130</v>
      </c>
      <c r="I115" s="54"/>
      <c r="J115" s="54">
        <f ca="1">IFERROR(__xludf.DUMMYFUNCTION("""COMPUTED_VALUE"""),130)</f>
        <v>130</v>
      </c>
      <c r="K115" s="54"/>
      <c r="L115" s="54">
        <f ca="1">IFERROR(__xludf.DUMMYFUNCTION("""COMPUTED_VALUE"""),49)</f>
        <v>49</v>
      </c>
      <c r="M115" s="54"/>
      <c r="N115" s="54">
        <f ca="1">IFERROR(__xludf.DUMMYFUNCTION("""COMPUTED_VALUE"""),88)</f>
        <v>88</v>
      </c>
      <c r="O115" s="54">
        <f ca="1">IFERROR(__xludf.DUMMYFUNCTION("""COMPUTED_VALUE"""),30)</f>
        <v>30</v>
      </c>
      <c r="P115" s="54"/>
      <c r="Q115" s="54">
        <f ca="1">IFERROR(__xludf.DUMMYFUNCTION("""COMPUTED_VALUE"""),9)</f>
        <v>9</v>
      </c>
      <c r="R115" s="54"/>
      <c r="S115" s="54">
        <f ca="1">IFERROR(__xludf.DUMMYFUNCTION("""COMPUTED_VALUE"""),843)</f>
        <v>843</v>
      </c>
      <c r="T115" s="54">
        <f ca="1">IFERROR(__xludf.DUMMYFUNCTION("""COMPUTED_VALUE"""),735)</f>
        <v>735</v>
      </c>
      <c r="U115" s="54"/>
      <c r="V115" s="54">
        <f ca="1">IFERROR(__xludf.DUMMYFUNCTION("""COMPUTED_VALUE"""),726)</f>
        <v>726</v>
      </c>
      <c r="W115" s="54"/>
      <c r="X115" s="54">
        <f ca="1">IFERROR(__xludf.DUMMYFUNCTION("""COMPUTED_VALUE"""),275)</f>
        <v>275</v>
      </c>
      <c r="Y115" s="54"/>
      <c r="Z115" s="2"/>
      <c r="AA115" s="2"/>
      <c r="AB115" s="2"/>
      <c r="AC115" s="2"/>
      <c r="AD115" s="2"/>
      <c r="AE115" s="2"/>
    </row>
    <row r="116" spans="1:31" ht="12.75" x14ac:dyDescent="0.2">
      <c r="A116" s="53">
        <f ca="1">IFERROR(__xludf.DUMMYFUNCTION("""COMPUTED_VALUE"""),6)</f>
        <v>6</v>
      </c>
      <c r="B116" s="53" t="str">
        <f ca="1">IFERROR(__xludf.DUMMYFUNCTION("""COMPUTED_VALUE"""),"Thái Bình")</f>
        <v>Thái Bình</v>
      </c>
      <c r="C116" s="53" t="str">
        <f ca="1">IFERROR(__xludf.DUMMYFUNCTION("""COMPUTED_VALUE"""),"THPT")</f>
        <v>THPT</v>
      </c>
      <c r="D116" s="53" t="str">
        <f ca="1">IFERROR(__xludf.DUMMYFUNCTION("""COMPUTED_VALUE"""),"TÂN BÌNH")</f>
        <v>TÂN BÌNH</v>
      </c>
      <c r="E116" s="54">
        <f ca="1">IFERROR(__xludf.DUMMYFUNCTION("""COMPUTED_VALUE"""),97)</f>
        <v>97</v>
      </c>
      <c r="F116" s="54">
        <f ca="1">IFERROR(__xludf.DUMMYFUNCTION("""COMPUTED_VALUE"""),97)</f>
        <v>97</v>
      </c>
      <c r="G116" s="54"/>
      <c r="H116" s="54">
        <f ca="1">IFERROR(__xludf.DUMMYFUNCTION("""COMPUTED_VALUE"""),97)</f>
        <v>97</v>
      </c>
      <c r="I116" s="54"/>
      <c r="J116" s="54">
        <f ca="1">IFERROR(__xludf.DUMMYFUNCTION("""COMPUTED_VALUE"""),97)</f>
        <v>97</v>
      </c>
      <c r="K116" s="54"/>
      <c r="L116" s="53"/>
      <c r="M116" s="53"/>
      <c r="N116" s="54">
        <f ca="1">IFERROR(__xludf.DUMMYFUNCTION("""COMPUTED_VALUE"""),17)</f>
        <v>17</v>
      </c>
      <c r="O116" s="54">
        <f ca="1">IFERROR(__xludf.DUMMYFUNCTION("""COMPUTED_VALUE"""),8)</f>
        <v>8</v>
      </c>
      <c r="P116" s="54"/>
      <c r="Q116" s="54">
        <f ca="1">IFERROR(__xludf.DUMMYFUNCTION("""COMPUTED_VALUE"""),3)</f>
        <v>3</v>
      </c>
      <c r="R116" s="54"/>
      <c r="S116" s="54">
        <f ca="1">IFERROR(__xludf.DUMMYFUNCTION("""COMPUTED_VALUE"""),292)</f>
        <v>292</v>
      </c>
      <c r="T116" s="53">
        <f ca="1">IFERROR(__xludf.DUMMYFUNCTION("""COMPUTED_VALUE"""),291)</f>
        <v>291</v>
      </c>
      <c r="U116" s="53"/>
      <c r="V116" s="54">
        <f ca="1">IFERROR(__xludf.DUMMYFUNCTION("""COMPUTED_VALUE"""),290)</f>
        <v>290</v>
      </c>
      <c r="W116" s="54"/>
      <c r="X116" s="54">
        <f ca="1">IFERROR(__xludf.DUMMYFUNCTION("""COMPUTED_VALUE"""),19)</f>
        <v>19</v>
      </c>
      <c r="Y116" s="54"/>
      <c r="Z116" s="2"/>
      <c r="AA116" s="2"/>
      <c r="AB116" s="2"/>
      <c r="AC116" s="2"/>
      <c r="AD116" s="2"/>
      <c r="AE116" s="2"/>
    </row>
    <row r="117" spans="1:31" ht="12.75" x14ac:dyDescent="0.2">
      <c r="A117" s="53">
        <f ca="1">IFERROR(__xludf.DUMMYFUNCTION("""COMPUTED_VALUE"""),7)</f>
        <v>7</v>
      </c>
      <c r="B117" s="53" t="str">
        <f ca="1">IFERROR(__xludf.DUMMYFUNCTION("""COMPUTED_VALUE"""),"Bái Ái")</f>
        <v>Bái Ái</v>
      </c>
      <c r="C117" s="53" t="str">
        <f ca="1">IFERROR(__xludf.DUMMYFUNCTION("""COMPUTED_VALUE"""),"THPT")</f>
        <v>THPT</v>
      </c>
      <c r="D117" s="53" t="str">
        <f ca="1">IFERROR(__xludf.DUMMYFUNCTION("""COMPUTED_VALUE"""),"TÂN BÌNH")</f>
        <v>TÂN BÌNH</v>
      </c>
      <c r="E117" s="54">
        <f ca="1">IFERROR(__xludf.DUMMYFUNCTION("""COMPUTED_VALUE"""),40)</f>
        <v>40</v>
      </c>
      <c r="F117" s="54">
        <f ca="1">IFERROR(__xludf.DUMMYFUNCTION("""COMPUTED_VALUE"""),40)</f>
        <v>40</v>
      </c>
      <c r="G117" s="54"/>
      <c r="H117" s="54">
        <f ca="1">IFERROR(__xludf.DUMMYFUNCTION("""COMPUTED_VALUE"""),40)</f>
        <v>40</v>
      </c>
      <c r="I117" s="54"/>
      <c r="J117" s="54">
        <f ca="1">IFERROR(__xludf.DUMMYFUNCTION("""COMPUTED_VALUE"""),40)</f>
        <v>40</v>
      </c>
      <c r="K117" s="54"/>
      <c r="L117" s="54">
        <f ca="1">IFERROR(__xludf.DUMMYFUNCTION("""COMPUTED_VALUE"""),9)</f>
        <v>9</v>
      </c>
      <c r="M117" s="54"/>
      <c r="N117" s="54">
        <f ca="1">IFERROR(__xludf.DUMMYFUNCTION("""COMPUTED_VALUE"""),25)</f>
        <v>25</v>
      </c>
      <c r="O117" s="54">
        <f ca="1">IFERROR(__xludf.DUMMYFUNCTION("""COMPUTED_VALUE"""),23)</f>
        <v>23</v>
      </c>
      <c r="P117" s="54"/>
      <c r="Q117" s="54">
        <f ca="1">IFERROR(__xludf.DUMMYFUNCTION("""COMPUTED_VALUE"""),23)</f>
        <v>23</v>
      </c>
      <c r="R117" s="54"/>
      <c r="S117" s="54">
        <f ca="1">IFERROR(__xludf.DUMMYFUNCTION("""COMPUTED_VALUE"""),60)</f>
        <v>60</v>
      </c>
      <c r="T117" s="53">
        <f ca="1">IFERROR(__xludf.DUMMYFUNCTION("""COMPUTED_VALUE"""),60)</f>
        <v>60</v>
      </c>
      <c r="U117" s="53"/>
      <c r="V117" s="54">
        <f ca="1">IFERROR(__xludf.DUMMYFUNCTION("""COMPUTED_VALUE"""),60)</f>
        <v>60</v>
      </c>
      <c r="W117" s="54"/>
      <c r="X117" s="54">
        <f ca="1">IFERROR(__xludf.DUMMYFUNCTION("""COMPUTED_VALUE"""),18)</f>
        <v>18</v>
      </c>
      <c r="Y117" s="54"/>
      <c r="Z117" s="2"/>
      <c r="AA117" s="2"/>
      <c r="AB117" s="2"/>
      <c r="AC117" s="2"/>
      <c r="AD117" s="2"/>
      <c r="AE117" s="2"/>
    </row>
    <row r="118" spans="1:31" ht="12.75" x14ac:dyDescent="0.2">
      <c r="A118" s="53">
        <f ca="1">IFERROR(__xludf.DUMMYFUNCTION("""COMPUTED_VALUE"""),8)</f>
        <v>8</v>
      </c>
      <c r="B118" s="53" t="str">
        <f ca="1">IFERROR(__xludf.DUMMYFUNCTION("""COMPUTED_VALUE"""),"Việt Thanh")</f>
        <v>Việt Thanh</v>
      </c>
      <c r="C118" s="53" t="str">
        <f ca="1">IFERROR(__xludf.DUMMYFUNCTION("""COMPUTED_VALUE"""),"THPT")</f>
        <v>THPT</v>
      </c>
      <c r="D118" s="53" t="str">
        <f ca="1">IFERROR(__xludf.DUMMYFUNCTION("""COMPUTED_VALUE"""),"TÂN BÌNH")</f>
        <v>TÂN BÌNH</v>
      </c>
      <c r="E118" s="54">
        <f ca="1">IFERROR(__xludf.DUMMYFUNCTION("""COMPUTED_VALUE"""),26)</f>
        <v>26</v>
      </c>
      <c r="F118" s="54">
        <f ca="1">IFERROR(__xludf.DUMMYFUNCTION("""COMPUTED_VALUE"""),26)</f>
        <v>26</v>
      </c>
      <c r="G118" s="54"/>
      <c r="H118" s="54">
        <f ca="1">IFERROR(__xludf.DUMMYFUNCTION("""COMPUTED_VALUE"""),26)</f>
        <v>26</v>
      </c>
      <c r="I118" s="54"/>
      <c r="J118" s="54">
        <f ca="1">IFERROR(__xludf.DUMMYFUNCTION("""COMPUTED_VALUE"""),25)</f>
        <v>25</v>
      </c>
      <c r="K118" s="54"/>
      <c r="L118" s="54">
        <f ca="1">IFERROR(__xludf.DUMMYFUNCTION("""COMPUTED_VALUE"""),1)</f>
        <v>1</v>
      </c>
      <c r="M118" s="54"/>
      <c r="N118" s="54">
        <f ca="1">IFERROR(__xludf.DUMMYFUNCTION("""COMPUTED_VALUE"""),7)</f>
        <v>7</v>
      </c>
      <c r="O118" s="54">
        <f ca="1">IFERROR(__xludf.DUMMYFUNCTION("""COMPUTED_VALUE"""),4)</f>
        <v>4</v>
      </c>
      <c r="P118" s="54"/>
      <c r="Q118" s="54">
        <f ca="1">IFERROR(__xludf.DUMMYFUNCTION("""COMPUTED_VALUE"""),2)</f>
        <v>2</v>
      </c>
      <c r="R118" s="54"/>
      <c r="S118" s="53">
        <f ca="1">IFERROR(__xludf.DUMMYFUNCTION("""COMPUTED_VALUE"""),210)</f>
        <v>210</v>
      </c>
      <c r="T118" s="53">
        <f ca="1">IFERROR(__xludf.DUMMYFUNCTION("""COMPUTED_VALUE"""),210)</f>
        <v>210</v>
      </c>
      <c r="U118" s="53"/>
      <c r="V118" s="53">
        <f ca="1">IFERROR(__xludf.DUMMYFUNCTION("""COMPUTED_VALUE"""),202)</f>
        <v>202</v>
      </c>
      <c r="W118" s="53"/>
      <c r="X118" s="53">
        <f ca="1">IFERROR(__xludf.DUMMYFUNCTION("""COMPUTED_VALUE"""),132)</f>
        <v>132</v>
      </c>
      <c r="Y118" s="53"/>
      <c r="Z118" s="2"/>
      <c r="AA118" s="2"/>
      <c r="AB118" s="2"/>
      <c r="AC118" s="2"/>
      <c r="AD118" s="2"/>
      <c r="AE118" s="2"/>
    </row>
    <row r="119" spans="1:31" ht="12.75" x14ac:dyDescent="0.2">
      <c r="A119" s="53">
        <f ca="1">IFERROR(__xludf.DUMMYFUNCTION("""COMPUTED_VALUE"""),9)</f>
        <v>9</v>
      </c>
      <c r="B119" s="53" t="str">
        <f ca="1">IFERROR(__xludf.DUMMYFUNCTION("""COMPUTED_VALUE"""),"Thủ Khoa Huân")</f>
        <v>Thủ Khoa Huân</v>
      </c>
      <c r="C119" s="53" t="str">
        <f ca="1">IFERROR(__xludf.DUMMYFUNCTION("""COMPUTED_VALUE"""),"THPT")</f>
        <v>THPT</v>
      </c>
      <c r="D119" s="53" t="str">
        <f ca="1">IFERROR(__xludf.DUMMYFUNCTION("""COMPUTED_VALUE"""),"TÂN BÌNH")</f>
        <v>TÂN BÌNH</v>
      </c>
      <c r="E119" s="54">
        <f ca="1">IFERROR(__xludf.DUMMYFUNCTION("""COMPUTED_VALUE"""),40)</f>
        <v>40</v>
      </c>
      <c r="F119" s="54">
        <f ca="1">IFERROR(__xludf.DUMMYFUNCTION("""COMPUTED_VALUE"""),40)</f>
        <v>40</v>
      </c>
      <c r="G119" s="54"/>
      <c r="H119" s="54">
        <f ca="1">IFERROR(__xludf.DUMMYFUNCTION("""COMPUTED_VALUE"""),40)</f>
        <v>40</v>
      </c>
      <c r="I119" s="54"/>
      <c r="J119" s="54">
        <f ca="1">IFERROR(__xludf.DUMMYFUNCTION("""COMPUTED_VALUE"""),38)</f>
        <v>38</v>
      </c>
      <c r="K119" s="54"/>
      <c r="L119" s="54">
        <f ca="1">IFERROR(__xludf.DUMMYFUNCTION("""COMPUTED_VALUE"""),21)</f>
        <v>21</v>
      </c>
      <c r="M119" s="54"/>
      <c r="N119" s="54">
        <f ca="1">IFERROR(__xludf.DUMMYFUNCTION("""COMPUTED_VALUE"""),0)</f>
        <v>0</v>
      </c>
      <c r="O119" s="54">
        <f ca="1">IFERROR(__xludf.DUMMYFUNCTION("""COMPUTED_VALUE"""),0)</f>
        <v>0</v>
      </c>
      <c r="P119" s="54"/>
      <c r="Q119" s="54">
        <f ca="1">IFERROR(__xludf.DUMMYFUNCTION("""COMPUTED_VALUE"""),0)</f>
        <v>0</v>
      </c>
      <c r="R119" s="54"/>
      <c r="S119" s="54">
        <f ca="1">IFERROR(__xludf.DUMMYFUNCTION("""COMPUTED_VALUE"""),145)</f>
        <v>145</v>
      </c>
      <c r="T119" s="53">
        <f ca="1">IFERROR(__xludf.DUMMYFUNCTION("""COMPUTED_VALUE"""),145)</f>
        <v>145</v>
      </c>
      <c r="U119" s="53"/>
      <c r="V119" s="54">
        <f ca="1">IFERROR(__xludf.DUMMYFUNCTION("""COMPUTED_VALUE"""),145)</f>
        <v>145</v>
      </c>
      <c r="W119" s="54"/>
      <c r="X119" s="54">
        <f ca="1">IFERROR(__xludf.DUMMYFUNCTION("""COMPUTED_VALUE"""),38)</f>
        <v>38</v>
      </c>
      <c r="Y119" s="54"/>
      <c r="Z119" s="2"/>
      <c r="AA119" s="2"/>
      <c r="AB119" s="2"/>
      <c r="AC119" s="2"/>
      <c r="AD119" s="2"/>
      <c r="AE119" s="2"/>
    </row>
    <row r="120" spans="1:31" ht="12.75" x14ac:dyDescent="0.2">
      <c r="A120" s="53">
        <f ca="1">IFERROR(__xludf.DUMMYFUNCTION("""COMPUTED_VALUE"""),11)</f>
        <v>11</v>
      </c>
      <c r="B120" s="53" t="str">
        <f ca="1">IFERROR(__xludf.DUMMYFUNCTION("""COMPUTED_VALUE"""),"Hai Bà Trưng")</f>
        <v>Hai Bà Trưng</v>
      </c>
      <c r="C120" s="53" t="str">
        <f ca="1">IFERROR(__xludf.DUMMYFUNCTION("""COMPUTED_VALUE"""),"THPT")</f>
        <v>THPT</v>
      </c>
      <c r="D120" s="53" t="str">
        <f ca="1">IFERROR(__xludf.DUMMYFUNCTION("""COMPUTED_VALUE"""),"TÂN BÌNH")</f>
        <v>TÂN BÌNH</v>
      </c>
      <c r="E120" s="54">
        <f ca="1">IFERROR(__xludf.DUMMYFUNCTION("""COMPUTED_VALUE"""),39)</f>
        <v>39</v>
      </c>
      <c r="F120" s="54">
        <f ca="1">IFERROR(__xludf.DUMMYFUNCTION("""COMPUTED_VALUE"""),39)</f>
        <v>39</v>
      </c>
      <c r="G120" s="54"/>
      <c r="H120" s="54">
        <f ca="1">IFERROR(__xludf.DUMMYFUNCTION("""COMPUTED_VALUE"""),39)</f>
        <v>39</v>
      </c>
      <c r="I120" s="54"/>
      <c r="J120" s="54">
        <f ca="1">IFERROR(__xludf.DUMMYFUNCTION("""COMPUTED_VALUE"""),39)</f>
        <v>39</v>
      </c>
      <c r="K120" s="54"/>
      <c r="L120" s="54">
        <f ca="1">IFERROR(__xludf.DUMMYFUNCTION("""COMPUTED_VALUE"""),35)</f>
        <v>35</v>
      </c>
      <c r="M120" s="54"/>
      <c r="N120" s="54">
        <f ca="1">IFERROR(__xludf.DUMMYFUNCTION("""COMPUTED_VALUE"""),368)</f>
        <v>368</v>
      </c>
      <c r="O120" s="54">
        <f ca="1">IFERROR(__xludf.DUMMYFUNCTION("""COMPUTED_VALUE"""),0)</f>
        <v>0</v>
      </c>
      <c r="P120" s="54"/>
      <c r="Q120" s="54">
        <f ca="1">IFERROR(__xludf.DUMMYFUNCTION("""COMPUTED_VALUE"""),0)</f>
        <v>0</v>
      </c>
      <c r="R120" s="54"/>
      <c r="S120" s="54">
        <f ca="1">IFERROR(__xludf.DUMMYFUNCTION("""COMPUTED_VALUE"""),368)</f>
        <v>368</v>
      </c>
      <c r="T120" s="54">
        <f ca="1">IFERROR(__xludf.DUMMYFUNCTION("""COMPUTED_VALUE"""),211)</f>
        <v>211</v>
      </c>
      <c r="U120" s="54"/>
      <c r="V120" s="54">
        <f ca="1">IFERROR(__xludf.DUMMYFUNCTION("""COMPUTED_VALUE"""),317)</f>
        <v>317</v>
      </c>
      <c r="W120" s="54"/>
      <c r="X120" s="54">
        <f ca="1">IFERROR(__xludf.DUMMYFUNCTION("""COMPUTED_VALUE"""),0)</f>
        <v>0</v>
      </c>
      <c r="Y120" s="54"/>
      <c r="Z120" s="2"/>
      <c r="AA120" s="2"/>
      <c r="AB120" s="2"/>
      <c r="AC120" s="2"/>
      <c r="AD120" s="2"/>
      <c r="AE120" s="2"/>
    </row>
    <row r="121" spans="1:31" ht="12.75" x14ac:dyDescent="0.2">
      <c r="A121" s="53">
        <f ca="1">IFERROR(__xludf.DUMMYFUNCTION("""COMPUTED_VALUE"""),12)</f>
        <v>12</v>
      </c>
      <c r="B121" s="53" t="str">
        <f ca="1">IFERROR(__xludf.DUMMYFUNCTION("""COMPUTED_VALUE"""),"Thái Bình Dương")</f>
        <v>Thái Bình Dương</v>
      </c>
      <c r="C121" s="53" t="str">
        <f ca="1">IFERROR(__xludf.DUMMYFUNCTION("""COMPUTED_VALUE"""),"THPT")</f>
        <v>THPT</v>
      </c>
      <c r="D121" s="53" t="str">
        <f ca="1">IFERROR(__xludf.DUMMYFUNCTION("""COMPUTED_VALUE"""),"TÂN BÌNH")</f>
        <v>TÂN BÌNH</v>
      </c>
      <c r="E121" s="54">
        <f ca="1">IFERROR(__xludf.DUMMYFUNCTION("""COMPUTED_VALUE"""),17)</f>
        <v>17</v>
      </c>
      <c r="F121" s="54">
        <f ca="1">IFERROR(__xludf.DUMMYFUNCTION("""COMPUTED_VALUE"""),17)</f>
        <v>17</v>
      </c>
      <c r="G121" s="54"/>
      <c r="H121" s="54">
        <f ca="1">IFERROR(__xludf.DUMMYFUNCTION("""COMPUTED_VALUE"""),17)</f>
        <v>17</v>
      </c>
      <c r="I121" s="54"/>
      <c r="J121" s="54">
        <f ca="1">IFERROR(__xludf.DUMMYFUNCTION("""COMPUTED_VALUE"""),17)</f>
        <v>17</v>
      </c>
      <c r="K121" s="54"/>
      <c r="L121" s="54">
        <f ca="1">IFERROR(__xludf.DUMMYFUNCTION("""COMPUTED_VALUE"""),2)</f>
        <v>2</v>
      </c>
      <c r="M121" s="54"/>
      <c r="N121" s="53"/>
      <c r="O121" s="53"/>
      <c r="P121" s="53"/>
      <c r="Q121" s="53"/>
      <c r="R121" s="53"/>
      <c r="S121" s="54">
        <f ca="1">IFERROR(__xludf.DUMMYFUNCTION("""COMPUTED_VALUE"""),133)</f>
        <v>133</v>
      </c>
      <c r="T121" s="53">
        <f ca="1">IFERROR(__xludf.DUMMYFUNCTION("""COMPUTED_VALUE"""),83)</f>
        <v>83</v>
      </c>
      <c r="U121" s="53"/>
      <c r="V121" s="54">
        <f ca="1">IFERROR(__xludf.DUMMYFUNCTION("""COMPUTED_VALUE"""),83)</f>
        <v>83</v>
      </c>
      <c r="W121" s="54"/>
      <c r="X121" s="54">
        <f ca="1">IFERROR(__xludf.DUMMYFUNCTION("""COMPUTED_VALUE"""),50)</f>
        <v>50</v>
      </c>
      <c r="Y121" s="54"/>
      <c r="Z121" s="2"/>
      <c r="AA121" s="2"/>
      <c r="AB121" s="2"/>
      <c r="AC121" s="2"/>
      <c r="AD121" s="2"/>
      <c r="AE121" s="2"/>
    </row>
    <row r="122" spans="1:31" ht="12.75" x14ac:dyDescent="0.2">
      <c r="A122" s="53">
        <f ca="1">IFERROR(__xludf.DUMMYFUNCTION("""COMPUTED_VALUE"""),13)</f>
        <v>13</v>
      </c>
      <c r="B122" s="53" t="str">
        <f ca="1">IFERROR(__xludf.DUMMYFUNCTION("""COMPUTED_VALUE"""),"TH, THCS, THPT Việt Mỹ")</f>
        <v>TH, THCS, THPT Việt Mỹ</v>
      </c>
      <c r="C122" s="53" t="str">
        <f ca="1">IFERROR(__xludf.DUMMYFUNCTION("""COMPUTED_VALUE"""),"THPT")</f>
        <v>THPT</v>
      </c>
      <c r="D122" s="53" t="str">
        <f ca="1">IFERROR(__xludf.DUMMYFUNCTION("""COMPUTED_VALUE"""),"TÂN BÌNH")</f>
        <v>TÂN BÌNH</v>
      </c>
      <c r="E122" s="54">
        <f ca="1">IFERROR(__xludf.DUMMYFUNCTION("""COMPUTED_VALUE"""),51)</f>
        <v>51</v>
      </c>
      <c r="F122" s="54">
        <f ca="1">IFERROR(__xludf.DUMMYFUNCTION("""COMPUTED_VALUE"""),51)</f>
        <v>51</v>
      </c>
      <c r="G122" s="54"/>
      <c r="H122" s="54">
        <f ca="1">IFERROR(__xludf.DUMMYFUNCTION("""COMPUTED_VALUE"""),51)</f>
        <v>51</v>
      </c>
      <c r="I122" s="54"/>
      <c r="J122" s="54">
        <f ca="1">IFERROR(__xludf.DUMMYFUNCTION("""COMPUTED_VALUE"""),51)</f>
        <v>51</v>
      </c>
      <c r="K122" s="54"/>
      <c r="L122" s="54">
        <f ca="1">IFERROR(__xludf.DUMMYFUNCTION("""COMPUTED_VALUE"""),19)</f>
        <v>19</v>
      </c>
      <c r="M122" s="54"/>
      <c r="N122" s="54">
        <f ca="1">IFERROR(__xludf.DUMMYFUNCTION("""COMPUTED_VALUE"""),158)</f>
        <v>158</v>
      </c>
      <c r="O122" s="54">
        <f ca="1">IFERROR(__xludf.DUMMYFUNCTION("""COMPUTED_VALUE"""),45)</f>
        <v>45</v>
      </c>
      <c r="P122" s="54"/>
      <c r="Q122" s="54">
        <f ca="1">IFERROR(__xludf.DUMMYFUNCTION("""COMPUTED_VALUE"""),6)</f>
        <v>6</v>
      </c>
      <c r="R122" s="54"/>
      <c r="S122" s="54">
        <f ca="1">IFERROR(__xludf.DUMMYFUNCTION("""COMPUTED_VALUE"""),157)</f>
        <v>157</v>
      </c>
      <c r="T122" s="53">
        <f ca="1">IFERROR(__xludf.DUMMYFUNCTION("""COMPUTED_VALUE"""),73)</f>
        <v>73</v>
      </c>
      <c r="U122" s="53"/>
      <c r="V122" s="54">
        <f ca="1">IFERROR(__xludf.DUMMYFUNCTION("""COMPUTED_VALUE"""),72)</f>
        <v>72</v>
      </c>
      <c r="W122" s="54"/>
      <c r="X122" s="54">
        <f ca="1">IFERROR(__xludf.DUMMYFUNCTION("""COMPUTED_VALUE"""),23)</f>
        <v>23</v>
      </c>
      <c r="Y122" s="54"/>
      <c r="Z122" s="2"/>
      <c r="AA122" s="2"/>
      <c r="AB122" s="2"/>
      <c r="AC122" s="2"/>
      <c r="AD122" s="2"/>
      <c r="AE122" s="2"/>
    </row>
    <row r="123" spans="1:31" ht="12.75" x14ac:dyDescent="0.2">
      <c r="A123" s="53">
        <f ca="1">IFERROR(__xludf.DUMMYFUNCTION("""COMPUTED_VALUE"""),1)</f>
        <v>1</v>
      </c>
      <c r="B123" s="53" t="str">
        <f ca="1">IFERROR(__xludf.DUMMYFUNCTION("""COMPUTED_VALUE"""),"Cao đẳng Lý Tự TRọng")</f>
        <v>Cao đẳng Lý Tự TRọng</v>
      </c>
      <c r="C123" s="53" t="str">
        <f ca="1">IFERROR(__xludf.DUMMYFUNCTION("""COMPUTED_VALUE"""),"CAO ĐẲNG")</f>
        <v>CAO ĐẲNG</v>
      </c>
      <c r="D123" s="53" t="str">
        <f ca="1">IFERROR(__xludf.DUMMYFUNCTION("""COMPUTED_VALUE"""),"TÂN BÌNH")</f>
        <v>TÂN BÌNH</v>
      </c>
      <c r="E123" s="54">
        <f ca="1">IFERROR(__xludf.DUMMYFUNCTION("""COMPUTED_VALUE"""),319)</f>
        <v>319</v>
      </c>
      <c r="F123" s="54">
        <f ca="1">IFERROR(__xludf.DUMMYFUNCTION("""COMPUTED_VALUE"""),319)</f>
        <v>319</v>
      </c>
      <c r="G123" s="54"/>
      <c r="H123" s="54">
        <f ca="1">IFERROR(__xludf.DUMMYFUNCTION("""COMPUTED_VALUE"""),319)</f>
        <v>319</v>
      </c>
      <c r="I123" s="54"/>
      <c r="J123" s="54">
        <f ca="1">IFERROR(__xludf.DUMMYFUNCTION("""COMPUTED_VALUE"""),319)</f>
        <v>319</v>
      </c>
      <c r="K123" s="54"/>
      <c r="L123" s="54">
        <f ca="1">IFERROR(__xludf.DUMMYFUNCTION("""COMPUTED_VALUE"""),163)</f>
        <v>163</v>
      </c>
      <c r="M123" s="54"/>
      <c r="N123" s="54">
        <f ca="1">IFERROR(__xludf.DUMMYFUNCTION("""COMPUTED_VALUE"""),0)</f>
        <v>0</v>
      </c>
      <c r="O123" s="54">
        <f ca="1">IFERROR(__xludf.DUMMYFUNCTION("""COMPUTED_VALUE"""),0)</f>
        <v>0</v>
      </c>
      <c r="P123" s="54"/>
      <c r="Q123" s="54">
        <f ca="1">IFERROR(__xludf.DUMMYFUNCTION("""COMPUTED_VALUE"""),0)</f>
        <v>0</v>
      </c>
      <c r="R123" s="54"/>
      <c r="S123" s="54">
        <f ca="1">IFERROR(__xludf.DUMMYFUNCTION("""COMPUTED_VALUE"""),5191)</f>
        <v>5191</v>
      </c>
      <c r="T123" s="53">
        <f ca="1">IFERROR(__xludf.DUMMYFUNCTION("""COMPUTED_VALUE"""),5191)</f>
        <v>5191</v>
      </c>
      <c r="U123" s="53"/>
      <c r="V123" s="54">
        <f ca="1">IFERROR(__xludf.DUMMYFUNCTION("""COMPUTED_VALUE"""),5191)</f>
        <v>5191</v>
      </c>
      <c r="W123" s="54"/>
      <c r="X123" s="54">
        <f ca="1">IFERROR(__xludf.DUMMYFUNCTION("""COMPUTED_VALUE"""),4966)</f>
        <v>4966</v>
      </c>
      <c r="Y123" s="54"/>
      <c r="Z123" s="2"/>
      <c r="AA123" s="2"/>
      <c r="AB123" s="2"/>
      <c r="AC123" s="2"/>
      <c r="AD123" s="2"/>
      <c r="AE123" s="2"/>
    </row>
    <row r="124" spans="1:31" ht="12.75" x14ac:dyDescent="0.2">
      <c r="A124" s="53">
        <f ca="1">IFERROR(__xludf.DUMMYFUNCTION("""COMPUTED_VALUE"""),1)</f>
        <v>1</v>
      </c>
      <c r="B124" s="53" t="str">
        <f ca="1">IFERROR(__xludf.DUMMYFUNCTION("""COMPUTED_VALUE"""),"Trung tâm GDNN-GDTX")</f>
        <v>Trung tâm GDNN-GDTX</v>
      </c>
      <c r="C124" s="53" t="str">
        <f ca="1">IFERROR(__xludf.DUMMYFUNCTION("""COMPUTED_VALUE"""),"TTGDTX")</f>
        <v>TTGDTX</v>
      </c>
      <c r="D124" s="53" t="str">
        <f ca="1">IFERROR(__xludf.DUMMYFUNCTION("""COMPUTED_VALUE"""),"TÂN BÌNH")</f>
        <v>TÂN BÌNH</v>
      </c>
      <c r="E124" s="54">
        <f ca="1">IFERROR(__xludf.DUMMYFUNCTION("""COMPUTED_VALUE"""),104)</f>
        <v>104</v>
      </c>
      <c r="F124" s="54">
        <f ca="1">IFERROR(__xludf.DUMMYFUNCTION("""COMPUTED_VALUE"""),104)</f>
        <v>104</v>
      </c>
      <c r="G124" s="54"/>
      <c r="H124" s="54">
        <f ca="1">IFERROR(__xludf.DUMMYFUNCTION("""COMPUTED_VALUE"""),103)</f>
        <v>103</v>
      </c>
      <c r="I124" s="54"/>
      <c r="J124" s="54">
        <f ca="1">IFERROR(__xludf.DUMMYFUNCTION("""COMPUTED_VALUE"""),89)</f>
        <v>89</v>
      </c>
      <c r="K124" s="54"/>
      <c r="L124" s="54">
        <f ca="1">IFERROR(__xludf.DUMMYFUNCTION("""COMPUTED_VALUE"""),26)</f>
        <v>26</v>
      </c>
      <c r="M124" s="54"/>
      <c r="N124" s="53"/>
      <c r="O124" s="53"/>
      <c r="P124" s="53"/>
      <c r="Q124" s="53"/>
      <c r="R124" s="53"/>
      <c r="S124" s="53">
        <f ca="1">IFERROR(__xludf.DUMMYFUNCTION("""COMPUTED_VALUE"""),472)</f>
        <v>472</v>
      </c>
      <c r="T124" s="53">
        <f ca="1">IFERROR(__xludf.DUMMYFUNCTION("""COMPUTED_VALUE"""),441)</f>
        <v>441</v>
      </c>
      <c r="U124" s="53"/>
      <c r="V124" s="53">
        <f ca="1">IFERROR(__xludf.DUMMYFUNCTION("""COMPUTED_VALUE"""),448)</f>
        <v>448</v>
      </c>
      <c r="W124" s="53"/>
      <c r="X124" s="53">
        <f ca="1">IFERROR(__xludf.DUMMYFUNCTION("""COMPUTED_VALUE"""),94)</f>
        <v>94</v>
      </c>
      <c r="Y124" s="53"/>
      <c r="Z124" s="2"/>
      <c r="AA124" s="2"/>
      <c r="AB124" s="2"/>
      <c r="AC124" s="2"/>
      <c r="AD124" s="2"/>
      <c r="AE124" s="2"/>
    </row>
    <row r="125" spans="1:31" ht="12.75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ht="12.75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ht="12.75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ht="12.75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ht="12.75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ht="12.75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ht="12.75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ht="12.75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ht="12.75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ht="12.75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ht="12.75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ht="12.75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ht="12.75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ht="12.75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ht="12.75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ht="12.75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2.75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2.75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2.75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2.75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2.75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2.75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2.75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2.75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2.75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2.75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2.75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2.75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2.75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2.75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2.75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2.75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2.75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2.75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2.75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2.75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2.75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2.75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2.75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2.75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2.75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2.75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2.75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2.75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2.75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2.75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2.75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2.75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2.75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2.75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2.75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2.75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2.75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2.75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2.75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2.75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2.75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2.75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2.75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2.75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2.75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2.75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2.75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2.75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2.75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2.75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2.75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2.75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2.75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2.75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2.75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2.75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2.75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2.75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2.75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2.75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2.75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2.75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2.75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2.75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2.75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2.75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2.75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2.75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2.75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2.75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2.75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2.75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2.75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2.75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2.75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2.75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2.75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2.75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2.75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2.75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2.75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2.75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2.75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2.75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2.75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2.75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2.75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2.75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2.75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2.75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2.75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2.75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2.75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2.75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2.75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2.75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2.75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2.75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2.75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2.75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2.75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2.75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2.75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2.75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2.75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2.75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2.75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2.75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2.75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2.75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2.75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2.75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2.75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2.75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2.75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2.75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2.75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2.75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2.75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2.75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2.75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2.75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2.75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2.75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2.75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2.75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2.75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2.75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2.75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2.75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2.75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2.75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2.75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2.75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2.75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2.75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2.75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2.75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2.75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2.75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2.75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2.75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2.75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2.75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2.75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2.75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2.75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2.75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2.75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2.75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2.75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2.75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2.75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2.75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2.75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2.75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2.75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2.75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2.75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2.75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2.75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2.75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2.75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2.75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2.75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2.75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2.75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2.75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2.75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2.75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2.75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2.75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2.75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2.75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2.75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2.75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2.75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2.75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2.75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2.75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2.75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2.75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2.75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2.75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2.75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2.75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2.75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2.75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2.75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2.75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2.75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2.75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2.75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2.75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2.75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2.75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2.75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2.75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2.75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2.75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2.75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2.75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2.75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2.75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2.75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2.75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2.75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2.75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2.75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2.75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2.75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2.75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2.75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2.75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2.75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2.75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2.75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2.75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2.75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2.75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2.75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2.75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2.75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2.75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2.75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2.75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2.75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2.75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2.75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2.75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2.75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2.75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2.75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2.75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2.75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2.75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2.75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2.75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2.75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2.75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2.75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2.75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2.75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2.75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2.75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2.75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2.75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2.75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2.75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2.75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2.75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2.75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2.75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2.75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2.75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2.75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2.75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2.75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2.75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2.75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2.75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2.75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2.75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2.75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2.75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2.75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2.75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2.75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2.75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2.75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2.75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2.75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2.75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2.75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2.75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2.75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2.75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2.75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2.75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2.75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2.75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2.75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2.75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2.75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2.75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2.75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2.75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2.75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2.75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2.75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2.75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2.75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2.75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2.75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2.75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2.75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2.75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2.75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2.75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2.75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2.75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2.75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2.75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2.75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2.75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2.75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2.75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2.75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2.75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2.75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2.75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2.75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2.75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2.75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2.75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2.75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2.75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2.75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2.75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2.75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2.75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2.75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2.75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2.75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2.75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2.75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2.75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2.75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2.75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2.75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2.75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2.75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2.75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2.75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2.75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2.75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2.75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2.75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2.75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2.75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2.75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2.75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2.75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2.75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2.75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2.75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2.75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2.75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2.75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2.75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2.75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2.75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2.75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2.75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2.75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2.75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2.75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2.75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2.75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2.75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2.75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2.75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2.75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2.75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2.75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2.75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2.75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2.75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2.75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2.75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2.75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2.75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2.75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2.75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2.75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2.75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2.75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2.75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2.75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2.75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2.75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2.75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2.75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2.75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2.75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2.75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2.75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2.75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2.75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2.75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2.75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2.75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2.75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2.75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2.75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2.75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2.75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2.75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2.75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2.75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2.75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2.75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2.75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2.75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2.75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2.75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2.75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2.75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2.75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2.75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2.75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2.75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2.75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2.75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2.75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2.75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2.75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2.75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2.75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2.75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2.75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2.75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2.75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2.75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2.75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2.75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2.75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2.75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2.75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2.75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2.75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2.75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2.75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2.75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2.75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2.75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2.75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2.75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2.75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2.75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2.75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2.75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2.75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2.75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2.75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2.75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2.75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2.75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2.75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2.75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2.75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2.75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2.75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2.75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2.75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2.75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2.75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2.75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2.75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2.75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2.75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2.75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2.75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2.75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2.75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2.75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2.75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2.75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2.75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2.75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2.75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2.75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2.75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2.75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2.75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2.75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2.75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2.75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2.75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2.75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2.75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2.75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2.75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2.75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2.75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2.75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2.75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2.75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2.75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2.75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2.75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2.75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2.75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2.75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2.75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2.75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2.75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2.75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2.75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2.75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2.75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2.75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2.75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2.75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2.75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2.75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2.75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2.75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2.75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2.75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2.75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2.75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2.75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2.75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2.75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2.75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2.75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2.75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2.75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2.75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2.75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2.75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2.75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2.75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2.75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2.75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2.75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2.75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2.75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2.75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2.75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2.75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2.75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2.75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2.75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2.75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2.75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2.75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2.75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2.75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2.75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2.75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2.75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2.75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2.75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2.75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2.75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2.75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2.75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2.75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2.75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2.75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2.75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2.75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2.75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2.75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2.75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2.75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2.75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2.75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2.75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2.75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2.75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2.75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2.75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2.75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2.75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2.75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2.75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2.75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2.75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2.75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2.75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2.75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2.75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2.75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2.75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2.75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2.75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2.75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2.75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2.75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2.75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2.75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2.75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2.75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2.75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2.75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2.75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2.75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2.75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2.75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2.75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2.75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2.75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2.75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2.75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2.75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2.75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2.75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2.75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2.75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2.75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2.75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2.75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2.75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2.75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2.75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2.75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2.75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2.75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2.75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2.75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2.75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2.75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2.75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2.75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2.75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2.75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2.75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2.75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2.75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2.75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2.75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2.75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2.75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2.75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2.75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2.75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2.75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2.75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2.75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2.75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2.75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2.75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2.75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2.75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2.75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2.75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2.75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2.75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2.75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2.75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2.75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2.75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2.75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2.75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2.75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2.75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2.75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2.75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2.75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2.75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2.75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2.75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2.75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2.75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2.75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2.75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2.75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2.75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2.75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2.75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2.75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2.75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2.75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2.75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2.75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2.75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2.75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2.75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2.75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2.75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2.75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2.75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2.75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2.75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2.75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2.75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2.75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2.75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2.75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2.75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2.75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2.75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2.75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2.75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2.75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2.75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2.75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2.75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2.75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2.75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2.75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2.75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2.75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2.75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2.75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2.75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2.75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2.75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2.75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2.75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2.75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2.75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2.75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2.75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2.75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2.75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2.75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2.75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2.75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2.75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2.75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2.75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2.75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2.75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2.75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2.75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2.75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2.75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2.75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2.75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2.75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2.75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2.75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2.75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2.75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2.75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2.75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2.75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2.75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2.75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2.75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2.75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2.75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2.75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2.75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2.75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2.75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2.75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2.75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2.75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2.75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2.75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2.75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2.75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2.75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2.75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2.75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2.75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2.75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2.75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2.75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2.75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2.75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2.75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2.75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2.75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2.75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2.75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2.75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2.75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2.75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2.75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2.75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2.75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2.75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2.75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2.75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2.75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2.75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2.75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2.75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2.75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2.75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2.75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2.75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2.75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2.75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2.75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2.75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2.75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2.75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2.75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2.75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2.75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2.75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2.75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2.75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2.75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2.75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2.75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2.75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2.75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2.75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2.75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2.75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2.75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2.75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2.75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2.75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2.75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2.75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2.75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2.75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2.75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2.75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2.75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2.75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2.75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2.75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2.75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2.75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2.75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2.75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2.75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2.75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2.75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2.75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2.75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2.75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2.75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2.75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2.75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2.75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2.75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2.75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2.75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2.75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2.75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2.75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2.75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2.75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2.75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2.75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2.75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2.75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2.75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2.75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2.75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2.75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2.75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2.75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2.75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2.75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2.75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2.75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2.75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2.75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2.75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2.75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2.75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2.75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2.75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2.75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2.75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 ht="12.75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 ht="12.75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  <row r="1000" spans="1:31" ht="12.75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</row>
  </sheetData>
  <mergeCells count="16">
    <mergeCell ref="N3:R3"/>
    <mergeCell ref="S3:Y3"/>
    <mergeCell ref="F4:G4"/>
    <mergeCell ref="H4:I4"/>
    <mergeCell ref="J4:K4"/>
    <mergeCell ref="L4:M4"/>
    <mergeCell ref="O4:P4"/>
    <mergeCell ref="Q4:R4"/>
    <mergeCell ref="T4:U4"/>
    <mergeCell ref="V4:W4"/>
    <mergeCell ref="X4:Y4"/>
    <mergeCell ref="A3:A4"/>
    <mergeCell ref="B3:B4"/>
    <mergeCell ref="C3:C4"/>
    <mergeCell ref="D3:D4"/>
    <mergeCell ref="E3:M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E1000"/>
  <sheetViews>
    <sheetView zoomScale="85" zoomScaleNormal="85" workbookViewId="0">
      <selection activeCell="B21" sqref="B21"/>
    </sheetView>
  </sheetViews>
  <sheetFormatPr defaultColWidth="12.5703125" defaultRowHeight="15.75" customHeight="1" x14ac:dyDescent="0.2"/>
  <cols>
    <col min="1" max="1" width="12.5703125" style="3"/>
    <col min="2" max="2" width="24.28515625" style="3" customWidth="1"/>
    <col min="3" max="4" width="12.5703125" style="3"/>
    <col min="5" max="5" width="10.42578125" style="3" customWidth="1"/>
    <col min="6" max="13" width="8.85546875" style="3" customWidth="1"/>
    <col min="14" max="14" width="10.42578125" style="3" customWidth="1"/>
    <col min="15" max="18" width="8.85546875" style="3" customWidth="1"/>
    <col min="19" max="19" width="10.42578125" style="3" customWidth="1"/>
    <col min="20" max="25" width="8.85546875" style="3" customWidth="1"/>
    <col min="26" max="16384" width="12.5703125" style="3"/>
  </cols>
  <sheetData>
    <row r="1" spans="1:31" ht="26.25" customHeight="1" x14ac:dyDescent="0.2">
      <c r="A1" s="49" t="s">
        <v>12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ht="35.25" customHeight="1" x14ac:dyDescent="0.2">
      <c r="A2" s="4" t="s">
        <v>26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</row>
    <row r="3" spans="1:31" ht="30.75" customHeight="1" x14ac:dyDescent="0.2">
      <c r="A3" s="89" t="str">
        <f ca="1">IFERROR(__xludf.DUMMYFUNCTION("IMPORTRANGE(""https://docs.google.com/spreadsheets/d/1giFCfPZvq6d2WPbrXwJ7ksTcnSjmuNbU5G4IRrh5hOk/edit#gid=0"",""BTh!A14:T500"")"),"STT")</f>
        <v>STT</v>
      </c>
      <c r="B3" s="89" t="str">
        <f ca="1">IFERROR(__xludf.DUMMYFUNCTION("""COMPUTED_VALUE"""),"TRƯỜNG")</f>
        <v>TRƯỜNG</v>
      </c>
      <c r="C3" s="89" t="str">
        <f ca="1">IFERROR(__xludf.DUMMYFUNCTION("""COMPUTED_VALUE"""),"BẬC HỌC (MN, TH, THCS, THPT, CB, GDTX)")</f>
        <v>BẬC HỌC (MN, TH, THCS, THPT, CB, GDTX)</v>
      </c>
      <c r="D3" s="89" t="str">
        <f ca="1">IFERROR(__xludf.DUMMYFUNCTION("""COMPUTED_VALUE"""),"THÀNH PHỐ, QUẬN, HUYỆN")</f>
        <v>THÀNH PHỐ, QUẬN, HUYỆN</v>
      </c>
      <c r="E3" s="91" t="str">
        <f ca="1">IFERROR(__xludf.DUMMYFUNCTION("""COMPUTED_VALUE"""),"Cán bộ - Giáo viên - Nhân viên")</f>
        <v>Cán bộ - Giáo viên - Nhân viên</v>
      </c>
      <c r="F3" s="92"/>
      <c r="G3" s="92"/>
      <c r="H3" s="92"/>
      <c r="I3" s="92"/>
      <c r="J3" s="92"/>
      <c r="K3" s="92"/>
      <c r="L3" s="92"/>
      <c r="M3" s="92"/>
      <c r="N3" s="93" t="str">
        <f ca="1">IFERROR(__xludf.DUMMYFUNCTION("""COMPUTED_VALUE"""),"Học sinh từ 5 đến dưới 12 tuổi")</f>
        <v>Học sinh từ 5 đến dưới 12 tuổi</v>
      </c>
      <c r="O3" s="92"/>
      <c r="P3" s="92"/>
      <c r="Q3" s="92"/>
      <c r="R3" s="92"/>
      <c r="S3" s="94" t="str">
        <f ca="1">IFERROR(__xludf.DUMMYFUNCTION("""COMPUTED_VALUE"""),"Học sinh từ 12 đến dưới 18 tuổi")</f>
        <v>Học sinh từ 12 đến dưới 18 tuổi</v>
      </c>
      <c r="T3" s="95"/>
      <c r="U3" s="95"/>
      <c r="V3" s="95"/>
      <c r="W3" s="95"/>
      <c r="X3" s="95"/>
      <c r="Y3" s="95"/>
      <c r="Z3" s="2"/>
      <c r="AA3" s="2"/>
      <c r="AB3" s="2"/>
      <c r="AC3" s="2"/>
      <c r="AD3" s="2"/>
      <c r="AE3" s="2"/>
    </row>
    <row r="4" spans="1:31" ht="27" customHeight="1" x14ac:dyDescent="0.2">
      <c r="A4" s="90"/>
      <c r="B4" s="90"/>
      <c r="C4" s="90"/>
      <c r="D4" s="90"/>
      <c r="E4" s="7" t="str">
        <f ca="1">IFERROR(__xludf.DUMMYFUNCTION("""COMPUTED_VALUE"""),"Tổng 
CB-GV-NV")</f>
        <v>Tổng 
CB-GV-NV</v>
      </c>
      <c r="F4" s="96" t="s">
        <v>22</v>
      </c>
      <c r="G4" s="97"/>
      <c r="H4" s="96" t="s">
        <v>23</v>
      </c>
      <c r="I4" s="97"/>
      <c r="J4" s="96" t="s">
        <v>24</v>
      </c>
      <c r="K4" s="97"/>
      <c r="L4" s="96" t="s">
        <v>25</v>
      </c>
      <c r="M4" s="97"/>
      <c r="N4" s="7" t="str">
        <f ca="1">IFERROR(__xludf.DUMMYFUNCTION("""COMPUTED_VALUE"""),"Tổng 
học sinh")</f>
        <v>Tổng 
học sinh</v>
      </c>
      <c r="O4" s="96" t="s">
        <v>22</v>
      </c>
      <c r="P4" s="97"/>
      <c r="Q4" s="96" t="s">
        <v>23</v>
      </c>
      <c r="R4" s="97"/>
      <c r="S4" s="8" t="str">
        <f ca="1">IFERROR(__xludf.DUMMYFUNCTION("""COMPUTED_VALUE"""),"Tổng học sinh")</f>
        <v>Tổng học sinh</v>
      </c>
      <c r="T4" s="98" t="s">
        <v>22</v>
      </c>
      <c r="U4" s="99"/>
      <c r="V4" s="98" t="s">
        <v>23</v>
      </c>
      <c r="W4" s="99"/>
      <c r="X4" s="98" t="s">
        <v>24</v>
      </c>
      <c r="Y4" s="99"/>
      <c r="Z4" s="2"/>
      <c r="AA4" s="2"/>
      <c r="AB4" s="2"/>
      <c r="AC4" s="2"/>
      <c r="AD4" s="2"/>
      <c r="AE4" s="2"/>
    </row>
    <row r="5" spans="1:31" ht="12.75" x14ac:dyDescent="0.2">
      <c r="A5" s="50" t="str">
        <f ca="1">IFERROR(__xludf.DUMMYFUNCTION("""COMPUTED_VALUE"""),"TỔNG TOÀN QUẬN
  BÌNH THẠNH")</f>
        <v>TỔNG TOÀN QUẬN
  BÌNH THẠNH</v>
      </c>
      <c r="B5" s="20"/>
      <c r="C5" s="20"/>
      <c r="D5" s="20" t="str">
        <f ca="1">IFERROR(__xludf.DUMMYFUNCTION("""COMPUTED_VALUE"""),"BÌNH THẠNH")</f>
        <v>BÌNH THẠNH</v>
      </c>
      <c r="E5" s="15">
        <f ca="1">IFERROR(__xludf.DUMMYFUNCTION("""COMPUTED_VALUE"""),6853)</f>
        <v>6853</v>
      </c>
      <c r="F5" s="15">
        <f ca="1">IFERROR(__xludf.DUMMYFUNCTION("""COMPUTED_VALUE"""),6843)</f>
        <v>6843</v>
      </c>
      <c r="G5" s="51">
        <f ca="1">IFERROR(F5/E5,"")</f>
        <v>0.99854078505763899</v>
      </c>
      <c r="H5" s="15">
        <f ca="1">IFERROR(__xludf.DUMMYFUNCTION("""COMPUTED_VALUE"""),6793)</f>
        <v>6793</v>
      </c>
      <c r="I5" s="51">
        <f ca="1">IFERROR(H5/E5,"")</f>
        <v>0.99124471034583395</v>
      </c>
      <c r="J5" s="15">
        <f ca="1">IFERROR(__xludf.DUMMYFUNCTION("""COMPUTED_VALUE"""),5541)</f>
        <v>5541</v>
      </c>
      <c r="K5" s="51">
        <f ca="1">IFERROR(J5/E5,"")</f>
        <v>0.80855099956223553</v>
      </c>
      <c r="L5" s="15">
        <f ca="1">IFERROR(__xludf.DUMMYFUNCTION("""COMPUTED_VALUE"""),2002)</f>
        <v>2002</v>
      </c>
      <c r="M5" s="51">
        <f ca="1">IFERROR(L5/E5,"")</f>
        <v>0.29213483146067415</v>
      </c>
      <c r="N5" s="15">
        <f ca="1">IFERROR(__xludf.DUMMYFUNCTION("""COMPUTED_VALUE"""),38656)</f>
        <v>38656</v>
      </c>
      <c r="O5" s="15">
        <f ca="1">IFERROR(__xludf.DUMMYFUNCTION("""COMPUTED_VALUE"""),20654)</f>
        <v>20654</v>
      </c>
      <c r="P5" s="51">
        <f ca="1">IFERROR(O5/N5,"")</f>
        <v>0.53430256622516559</v>
      </c>
      <c r="Q5" s="15">
        <f ca="1">IFERROR(__xludf.DUMMYFUNCTION("""COMPUTED_VALUE"""),7237)</f>
        <v>7237</v>
      </c>
      <c r="R5" s="51">
        <f ca="1">IFERROR(Q5/N5,"")</f>
        <v>0.18721543874172186</v>
      </c>
      <c r="S5" s="15">
        <f ca="1">IFERROR(__xludf.DUMMYFUNCTION("""COMPUTED_VALUE"""),30649)</f>
        <v>30649</v>
      </c>
      <c r="T5" s="15">
        <f ca="1">IFERROR(__xludf.DUMMYFUNCTION("""COMPUTED_VALUE"""),30416)</f>
        <v>30416</v>
      </c>
      <c r="U5" s="51">
        <f ca="1">IFERROR(T5/S5,"")</f>
        <v>0.99239779438154585</v>
      </c>
      <c r="V5" s="15">
        <f ca="1">IFERROR(__xludf.DUMMYFUNCTION("""COMPUTED_VALUE"""),27090)</f>
        <v>27090</v>
      </c>
      <c r="W5" s="51">
        <f ca="1">IFERROR(V5/S5,"")</f>
        <v>0.88387875624000778</v>
      </c>
      <c r="X5" s="15">
        <f ca="1">IFERROR(__xludf.DUMMYFUNCTION("""COMPUTED_VALUE"""),7206)</f>
        <v>7206</v>
      </c>
      <c r="Y5" s="51">
        <f ca="1">IFERROR(X5/S5,"")</f>
        <v>0.23511370680935756</v>
      </c>
      <c r="Z5" s="2"/>
      <c r="AA5" s="2"/>
      <c r="AB5" s="2"/>
      <c r="AC5" s="2"/>
      <c r="AD5" s="2"/>
      <c r="AE5" s="2"/>
    </row>
    <row r="6" spans="1:31" ht="12.75" x14ac:dyDescent="0.2">
      <c r="A6" s="53" t="str">
        <f ca="1">IFERROR(__xludf.DUMMYFUNCTION("""COMPUTED_VALUE"""),"Mầm non")</f>
        <v>Mầm non</v>
      </c>
      <c r="B6" s="53"/>
      <c r="C6" s="53"/>
      <c r="D6" s="53"/>
      <c r="E6" s="54">
        <f ca="1">IFERROR(__xludf.DUMMYFUNCTION("""COMPUTED_VALUE"""),1884)</f>
        <v>1884</v>
      </c>
      <c r="F6" s="54">
        <f ca="1">IFERROR(__xludf.DUMMYFUNCTION("""COMPUTED_VALUE"""),1884)</f>
        <v>1884</v>
      </c>
      <c r="G6" s="51">
        <f t="shared" ref="G6:G69" ca="1" si="0">IFERROR(F6/E6,"")</f>
        <v>1</v>
      </c>
      <c r="H6" s="54">
        <f ca="1">IFERROR(__xludf.DUMMYFUNCTION("""COMPUTED_VALUE"""),1857)</f>
        <v>1857</v>
      </c>
      <c r="I6" s="51">
        <f t="shared" ref="I6:I69" ca="1" si="1">IFERROR(H6/E6,"")</f>
        <v>0.98566878980891715</v>
      </c>
      <c r="J6" s="54">
        <f ca="1">IFERROR(__xludf.DUMMYFUNCTION("""COMPUTED_VALUE"""),1765)</f>
        <v>1765</v>
      </c>
      <c r="K6" s="51">
        <f t="shared" ref="K6:K69" ca="1" si="2">IFERROR(J6/E6,"")</f>
        <v>0.93683651804670909</v>
      </c>
      <c r="L6" s="54">
        <f ca="1">IFERROR(__xludf.DUMMYFUNCTION("""COMPUTED_VALUE"""),678)</f>
        <v>678</v>
      </c>
      <c r="M6" s="51">
        <f t="shared" ref="M6:M69" ca="1" si="3">IFERROR(L6/E6,"")</f>
        <v>0.35987261146496813</v>
      </c>
      <c r="N6" s="54">
        <f ca="1">IFERROR(__xludf.DUMMYFUNCTION("""COMPUTED_VALUE"""),3754)</f>
        <v>3754</v>
      </c>
      <c r="O6" s="54">
        <f ca="1">IFERROR(__xludf.DUMMYFUNCTION("""COMPUTED_VALUE"""),435)</f>
        <v>435</v>
      </c>
      <c r="P6" s="51">
        <f t="shared" ref="P6:P69" ca="1" si="4">IFERROR(O6/N6,"")</f>
        <v>0.11587639850825786</v>
      </c>
      <c r="Q6" s="54">
        <f ca="1">IFERROR(__xludf.DUMMYFUNCTION("""COMPUTED_VALUE"""),54)</f>
        <v>54</v>
      </c>
      <c r="R6" s="51">
        <f t="shared" ref="R6:R69" ca="1" si="5">IFERROR(Q6/N6,"")</f>
        <v>1.4384656366542355E-2</v>
      </c>
      <c r="S6" s="53"/>
      <c r="T6" s="53"/>
      <c r="U6" s="51" t="str">
        <f t="shared" ref="U6:U69" si="6">IFERROR(T6/S6,"")</f>
        <v/>
      </c>
      <c r="V6" s="53"/>
      <c r="W6" s="51" t="str">
        <f t="shared" ref="W6:W69" si="7">IFERROR(V6/S6,"")</f>
        <v/>
      </c>
      <c r="X6" s="53"/>
      <c r="Y6" s="51" t="str">
        <f t="shared" ref="Y6:Y69" si="8">IFERROR(X6/S6,"")</f>
        <v/>
      </c>
      <c r="Z6" s="2"/>
      <c r="AA6" s="2"/>
      <c r="AB6" s="2"/>
      <c r="AC6" s="2"/>
      <c r="AD6" s="2"/>
      <c r="AE6" s="2"/>
    </row>
    <row r="7" spans="1:31" ht="12.75" x14ac:dyDescent="0.2">
      <c r="A7" s="53">
        <f ca="1">IFERROR(__xludf.DUMMYFUNCTION("""COMPUTED_VALUE"""),1)</f>
        <v>1</v>
      </c>
      <c r="B7" s="53" t="str">
        <f ca="1">IFERROR(__xludf.DUMMYFUNCTION("""COMPUTED_VALUE"""),"Mầm non 1")</f>
        <v>Mầm non 1</v>
      </c>
      <c r="C7" s="53" t="str">
        <f ca="1">IFERROR(__xludf.DUMMYFUNCTION("""COMPUTED_VALUE"""),"MN")</f>
        <v>MN</v>
      </c>
      <c r="D7" s="53" t="str">
        <f ca="1">IFERROR(__xludf.DUMMYFUNCTION("""COMPUTED_VALUE"""),"BÌNH THẠNH")</f>
        <v>BÌNH THẠNH</v>
      </c>
      <c r="E7" s="54">
        <f ca="1">IFERROR(__xludf.DUMMYFUNCTION("""COMPUTED_VALUE"""),26)</f>
        <v>26</v>
      </c>
      <c r="F7" s="54">
        <f ca="1">IFERROR(__xludf.DUMMYFUNCTION("""COMPUTED_VALUE"""),25)</f>
        <v>25</v>
      </c>
      <c r="G7" s="51">
        <f t="shared" ca="1" si="0"/>
        <v>0.96153846153846156</v>
      </c>
      <c r="H7" s="54">
        <f ca="1">IFERROR(__xludf.DUMMYFUNCTION("""COMPUTED_VALUE"""),25)</f>
        <v>25</v>
      </c>
      <c r="I7" s="51">
        <f t="shared" ca="1" si="1"/>
        <v>0.96153846153846156</v>
      </c>
      <c r="J7" s="54">
        <f ca="1">IFERROR(__xludf.DUMMYFUNCTION("""COMPUTED_VALUE"""),25)</f>
        <v>25</v>
      </c>
      <c r="K7" s="51">
        <f t="shared" ca="1" si="2"/>
        <v>0.96153846153846156</v>
      </c>
      <c r="L7" s="54">
        <f ca="1">IFERROR(__xludf.DUMMYFUNCTION("""COMPUTED_VALUE"""),24)</f>
        <v>24</v>
      </c>
      <c r="M7" s="51">
        <f t="shared" ca="1" si="3"/>
        <v>0.92307692307692313</v>
      </c>
      <c r="N7" s="54">
        <f ca="1">IFERROR(__xludf.DUMMYFUNCTION("""COMPUTED_VALUE"""),49)</f>
        <v>49</v>
      </c>
      <c r="O7" s="54">
        <f ca="1">IFERROR(__xludf.DUMMYFUNCTION("""COMPUTED_VALUE"""),9)</f>
        <v>9</v>
      </c>
      <c r="P7" s="51">
        <f t="shared" ca="1" si="4"/>
        <v>0.18367346938775511</v>
      </c>
      <c r="Q7" s="54">
        <f ca="1">IFERROR(__xludf.DUMMYFUNCTION("""COMPUTED_VALUE"""),4)</f>
        <v>4</v>
      </c>
      <c r="R7" s="51">
        <f t="shared" ca="1" si="5"/>
        <v>8.1632653061224483E-2</v>
      </c>
      <c r="S7" s="53"/>
      <c r="T7" s="53"/>
      <c r="U7" s="51" t="str">
        <f t="shared" si="6"/>
        <v/>
      </c>
      <c r="V7" s="53"/>
      <c r="W7" s="51" t="str">
        <f t="shared" si="7"/>
        <v/>
      </c>
      <c r="X7" s="53"/>
      <c r="Y7" s="51" t="str">
        <f t="shared" si="8"/>
        <v/>
      </c>
      <c r="Z7" s="2"/>
      <c r="AA7" s="2"/>
      <c r="AB7" s="2"/>
      <c r="AC7" s="2"/>
      <c r="AD7" s="2"/>
      <c r="AE7" s="2"/>
    </row>
    <row r="8" spans="1:31" ht="12.75" x14ac:dyDescent="0.2">
      <c r="A8" s="53">
        <f ca="1">IFERROR(__xludf.DUMMYFUNCTION("""COMPUTED_VALUE"""),2)</f>
        <v>2</v>
      </c>
      <c r="B8" s="53" t="str">
        <f ca="1">IFERROR(__xludf.DUMMYFUNCTION("""COMPUTED_VALUE"""),"Mầm non 2")</f>
        <v>Mầm non 2</v>
      </c>
      <c r="C8" s="53" t="str">
        <f ca="1">IFERROR(__xludf.DUMMYFUNCTION("""COMPUTED_VALUE"""),"MN")</f>
        <v>MN</v>
      </c>
      <c r="D8" s="53" t="str">
        <f ca="1">IFERROR(__xludf.DUMMYFUNCTION("""COMPUTED_VALUE"""),"BÌNH THẠNH")</f>
        <v>BÌNH THẠNH</v>
      </c>
      <c r="E8" s="54">
        <f ca="1">IFERROR(__xludf.DUMMYFUNCTION("""COMPUTED_VALUE"""),37)</f>
        <v>37</v>
      </c>
      <c r="F8" s="54">
        <f ca="1">IFERROR(__xludf.DUMMYFUNCTION("""COMPUTED_VALUE"""),37)</f>
        <v>37</v>
      </c>
      <c r="G8" s="51">
        <f t="shared" ca="1" si="0"/>
        <v>1</v>
      </c>
      <c r="H8" s="53">
        <f ca="1">IFERROR(__xludf.DUMMYFUNCTION("""COMPUTED_VALUE"""),37)</f>
        <v>37</v>
      </c>
      <c r="I8" s="51">
        <f t="shared" ca="1" si="1"/>
        <v>1</v>
      </c>
      <c r="J8" s="54">
        <f ca="1">IFERROR(__xludf.DUMMYFUNCTION("""COMPUTED_VALUE"""),36)</f>
        <v>36</v>
      </c>
      <c r="K8" s="51">
        <f t="shared" ca="1" si="2"/>
        <v>0.97297297297297303</v>
      </c>
      <c r="L8" s="54">
        <f ca="1">IFERROR(__xludf.DUMMYFUNCTION("""COMPUTED_VALUE"""),32)</f>
        <v>32</v>
      </c>
      <c r="M8" s="51">
        <f t="shared" ca="1" si="3"/>
        <v>0.86486486486486491</v>
      </c>
      <c r="N8" s="54">
        <f ca="1">IFERROR(__xludf.DUMMYFUNCTION("""COMPUTED_VALUE"""),77)</f>
        <v>77</v>
      </c>
      <c r="O8" s="54">
        <f ca="1">IFERROR(__xludf.DUMMYFUNCTION("""COMPUTED_VALUE"""),14)</f>
        <v>14</v>
      </c>
      <c r="P8" s="51">
        <f t="shared" ca="1" si="4"/>
        <v>0.18181818181818182</v>
      </c>
      <c r="Q8" s="54">
        <f ca="1">IFERROR(__xludf.DUMMYFUNCTION("""COMPUTED_VALUE"""),3)</f>
        <v>3</v>
      </c>
      <c r="R8" s="51">
        <f t="shared" ca="1" si="5"/>
        <v>3.896103896103896E-2</v>
      </c>
      <c r="S8" s="53"/>
      <c r="T8" s="53"/>
      <c r="U8" s="51" t="str">
        <f t="shared" si="6"/>
        <v/>
      </c>
      <c r="V8" s="53"/>
      <c r="W8" s="51" t="str">
        <f t="shared" si="7"/>
        <v/>
      </c>
      <c r="X8" s="53"/>
      <c r="Y8" s="51" t="str">
        <f t="shared" si="8"/>
        <v/>
      </c>
      <c r="Z8" s="2"/>
      <c r="AA8" s="2"/>
      <c r="AB8" s="2"/>
      <c r="AC8" s="2"/>
      <c r="AD8" s="2"/>
      <c r="AE8" s="2"/>
    </row>
    <row r="9" spans="1:31" ht="12.75" x14ac:dyDescent="0.2">
      <c r="A9" s="53">
        <f ca="1">IFERROR(__xludf.DUMMYFUNCTION("""COMPUTED_VALUE"""),3)</f>
        <v>3</v>
      </c>
      <c r="B9" s="53" t="str">
        <f ca="1">IFERROR(__xludf.DUMMYFUNCTION("""COMPUTED_VALUE"""),"Mầm non 3")</f>
        <v>Mầm non 3</v>
      </c>
      <c r="C9" s="53" t="str">
        <f ca="1">IFERROR(__xludf.DUMMYFUNCTION("""COMPUTED_VALUE"""),"MN")</f>
        <v>MN</v>
      </c>
      <c r="D9" s="53" t="str">
        <f ca="1">IFERROR(__xludf.DUMMYFUNCTION("""COMPUTED_VALUE"""),"BÌNH THẠNH")</f>
        <v>BÌNH THẠNH</v>
      </c>
      <c r="E9" s="54">
        <f ca="1">IFERROR(__xludf.DUMMYFUNCTION("""COMPUTED_VALUE"""),36)</f>
        <v>36</v>
      </c>
      <c r="F9" s="54">
        <f ca="1">IFERROR(__xludf.DUMMYFUNCTION("""COMPUTED_VALUE"""),36)</f>
        <v>36</v>
      </c>
      <c r="G9" s="51">
        <f t="shared" ca="1" si="0"/>
        <v>1</v>
      </c>
      <c r="H9" s="54">
        <f ca="1">IFERROR(__xludf.DUMMYFUNCTION("""COMPUTED_VALUE"""),36)</f>
        <v>36</v>
      </c>
      <c r="I9" s="51">
        <f t="shared" ca="1" si="1"/>
        <v>1</v>
      </c>
      <c r="J9" s="54">
        <f ca="1">IFERROR(__xludf.DUMMYFUNCTION("""COMPUTED_VALUE"""),36)</f>
        <v>36</v>
      </c>
      <c r="K9" s="51">
        <f t="shared" ca="1" si="2"/>
        <v>1</v>
      </c>
      <c r="L9" s="54">
        <f ca="1">IFERROR(__xludf.DUMMYFUNCTION("""COMPUTED_VALUE"""),29)</f>
        <v>29</v>
      </c>
      <c r="M9" s="51">
        <f t="shared" ca="1" si="3"/>
        <v>0.80555555555555558</v>
      </c>
      <c r="N9" s="54">
        <f ca="1">IFERROR(__xludf.DUMMYFUNCTION("""COMPUTED_VALUE"""),89)</f>
        <v>89</v>
      </c>
      <c r="O9" s="54">
        <f ca="1">IFERROR(__xludf.DUMMYFUNCTION("""COMPUTED_VALUE"""),19)</f>
        <v>19</v>
      </c>
      <c r="P9" s="51">
        <f t="shared" ca="1" si="4"/>
        <v>0.21348314606741572</v>
      </c>
      <c r="Q9" s="54">
        <f ca="1">IFERROR(__xludf.DUMMYFUNCTION("""COMPUTED_VALUE"""),4)</f>
        <v>4</v>
      </c>
      <c r="R9" s="51">
        <f t="shared" ca="1" si="5"/>
        <v>4.49438202247191E-2</v>
      </c>
      <c r="S9" s="53"/>
      <c r="T9" s="53"/>
      <c r="U9" s="51" t="str">
        <f t="shared" si="6"/>
        <v/>
      </c>
      <c r="V9" s="53"/>
      <c r="W9" s="51" t="str">
        <f t="shared" si="7"/>
        <v/>
      </c>
      <c r="X9" s="53"/>
      <c r="Y9" s="51" t="str">
        <f t="shared" si="8"/>
        <v/>
      </c>
      <c r="Z9" s="2"/>
      <c r="AA9" s="2"/>
      <c r="AB9" s="2"/>
      <c r="AC9" s="2"/>
      <c r="AD9" s="2"/>
      <c r="AE9" s="2"/>
    </row>
    <row r="10" spans="1:31" ht="12.75" x14ac:dyDescent="0.2">
      <c r="A10" s="53">
        <f ca="1">IFERROR(__xludf.DUMMYFUNCTION("""COMPUTED_VALUE"""),4)</f>
        <v>4</v>
      </c>
      <c r="B10" s="53" t="str">
        <f ca="1">IFERROR(__xludf.DUMMYFUNCTION("""COMPUTED_VALUE"""),"Mầm non 5")</f>
        <v>Mầm non 5</v>
      </c>
      <c r="C10" s="53" t="str">
        <f ca="1">IFERROR(__xludf.DUMMYFUNCTION("""COMPUTED_VALUE"""),"MN")</f>
        <v>MN</v>
      </c>
      <c r="D10" s="53" t="str">
        <f ca="1">IFERROR(__xludf.DUMMYFUNCTION("""COMPUTED_VALUE"""),"BÌNH THẠNH")</f>
        <v>BÌNH THẠNH</v>
      </c>
      <c r="E10" s="54">
        <f ca="1">IFERROR(__xludf.DUMMYFUNCTION("""COMPUTED_VALUE"""),31)</f>
        <v>31</v>
      </c>
      <c r="F10" s="54">
        <f ca="1">IFERROR(__xludf.DUMMYFUNCTION("""COMPUTED_VALUE"""),31)</f>
        <v>31</v>
      </c>
      <c r="G10" s="51">
        <f t="shared" ca="1" si="0"/>
        <v>1</v>
      </c>
      <c r="H10" s="54">
        <f ca="1">IFERROR(__xludf.DUMMYFUNCTION("""COMPUTED_VALUE"""),31)</f>
        <v>31</v>
      </c>
      <c r="I10" s="51">
        <f t="shared" ca="1" si="1"/>
        <v>1</v>
      </c>
      <c r="J10" s="54">
        <f ca="1">IFERROR(__xludf.DUMMYFUNCTION("""COMPUTED_VALUE"""),23)</f>
        <v>23</v>
      </c>
      <c r="K10" s="51">
        <f t="shared" ca="1" si="2"/>
        <v>0.74193548387096775</v>
      </c>
      <c r="L10" s="54">
        <f ca="1">IFERROR(__xludf.DUMMYFUNCTION("""COMPUTED_VALUE"""),10)</f>
        <v>10</v>
      </c>
      <c r="M10" s="51">
        <f t="shared" ca="1" si="3"/>
        <v>0.32258064516129031</v>
      </c>
      <c r="N10" s="54">
        <f ca="1">IFERROR(__xludf.DUMMYFUNCTION("""COMPUTED_VALUE"""),61)</f>
        <v>61</v>
      </c>
      <c r="O10" s="54">
        <f ca="1">IFERROR(__xludf.DUMMYFUNCTION("""COMPUTED_VALUE"""),8)</f>
        <v>8</v>
      </c>
      <c r="P10" s="51">
        <f t="shared" ca="1" si="4"/>
        <v>0.13114754098360656</v>
      </c>
      <c r="Q10" s="54">
        <f ca="1">IFERROR(__xludf.DUMMYFUNCTION("""COMPUTED_VALUE"""),3)</f>
        <v>3</v>
      </c>
      <c r="R10" s="51">
        <f t="shared" ca="1" si="5"/>
        <v>4.9180327868852458E-2</v>
      </c>
      <c r="S10" s="53"/>
      <c r="T10" s="53"/>
      <c r="U10" s="51" t="str">
        <f t="shared" si="6"/>
        <v/>
      </c>
      <c r="V10" s="53"/>
      <c r="W10" s="51" t="str">
        <f t="shared" si="7"/>
        <v/>
      </c>
      <c r="X10" s="53"/>
      <c r="Y10" s="51" t="str">
        <f t="shared" si="8"/>
        <v/>
      </c>
      <c r="Z10" s="2"/>
      <c r="AA10" s="2"/>
      <c r="AB10" s="2"/>
      <c r="AC10" s="2"/>
      <c r="AD10" s="2"/>
      <c r="AE10" s="2"/>
    </row>
    <row r="11" spans="1:31" ht="12.75" x14ac:dyDescent="0.2">
      <c r="A11" s="53">
        <f ca="1">IFERROR(__xludf.DUMMYFUNCTION("""COMPUTED_VALUE"""),5)</f>
        <v>5</v>
      </c>
      <c r="B11" s="53" t="str">
        <f ca="1">IFERROR(__xludf.DUMMYFUNCTION("""COMPUTED_VALUE"""),"Mầm non 6")</f>
        <v>Mầm non 6</v>
      </c>
      <c r="C11" s="53" t="str">
        <f ca="1">IFERROR(__xludf.DUMMYFUNCTION("""COMPUTED_VALUE"""),"MN")</f>
        <v>MN</v>
      </c>
      <c r="D11" s="53" t="str">
        <f ca="1">IFERROR(__xludf.DUMMYFUNCTION("""COMPUTED_VALUE"""),"BÌNH THẠNH")</f>
        <v>BÌNH THẠNH</v>
      </c>
      <c r="E11" s="54">
        <f ca="1">IFERROR(__xludf.DUMMYFUNCTION("""COMPUTED_VALUE"""),31)</f>
        <v>31</v>
      </c>
      <c r="F11" s="54">
        <f ca="1">IFERROR(__xludf.DUMMYFUNCTION("""COMPUTED_VALUE"""),31)</f>
        <v>31</v>
      </c>
      <c r="G11" s="51">
        <f t="shared" ca="1" si="0"/>
        <v>1</v>
      </c>
      <c r="H11" s="54">
        <f ca="1">IFERROR(__xludf.DUMMYFUNCTION("""COMPUTED_VALUE"""),31)</f>
        <v>31</v>
      </c>
      <c r="I11" s="51">
        <f t="shared" ca="1" si="1"/>
        <v>1</v>
      </c>
      <c r="J11" s="54">
        <f ca="1">IFERROR(__xludf.DUMMYFUNCTION("""COMPUTED_VALUE"""),31)</f>
        <v>31</v>
      </c>
      <c r="K11" s="51">
        <f t="shared" ca="1" si="2"/>
        <v>1</v>
      </c>
      <c r="L11" s="54">
        <f ca="1">IFERROR(__xludf.DUMMYFUNCTION("""COMPUTED_VALUE"""),28)</f>
        <v>28</v>
      </c>
      <c r="M11" s="51">
        <f t="shared" ca="1" si="3"/>
        <v>0.90322580645161288</v>
      </c>
      <c r="N11" s="54">
        <f ca="1">IFERROR(__xludf.DUMMYFUNCTION("""COMPUTED_VALUE"""),62)</f>
        <v>62</v>
      </c>
      <c r="O11" s="54">
        <f ca="1">IFERROR(__xludf.DUMMYFUNCTION("""COMPUTED_VALUE"""),5)</f>
        <v>5</v>
      </c>
      <c r="P11" s="51">
        <f t="shared" ca="1" si="4"/>
        <v>8.0645161290322578E-2</v>
      </c>
      <c r="Q11" s="54">
        <f ca="1">IFERROR(__xludf.DUMMYFUNCTION("""COMPUTED_VALUE"""),1)</f>
        <v>1</v>
      </c>
      <c r="R11" s="51">
        <f t="shared" ca="1" si="5"/>
        <v>1.6129032258064516E-2</v>
      </c>
      <c r="S11" s="53"/>
      <c r="T11" s="53"/>
      <c r="U11" s="51" t="str">
        <f t="shared" si="6"/>
        <v/>
      </c>
      <c r="V11" s="53"/>
      <c r="W11" s="51" t="str">
        <f t="shared" si="7"/>
        <v/>
      </c>
      <c r="X11" s="53"/>
      <c r="Y11" s="51" t="str">
        <f t="shared" si="8"/>
        <v/>
      </c>
      <c r="Z11" s="2"/>
      <c r="AA11" s="2"/>
      <c r="AB11" s="2"/>
      <c r="AC11" s="2"/>
      <c r="AD11" s="2"/>
      <c r="AE11" s="2"/>
    </row>
    <row r="12" spans="1:31" ht="12.75" x14ac:dyDescent="0.2">
      <c r="A12" s="53">
        <f ca="1">IFERROR(__xludf.DUMMYFUNCTION("""COMPUTED_VALUE"""),6)</f>
        <v>6</v>
      </c>
      <c r="B12" s="53" t="str">
        <f ca="1">IFERROR(__xludf.DUMMYFUNCTION("""COMPUTED_VALUE"""),"Mầm non 7 A")</f>
        <v>Mầm non 7 A</v>
      </c>
      <c r="C12" s="53" t="str">
        <f ca="1">IFERROR(__xludf.DUMMYFUNCTION("""COMPUTED_VALUE"""),"MN")</f>
        <v>MN</v>
      </c>
      <c r="D12" s="53" t="str">
        <f ca="1">IFERROR(__xludf.DUMMYFUNCTION("""COMPUTED_VALUE"""),"BÌNH THẠNH")</f>
        <v>BÌNH THẠNH</v>
      </c>
      <c r="E12" s="54">
        <f ca="1">IFERROR(__xludf.DUMMYFUNCTION("""COMPUTED_VALUE"""),42)</f>
        <v>42</v>
      </c>
      <c r="F12" s="54">
        <f ca="1">IFERROR(__xludf.DUMMYFUNCTION("""COMPUTED_VALUE"""),42)</f>
        <v>42</v>
      </c>
      <c r="G12" s="51">
        <f t="shared" ca="1" si="0"/>
        <v>1</v>
      </c>
      <c r="H12" s="54">
        <f ca="1">IFERROR(__xludf.DUMMYFUNCTION("""COMPUTED_VALUE"""),42)</f>
        <v>42</v>
      </c>
      <c r="I12" s="51">
        <f t="shared" ca="1" si="1"/>
        <v>1</v>
      </c>
      <c r="J12" s="54">
        <f ca="1">IFERROR(__xludf.DUMMYFUNCTION("""COMPUTED_VALUE"""),42)</f>
        <v>42</v>
      </c>
      <c r="K12" s="51">
        <f t="shared" ca="1" si="2"/>
        <v>1</v>
      </c>
      <c r="L12" s="54">
        <f ca="1">IFERROR(__xludf.DUMMYFUNCTION("""COMPUTED_VALUE"""),14)</f>
        <v>14</v>
      </c>
      <c r="M12" s="51">
        <f t="shared" ca="1" si="3"/>
        <v>0.33333333333333331</v>
      </c>
      <c r="N12" s="54">
        <f ca="1">IFERROR(__xludf.DUMMYFUNCTION("""COMPUTED_VALUE"""),61)</f>
        <v>61</v>
      </c>
      <c r="O12" s="54">
        <f ca="1">IFERROR(__xludf.DUMMYFUNCTION("""COMPUTED_VALUE"""),14)</f>
        <v>14</v>
      </c>
      <c r="P12" s="51">
        <f t="shared" ca="1" si="4"/>
        <v>0.22950819672131148</v>
      </c>
      <c r="Q12" s="54">
        <f ca="1">IFERROR(__xludf.DUMMYFUNCTION("""COMPUTED_VALUE"""),3)</f>
        <v>3</v>
      </c>
      <c r="R12" s="51">
        <f t="shared" ca="1" si="5"/>
        <v>4.9180327868852458E-2</v>
      </c>
      <c r="S12" s="53"/>
      <c r="T12" s="53"/>
      <c r="U12" s="51" t="str">
        <f t="shared" si="6"/>
        <v/>
      </c>
      <c r="V12" s="53"/>
      <c r="W12" s="51" t="str">
        <f t="shared" si="7"/>
        <v/>
      </c>
      <c r="X12" s="53"/>
      <c r="Y12" s="51" t="str">
        <f t="shared" si="8"/>
        <v/>
      </c>
      <c r="Z12" s="2"/>
      <c r="AA12" s="2"/>
      <c r="AB12" s="2"/>
      <c r="AC12" s="2"/>
      <c r="AD12" s="2"/>
      <c r="AE12" s="2"/>
    </row>
    <row r="13" spans="1:31" ht="12.75" x14ac:dyDescent="0.2">
      <c r="A13" s="53">
        <f ca="1">IFERROR(__xludf.DUMMYFUNCTION("""COMPUTED_VALUE"""),7)</f>
        <v>7</v>
      </c>
      <c r="B13" s="53" t="str">
        <f ca="1">IFERROR(__xludf.DUMMYFUNCTION("""COMPUTED_VALUE"""),"Mầm non 7 B")</f>
        <v>Mầm non 7 B</v>
      </c>
      <c r="C13" s="53" t="str">
        <f ca="1">IFERROR(__xludf.DUMMYFUNCTION("""COMPUTED_VALUE"""),"MN")</f>
        <v>MN</v>
      </c>
      <c r="D13" s="53" t="str">
        <f ca="1">IFERROR(__xludf.DUMMYFUNCTION("""COMPUTED_VALUE"""),"BÌNH THẠNH")</f>
        <v>BÌNH THẠNH</v>
      </c>
      <c r="E13" s="54">
        <f ca="1">IFERROR(__xludf.DUMMYFUNCTION("""COMPUTED_VALUE"""),30)</f>
        <v>30</v>
      </c>
      <c r="F13" s="54">
        <f ca="1">IFERROR(__xludf.DUMMYFUNCTION("""COMPUTED_VALUE"""),30)</f>
        <v>30</v>
      </c>
      <c r="G13" s="51">
        <f t="shared" ca="1" si="0"/>
        <v>1</v>
      </c>
      <c r="H13" s="54">
        <f ca="1">IFERROR(__xludf.DUMMYFUNCTION("""COMPUTED_VALUE"""),30)</f>
        <v>30</v>
      </c>
      <c r="I13" s="51">
        <f t="shared" ca="1" si="1"/>
        <v>1</v>
      </c>
      <c r="J13" s="54">
        <f ca="1">IFERROR(__xludf.DUMMYFUNCTION("""COMPUTED_VALUE"""),30)</f>
        <v>30</v>
      </c>
      <c r="K13" s="51">
        <f t="shared" ca="1" si="2"/>
        <v>1</v>
      </c>
      <c r="L13" s="54">
        <f ca="1">IFERROR(__xludf.DUMMYFUNCTION("""COMPUTED_VALUE"""),30)</f>
        <v>30</v>
      </c>
      <c r="M13" s="51">
        <f t="shared" ca="1" si="3"/>
        <v>1</v>
      </c>
      <c r="N13" s="54">
        <f ca="1">IFERROR(__xludf.DUMMYFUNCTION("""COMPUTED_VALUE"""),67)</f>
        <v>67</v>
      </c>
      <c r="O13" s="54">
        <f ca="1">IFERROR(__xludf.DUMMYFUNCTION("""COMPUTED_VALUE"""),9)</f>
        <v>9</v>
      </c>
      <c r="P13" s="51">
        <f t="shared" ca="1" si="4"/>
        <v>0.13432835820895522</v>
      </c>
      <c r="Q13" s="54">
        <f ca="1">IFERROR(__xludf.DUMMYFUNCTION("""COMPUTED_VALUE"""),3)</f>
        <v>3</v>
      </c>
      <c r="R13" s="51">
        <f t="shared" ca="1" si="5"/>
        <v>4.4776119402985072E-2</v>
      </c>
      <c r="S13" s="53"/>
      <c r="T13" s="53"/>
      <c r="U13" s="51" t="str">
        <f t="shared" si="6"/>
        <v/>
      </c>
      <c r="V13" s="53"/>
      <c r="W13" s="51" t="str">
        <f t="shared" si="7"/>
        <v/>
      </c>
      <c r="X13" s="53"/>
      <c r="Y13" s="51" t="str">
        <f t="shared" si="8"/>
        <v/>
      </c>
      <c r="Z13" s="2"/>
      <c r="AA13" s="2"/>
      <c r="AB13" s="2"/>
      <c r="AC13" s="2"/>
      <c r="AD13" s="2"/>
      <c r="AE13" s="2"/>
    </row>
    <row r="14" spans="1:31" ht="12.75" x14ac:dyDescent="0.2">
      <c r="A14" s="53">
        <f ca="1">IFERROR(__xludf.DUMMYFUNCTION("""COMPUTED_VALUE"""),8)</f>
        <v>8</v>
      </c>
      <c r="B14" s="53" t="str">
        <f ca="1">IFERROR(__xludf.DUMMYFUNCTION("""COMPUTED_VALUE"""),"Mầm non 11A")</f>
        <v>Mầm non 11A</v>
      </c>
      <c r="C14" s="53" t="str">
        <f ca="1">IFERROR(__xludf.DUMMYFUNCTION("""COMPUTED_VALUE"""),"MN")</f>
        <v>MN</v>
      </c>
      <c r="D14" s="53" t="str">
        <f ca="1">IFERROR(__xludf.DUMMYFUNCTION("""COMPUTED_VALUE"""),"BÌNH THẠNH")</f>
        <v>BÌNH THẠNH</v>
      </c>
      <c r="E14" s="54">
        <f ca="1">IFERROR(__xludf.DUMMYFUNCTION("""COMPUTED_VALUE"""),35)</f>
        <v>35</v>
      </c>
      <c r="F14" s="54">
        <f ca="1">IFERROR(__xludf.DUMMYFUNCTION("""COMPUTED_VALUE"""),35)</f>
        <v>35</v>
      </c>
      <c r="G14" s="51">
        <f t="shared" ca="1" si="0"/>
        <v>1</v>
      </c>
      <c r="H14" s="54">
        <f ca="1">IFERROR(__xludf.DUMMYFUNCTION("""COMPUTED_VALUE"""),35)</f>
        <v>35</v>
      </c>
      <c r="I14" s="51">
        <f t="shared" ca="1" si="1"/>
        <v>1</v>
      </c>
      <c r="J14" s="54">
        <f ca="1">IFERROR(__xludf.DUMMYFUNCTION("""COMPUTED_VALUE"""),35)</f>
        <v>35</v>
      </c>
      <c r="K14" s="51">
        <f t="shared" ca="1" si="2"/>
        <v>1</v>
      </c>
      <c r="L14" s="54">
        <f ca="1">IFERROR(__xludf.DUMMYFUNCTION("""COMPUTED_VALUE"""),28)</f>
        <v>28</v>
      </c>
      <c r="M14" s="51">
        <f t="shared" ca="1" si="3"/>
        <v>0.8</v>
      </c>
      <c r="N14" s="54">
        <f ca="1">IFERROR(__xludf.DUMMYFUNCTION("""COMPUTED_VALUE"""),41)</f>
        <v>41</v>
      </c>
      <c r="O14" s="54">
        <f ca="1">IFERROR(__xludf.DUMMYFUNCTION("""COMPUTED_VALUE"""),7)</f>
        <v>7</v>
      </c>
      <c r="P14" s="51">
        <f t="shared" ca="1" si="4"/>
        <v>0.17073170731707318</v>
      </c>
      <c r="Q14" s="54">
        <f ca="1">IFERROR(__xludf.DUMMYFUNCTION("""COMPUTED_VALUE"""),7)</f>
        <v>7</v>
      </c>
      <c r="R14" s="51">
        <f t="shared" ca="1" si="5"/>
        <v>0.17073170731707318</v>
      </c>
      <c r="S14" s="53"/>
      <c r="T14" s="53"/>
      <c r="U14" s="51" t="str">
        <f t="shared" si="6"/>
        <v/>
      </c>
      <c r="V14" s="53"/>
      <c r="W14" s="51" t="str">
        <f t="shared" si="7"/>
        <v/>
      </c>
      <c r="X14" s="53"/>
      <c r="Y14" s="51" t="str">
        <f t="shared" si="8"/>
        <v/>
      </c>
      <c r="Z14" s="2"/>
      <c r="AA14" s="2"/>
      <c r="AB14" s="2"/>
      <c r="AC14" s="2"/>
      <c r="AD14" s="2"/>
      <c r="AE14" s="2"/>
    </row>
    <row r="15" spans="1:31" ht="12.75" x14ac:dyDescent="0.2">
      <c r="A15" s="53">
        <f ca="1">IFERROR(__xludf.DUMMYFUNCTION("""COMPUTED_VALUE"""),9)</f>
        <v>9</v>
      </c>
      <c r="B15" s="53" t="str">
        <f ca="1">IFERROR(__xludf.DUMMYFUNCTION("""COMPUTED_VALUE"""),"Mầm non 11 B")</f>
        <v>Mầm non 11 B</v>
      </c>
      <c r="C15" s="53" t="str">
        <f ca="1">IFERROR(__xludf.DUMMYFUNCTION("""COMPUTED_VALUE"""),"MN")</f>
        <v>MN</v>
      </c>
      <c r="D15" s="53" t="str">
        <f ca="1">IFERROR(__xludf.DUMMYFUNCTION("""COMPUTED_VALUE"""),"BÌNH THẠNH")</f>
        <v>BÌNH THẠNH</v>
      </c>
      <c r="E15" s="54">
        <f ca="1">IFERROR(__xludf.DUMMYFUNCTION("""COMPUTED_VALUE"""),42)</f>
        <v>42</v>
      </c>
      <c r="F15" s="54">
        <f ca="1">IFERROR(__xludf.DUMMYFUNCTION("""COMPUTED_VALUE"""),42)</f>
        <v>42</v>
      </c>
      <c r="G15" s="51">
        <f t="shared" ca="1" si="0"/>
        <v>1</v>
      </c>
      <c r="H15" s="54">
        <f ca="1">IFERROR(__xludf.DUMMYFUNCTION("""COMPUTED_VALUE"""),42)</f>
        <v>42</v>
      </c>
      <c r="I15" s="51">
        <f t="shared" ca="1" si="1"/>
        <v>1</v>
      </c>
      <c r="J15" s="54">
        <f ca="1">IFERROR(__xludf.DUMMYFUNCTION("""COMPUTED_VALUE"""),41)</f>
        <v>41</v>
      </c>
      <c r="K15" s="51">
        <f t="shared" ca="1" si="2"/>
        <v>0.97619047619047616</v>
      </c>
      <c r="L15" s="54">
        <f ca="1">IFERROR(__xludf.DUMMYFUNCTION("""COMPUTED_VALUE"""),40)</f>
        <v>40</v>
      </c>
      <c r="M15" s="51">
        <f t="shared" ca="1" si="3"/>
        <v>0.95238095238095233</v>
      </c>
      <c r="N15" s="54">
        <f ca="1">IFERROR(__xludf.DUMMYFUNCTION("""COMPUTED_VALUE"""),71)</f>
        <v>71</v>
      </c>
      <c r="O15" s="54">
        <f ca="1">IFERROR(__xludf.DUMMYFUNCTION("""COMPUTED_VALUE"""),3)</f>
        <v>3</v>
      </c>
      <c r="P15" s="51">
        <f t="shared" ca="1" si="4"/>
        <v>4.2253521126760563E-2</v>
      </c>
      <c r="Q15" s="54">
        <f ca="1">IFERROR(__xludf.DUMMYFUNCTION("""COMPUTED_VALUE"""),2)</f>
        <v>2</v>
      </c>
      <c r="R15" s="51">
        <f t="shared" ca="1" si="5"/>
        <v>2.8169014084507043E-2</v>
      </c>
      <c r="S15" s="53"/>
      <c r="T15" s="53"/>
      <c r="U15" s="51" t="str">
        <f t="shared" si="6"/>
        <v/>
      </c>
      <c r="V15" s="53"/>
      <c r="W15" s="51" t="str">
        <f t="shared" si="7"/>
        <v/>
      </c>
      <c r="X15" s="53"/>
      <c r="Y15" s="51" t="str">
        <f t="shared" si="8"/>
        <v/>
      </c>
      <c r="Z15" s="2"/>
      <c r="AA15" s="2"/>
      <c r="AB15" s="2"/>
      <c r="AC15" s="2"/>
      <c r="AD15" s="2"/>
      <c r="AE15" s="2"/>
    </row>
    <row r="16" spans="1:31" ht="12.75" x14ac:dyDescent="0.2">
      <c r="A16" s="53">
        <f ca="1">IFERROR(__xludf.DUMMYFUNCTION("""COMPUTED_VALUE"""),10)</f>
        <v>10</v>
      </c>
      <c r="B16" s="53" t="str">
        <f ca="1">IFERROR(__xludf.DUMMYFUNCTION("""COMPUTED_VALUE"""),"Mầm non 12")</f>
        <v>Mầm non 12</v>
      </c>
      <c r="C16" s="53" t="str">
        <f ca="1">IFERROR(__xludf.DUMMYFUNCTION("""COMPUTED_VALUE"""),"MN")</f>
        <v>MN</v>
      </c>
      <c r="D16" s="53" t="str">
        <f ca="1">IFERROR(__xludf.DUMMYFUNCTION("""COMPUTED_VALUE"""),"BÌNH THẠNH")</f>
        <v>BÌNH THẠNH</v>
      </c>
      <c r="E16" s="54">
        <f ca="1">IFERROR(__xludf.DUMMYFUNCTION("""COMPUTED_VALUE"""),39)</f>
        <v>39</v>
      </c>
      <c r="F16" s="54">
        <f ca="1">IFERROR(__xludf.DUMMYFUNCTION("""COMPUTED_VALUE"""),39)</f>
        <v>39</v>
      </c>
      <c r="G16" s="51">
        <f t="shared" ca="1" si="0"/>
        <v>1</v>
      </c>
      <c r="H16" s="54">
        <f ca="1">IFERROR(__xludf.DUMMYFUNCTION("""COMPUTED_VALUE"""),39)</f>
        <v>39</v>
      </c>
      <c r="I16" s="51">
        <f t="shared" ca="1" si="1"/>
        <v>1</v>
      </c>
      <c r="J16" s="54">
        <f ca="1">IFERROR(__xludf.DUMMYFUNCTION("""COMPUTED_VALUE"""),37)</f>
        <v>37</v>
      </c>
      <c r="K16" s="51">
        <f t="shared" ca="1" si="2"/>
        <v>0.94871794871794868</v>
      </c>
      <c r="L16" s="54">
        <f ca="1">IFERROR(__xludf.DUMMYFUNCTION("""COMPUTED_VALUE"""),10)</f>
        <v>10</v>
      </c>
      <c r="M16" s="51">
        <f t="shared" ca="1" si="3"/>
        <v>0.25641025641025639</v>
      </c>
      <c r="N16" s="54">
        <f ca="1">IFERROR(__xludf.DUMMYFUNCTION("""COMPUTED_VALUE"""),77)</f>
        <v>77</v>
      </c>
      <c r="O16" s="54">
        <f ca="1">IFERROR(__xludf.DUMMYFUNCTION("""COMPUTED_VALUE"""),4)</f>
        <v>4</v>
      </c>
      <c r="P16" s="51">
        <f t="shared" ca="1" si="4"/>
        <v>5.1948051948051951E-2</v>
      </c>
      <c r="Q16" s="54">
        <f ca="1">IFERROR(__xludf.DUMMYFUNCTION("""COMPUTED_VALUE"""),1)</f>
        <v>1</v>
      </c>
      <c r="R16" s="51">
        <f t="shared" ca="1" si="5"/>
        <v>1.2987012987012988E-2</v>
      </c>
      <c r="S16" s="53"/>
      <c r="T16" s="53"/>
      <c r="U16" s="51" t="str">
        <f t="shared" si="6"/>
        <v/>
      </c>
      <c r="V16" s="53"/>
      <c r="W16" s="51" t="str">
        <f t="shared" si="7"/>
        <v/>
      </c>
      <c r="X16" s="53"/>
      <c r="Y16" s="51" t="str">
        <f t="shared" si="8"/>
        <v/>
      </c>
      <c r="Z16" s="2"/>
      <c r="AA16" s="2"/>
      <c r="AB16" s="2"/>
      <c r="AC16" s="2"/>
      <c r="AD16" s="2"/>
      <c r="AE16" s="2"/>
    </row>
    <row r="17" spans="1:31" ht="12.75" x14ac:dyDescent="0.2">
      <c r="A17" s="53">
        <f ca="1">IFERROR(__xludf.DUMMYFUNCTION("""COMPUTED_VALUE"""),11)</f>
        <v>11</v>
      </c>
      <c r="B17" s="53" t="str">
        <f ca="1">IFERROR(__xludf.DUMMYFUNCTION("""COMPUTED_VALUE"""),"Mầm non 13")</f>
        <v>Mầm non 13</v>
      </c>
      <c r="C17" s="53" t="str">
        <f ca="1">IFERROR(__xludf.DUMMYFUNCTION("""COMPUTED_VALUE"""),"MN")</f>
        <v>MN</v>
      </c>
      <c r="D17" s="53" t="str">
        <f ca="1">IFERROR(__xludf.DUMMYFUNCTION("""COMPUTED_VALUE"""),"BÌNH THẠNH")</f>
        <v>BÌNH THẠNH</v>
      </c>
      <c r="E17" s="54">
        <f ca="1">IFERROR(__xludf.DUMMYFUNCTION("""COMPUTED_VALUE"""),54)</f>
        <v>54</v>
      </c>
      <c r="F17" s="54">
        <f ca="1">IFERROR(__xludf.DUMMYFUNCTION("""COMPUTED_VALUE"""),54)</f>
        <v>54</v>
      </c>
      <c r="G17" s="51">
        <f t="shared" ca="1" si="0"/>
        <v>1</v>
      </c>
      <c r="H17" s="54">
        <f ca="1">IFERROR(__xludf.DUMMYFUNCTION("""COMPUTED_VALUE"""),54)</f>
        <v>54</v>
      </c>
      <c r="I17" s="51">
        <f t="shared" ca="1" si="1"/>
        <v>1</v>
      </c>
      <c r="J17" s="54">
        <f ca="1">IFERROR(__xludf.DUMMYFUNCTION("""COMPUTED_VALUE"""),54)</f>
        <v>54</v>
      </c>
      <c r="K17" s="51">
        <f t="shared" ca="1" si="2"/>
        <v>1</v>
      </c>
      <c r="L17" s="54">
        <f ca="1">IFERROR(__xludf.DUMMYFUNCTION("""COMPUTED_VALUE"""),49)</f>
        <v>49</v>
      </c>
      <c r="M17" s="51">
        <f t="shared" ca="1" si="3"/>
        <v>0.90740740740740744</v>
      </c>
      <c r="N17" s="54">
        <f ca="1">IFERROR(__xludf.DUMMYFUNCTION("""COMPUTED_VALUE"""),147)</f>
        <v>147</v>
      </c>
      <c r="O17" s="54">
        <f ca="1">IFERROR(__xludf.DUMMYFUNCTION("""COMPUTED_VALUE"""),11)</f>
        <v>11</v>
      </c>
      <c r="P17" s="51">
        <f t="shared" ca="1" si="4"/>
        <v>7.4829931972789115E-2</v>
      </c>
      <c r="Q17" s="54">
        <f ca="1">IFERROR(__xludf.DUMMYFUNCTION("""COMPUTED_VALUE"""),4)</f>
        <v>4</v>
      </c>
      <c r="R17" s="51">
        <f t="shared" ca="1" si="5"/>
        <v>2.7210884353741496E-2</v>
      </c>
      <c r="S17" s="53"/>
      <c r="T17" s="53"/>
      <c r="U17" s="51" t="str">
        <f t="shared" si="6"/>
        <v/>
      </c>
      <c r="V17" s="53"/>
      <c r="W17" s="51" t="str">
        <f t="shared" si="7"/>
        <v/>
      </c>
      <c r="X17" s="53"/>
      <c r="Y17" s="51" t="str">
        <f t="shared" si="8"/>
        <v/>
      </c>
      <c r="Z17" s="2"/>
      <c r="AA17" s="2"/>
      <c r="AB17" s="2"/>
      <c r="AC17" s="2"/>
      <c r="AD17" s="2"/>
      <c r="AE17" s="2"/>
    </row>
    <row r="18" spans="1:31" ht="12.75" x14ac:dyDescent="0.2">
      <c r="A18" s="53">
        <f ca="1">IFERROR(__xludf.DUMMYFUNCTION("""COMPUTED_VALUE"""),12)</f>
        <v>12</v>
      </c>
      <c r="B18" s="53" t="str">
        <f ca="1">IFERROR(__xludf.DUMMYFUNCTION("""COMPUTED_VALUE"""),"Mầm non 14")</f>
        <v>Mầm non 14</v>
      </c>
      <c r="C18" s="53" t="str">
        <f ca="1">IFERROR(__xludf.DUMMYFUNCTION("""COMPUTED_VALUE"""),"MN")</f>
        <v>MN</v>
      </c>
      <c r="D18" s="53" t="str">
        <f ca="1">IFERROR(__xludf.DUMMYFUNCTION("""COMPUTED_VALUE"""),"BÌNH THẠNH")</f>
        <v>BÌNH THẠNH</v>
      </c>
      <c r="E18" s="54">
        <f ca="1">IFERROR(__xludf.DUMMYFUNCTION("""COMPUTED_VALUE"""),32)</f>
        <v>32</v>
      </c>
      <c r="F18" s="54">
        <f ca="1">IFERROR(__xludf.DUMMYFUNCTION("""COMPUTED_VALUE"""),32)</f>
        <v>32</v>
      </c>
      <c r="G18" s="51">
        <f t="shared" ca="1" si="0"/>
        <v>1</v>
      </c>
      <c r="H18" s="54">
        <f ca="1">IFERROR(__xludf.DUMMYFUNCTION("""COMPUTED_VALUE"""),32)</f>
        <v>32</v>
      </c>
      <c r="I18" s="51">
        <f t="shared" ca="1" si="1"/>
        <v>1</v>
      </c>
      <c r="J18" s="54">
        <f ca="1">IFERROR(__xludf.DUMMYFUNCTION("""COMPUTED_VALUE"""),29)</f>
        <v>29</v>
      </c>
      <c r="K18" s="51">
        <f t="shared" ca="1" si="2"/>
        <v>0.90625</v>
      </c>
      <c r="L18" s="54">
        <f ca="1">IFERROR(__xludf.DUMMYFUNCTION("""COMPUTED_VALUE"""),16)</f>
        <v>16</v>
      </c>
      <c r="M18" s="51">
        <f t="shared" ca="1" si="3"/>
        <v>0.5</v>
      </c>
      <c r="N18" s="54">
        <f ca="1">IFERROR(__xludf.DUMMYFUNCTION("""COMPUTED_VALUE"""),66)</f>
        <v>66</v>
      </c>
      <c r="O18" s="54">
        <f ca="1">IFERROR(__xludf.DUMMYFUNCTION("""COMPUTED_VALUE"""),11)</f>
        <v>11</v>
      </c>
      <c r="P18" s="51">
        <f t="shared" ca="1" si="4"/>
        <v>0.16666666666666666</v>
      </c>
      <c r="Q18" s="54">
        <f ca="1">IFERROR(__xludf.DUMMYFUNCTION("""COMPUTED_VALUE"""),3)</f>
        <v>3</v>
      </c>
      <c r="R18" s="51">
        <f t="shared" ca="1" si="5"/>
        <v>4.5454545454545456E-2</v>
      </c>
      <c r="S18" s="53"/>
      <c r="T18" s="53"/>
      <c r="U18" s="51" t="str">
        <f t="shared" si="6"/>
        <v/>
      </c>
      <c r="V18" s="53"/>
      <c r="W18" s="51" t="str">
        <f t="shared" si="7"/>
        <v/>
      </c>
      <c r="X18" s="53"/>
      <c r="Y18" s="51" t="str">
        <f t="shared" si="8"/>
        <v/>
      </c>
      <c r="Z18" s="2"/>
      <c r="AA18" s="2"/>
      <c r="AB18" s="2"/>
      <c r="AC18" s="2"/>
      <c r="AD18" s="2"/>
      <c r="AE18" s="2"/>
    </row>
    <row r="19" spans="1:31" ht="12.75" x14ac:dyDescent="0.2">
      <c r="A19" s="53">
        <f ca="1">IFERROR(__xludf.DUMMYFUNCTION("""COMPUTED_VALUE"""),13)</f>
        <v>13</v>
      </c>
      <c r="B19" s="53" t="str">
        <f ca="1">IFERROR(__xludf.DUMMYFUNCTION("""COMPUTED_VALUE"""),"Mầm non 15")</f>
        <v>Mầm non 15</v>
      </c>
      <c r="C19" s="53" t="str">
        <f ca="1">IFERROR(__xludf.DUMMYFUNCTION("""COMPUTED_VALUE"""),"MN")</f>
        <v>MN</v>
      </c>
      <c r="D19" s="53" t="str">
        <f ca="1">IFERROR(__xludf.DUMMYFUNCTION("""COMPUTED_VALUE"""),"BÌNH THẠNH")</f>
        <v>BÌNH THẠNH</v>
      </c>
      <c r="E19" s="54">
        <f ca="1">IFERROR(__xludf.DUMMYFUNCTION("""COMPUTED_VALUE"""),22)</f>
        <v>22</v>
      </c>
      <c r="F19" s="54">
        <f ca="1">IFERROR(__xludf.DUMMYFUNCTION("""COMPUTED_VALUE"""),22)</f>
        <v>22</v>
      </c>
      <c r="G19" s="51">
        <f t="shared" ca="1" si="0"/>
        <v>1</v>
      </c>
      <c r="H19" s="54">
        <f ca="1">IFERROR(__xludf.DUMMYFUNCTION("""COMPUTED_VALUE"""),22)</f>
        <v>22</v>
      </c>
      <c r="I19" s="51">
        <f t="shared" ca="1" si="1"/>
        <v>1</v>
      </c>
      <c r="J19" s="54">
        <f ca="1">IFERROR(__xludf.DUMMYFUNCTION("""COMPUTED_VALUE"""),21)</f>
        <v>21</v>
      </c>
      <c r="K19" s="51">
        <f t="shared" ca="1" si="2"/>
        <v>0.95454545454545459</v>
      </c>
      <c r="L19" s="54">
        <f ca="1">IFERROR(__xludf.DUMMYFUNCTION("""COMPUTED_VALUE"""),15)</f>
        <v>15</v>
      </c>
      <c r="M19" s="51">
        <f t="shared" ca="1" si="3"/>
        <v>0.68181818181818177</v>
      </c>
      <c r="N19" s="54">
        <f ca="1">IFERROR(__xludf.DUMMYFUNCTION("""COMPUTED_VALUE"""),51)</f>
        <v>51</v>
      </c>
      <c r="O19" s="54">
        <f ca="1">IFERROR(__xludf.DUMMYFUNCTION("""COMPUTED_VALUE"""),11)</f>
        <v>11</v>
      </c>
      <c r="P19" s="51">
        <f t="shared" ca="1" si="4"/>
        <v>0.21568627450980393</v>
      </c>
      <c r="Q19" s="54">
        <f ca="1">IFERROR(__xludf.DUMMYFUNCTION("""COMPUTED_VALUE"""),4)</f>
        <v>4</v>
      </c>
      <c r="R19" s="51">
        <f t="shared" ca="1" si="5"/>
        <v>7.8431372549019607E-2</v>
      </c>
      <c r="S19" s="53"/>
      <c r="T19" s="53"/>
      <c r="U19" s="51" t="str">
        <f t="shared" si="6"/>
        <v/>
      </c>
      <c r="V19" s="53"/>
      <c r="W19" s="51" t="str">
        <f t="shared" si="7"/>
        <v/>
      </c>
      <c r="X19" s="53"/>
      <c r="Y19" s="51" t="str">
        <f t="shared" si="8"/>
        <v/>
      </c>
      <c r="Z19" s="2"/>
      <c r="AA19" s="2"/>
      <c r="AB19" s="2"/>
      <c r="AC19" s="2"/>
      <c r="AD19" s="2"/>
      <c r="AE19" s="2"/>
    </row>
    <row r="20" spans="1:31" ht="12.75" x14ac:dyDescent="0.2">
      <c r="A20" s="53">
        <f ca="1">IFERROR(__xludf.DUMMYFUNCTION("""COMPUTED_VALUE"""),14)</f>
        <v>14</v>
      </c>
      <c r="B20" s="53" t="str">
        <f ca="1">IFERROR(__xludf.DUMMYFUNCTION("""COMPUTED_VALUE"""),"Mầm non 15 B")</f>
        <v>Mầm non 15 B</v>
      </c>
      <c r="C20" s="53" t="str">
        <f ca="1">IFERROR(__xludf.DUMMYFUNCTION("""COMPUTED_VALUE"""),"MN")</f>
        <v>MN</v>
      </c>
      <c r="D20" s="53" t="str">
        <f ca="1">IFERROR(__xludf.DUMMYFUNCTION("""COMPUTED_VALUE"""),"BÌNH THẠNH")</f>
        <v>BÌNH THẠNH</v>
      </c>
      <c r="E20" s="54">
        <f ca="1">IFERROR(__xludf.DUMMYFUNCTION("""COMPUTED_VALUE"""),30)</f>
        <v>30</v>
      </c>
      <c r="F20" s="54">
        <f ca="1">IFERROR(__xludf.DUMMYFUNCTION("""COMPUTED_VALUE"""),30)</f>
        <v>30</v>
      </c>
      <c r="G20" s="51">
        <f t="shared" ca="1" si="0"/>
        <v>1</v>
      </c>
      <c r="H20" s="54">
        <f ca="1">IFERROR(__xludf.DUMMYFUNCTION("""COMPUTED_VALUE"""),30)</f>
        <v>30</v>
      </c>
      <c r="I20" s="51">
        <f t="shared" ca="1" si="1"/>
        <v>1</v>
      </c>
      <c r="J20" s="54">
        <f ca="1">IFERROR(__xludf.DUMMYFUNCTION("""COMPUTED_VALUE"""),30)</f>
        <v>30</v>
      </c>
      <c r="K20" s="51">
        <f t="shared" ca="1" si="2"/>
        <v>1</v>
      </c>
      <c r="L20" s="54">
        <f ca="1">IFERROR(__xludf.DUMMYFUNCTION("""COMPUTED_VALUE"""),21)</f>
        <v>21</v>
      </c>
      <c r="M20" s="51">
        <f t="shared" ca="1" si="3"/>
        <v>0.7</v>
      </c>
      <c r="N20" s="54">
        <f ca="1">IFERROR(__xludf.DUMMYFUNCTION("""COMPUTED_VALUE"""),83)</f>
        <v>83</v>
      </c>
      <c r="O20" s="54">
        <f ca="1">IFERROR(__xludf.DUMMYFUNCTION("""COMPUTED_VALUE"""),4)</f>
        <v>4</v>
      </c>
      <c r="P20" s="51">
        <f t="shared" ca="1" si="4"/>
        <v>4.8192771084337352E-2</v>
      </c>
      <c r="Q20" s="54">
        <f ca="1">IFERROR(__xludf.DUMMYFUNCTION("""COMPUTED_VALUE"""),1)</f>
        <v>1</v>
      </c>
      <c r="R20" s="51">
        <f t="shared" ca="1" si="5"/>
        <v>1.2048192771084338E-2</v>
      </c>
      <c r="S20" s="53"/>
      <c r="T20" s="53"/>
      <c r="U20" s="51" t="str">
        <f t="shared" si="6"/>
        <v/>
      </c>
      <c r="V20" s="53"/>
      <c r="W20" s="51" t="str">
        <f t="shared" si="7"/>
        <v/>
      </c>
      <c r="X20" s="53"/>
      <c r="Y20" s="51" t="str">
        <f t="shared" si="8"/>
        <v/>
      </c>
      <c r="Z20" s="2"/>
      <c r="AA20" s="2"/>
      <c r="AB20" s="2"/>
      <c r="AC20" s="2"/>
      <c r="AD20" s="2"/>
      <c r="AE20" s="2"/>
    </row>
    <row r="21" spans="1:31" ht="12.75" x14ac:dyDescent="0.2">
      <c r="A21" s="53">
        <f ca="1">IFERROR(__xludf.DUMMYFUNCTION("""COMPUTED_VALUE"""),15)</f>
        <v>15</v>
      </c>
      <c r="B21" s="53" t="str">
        <f ca="1">IFERROR(__xludf.DUMMYFUNCTION("""COMPUTED_VALUE"""),"Mầm non 17")</f>
        <v>Mầm non 17</v>
      </c>
      <c r="C21" s="53" t="str">
        <f ca="1">IFERROR(__xludf.DUMMYFUNCTION("""COMPUTED_VALUE"""),"MN")</f>
        <v>MN</v>
      </c>
      <c r="D21" s="53" t="str">
        <f ca="1">IFERROR(__xludf.DUMMYFUNCTION("""COMPUTED_VALUE"""),"BÌNH THẠNH")</f>
        <v>BÌNH THẠNH</v>
      </c>
      <c r="E21" s="54">
        <f ca="1">IFERROR(__xludf.DUMMYFUNCTION("""COMPUTED_VALUE"""),42)</f>
        <v>42</v>
      </c>
      <c r="F21" s="54">
        <f ca="1">IFERROR(__xludf.DUMMYFUNCTION("""COMPUTED_VALUE"""),42)</f>
        <v>42</v>
      </c>
      <c r="G21" s="51">
        <f t="shared" ca="1" si="0"/>
        <v>1</v>
      </c>
      <c r="H21" s="54">
        <f ca="1">IFERROR(__xludf.DUMMYFUNCTION("""COMPUTED_VALUE"""),42)</f>
        <v>42</v>
      </c>
      <c r="I21" s="51">
        <f t="shared" ca="1" si="1"/>
        <v>1</v>
      </c>
      <c r="J21" s="54">
        <f ca="1">IFERROR(__xludf.DUMMYFUNCTION("""COMPUTED_VALUE"""),39)</f>
        <v>39</v>
      </c>
      <c r="K21" s="51">
        <f t="shared" ca="1" si="2"/>
        <v>0.9285714285714286</v>
      </c>
      <c r="L21" s="54">
        <f ca="1">IFERROR(__xludf.DUMMYFUNCTION("""COMPUTED_VALUE"""),24)</f>
        <v>24</v>
      </c>
      <c r="M21" s="51">
        <f t="shared" ca="1" si="3"/>
        <v>0.5714285714285714</v>
      </c>
      <c r="N21" s="54">
        <f ca="1">IFERROR(__xludf.DUMMYFUNCTION("""COMPUTED_VALUE"""),67)</f>
        <v>67</v>
      </c>
      <c r="O21" s="54">
        <f ca="1">IFERROR(__xludf.DUMMYFUNCTION("""COMPUTED_VALUE"""),8)</f>
        <v>8</v>
      </c>
      <c r="P21" s="51">
        <f t="shared" ca="1" si="4"/>
        <v>0.11940298507462686</v>
      </c>
      <c r="Q21" s="54">
        <f ca="1">IFERROR(__xludf.DUMMYFUNCTION("""COMPUTED_VALUE"""),2)</f>
        <v>2</v>
      </c>
      <c r="R21" s="51">
        <f t="shared" ca="1" si="5"/>
        <v>2.9850746268656716E-2</v>
      </c>
      <c r="S21" s="53"/>
      <c r="T21" s="53"/>
      <c r="U21" s="51" t="str">
        <f t="shared" si="6"/>
        <v/>
      </c>
      <c r="V21" s="53"/>
      <c r="W21" s="51" t="str">
        <f t="shared" si="7"/>
        <v/>
      </c>
      <c r="X21" s="53"/>
      <c r="Y21" s="51" t="str">
        <f t="shared" si="8"/>
        <v/>
      </c>
      <c r="Z21" s="2"/>
      <c r="AA21" s="2"/>
      <c r="AB21" s="2"/>
      <c r="AC21" s="2"/>
      <c r="AD21" s="2"/>
      <c r="AE21" s="2"/>
    </row>
    <row r="22" spans="1:31" ht="12.75" x14ac:dyDescent="0.2">
      <c r="A22" s="53">
        <f ca="1">IFERROR(__xludf.DUMMYFUNCTION("""COMPUTED_VALUE"""),16)</f>
        <v>16</v>
      </c>
      <c r="B22" s="53" t="str">
        <f ca="1">IFERROR(__xludf.DUMMYFUNCTION("""COMPUTED_VALUE"""),"Mầm non 19")</f>
        <v>Mầm non 19</v>
      </c>
      <c r="C22" s="53" t="str">
        <f ca="1">IFERROR(__xludf.DUMMYFUNCTION("""COMPUTED_VALUE"""),"MN")</f>
        <v>MN</v>
      </c>
      <c r="D22" s="53" t="str">
        <f ca="1">IFERROR(__xludf.DUMMYFUNCTION("""COMPUTED_VALUE"""),"BÌNH THẠNH")</f>
        <v>BÌNH THẠNH</v>
      </c>
      <c r="E22" s="54">
        <f ca="1">IFERROR(__xludf.DUMMYFUNCTION("""COMPUTED_VALUE"""),27)</f>
        <v>27</v>
      </c>
      <c r="F22" s="54">
        <f ca="1">IFERROR(__xludf.DUMMYFUNCTION("""COMPUTED_VALUE"""),27)</f>
        <v>27</v>
      </c>
      <c r="G22" s="51">
        <f t="shared" ca="1" si="0"/>
        <v>1</v>
      </c>
      <c r="H22" s="54">
        <f ca="1">IFERROR(__xludf.DUMMYFUNCTION("""COMPUTED_VALUE"""),27)</f>
        <v>27</v>
      </c>
      <c r="I22" s="51">
        <f t="shared" ca="1" si="1"/>
        <v>1</v>
      </c>
      <c r="J22" s="54">
        <f ca="1">IFERROR(__xludf.DUMMYFUNCTION("""COMPUTED_VALUE"""),27)</f>
        <v>27</v>
      </c>
      <c r="K22" s="51">
        <f t="shared" ca="1" si="2"/>
        <v>1</v>
      </c>
      <c r="L22" s="54">
        <f ca="1">IFERROR(__xludf.DUMMYFUNCTION("""COMPUTED_VALUE"""),27)</f>
        <v>27</v>
      </c>
      <c r="M22" s="51">
        <f t="shared" ca="1" si="3"/>
        <v>1</v>
      </c>
      <c r="N22" s="54">
        <f ca="1">IFERROR(__xludf.DUMMYFUNCTION("""COMPUTED_VALUE"""),53)</f>
        <v>53</v>
      </c>
      <c r="O22" s="54">
        <f ca="1">IFERROR(__xludf.DUMMYFUNCTION("""COMPUTED_VALUE"""),18)</f>
        <v>18</v>
      </c>
      <c r="P22" s="51">
        <f t="shared" ca="1" si="4"/>
        <v>0.33962264150943394</v>
      </c>
      <c r="Q22" s="54">
        <f ca="1">IFERROR(__xludf.DUMMYFUNCTION("""COMPUTED_VALUE"""),5)</f>
        <v>5</v>
      </c>
      <c r="R22" s="51">
        <f t="shared" ca="1" si="5"/>
        <v>9.4339622641509441E-2</v>
      </c>
      <c r="S22" s="53"/>
      <c r="T22" s="53"/>
      <c r="U22" s="51" t="str">
        <f t="shared" si="6"/>
        <v/>
      </c>
      <c r="V22" s="53"/>
      <c r="W22" s="51" t="str">
        <f t="shared" si="7"/>
        <v/>
      </c>
      <c r="X22" s="53"/>
      <c r="Y22" s="51" t="str">
        <f t="shared" si="8"/>
        <v/>
      </c>
      <c r="Z22" s="2"/>
      <c r="AA22" s="2"/>
      <c r="AB22" s="2"/>
      <c r="AC22" s="2"/>
      <c r="AD22" s="2"/>
      <c r="AE22" s="2"/>
    </row>
    <row r="23" spans="1:31" ht="12.75" x14ac:dyDescent="0.2">
      <c r="A23" s="53">
        <f ca="1">IFERROR(__xludf.DUMMYFUNCTION("""COMPUTED_VALUE"""),17)</f>
        <v>17</v>
      </c>
      <c r="B23" s="53" t="str">
        <f ca="1">IFERROR(__xludf.DUMMYFUNCTION("""COMPUTED_VALUE"""),"Mầm non 21")</f>
        <v>Mầm non 21</v>
      </c>
      <c r="C23" s="53" t="str">
        <f ca="1">IFERROR(__xludf.DUMMYFUNCTION("""COMPUTED_VALUE"""),"MN")</f>
        <v>MN</v>
      </c>
      <c r="D23" s="53" t="str">
        <f ca="1">IFERROR(__xludf.DUMMYFUNCTION("""COMPUTED_VALUE"""),"BÌNH THẠNH")</f>
        <v>BÌNH THẠNH</v>
      </c>
      <c r="E23" s="54">
        <f ca="1">IFERROR(__xludf.DUMMYFUNCTION("""COMPUTED_VALUE"""),23)</f>
        <v>23</v>
      </c>
      <c r="F23" s="54">
        <f ca="1">IFERROR(__xludf.DUMMYFUNCTION("""COMPUTED_VALUE"""),23)</f>
        <v>23</v>
      </c>
      <c r="G23" s="51">
        <f t="shared" ca="1" si="0"/>
        <v>1</v>
      </c>
      <c r="H23" s="54">
        <f ca="1">IFERROR(__xludf.DUMMYFUNCTION("""COMPUTED_VALUE"""),23)</f>
        <v>23</v>
      </c>
      <c r="I23" s="51">
        <f t="shared" ca="1" si="1"/>
        <v>1</v>
      </c>
      <c r="J23" s="54">
        <f ca="1">IFERROR(__xludf.DUMMYFUNCTION("""COMPUTED_VALUE"""),22)</f>
        <v>22</v>
      </c>
      <c r="K23" s="51">
        <f t="shared" ca="1" si="2"/>
        <v>0.95652173913043481</v>
      </c>
      <c r="L23" s="54">
        <f ca="1">IFERROR(__xludf.DUMMYFUNCTION("""COMPUTED_VALUE"""),21)</f>
        <v>21</v>
      </c>
      <c r="M23" s="51">
        <f t="shared" ca="1" si="3"/>
        <v>0.91304347826086951</v>
      </c>
      <c r="N23" s="54">
        <f ca="1">IFERROR(__xludf.DUMMYFUNCTION("""COMPUTED_VALUE"""),32)</f>
        <v>32</v>
      </c>
      <c r="O23" s="54">
        <f ca="1">IFERROR(__xludf.DUMMYFUNCTION("""COMPUTED_VALUE"""),2)</f>
        <v>2</v>
      </c>
      <c r="P23" s="51">
        <f t="shared" ca="1" si="4"/>
        <v>6.25E-2</v>
      </c>
      <c r="Q23" s="54">
        <f ca="1">IFERROR(__xludf.DUMMYFUNCTION("""COMPUTED_VALUE"""),1)</f>
        <v>1</v>
      </c>
      <c r="R23" s="51">
        <f t="shared" ca="1" si="5"/>
        <v>3.125E-2</v>
      </c>
      <c r="S23" s="53"/>
      <c r="T23" s="53"/>
      <c r="U23" s="51" t="str">
        <f t="shared" si="6"/>
        <v/>
      </c>
      <c r="V23" s="53"/>
      <c r="W23" s="51" t="str">
        <f t="shared" si="7"/>
        <v/>
      </c>
      <c r="X23" s="53"/>
      <c r="Y23" s="51" t="str">
        <f t="shared" si="8"/>
        <v/>
      </c>
      <c r="Z23" s="2"/>
      <c r="AA23" s="2"/>
      <c r="AB23" s="2"/>
      <c r="AC23" s="2"/>
      <c r="AD23" s="2"/>
      <c r="AE23" s="2"/>
    </row>
    <row r="24" spans="1:31" ht="12.75" x14ac:dyDescent="0.2">
      <c r="A24" s="53">
        <f ca="1">IFERROR(__xludf.DUMMYFUNCTION("""COMPUTED_VALUE"""),18)</f>
        <v>18</v>
      </c>
      <c r="B24" s="53" t="str">
        <f ca="1">IFERROR(__xludf.DUMMYFUNCTION("""COMPUTED_VALUE"""),"Mầm non 22")</f>
        <v>Mầm non 22</v>
      </c>
      <c r="C24" s="53" t="str">
        <f ca="1">IFERROR(__xludf.DUMMYFUNCTION("""COMPUTED_VALUE"""),"MN")</f>
        <v>MN</v>
      </c>
      <c r="D24" s="53" t="str">
        <f ca="1">IFERROR(__xludf.DUMMYFUNCTION("""COMPUTED_VALUE"""),"BÌNH THẠNH")</f>
        <v>BÌNH THẠNH</v>
      </c>
      <c r="E24" s="54">
        <f ca="1">IFERROR(__xludf.DUMMYFUNCTION("""COMPUTED_VALUE"""),31)</f>
        <v>31</v>
      </c>
      <c r="F24" s="54">
        <f ca="1">IFERROR(__xludf.DUMMYFUNCTION("""COMPUTED_VALUE"""),31)</f>
        <v>31</v>
      </c>
      <c r="G24" s="51">
        <f t="shared" ca="1" si="0"/>
        <v>1</v>
      </c>
      <c r="H24" s="54">
        <f ca="1">IFERROR(__xludf.DUMMYFUNCTION("""COMPUTED_VALUE"""),31)</f>
        <v>31</v>
      </c>
      <c r="I24" s="51">
        <f t="shared" ca="1" si="1"/>
        <v>1</v>
      </c>
      <c r="J24" s="54">
        <f ca="1">IFERROR(__xludf.DUMMYFUNCTION("""COMPUTED_VALUE"""),31)</f>
        <v>31</v>
      </c>
      <c r="K24" s="51">
        <f t="shared" ca="1" si="2"/>
        <v>1</v>
      </c>
      <c r="L24" s="54">
        <f ca="1">IFERROR(__xludf.DUMMYFUNCTION("""COMPUTED_VALUE"""),27)</f>
        <v>27</v>
      </c>
      <c r="M24" s="51">
        <f t="shared" ca="1" si="3"/>
        <v>0.87096774193548387</v>
      </c>
      <c r="N24" s="54">
        <f ca="1">IFERROR(__xludf.DUMMYFUNCTION("""COMPUTED_VALUE"""),82)</f>
        <v>82</v>
      </c>
      <c r="O24" s="54">
        <f ca="1">IFERROR(__xludf.DUMMYFUNCTION("""COMPUTED_VALUE"""),9)</f>
        <v>9</v>
      </c>
      <c r="P24" s="51">
        <f t="shared" ca="1" si="4"/>
        <v>0.10975609756097561</v>
      </c>
      <c r="Q24" s="54" t="str">
        <f ca="1">IFERROR(__xludf.DUMMYFUNCTION("""COMPUTED_VALUE"""),"-")</f>
        <v>-</v>
      </c>
      <c r="R24" s="51" t="str">
        <f t="shared" ca="1" si="5"/>
        <v/>
      </c>
      <c r="S24" s="53"/>
      <c r="T24" s="53"/>
      <c r="U24" s="51" t="str">
        <f t="shared" si="6"/>
        <v/>
      </c>
      <c r="V24" s="53"/>
      <c r="W24" s="51" t="str">
        <f t="shared" si="7"/>
        <v/>
      </c>
      <c r="X24" s="53"/>
      <c r="Y24" s="51" t="str">
        <f t="shared" si="8"/>
        <v/>
      </c>
      <c r="Z24" s="2"/>
      <c r="AA24" s="2"/>
      <c r="AB24" s="2"/>
      <c r="AC24" s="2"/>
      <c r="AD24" s="2"/>
      <c r="AE24" s="2"/>
    </row>
    <row r="25" spans="1:31" ht="12.75" x14ac:dyDescent="0.2">
      <c r="A25" s="53">
        <f ca="1">IFERROR(__xludf.DUMMYFUNCTION("""COMPUTED_VALUE"""),19)</f>
        <v>19</v>
      </c>
      <c r="B25" s="53" t="str">
        <f ca="1">IFERROR(__xludf.DUMMYFUNCTION("""COMPUTED_VALUE"""),"Mầm non 24 A")</f>
        <v>Mầm non 24 A</v>
      </c>
      <c r="C25" s="53" t="str">
        <f ca="1">IFERROR(__xludf.DUMMYFUNCTION("""COMPUTED_VALUE"""),"MN")</f>
        <v>MN</v>
      </c>
      <c r="D25" s="53" t="str">
        <f ca="1">IFERROR(__xludf.DUMMYFUNCTION("""COMPUTED_VALUE"""),"BÌNH THẠNH")</f>
        <v>BÌNH THẠNH</v>
      </c>
      <c r="E25" s="54">
        <f ca="1">IFERROR(__xludf.DUMMYFUNCTION("""COMPUTED_VALUE"""),32)</f>
        <v>32</v>
      </c>
      <c r="F25" s="54">
        <f ca="1">IFERROR(__xludf.DUMMYFUNCTION("""COMPUTED_VALUE"""),32)</f>
        <v>32</v>
      </c>
      <c r="G25" s="51">
        <f t="shared" ca="1" si="0"/>
        <v>1</v>
      </c>
      <c r="H25" s="54">
        <f ca="1">IFERROR(__xludf.DUMMYFUNCTION("""COMPUTED_VALUE"""),32)</f>
        <v>32</v>
      </c>
      <c r="I25" s="51">
        <f t="shared" ca="1" si="1"/>
        <v>1</v>
      </c>
      <c r="J25" s="54">
        <f ca="1">IFERROR(__xludf.DUMMYFUNCTION("""COMPUTED_VALUE"""),28)</f>
        <v>28</v>
      </c>
      <c r="K25" s="51">
        <f t="shared" ca="1" si="2"/>
        <v>0.875</v>
      </c>
      <c r="L25" s="54">
        <f ca="1">IFERROR(__xludf.DUMMYFUNCTION("""COMPUTED_VALUE"""),17)</f>
        <v>17</v>
      </c>
      <c r="M25" s="51">
        <f t="shared" ca="1" si="3"/>
        <v>0.53125</v>
      </c>
      <c r="N25" s="54">
        <f ca="1">IFERROR(__xludf.DUMMYFUNCTION("""COMPUTED_VALUE"""),35)</f>
        <v>35</v>
      </c>
      <c r="O25" s="54">
        <f ca="1">IFERROR(__xludf.DUMMYFUNCTION("""COMPUTED_VALUE"""),5)</f>
        <v>5</v>
      </c>
      <c r="P25" s="51">
        <f t="shared" ca="1" si="4"/>
        <v>0.14285714285714285</v>
      </c>
      <c r="Q25" s="54">
        <f ca="1">IFERROR(__xludf.DUMMYFUNCTION("""COMPUTED_VALUE"""),2)</f>
        <v>2</v>
      </c>
      <c r="R25" s="51">
        <f t="shared" ca="1" si="5"/>
        <v>5.7142857142857141E-2</v>
      </c>
      <c r="S25" s="53"/>
      <c r="T25" s="53"/>
      <c r="U25" s="51" t="str">
        <f t="shared" si="6"/>
        <v/>
      </c>
      <c r="V25" s="53"/>
      <c r="W25" s="51" t="str">
        <f t="shared" si="7"/>
        <v/>
      </c>
      <c r="X25" s="53"/>
      <c r="Y25" s="51" t="str">
        <f t="shared" si="8"/>
        <v/>
      </c>
      <c r="Z25" s="2"/>
      <c r="AA25" s="2"/>
      <c r="AB25" s="2"/>
      <c r="AC25" s="2"/>
      <c r="AD25" s="2"/>
      <c r="AE25" s="2"/>
    </row>
    <row r="26" spans="1:31" ht="12.75" x14ac:dyDescent="0.2">
      <c r="A26" s="53">
        <f ca="1">IFERROR(__xludf.DUMMYFUNCTION("""COMPUTED_VALUE"""),20)</f>
        <v>20</v>
      </c>
      <c r="B26" s="53" t="str">
        <f ca="1">IFERROR(__xludf.DUMMYFUNCTION("""COMPUTED_VALUE"""),"Mầm non 24 B")</f>
        <v>Mầm non 24 B</v>
      </c>
      <c r="C26" s="53" t="str">
        <f ca="1">IFERROR(__xludf.DUMMYFUNCTION("""COMPUTED_VALUE"""),"MN")</f>
        <v>MN</v>
      </c>
      <c r="D26" s="53" t="str">
        <f ca="1">IFERROR(__xludf.DUMMYFUNCTION("""COMPUTED_VALUE"""),"BÌNH THẠNH")</f>
        <v>BÌNH THẠNH</v>
      </c>
      <c r="E26" s="54">
        <f ca="1">IFERROR(__xludf.DUMMYFUNCTION("""COMPUTED_VALUE"""),32)</f>
        <v>32</v>
      </c>
      <c r="F26" s="54">
        <f ca="1">IFERROR(__xludf.DUMMYFUNCTION("""COMPUTED_VALUE"""),32)</f>
        <v>32</v>
      </c>
      <c r="G26" s="51">
        <f t="shared" ca="1" si="0"/>
        <v>1</v>
      </c>
      <c r="H26" s="54">
        <f ca="1">IFERROR(__xludf.DUMMYFUNCTION("""COMPUTED_VALUE"""),32)</f>
        <v>32</v>
      </c>
      <c r="I26" s="51">
        <f t="shared" ca="1" si="1"/>
        <v>1</v>
      </c>
      <c r="J26" s="54">
        <f ca="1">IFERROR(__xludf.DUMMYFUNCTION("""COMPUTED_VALUE"""),30)</f>
        <v>30</v>
      </c>
      <c r="K26" s="51">
        <f t="shared" ca="1" si="2"/>
        <v>0.9375</v>
      </c>
      <c r="L26" s="54">
        <f ca="1">IFERROR(__xludf.DUMMYFUNCTION("""COMPUTED_VALUE"""),21)</f>
        <v>21</v>
      </c>
      <c r="M26" s="51">
        <f t="shared" ca="1" si="3"/>
        <v>0.65625</v>
      </c>
      <c r="N26" s="54">
        <f ca="1">IFERROR(__xludf.DUMMYFUNCTION("""COMPUTED_VALUE"""),57)</f>
        <v>57</v>
      </c>
      <c r="O26" s="54">
        <f ca="1">IFERROR(__xludf.DUMMYFUNCTION("""COMPUTED_VALUE"""),14)</f>
        <v>14</v>
      </c>
      <c r="P26" s="51">
        <f t="shared" ca="1" si="4"/>
        <v>0.24561403508771928</v>
      </c>
      <c r="Q26" s="54">
        <f ca="1">IFERROR(__xludf.DUMMYFUNCTION("""COMPUTED_VALUE"""),1)</f>
        <v>1</v>
      </c>
      <c r="R26" s="51">
        <f t="shared" ca="1" si="5"/>
        <v>1.7543859649122806E-2</v>
      </c>
      <c r="S26" s="53"/>
      <c r="T26" s="53"/>
      <c r="U26" s="51" t="str">
        <f t="shared" si="6"/>
        <v/>
      </c>
      <c r="V26" s="53"/>
      <c r="W26" s="51" t="str">
        <f t="shared" si="7"/>
        <v/>
      </c>
      <c r="X26" s="53"/>
      <c r="Y26" s="51" t="str">
        <f t="shared" si="8"/>
        <v/>
      </c>
      <c r="Z26" s="2"/>
      <c r="AA26" s="2"/>
      <c r="AB26" s="2"/>
      <c r="AC26" s="2"/>
      <c r="AD26" s="2"/>
      <c r="AE26" s="2"/>
    </row>
    <row r="27" spans="1:31" ht="12.75" x14ac:dyDescent="0.2">
      <c r="A27" s="53">
        <f ca="1">IFERROR(__xludf.DUMMYFUNCTION("""COMPUTED_VALUE"""),21)</f>
        <v>21</v>
      </c>
      <c r="B27" s="53" t="str">
        <f ca="1">IFERROR(__xludf.DUMMYFUNCTION("""COMPUTED_VALUE"""),"Mầm non 25 A")</f>
        <v>Mầm non 25 A</v>
      </c>
      <c r="C27" s="53" t="str">
        <f ca="1">IFERROR(__xludf.DUMMYFUNCTION("""COMPUTED_VALUE"""),"MN")</f>
        <v>MN</v>
      </c>
      <c r="D27" s="53" t="str">
        <f ca="1">IFERROR(__xludf.DUMMYFUNCTION("""COMPUTED_VALUE"""),"BÌNH THẠNH")</f>
        <v>BÌNH THẠNH</v>
      </c>
      <c r="E27" s="54">
        <f ca="1">IFERROR(__xludf.DUMMYFUNCTION("""COMPUTED_VALUE"""),28)</f>
        <v>28</v>
      </c>
      <c r="F27" s="54">
        <f ca="1">IFERROR(__xludf.DUMMYFUNCTION("""COMPUTED_VALUE"""),28)</f>
        <v>28</v>
      </c>
      <c r="G27" s="51">
        <f t="shared" ca="1" si="0"/>
        <v>1</v>
      </c>
      <c r="H27" s="54">
        <f ca="1">IFERROR(__xludf.DUMMYFUNCTION("""COMPUTED_VALUE"""),28)</f>
        <v>28</v>
      </c>
      <c r="I27" s="51">
        <f t="shared" ca="1" si="1"/>
        <v>1</v>
      </c>
      <c r="J27" s="54">
        <f ca="1">IFERROR(__xludf.DUMMYFUNCTION("""COMPUTED_VALUE"""),28)</f>
        <v>28</v>
      </c>
      <c r="K27" s="51">
        <f t="shared" ca="1" si="2"/>
        <v>1</v>
      </c>
      <c r="L27" s="54">
        <f ca="1">IFERROR(__xludf.DUMMYFUNCTION("""COMPUTED_VALUE"""),28)</f>
        <v>28</v>
      </c>
      <c r="M27" s="51">
        <f t="shared" ca="1" si="3"/>
        <v>1</v>
      </c>
      <c r="N27" s="54">
        <f ca="1">IFERROR(__xludf.DUMMYFUNCTION("""COMPUTED_VALUE"""),49)</f>
        <v>49</v>
      </c>
      <c r="O27" s="54">
        <f ca="1">IFERROR(__xludf.DUMMYFUNCTION("""COMPUTED_VALUE"""),11)</f>
        <v>11</v>
      </c>
      <c r="P27" s="51">
        <f t="shared" ca="1" si="4"/>
        <v>0.22448979591836735</v>
      </c>
      <c r="Q27" s="54" t="str">
        <f ca="1">IFERROR(__xludf.DUMMYFUNCTION("""COMPUTED_VALUE"""),"-")</f>
        <v>-</v>
      </c>
      <c r="R27" s="51" t="str">
        <f t="shared" ca="1" si="5"/>
        <v/>
      </c>
      <c r="S27" s="53"/>
      <c r="T27" s="53"/>
      <c r="U27" s="51" t="str">
        <f t="shared" si="6"/>
        <v/>
      </c>
      <c r="V27" s="53"/>
      <c r="W27" s="51" t="str">
        <f t="shared" si="7"/>
        <v/>
      </c>
      <c r="X27" s="53"/>
      <c r="Y27" s="51" t="str">
        <f t="shared" si="8"/>
        <v/>
      </c>
      <c r="Z27" s="2"/>
      <c r="AA27" s="2"/>
      <c r="AB27" s="2"/>
      <c r="AC27" s="2"/>
      <c r="AD27" s="2"/>
      <c r="AE27" s="2"/>
    </row>
    <row r="28" spans="1:31" ht="12.75" x14ac:dyDescent="0.2">
      <c r="A28" s="53">
        <f ca="1">IFERROR(__xludf.DUMMYFUNCTION("""COMPUTED_VALUE"""),22)</f>
        <v>22</v>
      </c>
      <c r="B28" s="53" t="str">
        <f ca="1">IFERROR(__xludf.DUMMYFUNCTION("""COMPUTED_VALUE"""),"Mầm non 25 B")</f>
        <v>Mầm non 25 B</v>
      </c>
      <c r="C28" s="53" t="str">
        <f ca="1">IFERROR(__xludf.DUMMYFUNCTION("""COMPUTED_VALUE"""),"MN")</f>
        <v>MN</v>
      </c>
      <c r="D28" s="53" t="str">
        <f ca="1">IFERROR(__xludf.DUMMYFUNCTION("""COMPUTED_VALUE"""),"BÌNH THẠNH")</f>
        <v>BÌNH THẠNH</v>
      </c>
      <c r="E28" s="54">
        <f ca="1">IFERROR(__xludf.DUMMYFUNCTION("""COMPUTED_VALUE"""),31)</f>
        <v>31</v>
      </c>
      <c r="F28" s="54">
        <f ca="1">IFERROR(__xludf.DUMMYFUNCTION("""COMPUTED_VALUE"""),31)</f>
        <v>31</v>
      </c>
      <c r="G28" s="51">
        <f t="shared" ca="1" si="0"/>
        <v>1</v>
      </c>
      <c r="H28" s="54">
        <f ca="1">IFERROR(__xludf.DUMMYFUNCTION("""COMPUTED_VALUE"""),31)</f>
        <v>31</v>
      </c>
      <c r="I28" s="51">
        <f t="shared" ca="1" si="1"/>
        <v>1</v>
      </c>
      <c r="J28" s="54">
        <f ca="1">IFERROR(__xludf.DUMMYFUNCTION("""COMPUTED_VALUE"""),31)</f>
        <v>31</v>
      </c>
      <c r="K28" s="51">
        <f t="shared" ca="1" si="2"/>
        <v>1</v>
      </c>
      <c r="L28" s="54">
        <f ca="1">IFERROR(__xludf.DUMMYFUNCTION("""COMPUTED_VALUE"""),29)</f>
        <v>29</v>
      </c>
      <c r="M28" s="51">
        <f t="shared" ca="1" si="3"/>
        <v>0.93548387096774188</v>
      </c>
      <c r="N28" s="54">
        <f ca="1">IFERROR(__xludf.DUMMYFUNCTION("""COMPUTED_VALUE"""),72)</f>
        <v>72</v>
      </c>
      <c r="O28" s="54">
        <f ca="1">IFERROR(__xludf.DUMMYFUNCTION("""COMPUTED_VALUE"""),4)</f>
        <v>4</v>
      </c>
      <c r="P28" s="51">
        <f t="shared" ca="1" si="4"/>
        <v>5.5555555555555552E-2</v>
      </c>
      <c r="Q28" s="54">
        <f ca="1">IFERROR(__xludf.DUMMYFUNCTION("""COMPUTED_VALUE"""),1)</f>
        <v>1</v>
      </c>
      <c r="R28" s="51">
        <f t="shared" ca="1" si="5"/>
        <v>1.3888888888888888E-2</v>
      </c>
      <c r="S28" s="53"/>
      <c r="T28" s="53"/>
      <c r="U28" s="51" t="str">
        <f t="shared" si="6"/>
        <v/>
      </c>
      <c r="V28" s="53"/>
      <c r="W28" s="51" t="str">
        <f t="shared" si="7"/>
        <v/>
      </c>
      <c r="X28" s="53"/>
      <c r="Y28" s="51" t="str">
        <f t="shared" si="8"/>
        <v/>
      </c>
      <c r="Z28" s="2"/>
      <c r="AA28" s="2"/>
      <c r="AB28" s="2"/>
      <c r="AC28" s="2"/>
      <c r="AD28" s="2"/>
      <c r="AE28" s="2"/>
    </row>
    <row r="29" spans="1:31" ht="12.75" x14ac:dyDescent="0.2">
      <c r="A29" s="53">
        <f ca="1">IFERROR(__xludf.DUMMYFUNCTION("""COMPUTED_VALUE"""),23)</f>
        <v>23</v>
      </c>
      <c r="B29" s="53" t="str">
        <f ca="1">IFERROR(__xludf.DUMMYFUNCTION("""COMPUTED_VALUE"""),"Mầm non 26")</f>
        <v>Mầm non 26</v>
      </c>
      <c r="C29" s="53" t="str">
        <f ca="1">IFERROR(__xludf.DUMMYFUNCTION("""COMPUTED_VALUE"""),"MN")</f>
        <v>MN</v>
      </c>
      <c r="D29" s="53" t="str">
        <f ca="1">IFERROR(__xludf.DUMMYFUNCTION("""COMPUTED_VALUE"""),"BÌNH THẠNH")</f>
        <v>BÌNH THẠNH</v>
      </c>
      <c r="E29" s="54">
        <f ca="1">IFERROR(__xludf.DUMMYFUNCTION("""COMPUTED_VALUE"""),49)</f>
        <v>49</v>
      </c>
      <c r="F29" s="54">
        <f ca="1">IFERROR(__xludf.DUMMYFUNCTION("""COMPUTED_VALUE"""),49)</f>
        <v>49</v>
      </c>
      <c r="G29" s="51">
        <f t="shared" ca="1" si="0"/>
        <v>1</v>
      </c>
      <c r="H29" s="54">
        <f ca="1">IFERROR(__xludf.DUMMYFUNCTION("""COMPUTED_VALUE"""),49)</f>
        <v>49</v>
      </c>
      <c r="I29" s="51">
        <f t="shared" ca="1" si="1"/>
        <v>1</v>
      </c>
      <c r="J29" s="54">
        <f ca="1">IFERROR(__xludf.DUMMYFUNCTION("""COMPUTED_VALUE"""),42)</f>
        <v>42</v>
      </c>
      <c r="K29" s="51">
        <f t="shared" ca="1" si="2"/>
        <v>0.8571428571428571</v>
      </c>
      <c r="L29" s="54">
        <f ca="1">IFERROR(__xludf.DUMMYFUNCTION("""COMPUTED_VALUE"""),11)</f>
        <v>11</v>
      </c>
      <c r="M29" s="51">
        <f t="shared" ca="1" si="3"/>
        <v>0.22448979591836735</v>
      </c>
      <c r="N29" s="54">
        <f ca="1">IFERROR(__xludf.DUMMYFUNCTION("""COMPUTED_VALUE"""),154)</f>
        <v>154</v>
      </c>
      <c r="O29" s="54">
        <f ca="1">IFERROR(__xludf.DUMMYFUNCTION("""COMPUTED_VALUE"""),2)</f>
        <v>2</v>
      </c>
      <c r="P29" s="51">
        <f t="shared" ca="1" si="4"/>
        <v>1.2987012987012988E-2</v>
      </c>
      <c r="Q29" s="54">
        <f ca="1">IFERROR(__xludf.DUMMYFUNCTION("""COMPUTED_VALUE"""),0)</f>
        <v>0</v>
      </c>
      <c r="R29" s="51">
        <f t="shared" ca="1" si="5"/>
        <v>0</v>
      </c>
      <c r="S29" s="53"/>
      <c r="T29" s="53"/>
      <c r="U29" s="51" t="str">
        <f t="shared" si="6"/>
        <v/>
      </c>
      <c r="V29" s="53"/>
      <c r="W29" s="51" t="str">
        <f t="shared" si="7"/>
        <v/>
      </c>
      <c r="X29" s="53"/>
      <c r="Y29" s="51" t="str">
        <f t="shared" si="8"/>
        <v/>
      </c>
      <c r="Z29" s="2"/>
      <c r="AA29" s="2"/>
      <c r="AB29" s="2"/>
      <c r="AC29" s="2"/>
      <c r="AD29" s="2"/>
      <c r="AE29" s="2"/>
    </row>
    <row r="30" spans="1:31" ht="12.75" x14ac:dyDescent="0.2">
      <c r="A30" s="53">
        <f ca="1">IFERROR(__xludf.DUMMYFUNCTION("""COMPUTED_VALUE"""),24)</f>
        <v>24</v>
      </c>
      <c r="B30" s="53" t="str">
        <f ca="1">IFERROR(__xludf.DUMMYFUNCTION("""COMPUTED_VALUE"""),"Mầm non 27")</f>
        <v>Mầm non 27</v>
      </c>
      <c r="C30" s="53" t="str">
        <f ca="1">IFERROR(__xludf.DUMMYFUNCTION("""COMPUTED_VALUE"""),"MN")</f>
        <v>MN</v>
      </c>
      <c r="D30" s="53" t="str">
        <f ca="1">IFERROR(__xludf.DUMMYFUNCTION("""COMPUTED_VALUE"""),"BÌNH THẠNH")</f>
        <v>BÌNH THẠNH</v>
      </c>
      <c r="E30" s="54">
        <f ca="1">IFERROR(__xludf.DUMMYFUNCTION("""COMPUTED_VALUE"""),56)</f>
        <v>56</v>
      </c>
      <c r="F30" s="54">
        <f ca="1">IFERROR(__xludf.DUMMYFUNCTION("""COMPUTED_VALUE"""),56)</f>
        <v>56</v>
      </c>
      <c r="G30" s="51">
        <f t="shared" ca="1" si="0"/>
        <v>1</v>
      </c>
      <c r="H30" s="54">
        <f ca="1">IFERROR(__xludf.DUMMYFUNCTION("""COMPUTED_VALUE"""),56)</f>
        <v>56</v>
      </c>
      <c r="I30" s="51">
        <f t="shared" ca="1" si="1"/>
        <v>1</v>
      </c>
      <c r="J30" s="54">
        <f ca="1">IFERROR(__xludf.DUMMYFUNCTION("""COMPUTED_VALUE"""),51)</f>
        <v>51</v>
      </c>
      <c r="K30" s="51">
        <f t="shared" ca="1" si="2"/>
        <v>0.9107142857142857</v>
      </c>
      <c r="L30" s="54">
        <f ca="1">IFERROR(__xludf.DUMMYFUNCTION("""COMPUTED_VALUE"""),21)</f>
        <v>21</v>
      </c>
      <c r="M30" s="51">
        <f t="shared" ca="1" si="3"/>
        <v>0.375</v>
      </c>
      <c r="N30" s="54">
        <f ca="1">IFERROR(__xludf.DUMMYFUNCTION("""COMPUTED_VALUE"""),106)</f>
        <v>106</v>
      </c>
      <c r="O30" s="54">
        <f ca="1">IFERROR(__xludf.DUMMYFUNCTION("""COMPUTED_VALUE"""),23)</f>
        <v>23</v>
      </c>
      <c r="P30" s="51">
        <f t="shared" ca="1" si="4"/>
        <v>0.21698113207547171</v>
      </c>
      <c r="Q30" s="54">
        <f ca="1">IFERROR(__xludf.DUMMYFUNCTION("""COMPUTED_VALUE"""),10)</f>
        <v>10</v>
      </c>
      <c r="R30" s="51">
        <f t="shared" ca="1" si="5"/>
        <v>9.4339622641509441E-2</v>
      </c>
      <c r="S30" s="53"/>
      <c r="T30" s="53"/>
      <c r="U30" s="51" t="str">
        <f t="shared" si="6"/>
        <v/>
      </c>
      <c r="V30" s="53"/>
      <c r="W30" s="51" t="str">
        <f t="shared" si="7"/>
        <v/>
      </c>
      <c r="X30" s="53"/>
      <c r="Y30" s="51" t="str">
        <f t="shared" si="8"/>
        <v/>
      </c>
      <c r="Z30" s="2"/>
      <c r="AA30" s="2"/>
      <c r="AB30" s="2"/>
      <c r="AC30" s="2"/>
      <c r="AD30" s="2"/>
      <c r="AE30" s="2"/>
    </row>
    <row r="31" spans="1:31" ht="12.75" x14ac:dyDescent="0.2">
      <c r="A31" s="53">
        <f ca="1">IFERROR(__xludf.DUMMYFUNCTION("""COMPUTED_VALUE"""),25)</f>
        <v>25</v>
      </c>
      <c r="B31" s="53" t="str">
        <f ca="1">IFERROR(__xludf.DUMMYFUNCTION("""COMPUTED_VALUE"""),"Mầm non 28")</f>
        <v>Mầm non 28</v>
      </c>
      <c r="C31" s="53" t="str">
        <f ca="1">IFERROR(__xludf.DUMMYFUNCTION("""COMPUTED_VALUE"""),"MN")</f>
        <v>MN</v>
      </c>
      <c r="D31" s="53" t="str">
        <f ca="1">IFERROR(__xludf.DUMMYFUNCTION("""COMPUTED_VALUE"""),"BÌNH THẠNH")</f>
        <v>BÌNH THẠNH</v>
      </c>
      <c r="E31" s="54">
        <f ca="1">IFERROR(__xludf.DUMMYFUNCTION("""COMPUTED_VALUE"""),15)</f>
        <v>15</v>
      </c>
      <c r="F31" s="54">
        <f ca="1">IFERROR(__xludf.DUMMYFUNCTION("""COMPUTED_VALUE"""),15)</f>
        <v>15</v>
      </c>
      <c r="G31" s="51">
        <f t="shared" ca="1" si="0"/>
        <v>1</v>
      </c>
      <c r="H31" s="54">
        <f ca="1">IFERROR(__xludf.DUMMYFUNCTION("""COMPUTED_VALUE"""),15)</f>
        <v>15</v>
      </c>
      <c r="I31" s="51">
        <f t="shared" ca="1" si="1"/>
        <v>1</v>
      </c>
      <c r="J31" s="54">
        <f ca="1">IFERROR(__xludf.DUMMYFUNCTION("""COMPUTED_VALUE"""),15)</f>
        <v>15</v>
      </c>
      <c r="K31" s="51">
        <f t="shared" ca="1" si="2"/>
        <v>1</v>
      </c>
      <c r="L31" s="54">
        <f ca="1">IFERROR(__xludf.DUMMYFUNCTION("""COMPUTED_VALUE"""),12)</f>
        <v>12</v>
      </c>
      <c r="M31" s="51">
        <f t="shared" ca="1" si="3"/>
        <v>0.8</v>
      </c>
      <c r="N31" s="54">
        <f ca="1">IFERROR(__xludf.DUMMYFUNCTION("""COMPUTED_VALUE"""),53)</f>
        <v>53</v>
      </c>
      <c r="O31" s="54">
        <f ca="1">IFERROR(__xludf.DUMMYFUNCTION("""COMPUTED_VALUE"""),12)</f>
        <v>12</v>
      </c>
      <c r="P31" s="51">
        <f t="shared" ca="1" si="4"/>
        <v>0.22641509433962265</v>
      </c>
      <c r="Q31" s="54">
        <f ca="1">IFERROR(__xludf.DUMMYFUNCTION("""COMPUTED_VALUE"""),3)</f>
        <v>3</v>
      </c>
      <c r="R31" s="51">
        <f t="shared" ca="1" si="5"/>
        <v>5.6603773584905662E-2</v>
      </c>
      <c r="S31" s="53"/>
      <c r="T31" s="53"/>
      <c r="U31" s="51" t="str">
        <f t="shared" si="6"/>
        <v/>
      </c>
      <c r="V31" s="53"/>
      <c r="W31" s="51" t="str">
        <f t="shared" si="7"/>
        <v/>
      </c>
      <c r="X31" s="53"/>
      <c r="Y31" s="51" t="str">
        <f t="shared" si="8"/>
        <v/>
      </c>
      <c r="Z31" s="2"/>
      <c r="AA31" s="2"/>
      <c r="AB31" s="2"/>
      <c r="AC31" s="2"/>
      <c r="AD31" s="2"/>
      <c r="AE31" s="2"/>
    </row>
    <row r="32" spans="1:31" ht="12.75" x14ac:dyDescent="0.2">
      <c r="A32" s="53">
        <f ca="1">IFERROR(__xludf.DUMMYFUNCTION("""COMPUTED_VALUE"""),26)</f>
        <v>26</v>
      </c>
      <c r="B32" s="53" t="str">
        <f ca="1">IFERROR(__xludf.DUMMYFUNCTION("""COMPUTED_VALUE"""),"MN Việt Úc")</f>
        <v>MN Việt Úc</v>
      </c>
      <c r="C32" s="53" t="str">
        <f ca="1">IFERROR(__xludf.DUMMYFUNCTION("""COMPUTED_VALUE"""),"MN")</f>
        <v>MN</v>
      </c>
      <c r="D32" s="53" t="str">
        <f ca="1">IFERROR(__xludf.DUMMYFUNCTION("""COMPUTED_VALUE"""),"BÌNH THẠNH")</f>
        <v>BÌNH THẠNH</v>
      </c>
      <c r="E32" s="54">
        <f ca="1">IFERROR(__xludf.DUMMYFUNCTION("""COMPUTED_VALUE"""),14)</f>
        <v>14</v>
      </c>
      <c r="F32" s="54">
        <f ca="1">IFERROR(__xludf.DUMMYFUNCTION("""COMPUTED_VALUE"""),14)</f>
        <v>14</v>
      </c>
      <c r="G32" s="51">
        <f t="shared" ca="1" si="0"/>
        <v>1</v>
      </c>
      <c r="H32" s="54">
        <f ca="1">IFERROR(__xludf.DUMMYFUNCTION("""COMPUTED_VALUE"""),14)</f>
        <v>14</v>
      </c>
      <c r="I32" s="51">
        <f t="shared" ca="1" si="1"/>
        <v>1</v>
      </c>
      <c r="J32" s="54">
        <f ca="1">IFERROR(__xludf.DUMMYFUNCTION("""COMPUTED_VALUE"""),14)</f>
        <v>14</v>
      </c>
      <c r="K32" s="51">
        <f t="shared" ca="1" si="2"/>
        <v>1</v>
      </c>
      <c r="L32" s="54">
        <f ca="1">IFERROR(__xludf.DUMMYFUNCTION("""COMPUTED_VALUE"""),7)</f>
        <v>7</v>
      </c>
      <c r="M32" s="51">
        <f t="shared" ca="1" si="3"/>
        <v>0.5</v>
      </c>
      <c r="N32" s="54">
        <f ca="1">IFERROR(__xludf.DUMMYFUNCTION("""COMPUTED_VALUE"""),5)</f>
        <v>5</v>
      </c>
      <c r="O32" s="54">
        <f ca="1">IFERROR(__xludf.DUMMYFUNCTION("""COMPUTED_VALUE"""),0)</f>
        <v>0</v>
      </c>
      <c r="P32" s="51">
        <f t="shared" ca="1" si="4"/>
        <v>0</v>
      </c>
      <c r="Q32" s="54">
        <f ca="1">IFERROR(__xludf.DUMMYFUNCTION("""COMPUTED_VALUE"""),1)</f>
        <v>1</v>
      </c>
      <c r="R32" s="51">
        <f t="shared" ca="1" si="5"/>
        <v>0.2</v>
      </c>
      <c r="S32" s="53"/>
      <c r="T32" s="53"/>
      <c r="U32" s="51" t="str">
        <f t="shared" si="6"/>
        <v/>
      </c>
      <c r="V32" s="53"/>
      <c r="W32" s="51" t="str">
        <f t="shared" si="7"/>
        <v/>
      </c>
      <c r="X32" s="53"/>
      <c r="Y32" s="51" t="str">
        <f t="shared" si="8"/>
        <v/>
      </c>
      <c r="Z32" s="2"/>
      <c r="AA32" s="2"/>
      <c r="AB32" s="2"/>
      <c r="AC32" s="2"/>
      <c r="AD32" s="2"/>
      <c r="AE32" s="2"/>
    </row>
    <row r="33" spans="1:31" ht="12.75" x14ac:dyDescent="0.2">
      <c r="A33" s="53">
        <f ca="1">IFERROR(__xludf.DUMMYFUNCTION("""COMPUTED_VALUE"""),27)</f>
        <v>27</v>
      </c>
      <c r="B33" s="53" t="str">
        <f ca="1">IFERROR(__xludf.DUMMYFUNCTION("""COMPUTED_VALUE"""),"MN Việt Mỹ")</f>
        <v>MN Việt Mỹ</v>
      </c>
      <c r="C33" s="53" t="str">
        <f ca="1">IFERROR(__xludf.DUMMYFUNCTION("""COMPUTED_VALUE"""),"MN")</f>
        <v>MN</v>
      </c>
      <c r="D33" s="53" t="str">
        <f ca="1">IFERROR(__xludf.DUMMYFUNCTION("""COMPUTED_VALUE"""),"BÌNH THẠNH")</f>
        <v>BÌNH THẠNH</v>
      </c>
      <c r="E33" s="54">
        <f ca="1">IFERROR(__xludf.DUMMYFUNCTION("""COMPUTED_VALUE"""),14)</f>
        <v>14</v>
      </c>
      <c r="F33" s="54">
        <f ca="1">IFERROR(__xludf.DUMMYFUNCTION("""COMPUTED_VALUE"""),14)</f>
        <v>14</v>
      </c>
      <c r="G33" s="51">
        <f t="shared" ca="1" si="0"/>
        <v>1</v>
      </c>
      <c r="H33" s="54">
        <f ca="1">IFERROR(__xludf.DUMMYFUNCTION("""COMPUTED_VALUE"""),14)</f>
        <v>14</v>
      </c>
      <c r="I33" s="51">
        <f t="shared" ca="1" si="1"/>
        <v>1</v>
      </c>
      <c r="J33" s="54">
        <f ca="1">IFERROR(__xludf.DUMMYFUNCTION("""COMPUTED_VALUE"""),14)</f>
        <v>14</v>
      </c>
      <c r="K33" s="51">
        <f t="shared" ca="1" si="2"/>
        <v>1</v>
      </c>
      <c r="L33" s="54">
        <f ca="1">IFERROR(__xludf.DUMMYFUNCTION("""COMPUTED_VALUE"""),14)</f>
        <v>14</v>
      </c>
      <c r="M33" s="51">
        <f t="shared" ca="1" si="3"/>
        <v>1</v>
      </c>
      <c r="N33" s="54">
        <f ca="1">IFERROR(__xludf.DUMMYFUNCTION("""COMPUTED_VALUE"""),11)</f>
        <v>11</v>
      </c>
      <c r="O33" s="54">
        <f ca="1">IFERROR(__xludf.DUMMYFUNCTION("""COMPUTED_VALUE"""),2)</f>
        <v>2</v>
      </c>
      <c r="P33" s="51">
        <f t="shared" ca="1" si="4"/>
        <v>0.18181818181818182</v>
      </c>
      <c r="Q33" s="54">
        <f ca="1">IFERROR(__xludf.DUMMYFUNCTION("""COMPUTED_VALUE"""),0)</f>
        <v>0</v>
      </c>
      <c r="R33" s="51">
        <f t="shared" ca="1" si="5"/>
        <v>0</v>
      </c>
      <c r="S33" s="53"/>
      <c r="T33" s="53"/>
      <c r="U33" s="51" t="str">
        <f t="shared" si="6"/>
        <v/>
      </c>
      <c r="V33" s="53"/>
      <c r="W33" s="51" t="str">
        <f t="shared" si="7"/>
        <v/>
      </c>
      <c r="X33" s="53"/>
      <c r="Y33" s="51" t="str">
        <f t="shared" si="8"/>
        <v/>
      </c>
      <c r="Z33" s="2"/>
      <c r="AA33" s="2"/>
      <c r="AB33" s="2"/>
      <c r="AC33" s="2"/>
      <c r="AD33" s="2"/>
      <c r="AE33" s="2"/>
    </row>
    <row r="34" spans="1:31" ht="12.75" x14ac:dyDescent="0.2">
      <c r="A34" s="53">
        <f ca="1">IFERROR(__xludf.DUMMYFUNCTION("""COMPUTED_VALUE"""),28)</f>
        <v>28</v>
      </c>
      <c r="B34" s="53" t="str">
        <f ca="1">IFERROR(__xludf.DUMMYFUNCTION("""COMPUTED_VALUE"""),"MG Hoa Anh Đào")</f>
        <v>MG Hoa Anh Đào</v>
      </c>
      <c r="C34" s="53" t="str">
        <f ca="1">IFERROR(__xludf.DUMMYFUNCTION("""COMPUTED_VALUE"""),"MN")</f>
        <v>MN</v>
      </c>
      <c r="D34" s="53" t="str">
        <f ca="1">IFERROR(__xludf.DUMMYFUNCTION("""COMPUTED_VALUE"""),"BÌNH THẠNH")</f>
        <v>BÌNH THẠNH</v>
      </c>
      <c r="E34" s="54">
        <f ca="1">IFERROR(__xludf.DUMMYFUNCTION("""COMPUTED_VALUE"""),40)</f>
        <v>40</v>
      </c>
      <c r="F34" s="54">
        <f ca="1">IFERROR(__xludf.DUMMYFUNCTION("""COMPUTED_VALUE"""),40)</f>
        <v>40</v>
      </c>
      <c r="G34" s="51">
        <f t="shared" ca="1" si="0"/>
        <v>1</v>
      </c>
      <c r="H34" s="54">
        <f ca="1">IFERROR(__xludf.DUMMYFUNCTION("""COMPUTED_VALUE"""),40)</f>
        <v>40</v>
      </c>
      <c r="I34" s="51">
        <f t="shared" ca="1" si="1"/>
        <v>1</v>
      </c>
      <c r="J34" s="54">
        <f ca="1">IFERROR(__xludf.DUMMYFUNCTION("""COMPUTED_VALUE"""),40)</f>
        <v>40</v>
      </c>
      <c r="K34" s="51">
        <f t="shared" ca="1" si="2"/>
        <v>1</v>
      </c>
      <c r="L34" s="54">
        <f ca="1">IFERROR(__xludf.DUMMYFUNCTION("""COMPUTED_VALUE"""),0)</f>
        <v>0</v>
      </c>
      <c r="M34" s="51">
        <f t="shared" ca="1" si="3"/>
        <v>0</v>
      </c>
      <c r="N34" s="54">
        <f ca="1">IFERROR(__xludf.DUMMYFUNCTION("""COMPUTED_VALUE"""),139)</f>
        <v>139</v>
      </c>
      <c r="O34" s="54">
        <f ca="1">IFERROR(__xludf.DUMMYFUNCTION("""COMPUTED_VALUE"""),2)</f>
        <v>2</v>
      </c>
      <c r="P34" s="51">
        <f t="shared" ca="1" si="4"/>
        <v>1.4388489208633094E-2</v>
      </c>
      <c r="Q34" s="54">
        <f ca="1">IFERROR(__xludf.DUMMYFUNCTION("""COMPUTED_VALUE"""),0)</f>
        <v>0</v>
      </c>
      <c r="R34" s="51">
        <f t="shared" ca="1" si="5"/>
        <v>0</v>
      </c>
      <c r="S34" s="53"/>
      <c r="T34" s="53"/>
      <c r="U34" s="51" t="str">
        <f t="shared" si="6"/>
        <v/>
      </c>
      <c r="V34" s="53"/>
      <c r="W34" s="51" t="str">
        <f t="shared" si="7"/>
        <v/>
      </c>
      <c r="X34" s="53"/>
      <c r="Y34" s="51" t="str">
        <f t="shared" si="8"/>
        <v/>
      </c>
      <c r="Z34" s="2"/>
      <c r="AA34" s="2"/>
      <c r="AB34" s="2"/>
      <c r="AC34" s="2"/>
      <c r="AD34" s="2"/>
      <c r="AE34" s="2"/>
    </row>
    <row r="35" spans="1:31" ht="12.75" x14ac:dyDescent="0.2">
      <c r="A35" s="53">
        <f ca="1">IFERROR(__xludf.DUMMYFUNCTION("""COMPUTED_VALUE"""),29)</f>
        <v>29</v>
      </c>
      <c r="B35" s="53" t="str">
        <f ca="1">IFERROR(__xludf.DUMMYFUNCTION("""COMPUTED_VALUE"""),"MN Chú Bồ Nông")</f>
        <v>MN Chú Bồ Nông</v>
      </c>
      <c r="C35" s="53" t="str">
        <f ca="1">IFERROR(__xludf.DUMMYFUNCTION("""COMPUTED_VALUE"""),"MN")</f>
        <v>MN</v>
      </c>
      <c r="D35" s="53" t="str">
        <f ca="1">IFERROR(__xludf.DUMMYFUNCTION("""COMPUTED_VALUE"""),"BÌNH THẠNH")</f>
        <v>BÌNH THẠNH</v>
      </c>
      <c r="E35" s="54">
        <f ca="1">IFERROR(__xludf.DUMMYFUNCTION("""COMPUTED_VALUE"""),23)</f>
        <v>23</v>
      </c>
      <c r="F35" s="54">
        <f ca="1">IFERROR(__xludf.DUMMYFUNCTION("""COMPUTED_VALUE"""),23)</f>
        <v>23</v>
      </c>
      <c r="G35" s="51">
        <f t="shared" ca="1" si="0"/>
        <v>1</v>
      </c>
      <c r="H35" s="54">
        <f ca="1">IFERROR(__xludf.DUMMYFUNCTION("""COMPUTED_VALUE"""),23)</f>
        <v>23</v>
      </c>
      <c r="I35" s="51">
        <f t="shared" ca="1" si="1"/>
        <v>1</v>
      </c>
      <c r="J35" s="54">
        <f ca="1">IFERROR(__xludf.DUMMYFUNCTION("""COMPUTED_VALUE"""),22)</f>
        <v>22</v>
      </c>
      <c r="K35" s="51">
        <f t="shared" ca="1" si="2"/>
        <v>0.95652173913043481</v>
      </c>
      <c r="L35" s="54">
        <f ca="1">IFERROR(__xludf.DUMMYFUNCTION("""COMPUTED_VALUE"""),9)</f>
        <v>9</v>
      </c>
      <c r="M35" s="51">
        <f t="shared" ca="1" si="3"/>
        <v>0.39130434782608697</v>
      </c>
      <c r="N35" s="54">
        <f ca="1">IFERROR(__xludf.DUMMYFUNCTION("""COMPUTED_VALUE"""),35)</f>
        <v>35</v>
      </c>
      <c r="O35" s="54">
        <f ca="1">IFERROR(__xludf.DUMMYFUNCTION("""COMPUTED_VALUE"""),0)</f>
        <v>0</v>
      </c>
      <c r="P35" s="51">
        <f t="shared" ca="1" si="4"/>
        <v>0</v>
      </c>
      <c r="Q35" s="54">
        <f ca="1">IFERROR(__xludf.DUMMYFUNCTION("""COMPUTED_VALUE"""),0)</f>
        <v>0</v>
      </c>
      <c r="R35" s="51">
        <f t="shared" ca="1" si="5"/>
        <v>0</v>
      </c>
      <c r="S35" s="53"/>
      <c r="T35" s="53"/>
      <c r="U35" s="51" t="str">
        <f t="shared" si="6"/>
        <v/>
      </c>
      <c r="V35" s="53"/>
      <c r="W35" s="51" t="str">
        <f t="shared" si="7"/>
        <v/>
      </c>
      <c r="X35" s="53"/>
      <c r="Y35" s="51" t="str">
        <f t="shared" si="8"/>
        <v/>
      </c>
      <c r="Z35" s="2"/>
      <c r="AA35" s="2"/>
      <c r="AB35" s="2"/>
      <c r="AC35" s="2"/>
      <c r="AD35" s="2"/>
      <c r="AE35" s="2"/>
    </row>
    <row r="36" spans="1:31" ht="12.75" x14ac:dyDescent="0.2">
      <c r="A36" s="53">
        <f ca="1">IFERROR(__xludf.DUMMYFUNCTION("""COMPUTED_VALUE"""),30)</f>
        <v>30</v>
      </c>
      <c r="B36" s="53"/>
      <c r="C36" s="53"/>
      <c r="D36" s="53" t="str">
        <f ca="1">IFERROR(__xludf.DUMMYFUNCTION("""COMPUTED_VALUE"""),"BÌNH THẠNH")</f>
        <v>BÌNH THẠNH</v>
      </c>
      <c r="E36" s="54">
        <f ca="1">IFERROR(__xludf.DUMMYFUNCTION("""COMPUTED_VALUE"""),22)</f>
        <v>22</v>
      </c>
      <c r="F36" s="54">
        <f ca="1">IFERROR(__xludf.DUMMYFUNCTION("""COMPUTED_VALUE"""),22)</f>
        <v>22</v>
      </c>
      <c r="G36" s="51">
        <f t="shared" ca="1" si="0"/>
        <v>1</v>
      </c>
      <c r="H36" s="54">
        <f ca="1">IFERROR(__xludf.DUMMYFUNCTION("""COMPUTED_VALUE"""),22)</f>
        <v>22</v>
      </c>
      <c r="I36" s="51">
        <f t="shared" ca="1" si="1"/>
        <v>1</v>
      </c>
      <c r="J36" s="54">
        <f ca="1">IFERROR(__xludf.DUMMYFUNCTION("""COMPUTED_VALUE"""),20)</f>
        <v>20</v>
      </c>
      <c r="K36" s="51">
        <f t="shared" ca="1" si="2"/>
        <v>0.90909090909090906</v>
      </c>
      <c r="L36" s="54">
        <f ca="1">IFERROR(__xludf.DUMMYFUNCTION("""COMPUTED_VALUE"""),11)</f>
        <v>11</v>
      </c>
      <c r="M36" s="51">
        <f t="shared" ca="1" si="3"/>
        <v>0.5</v>
      </c>
      <c r="N36" s="54">
        <f ca="1">IFERROR(__xludf.DUMMYFUNCTION("""COMPUTED_VALUE"""),5)</f>
        <v>5</v>
      </c>
      <c r="O36" s="54">
        <f ca="1">IFERROR(__xludf.DUMMYFUNCTION("""COMPUTED_VALUE"""),2)</f>
        <v>2</v>
      </c>
      <c r="P36" s="51">
        <f t="shared" ca="1" si="4"/>
        <v>0.4</v>
      </c>
      <c r="Q36" s="54">
        <f ca="1">IFERROR(__xludf.DUMMYFUNCTION("""COMPUTED_VALUE"""),1)</f>
        <v>1</v>
      </c>
      <c r="R36" s="51">
        <f t="shared" ca="1" si="5"/>
        <v>0.2</v>
      </c>
      <c r="S36" s="53"/>
      <c r="T36" s="53"/>
      <c r="U36" s="51" t="str">
        <f t="shared" si="6"/>
        <v/>
      </c>
      <c r="V36" s="53"/>
      <c r="W36" s="51" t="str">
        <f t="shared" si="7"/>
        <v/>
      </c>
      <c r="X36" s="53"/>
      <c r="Y36" s="51" t="str">
        <f t="shared" si="8"/>
        <v/>
      </c>
      <c r="Z36" s="2"/>
      <c r="AA36" s="2"/>
      <c r="AB36" s="2"/>
      <c r="AC36" s="2"/>
      <c r="AD36" s="2"/>
      <c r="AE36" s="2"/>
    </row>
    <row r="37" spans="1:31" ht="12.75" x14ac:dyDescent="0.2">
      <c r="A37" s="53">
        <f ca="1">IFERROR(__xludf.DUMMYFUNCTION("""COMPUTED_VALUE"""),31)</f>
        <v>31</v>
      </c>
      <c r="B37" s="53" t="str">
        <f ca="1">IFERROR(__xludf.DUMMYFUNCTION("""COMPUTED_VALUE"""),"MN Ánh Sao")</f>
        <v>MN Ánh Sao</v>
      </c>
      <c r="C37" s="53" t="str">
        <f ca="1">IFERROR(__xludf.DUMMYFUNCTION("""COMPUTED_VALUE"""),"MN")</f>
        <v>MN</v>
      </c>
      <c r="D37" s="53" t="str">
        <f ca="1">IFERROR(__xludf.DUMMYFUNCTION("""COMPUTED_VALUE"""),"BÌNH THẠNH")</f>
        <v>BÌNH THẠNH</v>
      </c>
      <c r="E37" s="54">
        <f ca="1">IFERROR(__xludf.DUMMYFUNCTION("""COMPUTED_VALUE"""),13)</f>
        <v>13</v>
      </c>
      <c r="F37" s="54">
        <f ca="1">IFERROR(__xludf.DUMMYFUNCTION("""COMPUTED_VALUE"""),13)</f>
        <v>13</v>
      </c>
      <c r="G37" s="51">
        <f t="shared" ca="1" si="0"/>
        <v>1</v>
      </c>
      <c r="H37" s="54">
        <f ca="1">IFERROR(__xludf.DUMMYFUNCTION("""COMPUTED_VALUE"""),13)</f>
        <v>13</v>
      </c>
      <c r="I37" s="51">
        <f t="shared" ca="1" si="1"/>
        <v>1</v>
      </c>
      <c r="J37" s="54">
        <f ca="1">IFERROR(__xludf.DUMMYFUNCTION("""COMPUTED_VALUE"""),12)</f>
        <v>12</v>
      </c>
      <c r="K37" s="51">
        <f t="shared" ca="1" si="2"/>
        <v>0.92307692307692313</v>
      </c>
      <c r="L37" s="54">
        <f ca="1">IFERROR(__xludf.DUMMYFUNCTION("""COMPUTED_VALUE"""),2)</f>
        <v>2</v>
      </c>
      <c r="M37" s="51">
        <f t="shared" ca="1" si="3"/>
        <v>0.15384615384615385</v>
      </c>
      <c r="N37" s="54">
        <f ca="1">IFERROR(__xludf.DUMMYFUNCTION("""COMPUTED_VALUE"""),7)</f>
        <v>7</v>
      </c>
      <c r="O37" s="54">
        <f ca="1">IFERROR(__xludf.DUMMYFUNCTION("""COMPUTED_VALUE"""),0)</f>
        <v>0</v>
      </c>
      <c r="P37" s="51">
        <f t="shared" ca="1" si="4"/>
        <v>0</v>
      </c>
      <c r="Q37" s="54">
        <f ca="1">IFERROR(__xludf.DUMMYFUNCTION("""COMPUTED_VALUE"""),0)</f>
        <v>0</v>
      </c>
      <c r="R37" s="51">
        <f t="shared" ca="1" si="5"/>
        <v>0</v>
      </c>
      <c r="S37" s="53"/>
      <c r="T37" s="53"/>
      <c r="U37" s="51" t="str">
        <f t="shared" si="6"/>
        <v/>
      </c>
      <c r="V37" s="53"/>
      <c r="W37" s="51" t="str">
        <f t="shared" si="7"/>
        <v/>
      </c>
      <c r="X37" s="53"/>
      <c r="Y37" s="51" t="str">
        <f t="shared" si="8"/>
        <v/>
      </c>
      <c r="Z37" s="2"/>
      <c r="AA37" s="2"/>
      <c r="AB37" s="2"/>
      <c r="AC37" s="2"/>
      <c r="AD37" s="2"/>
      <c r="AE37" s="2"/>
    </row>
    <row r="38" spans="1:31" ht="12.75" x14ac:dyDescent="0.2">
      <c r="A38" s="53">
        <f ca="1">IFERROR(__xludf.DUMMYFUNCTION("""COMPUTED_VALUE"""),32)</f>
        <v>32</v>
      </c>
      <c r="B38" s="53" t="str">
        <f ca="1">IFERROR(__xludf.DUMMYFUNCTION("""COMPUTED_VALUE"""),"MG Mai Hoa")</f>
        <v>MG Mai Hoa</v>
      </c>
      <c r="C38" s="53" t="str">
        <f ca="1">IFERROR(__xludf.DUMMYFUNCTION("""COMPUTED_VALUE"""),"MN")</f>
        <v>MN</v>
      </c>
      <c r="D38" s="53" t="str">
        <f ca="1">IFERROR(__xludf.DUMMYFUNCTION("""COMPUTED_VALUE"""),"BÌNH THẠNH")</f>
        <v>BÌNH THẠNH</v>
      </c>
      <c r="E38" s="54">
        <f ca="1">IFERROR(__xludf.DUMMYFUNCTION("""COMPUTED_VALUE"""),29)</f>
        <v>29</v>
      </c>
      <c r="F38" s="54">
        <f ca="1">IFERROR(__xludf.DUMMYFUNCTION("""COMPUTED_VALUE"""),29)</f>
        <v>29</v>
      </c>
      <c r="G38" s="51">
        <f t="shared" ca="1" si="0"/>
        <v>1</v>
      </c>
      <c r="H38" s="54">
        <f ca="1">IFERROR(__xludf.DUMMYFUNCTION("""COMPUTED_VALUE"""),28)</f>
        <v>28</v>
      </c>
      <c r="I38" s="51">
        <f t="shared" ca="1" si="1"/>
        <v>0.96551724137931039</v>
      </c>
      <c r="J38" s="54">
        <f ca="1">IFERROR(__xludf.DUMMYFUNCTION("""COMPUTED_VALUE"""),25)</f>
        <v>25</v>
      </c>
      <c r="K38" s="51">
        <f t="shared" ca="1" si="2"/>
        <v>0.86206896551724133</v>
      </c>
      <c r="L38" s="54">
        <f ca="1">IFERROR(__xludf.DUMMYFUNCTION("""COMPUTED_VALUE"""),11)</f>
        <v>11</v>
      </c>
      <c r="M38" s="51">
        <f t="shared" ca="1" si="3"/>
        <v>0.37931034482758619</v>
      </c>
      <c r="N38" s="54">
        <f ca="1">IFERROR(__xludf.DUMMYFUNCTION("""COMPUTED_VALUE"""),75)</f>
        <v>75</v>
      </c>
      <c r="O38" s="54">
        <f ca="1">IFERROR(__xludf.DUMMYFUNCTION("""COMPUTED_VALUE"""),20)</f>
        <v>20</v>
      </c>
      <c r="P38" s="51">
        <f t="shared" ca="1" si="4"/>
        <v>0.26666666666666666</v>
      </c>
      <c r="Q38" s="54">
        <f ca="1">IFERROR(__xludf.DUMMYFUNCTION("""COMPUTED_VALUE"""),0)</f>
        <v>0</v>
      </c>
      <c r="R38" s="51">
        <f t="shared" ca="1" si="5"/>
        <v>0</v>
      </c>
      <c r="S38" s="53"/>
      <c r="T38" s="53"/>
      <c r="U38" s="51" t="str">
        <f t="shared" si="6"/>
        <v/>
      </c>
      <c r="V38" s="53"/>
      <c r="W38" s="51" t="str">
        <f t="shared" si="7"/>
        <v/>
      </c>
      <c r="X38" s="53"/>
      <c r="Y38" s="51" t="str">
        <f t="shared" si="8"/>
        <v/>
      </c>
      <c r="Z38" s="2"/>
      <c r="AA38" s="2"/>
      <c r="AB38" s="2"/>
      <c r="AC38" s="2"/>
      <c r="AD38" s="2"/>
      <c r="AE38" s="2"/>
    </row>
    <row r="39" spans="1:31" ht="12.75" x14ac:dyDescent="0.2">
      <c r="A39" s="53">
        <f ca="1">IFERROR(__xludf.DUMMYFUNCTION("""COMPUTED_VALUE"""),33)</f>
        <v>33</v>
      </c>
      <c r="B39" s="53" t="str">
        <f ca="1">IFERROR(__xludf.DUMMYFUNCTION("""COMPUTED_VALUE"""),"MN Hoa Hồng")</f>
        <v>MN Hoa Hồng</v>
      </c>
      <c r="C39" s="53" t="str">
        <f ca="1">IFERROR(__xludf.DUMMYFUNCTION("""COMPUTED_VALUE"""),"MN")</f>
        <v>MN</v>
      </c>
      <c r="D39" s="53" t="str">
        <f ca="1">IFERROR(__xludf.DUMMYFUNCTION("""COMPUTED_VALUE"""),"BÌNH THẠNH")</f>
        <v>BÌNH THẠNH</v>
      </c>
      <c r="E39" s="54">
        <f ca="1">IFERROR(__xludf.DUMMYFUNCTION("""COMPUTED_VALUE"""),10)</f>
        <v>10</v>
      </c>
      <c r="F39" s="54">
        <f ca="1">IFERROR(__xludf.DUMMYFUNCTION("""COMPUTED_VALUE"""),10)</f>
        <v>10</v>
      </c>
      <c r="G39" s="51">
        <f t="shared" ca="1" si="0"/>
        <v>1</v>
      </c>
      <c r="H39" s="54">
        <f ca="1">IFERROR(__xludf.DUMMYFUNCTION("""COMPUTED_VALUE"""),10)</f>
        <v>10</v>
      </c>
      <c r="I39" s="51">
        <f t="shared" ca="1" si="1"/>
        <v>1</v>
      </c>
      <c r="J39" s="54">
        <f ca="1">IFERROR(__xludf.DUMMYFUNCTION("""COMPUTED_VALUE"""),10)</f>
        <v>10</v>
      </c>
      <c r="K39" s="51">
        <f t="shared" ca="1" si="2"/>
        <v>1</v>
      </c>
      <c r="L39" s="54">
        <f ca="1">IFERROR(__xludf.DUMMYFUNCTION("""COMPUTED_VALUE"""),10)</f>
        <v>10</v>
      </c>
      <c r="M39" s="51">
        <f t="shared" ca="1" si="3"/>
        <v>1</v>
      </c>
      <c r="N39" s="54" t="str">
        <f ca="1">IFERROR(__xludf.DUMMYFUNCTION("""COMPUTED_VALUE"""),"-")</f>
        <v>-</v>
      </c>
      <c r="O39" s="54">
        <f ca="1">IFERROR(__xludf.DUMMYFUNCTION("""COMPUTED_VALUE"""),0)</f>
        <v>0</v>
      </c>
      <c r="P39" s="51" t="str">
        <f t="shared" ca="1" si="4"/>
        <v/>
      </c>
      <c r="Q39" s="54">
        <f ca="1">IFERROR(__xludf.DUMMYFUNCTION("""COMPUTED_VALUE"""),0)</f>
        <v>0</v>
      </c>
      <c r="R39" s="51" t="str">
        <f t="shared" ca="1" si="5"/>
        <v/>
      </c>
      <c r="S39" s="53"/>
      <c r="T39" s="53"/>
      <c r="U39" s="51" t="str">
        <f t="shared" si="6"/>
        <v/>
      </c>
      <c r="V39" s="53"/>
      <c r="W39" s="51" t="str">
        <f t="shared" si="7"/>
        <v/>
      </c>
      <c r="X39" s="53"/>
      <c r="Y39" s="51" t="str">
        <f t="shared" si="8"/>
        <v/>
      </c>
      <c r="Z39" s="2"/>
      <c r="AA39" s="2"/>
      <c r="AB39" s="2"/>
      <c r="AC39" s="2"/>
      <c r="AD39" s="2"/>
      <c r="AE39" s="2"/>
    </row>
    <row r="40" spans="1:31" ht="12.75" x14ac:dyDescent="0.2">
      <c r="A40" s="53">
        <f ca="1">IFERROR(__xludf.DUMMYFUNCTION("""COMPUTED_VALUE"""),34)</f>
        <v>34</v>
      </c>
      <c r="B40" s="53" t="str">
        <f ca="1">IFERROR(__xludf.DUMMYFUNCTION("""COMPUTED_VALUE"""),"MN Ngôi 
 Làng Vui Vẻ")</f>
        <v>MN Ngôi 
 Làng Vui Vẻ</v>
      </c>
      <c r="C40" s="53" t="str">
        <f ca="1">IFERROR(__xludf.DUMMYFUNCTION("""COMPUTED_VALUE"""),"MN")</f>
        <v>MN</v>
      </c>
      <c r="D40" s="53" t="str">
        <f ca="1">IFERROR(__xludf.DUMMYFUNCTION("""COMPUTED_VALUE"""),"BÌNH THẠNH")</f>
        <v>BÌNH THẠNH</v>
      </c>
      <c r="E40" s="54">
        <f ca="1">IFERROR(__xludf.DUMMYFUNCTION("""COMPUTED_VALUE"""),24)</f>
        <v>24</v>
      </c>
      <c r="F40" s="54">
        <f ca="1">IFERROR(__xludf.DUMMYFUNCTION("""COMPUTED_VALUE"""),24)</f>
        <v>24</v>
      </c>
      <c r="G40" s="51">
        <f t="shared" ca="1" si="0"/>
        <v>1</v>
      </c>
      <c r="H40" s="54">
        <f ca="1">IFERROR(__xludf.DUMMYFUNCTION("""COMPUTED_VALUE"""),24)</f>
        <v>24</v>
      </c>
      <c r="I40" s="51">
        <f t="shared" ca="1" si="1"/>
        <v>1</v>
      </c>
      <c r="J40" s="54">
        <f ca="1">IFERROR(__xludf.DUMMYFUNCTION("""COMPUTED_VALUE"""),20)</f>
        <v>20</v>
      </c>
      <c r="K40" s="51">
        <f t="shared" ca="1" si="2"/>
        <v>0.83333333333333337</v>
      </c>
      <c r="L40" s="54">
        <f ca="1">IFERROR(__xludf.DUMMYFUNCTION("""COMPUTED_VALUE"""),2)</f>
        <v>2</v>
      </c>
      <c r="M40" s="51">
        <f t="shared" ca="1" si="3"/>
        <v>8.3333333333333329E-2</v>
      </c>
      <c r="N40" s="54">
        <f ca="1">IFERROR(__xludf.DUMMYFUNCTION("""COMPUTED_VALUE"""),11)</f>
        <v>11</v>
      </c>
      <c r="O40" s="54">
        <f ca="1">IFERROR(__xludf.DUMMYFUNCTION("""COMPUTED_VALUE"""),2)</f>
        <v>2</v>
      </c>
      <c r="P40" s="51">
        <f t="shared" ca="1" si="4"/>
        <v>0.18181818181818182</v>
      </c>
      <c r="Q40" s="54">
        <f ca="1">IFERROR(__xludf.DUMMYFUNCTION("""COMPUTED_VALUE"""),0)</f>
        <v>0</v>
      </c>
      <c r="R40" s="51">
        <f t="shared" ca="1" si="5"/>
        <v>0</v>
      </c>
      <c r="S40" s="53"/>
      <c r="T40" s="53"/>
      <c r="U40" s="51" t="str">
        <f t="shared" si="6"/>
        <v/>
      </c>
      <c r="V40" s="53"/>
      <c r="W40" s="51" t="str">
        <f t="shared" si="7"/>
        <v/>
      </c>
      <c r="X40" s="53"/>
      <c r="Y40" s="51" t="str">
        <f t="shared" si="8"/>
        <v/>
      </c>
      <c r="Z40" s="2"/>
      <c r="AA40" s="2"/>
      <c r="AB40" s="2"/>
      <c r="AC40" s="2"/>
      <c r="AD40" s="2"/>
      <c r="AE40" s="2"/>
    </row>
    <row r="41" spans="1:31" ht="12.75" x14ac:dyDescent="0.2">
      <c r="A41" s="53">
        <f ca="1">IFERROR(__xludf.DUMMYFUNCTION("""COMPUTED_VALUE"""),35)</f>
        <v>35</v>
      </c>
      <c r="B41" s="53" t="str">
        <f ca="1">IFERROR(__xludf.DUMMYFUNCTION("""COMPUTED_VALUE"""),"MN Thiên Nam")</f>
        <v>MN Thiên Nam</v>
      </c>
      <c r="C41" s="53" t="str">
        <f ca="1">IFERROR(__xludf.DUMMYFUNCTION("""COMPUTED_VALUE"""),"MN")</f>
        <v>MN</v>
      </c>
      <c r="D41" s="53" t="str">
        <f ca="1">IFERROR(__xludf.DUMMYFUNCTION("""COMPUTED_VALUE"""),"BÌNH THẠNH")</f>
        <v>BÌNH THẠNH</v>
      </c>
      <c r="E41" s="54">
        <f ca="1">IFERROR(__xludf.DUMMYFUNCTION("""COMPUTED_VALUE"""),15)</f>
        <v>15</v>
      </c>
      <c r="F41" s="54">
        <f ca="1">IFERROR(__xludf.DUMMYFUNCTION("""COMPUTED_VALUE"""),15)</f>
        <v>15</v>
      </c>
      <c r="G41" s="51">
        <f t="shared" ca="1" si="0"/>
        <v>1</v>
      </c>
      <c r="H41" s="54">
        <f ca="1">IFERROR(__xludf.DUMMYFUNCTION("""COMPUTED_VALUE"""),15)</f>
        <v>15</v>
      </c>
      <c r="I41" s="51">
        <f t="shared" ca="1" si="1"/>
        <v>1</v>
      </c>
      <c r="J41" s="54">
        <f ca="1">IFERROR(__xludf.DUMMYFUNCTION("""COMPUTED_VALUE"""),15)</f>
        <v>15</v>
      </c>
      <c r="K41" s="51">
        <f t="shared" ca="1" si="2"/>
        <v>1</v>
      </c>
      <c r="L41" s="54">
        <f ca="1">IFERROR(__xludf.DUMMYFUNCTION("""COMPUTED_VALUE"""),2)</f>
        <v>2</v>
      </c>
      <c r="M41" s="51">
        <f t="shared" ca="1" si="3"/>
        <v>0.13333333333333333</v>
      </c>
      <c r="N41" s="54">
        <f ca="1">IFERROR(__xludf.DUMMYFUNCTION("""COMPUTED_VALUE"""),7)</f>
        <v>7</v>
      </c>
      <c r="O41" s="54">
        <f ca="1">IFERROR(__xludf.DUMMYFUNCTION("""COMPUTED_VALUE"""),0)</f>
        <v>0</v>
      </c>
      <c r="P41" s="51">
        <f t="shared" ca="1" si="4"/>
        <v>0</v>
      </c>
      <c r="Q41" s="54">
        <f ca="1">IFERROR(__xludf.DUMMYFUNCTION("""COMPUTED_VALUE"""),0)</f>
        <v>0</v>
      </c>
      <c r="R41" s="51">
        <f t="shared" ca="1" si="5"/>
        <v>0</v>
      </c>
      <c r="S41" s="53"/>
      <c r="T41" s="53"/>
      <c r="U41" s="51" t="str">
        <f t="shared" si="6"/>
        <v/>
      </c>
      <c r="V41" s="53"/>
      <c r="W41" s="51" t="str">
        <f t="shared" si="7"/>
        <v/>
      </c>
      <c r="X41" s="53"/>
      <c r="Y41" s="51" t="str">
        <f t="shared" si="8"/>
        <v/>
      </c>
      <c r="Z41" s="2"/>
      <c r="AA41" s="2"/>
      <c r="AB41" s="2"/>
      <c r="AC41" s="2"/>
      <c r="AD41" s="2"/>
      <c r="AE41" s="2"/>
    </row>
    <row r="42" spans="1:31" ht="12.75" x14ac:dyDescent="0.2">
      <c r="A42" s="53">
        <f ca="1">IFERROR(__xludf.DUMMYFUNCTION("""COMPUTED_VALUE"""),36)</f>
        <v>36</v>
      </c>
      <c r="B42" s="53" t="str">
        <f ca="1">IFERROR(__xludf.DUMMYFUNCTION("""COMPUTED_VALUE"""),"MN Học
  Viện Sài Gòn")</f>
        <v>MN Học
  Viện Sài Gòn</v>
      </c>
      <c r="C42" s="53" t="str">
        <f ca="1">IFERROR(__xludf.DUMMYFUNCTION("""COMPUTED_VALUE"""),"MN")</f>
        <v>MN</v>
      </c>
      <c r="D42" s="53" t="str">
        <f ca="1">IFERROR(__xludf.DUMMYFUNCTION("""COMPUTED_VALUE"""),"BÌNH THẠNH")</f>
        <v>BÌNH THẠNH</v>
      </c>
      <c r="E42" s="54">
        <f ca="1">IFERROR(__xludf.DUMMYFUNCTION("""COMPUTED_VALUE"""),27)</f>
        <v>27</v>
      </c>
      <c r="F42" s="54">
        <f ca="1">IFERROR(__xludf.DUMMYFUNCTION("""COMPUTED_VALUE"""),27)</f>
        <v>27</v>
      </c>
      <c r="G42" s="51">
        <f t="shared" ca="1" si="0"/>
        <v>1</v>
      </c>
      <c r="H42" s="54">
        <f ca="1">IFERROR(__xludf.DUMMYFUNCTION("""COMPUTED_VALUE"""),27)</f>
        <v>27</v>
      </c>
      <c r="I42" s="51">
        <f t="shared" ca="1" si="1"/>
        <v>1</v>
      </c>
      <c r="J42" s="54">
        <f ca="1">IFERROR(__xludf.DUMMYFUNCTION("""COMPUTED_VALUE"""),25)</f>
        <v>25</v>
      </c>
      <c r="K42" s="51">
        <f t="shared" ca="1" si="2"/>
        <v>0.92592592592592593</v>
      </c>
      <c r="L42" s="54">
        <f ca="1">IFERROR(__xludf.DUMMYFUNCTION("""COMPUTED_VALUE"""),2)</f>
        <v>2</v>
      </c>
      <c r="M42" s="51">
        <f t="shared" ca="1" si="3"/>
        <v>7.407407407407407E-2</v>
      </c>
      <c r="N42" s="54">
        <f ca="1">IFERROR(__xludf.DUMMYFUNCTION("""COMPUTED_VALUE"""),28)</f>
        <v>28</v>
      </c>
      <c r="O42" s="54">
        <f ca="1">IFERROR(__xludf.DUMMYFUNCTION("""COMPUTED_VALUE"""),0)</f>
        <v>0</v>
      </c>
      <c r="P42" s="51">
        <f t="shared" ca="1" si="4"/>
        <v>0</v>
      </c>
      <c r="Q42" s="54">
        <f ca="1">IFERROR(__xludf.DUMMYFUNCTION("""COMPUTED_VALUE"""),0)</f>
        <v>0</v>
      </c>
      <c r="R42" s="51">
        <f t="shared" ca="1" si="5"/>
        <v>0</v>
      </c>
      <c r="S42" s="53"/>
      <c r="T42" s="53"/>
      <c r="U42" s="51" t="str">
        <f t="shared" si="6"/>
        <v/>
      </c>
      <c r="V42" s="53"/>
      <c r="W42" s="51" t="str">
        <f t="shared" si="7"/>
        <v/>
      </c>
      <c r="X42" s="53"/>
      <c r="Y42" s="51" t="str">
        <f t="shared" si="8"/>
        <v/>
      </c>
      <c r="Z42" s="2"/>
      <c r="AA42" s="2"/>
      <c r="AB42" s="2"/>
      <c r="AC42" s="2"/>
      <c r="AD42" s="2"/>
      <c r="AE42" s="2"/>
    </row>
    <row r="43" spans="1:31" ht="12.75" x14ac:dyDescent="0.2">
      <c r="A43" s="53">
        <f ca="1">IFERROR(__xludf.DUMMYFUNCTION("""COMPUTED_VALUE"""),37)</f>
        <v>37</v>
      </c>
      <c r="B43" s="53" t="str">
        <f ca="1">IFERROR(__xludf.DUMMYFUNCTION("""COMPUTED_VALUE"""),"MN 3 Ngọn nến")</f>
        <v>MN 3 Ngọn nến</v>
      </c>
      <c r="C43" s="53" t="str">
        <f ca="1">IFERROR(__xludf.DUMMYFUNCTION("""COMPUTED_VALUE"""),"MN")</f>
        <v>MN</v>
      </c>
      <c r="D43" s="53" t="str">
        <f ca="1">IFERROR(__xludf.DUMMYFUNCTION("""COMPUTED_VALUE"""),"BÌNH THẠNH")</f>
        <v>BÌNH THẠNH</v>
      </c>
      <c r="E43" s="54">
        <f ca="1">IFERROR(__xludf.DUMMYFUNCTION("""COMPUTED_VALUE"""),28)</f>
        <v>28</v>
      </c>
      <c r="F43" s="54">
        <f ca="1">IFERROR(__xludf.DUMMYFUNCTION("""COMPUTED_VALUE"""),28)</f>
        <v>28</v>
      </c>
      <c r="G43" s="51">
        <f t="shared" ca="1" si="0"/>
        <v>1</v>
      </c>
      <c r="H43" s="54">
        <f ca="1">IFERROR(__xludf.DUMMYFUNCTION("""COMPUTED_VALUE"""),28)</f>
        <v>28</v>
      </c>
      <c r="I43" s="51">
        <f t="shared" ca="1" si="1"/>
        <v>1</v>
      </c>
      <c r="J43" s="54">
        <f ca="1">IFERROR(__xludf.DUMMYFUNCTION("""COMPUTED_VALUE"""),26)</f>
        <v>26</v>
      </c>
      <c r="K43" s="51">
        <f t="shared" ca="1" si="2"/>
        <v>0.9285714285714286</v>
      </c>
      <c r="L43" s="54">
        <f ca="1">IFERROR(__xludf.DUMMYFUNCTION("""COMPUTED_VALUE"""),0)</f>
        <v>0</v>
      </c>
      <c r="M43" s="51">
        <f t="shared" ca="1" si="3"/>
        <v>0</v>
      </c>
      <c r="N43" s="54">
        <f ca="1">IFERROR(__xludf.DUMMYFUNCTION("""COMPUTED_VALUE"""),26)</f>
        <v>26</v>
      </c>
      <c r="O43" s="54">
        <f ca="1">IFERROR(__xludf.DUMMYFUNCTION("""COMPUTED_VALUE"""),5)</f>
        <v>5</v>
      </c>
      <c r="P43" s="51">
        <f t="shared" ca="1" si="4"/>
        <v>0.19230769230769232</v>
      </c>
      <c r="Q43" s="54">
        <f ca="1">IFERROR(__xludf.DUMMYFUNCTION("""COMPUTED_VALUE"""),1)</f>
        <v>1</v>
      </c>
      <c r="R43" s="51">
        <f t="shared" ca="1" si="5"/>
        <v>3.8461538461538464E-2</v>
      </c>
      <c r="S43" s="53"/>
      <c r="T43" s="53"/>
      <c r="U43" s="51" t="str">
        <f t="shared" si="6"/>
        <v/>
      </c>
      <c r="V43" s="53"/>
      <c r="W43" s="51" t="str">
        <f t="shared" si="7"/>
        <v/>
      </c>
      <c r="X43" s="53"/>
      <c r="Y43" s="51" t="str">
        <f t="shared" si="8"/>
        <v/>
      </c>
      <c r="Z43" s="2"/>
      <c r="AA43" s="2"/>
      <c r="AB43" s="2"/>
      <c r="AC43" s="2"/>
      <c r="AD43" s="2"/>
      <c r="AE43" s="2"/>
    </row>
    <row r="44" spans="1:31" ht="12.75" x14ac:dyDescent="0.2">
      <c r="A44" s="53">
        <f ca="1">IFERROR(__xludf.DUMMYFUNCTION("""COMPUTED_VALUE"""),38)</f>
        <v>38</v>
      </c>
      <c r="B44" s="53" t="str">
        <f ca="1">IFERROR(__xludf.DUMMYFUNCTION("""COMPUTED_VALUE"""),"MN Mai Linh")</f>
        <v>MN Mai Linh</v>
      </c>
      <c r="C44" s="53" t="str">
        <f ca="1">IFERROR(__xludf.DUMMYFUNCTION("""COMPUTED_VALUE"""),"MN")</f>
        <v>MN</v>
      </c>
      <c r="D44" s="53" t="str">
        <f ca="1">IFERROR(__xludf.DUMMYFUNCTION("""COMPUTED_VALUE"""),"BÌNH THẠNH")</f>
        <v>BÌNH THẠNH</v>
      </c>
      <c r="E44" s="54">
        <f ca="1">IFERROR(__xludf.DUMMYFUNCTION("""COMPUTED_VALUE"""),30)</f>
        <v>30</v>
      </c>
      <c r="F44" s="54">
        <f ca="1">IFERROR(__xludf.DUMMYFUNCTION("""COMPUTED_VALUE"""),30)</f>
        <v>30</v>
      </c>
      <c r="G44" s="51">
        <f t="shared" ca="1" si="0"/>
        <v>1</v>
      </c>
      <c r="H44" s="54">
        <f ca="1">IFERROR(__xludf.DUMMYFUNCTION("""COMPUTED_VALUE"""),30)</f>
        <v>30</v>
      </c>
      <c r="I44" s="51">
        <f t="shared" ca="1" si="1"/>
        <v>1</v>
      </c>
      <c r="J44" s="54">
        <f ca="1">IFERROR(__xludf.DUMMYFUNCTION("""COMPUTED_VALUE"""),30)</f>
        <v>30</v>
      </c>
      <c r="K44" s="51">
        <f t="shared" ca="1" si="2"/>
        <v>1</v>
      </c>
      <c r="L44" s="54">
        <f ca="1">IFERROR(__xludf.DUMMYFUNCTION("""COMPUTED_VALUE"""),20)</f>
        <v>20</v>
      </c>
      <c r="M44" s="51">
        <f t="shared" ca="1" si="3"/>
        <v>0.66666666666666663</v>
      </c>
      <c r="N44" s="54">
        <f ca="1">IFERROR(__xludf.DUMMYFUNCTION("""COMPUTED_VALUE"""),50)</f>
        <v>50</v>
      </c>
      <c r="O44" s="54">
        <f ca="1">IFERROR(__xludf.DUMMYFUNCTION("""COMPUTED_VALUE"""),3)</f>
        <v>3</v>
      </c>
      <c r="P44" s="51">
        <f t="shared" ca="1" si="4"/>
        <v>0.06</v>
      </c>
      <c r="Q44" s="54">
        <f ca="1">IFERROR(__xludf.DUMMYFUNCTION("""COMPUTED_VALUE"""),0)</f>
        <v>0</v>
      </c>
      <c r="R44" s="51">
        <f t="shared" ca="1" si="5"/>
        <v>0</v>
      </c>
      <c r="S44" s="53"/>
      <c r="T44" s="53"/>
      <c r="U44" s="51" t="str">
        <f t="shared" si="6"/>
        <v/>
      </c>
      <c r="V44" s="53"/>
      <c r="W44" s="51" t="str">
        <f t="shared" si="7"/>
        <v/>
      </c>
      <c r="X44" s="53"/>
      <c r="Y44" s="51" t="str">
        <f t="shared" si="8"/>
        <v/>
      </c>
      <c r="Z44" s="2"/>
      <c r="AA44" s="2"/>
      <c r="AB44" s="2"/>
      <c r="AC44" s="2"/>
      <c r="AD44" s="2"/>
      <c r="AE44" s="2"/>
    </row>
    <row r="45" spans="1:31" ht="12.75" x14ac:dyDescent="0.2">
      <c r="A45" s="53">
        <f ca="1">IFERROR(__xludf.DUMMYFUNCTION("""COMPUTED_VALUE"""),39)</f>
        <v>39</v>
      </c>
      <c r="B45" s="53" t="str">
        <f ca="1">IFERROR(__xludf.DUMMYFUNCTION("""COMPUTED_VALUE"""),"MG Thiên Thần")</f>
        <v>MG Thiên Thần</v>
      </c>
      <c r="C45" s="53" t="str">
        <f ca="1">IFERROR(__xludf.DUMMYFUNCTION("""COMPUTED_VALUE"""),"MN")</f>
        <v>MN</v>
      </c>
      <c r="D45" s="53" t="str">
        <f ca="1">IFERROR(__xludf.DUMMYFUNCTION("""COMPUTED_VALUE"""),"BÌNH THẠNH")</f>
        <v>BÌNH THẠNH</v>
      </c>
      <c r="E45" s="54">
        <f ca="1">IFERROR(__xludf.DUMMYFUNCTION("""COMPUTED_VALUE"""),30)</f>
        <v>30</v>
      </c>
      <c r="F45" s="54">
        <f ca="1">IFERROR(__xludf.DUMMYFUNCTION("""COMPUTED_VALUE"""),30)</f>
        <v>30</v>
      </c>
      <c r="G45" s="51">
        <f t="shared" ca="1" si="0"/>
        <v>1</v>
      </c>
      <c r="H45" s="54">
        <f ca="1">IFERROR(__xludf.DUMMYFUNCTION("""COMPUTED_VALUE"""),30)</f>
        <v>30</v>
      </c>
      <c r="I45" s="51">
        <f t="shared" ca="1" si="1"/>
        <v>1</v>
      </c>
      <c r="J45" s="54">
        <f ca="1">IFERROR(__xludf.DUMMYFUNCTION("""COMPUTED_VALUE"""),30)</f>
        <v>30</v>
      </c>
      <c r="K45" s="51">
        <f t="shared" ca="1" si="2"/>
        <v>1</v>
      </c>
      <c r="L45" s="54">
        <f ca="1">IFERROR(__xludf.DUMMYFUNCTION("""COMPUTED_VALUE"""),0)</f>
        <v>0</v>
      </c>
      <c r="M45" s="51">
        <f t="shared" ca="1" si="3"/>
        <v>0</v>
      </c>
      <c r="N45" s="54">
        <f ca="1">IFERROR(__xludf.DUMMYFUNCTION("""COMPUTED_VALUE"""),120)</f>
        <v>120</v>
      </c>
      <c r="O45" s="54">
        <f ca="1">IFERROR(__xludf.DUMMYFUNCTION("""COMPUTED_VALUE"""),26)</f>
        <v>26</v>
      </c>
      <c r="P45" s="51">
        <f t="shared" ca="1" si="4"/>
        <v>0.21666666666666667</v>
      </c>
      <c r="Q45" s="54">
        <f ca="1">IFERROR(__xludf.DUMMYFUNCTION("""COMPUTED_VALUE"""),3)</f>
        <v>3</v>
      </c>
      <c r="R45" s="51">
        <f t="shared" ca="1" si="5"/>
        <v>2.5000000000000001E-2</v>
      </c>
      <c r="S45" s="53"/>
      <c r="T45" s="53"/>
      <c r="U45" s="51" t="str">
        <f t="shared" si="6"/>
        <v/>
      </c>
      <c r="V45" s="53"/>
      <c r="W45" s="51" t="str">
        <f t="shared" si="7"/>
        <v/>
      </c>
      <c r="X45" s="53"/>
      <c r="Y45" s="51" t="str">
        <f t="shared" si="8"/>
        <v/>
      </c>
      <c r="Z45" s="2"/>
      <c r="AA45" s="2"/>
      <c r="AB45" s="2"/>
      <c r="AC45" s="2"/>
      <c r="AD45" s="2"/>
      <c r="AE45" s="2"/>
    </row>
    <row r="46" spans="1:31" ht="12.75" x14ac:dyDescent="0.2">
      <c r="A46" s="53">
        <f ca="1">IFERROR(__xludf.DUMMYFUNCTION("""COMPUTED_VALUE"""),40)</f>
        <v>40</v>
      </c>
      <c r="B46" s="53" t="str">
        <f ca="1">IFERROR(__xludf.DUMMYFUNCTION("""COMPUTED_VALUE"""),"MG Bông Hồng")</f>
        <v>MG Bông Hồng</v>
      </c>
      <c r="C46" s="53" t="str">
        <f ca="1">IFERROR(__xludf.DUMMYFUNCTION("""COMPUTED_VALUE"""),"MN")</f>
        <v>MN</v>
      </c>
      <c r="D46" s="53" t="str">
        <f ca="1">IFERROR(__xludf.DUMMYFUNCTION("""COMPUTED_VALUE"""),"BÌNH THẠNH")</f>
        <v>BÌNH THẠNH</v>
      </c>
      <c r="E46" s="54">
        <f ca="1">IFERROR(__xludf.DUMMYFUNCTION("""COMPUTED_VALUE"""),30)</f>
        <v>30</v>
      </c>
      <c r="F46" s="54">
        <f ca="1">IFERROR(__xludf.DUMMYFUNCTION("""COMPUTED_VALUE"""),30)</f>
        <v>30</v>
      </c>
      <c r="G46" s="51">
        <f t="shared" ca="1" si="0"/>
        <v>1</v>
      </c>
      <c r="H46" s="54">
        <f ca="1">IFERROR(__xludf.DUMMYFUNCTION("""COMPUTED_VALUE"""),30)</f>
        <v>30</v>
      </c>
      <c r="I46" s="51">
        <f t="shared" ca="1" si="1"/>
        <v>1</v>
      </c>
      <c r="J46" s="54">
        <f ca="1">IFERROR(__xludf.DUMMYFUNCTION("""COMPUTED_VALUE"""),30)</f>
        <v>30</v>
      </c>
      <c r="K46" s="51">
        <f t="shared" ca="1" si="2"/>
        <v>1</v>
      </c>
      <c r="L46" s="54">
        <f ca="1">IFERROR(__xludf.DUMMYFUNCTION("""COMPUTED_VALUE"""),0)</f>
        <v>0</v>
      </c>
      <c r="M46" s="51">
        <f t="shared" ca="1" si="3"/>
        <v>0</v>
      </c>
      <c r="N46" s="54">
        <f ca="1">IFERROR(__xludf.DUMMYFUNCTION("""COMPUTED_VALUE"""),117)</f>
        <v>117</v>
      </c>
      <c r="O46" s="54">
        <f ca="1">IFERROR(__xludf.DUMMYFUNCTION("""COMPUTED_VALUE"""),1)</f>
        <v>1</v>
      </c>
      <c r="P46" s="51">
        <f t="shared" ca="1" si="4"/>
        <v>8.5470085470085479E-3</v>
      </c>
      <c r="Q46" s="54">
        <f ca="1">IFERROR(__xludf.DUMMYFUNCTION("""COMPUTED_VALUE"""),0)</f>
        <v>0</v>
      </c>
      <c r="R46" s="51">
        <f t="shared" ca="1" si="5"/>
        <v>0</v>
      </c>
      <c r="S46" s="53"/>
      <c r="T46" s="53"/>
      <c r="U46" s="51" t="str">
        <f t="shared" si="6"/>
        <v/>
      </c>
      <c r="V46" s="53"/>
      <c r="W46" s="51" t="str">
        <f t="shared" si="7"/>
        <v/>
      </c>
      <c r="X46" s="53"/>
      <c r="Y46" s="51" t="str">
        <f t="shared" si="8"/>
        <v/>
      </c>
      <c r="Z46" s="2"/>
      <c r="AA46" s="2"/>
      <c r="AB46" s="2"/>
      <c r="AC46" s="2"/>
      <c r="AD46" s="2"/>
      <c r="AE46" s="2"/>
    </row>
    <row r="47" spans="1:31" ht="12.75" x14ac:dyDescent="0.2">
      <c r="A47" s="53">
        <f ca="1">IFERROR(__xludf.DUMMYFUNCTION("""COMPUTED_VALUE"""),41)</f>
        <v>41</v>
      </c>
      <c r="B47" s="53" t="str">
        <f ca="1">IFERROR(__xludf.DUMMYFUNCTION("""COMPUTED_VALUE"""),"MG Minh Tâm")</f>
        <v>MG Minh Tâm</v>
      </c>
      <c r="C47" s="53" t="str">
        <f ca="1">IFERROR(__xludf.DUMMYFUNCTION("""COMPUTED_VALUE"""),"MN")</f>
        <v>MN</v>
      </c>
      <c r="D47" s="53" t="str">
        <f ca="1">IFERROR(__xludf.DUMMYFUNCTION("""COMPUTED_VALUE"""),"BÌNH THẠNH")</f>
        <v>BÌNH THẠNH</v>
      </c>
      <c r="E47" s="54">
        <f ca="1">IFERROR(__xludf.DUMMYFUNCTION("""COMPUTED_VALUE"""),15)</f>
        <v>15</v>
      </c>
      <c r="F47" s="54">
        <f ca="1">IFERROR(__xludf.DUMMYFUNCTION("""COMPUTED_VALUE"""),15)</f>
        <v>15</v>
      </c>
      <c r="G47" s="51">
        <f t="shared" ca="1" si="0"/>
        <v>1</v>
      </c>
      <c r="H47" s="54">
        <f ca="1">IFERROR(__xludf.DUMMYFUNCTION("""COMPUTED_VALUE"""),15)</f>
        <v>15</v>
      </c>
      <c r="I47" s="51">
        <f t="shared" ca="1" si="1"/>
        <v>1</v>
      </c>
      <c r="J47" s="54">
        <f ca="1">IFERROR(__xludf.DUMMYFUNCTION("""COMPUTED_VALUE"""),15)</f>
        <v>15</v>
      </c>
      <c r="K47" s="51">
        <f t="shared" ca="1" si="2"/>
        <v>1</v>
      </c>
      <c r="L47" s="54">
        <f ca="1">IFERROR(__xludf.DUMMYFUNCTION("""COMPUTED_VALUE"""),0)</f>
        <v>0</v>
      </c>
      <c r="M47" s="51">
        <f t="shared" ca="1" si="3"/>
        <v>0</v>
      </c>
      <c r="N47" s="54">
        <f ca="1">IFERROR(__xludf.DUMMYFUNCTION("""COMPUTED_VALUE"""),20)</f>
        <v>20</v>
      </c>
      <c r="O47" s="54">
        <f ca="1">IFERROR(__xludf.DUMMYFUNCTION("""COMPUTED_VALUE"""),0)</f>
        <v>0</v>
      </c>
      <c r="P47" s="51">
        <f t="shared" ca="1" si="4"/>
        <v>0</v>
      </c>
      <c r="Q47" s="54">
        <f ca="1">IFERROR(__xludf.DUMMYFUNCTION("""COMPUTED_VALUE"""),0)</f>
        <v>0</v>
      </c>
      <c r="R47" s="51">
        <f t="shared" ca="1" si="5"/>
        <v>0</v>
      </c>
      <c r="S47" s="53"/>
      <c r="T47" s="53"/>
      <c r="U47" s="51" t="str">
        <f t="shared" si="6"/>
        <v/>
      </c>
      <c r="V47" s="53"/>
      <c r="W47" s="51" t="str">
        <f t="shared" si="7"/>
        <v/>
      </c>
      <c r="X47" s="53"/>
      <c r="Y47" s="51" t="str">
        <f t="shared" si="8"/>
        <v/>
      </c>
      <c r="Z47" s="2"/>
      <c r="AA47" s="2"/>
      <c r="AB47" s="2"/>
      <c r="AC47" s="2"/>
      <c r="AD47" s="2"/>
      <c r="AE47" s="2"/>
    </row>
    <row r="48" spans="1:31" ht="12.75" x14ac:dyDescent="0.2">
      <c r="A48" s="53">
        <f ca="1">IFERROR(__xludf.DUMMYFUNCTION("""COMPUTED_VALUE"""),42)</f>
        <v>42</v>
      </c>
      <c r="B48" s="53" t="str">
        <f ca="1">IFERROR(__xludf.DUMMYFUNCTION("""COMPUTED_VALUE"""),"MNQT Banh và Bi")</f>
        <v>MNQT Banh và Bi</v>
      </c>
      <c r="C48" s="53" t="str">
        <f ca="1">IFERROR(__xludf.DUMMYFUNCTION("""COMPUTED_VALUE"""),"MN")</f>
        <v>MN</v>
      </c>
      <c r="D48" s="53" t="str">
        <f ca="1">IFERROR(__xludf.DUMMYFUNCTION("""COMPUTED_VALUE"""),"BÌNH THẠNH")</f>
        <v>BÌNH THẠNH</v>
      </c>
      <c r="E48" s="54">
        <f ca="1">IFERROR(__xludf.DUMMYFUNCTION("""COMPUTED_VALUE"""),34)</f>
        <v>34</v>
      </c>
      <c r="F48" s="54">
        <f ca="1">IFERROR(__xludf.DUMMYFUNCTION("""COMPUTED_VALUE"""),34)</f>
        <v>34</v>
      </c>
      <c r="G48" s="51">
        <f t="shared" ca="1" si="0"/>
        <v>1</v>
      </c>
      <c r="H48" s="54">
        <f ca="1">IFERROR(__xludf.DUMMYFUNCTION("""COMPUTED_VALUE"""),34)</f>
        <v>34</v>
      </c>
      <c r="I48" s="51">
        <f t="shared" ca="1" si="1"/>
        <v>1</v>
      </c>
      <c r="J48" s="54">
        <f ca="1">IFERROR(__xludf.DUMMYFUNCTION("""COMPUTED_VALUE"""),34)</f>
        <v>34</v>
      </c>
      <c r="K48" s="51">
        <f t="shared" ca="1" si="2"/>
        <v>1</v>
      </c>
      <c r="L48" s="54">
        <f ca="1">IFERROR(__xludf.DUMMYFUNCTION("""COMPUTED_VALUE"""),7)</f>
        <v>7</v>
      </c>
      <c r="M48" s="51">
        <f t="shared" ca="1" si="3"/>
        <v>0.20588235294117646</v>
      </c>
      <c r="N48" s="54">
        <f ca="1">IFERROR(__xludf.DUMMYFUNCTION("""COMPUTED_VALUE"""),49)</f>
        <v>49</v>
      </c>
      <c r="O48" s="54">
        <f ca="1">IFERROR(__xludf.DUMMYFUNCTION("""COMPUTED_VALUE"""),0)</f>
        <v>0</v>
      </c>
      <c r="P48" s="51">
        <f t="shared" ca="1" si="4"/>
        <v>0</v>
      </c>
      <c r="Q48" s="54">
        <f ca="1">IFERROR(__xludf.DUMMYFUNCTION("""COMPUTED_VALUE"""),0)</f>
        <v>0</v>
      </c>
      <c r="R48" s="51">
        <f t="shared" ca="1" si="5"/>
        <v>0</v>
      </c>
      <c r="S48" s="53"/>
      <c r="T48" s="53"/>
      <c r="U48" s="51" t="str">
        <f t="shared" si="6"/>
        <v/>
      </c>
      <c r="V48" s="53"/>
      <c r="W48" s="51" t="str">
        <f t="shared" si="7"/>
        <v/>
      </c>
      <c r="X48" s="53"/>
      <c r="Y48" s="51" t="str">
        <f t="shared" si="8"/>
        <v/>
      </c>
      <c r="Z48" s="2"/>
      <c r="AA48" s="2"/>
      <c r="AB48" s="2"/>
      <c r="AC48" s="2"/>
      <c r="AD48" s="2"/>
      <c r="AE48" s="2"/>
    </row>
    <row r="49" spans="1:31" ht="12.75" x14ac:dyDescent="0.2">
      <c r="A49" s="53">
        <f ca="1">IFERROR(__xludf.DUMMYFUNCTION("""COMPUTED_VALUE"""),43)</f>
        <v>43</v>
      </c>
      <c r="B49" s="53" t="str">
        <f ca="1">IFERROR(__xludf.DUMMYFUNCTION("""COMPUTED_VALUE"""),"MN T Phố Tuổi Thơ")</f>
        <v>MN T Phố Tuổi Thơ</v>
      </c>
      <c r="C49" s="53" t="str">
        <f ca="1">IFERROR(__xludf.DUMMYFUNCTION("""COMPUTED_VALUE"""),"MN")</f>
        <v>MN</v>
      </c>
      <c r="D49" s="53" t="str">
        <f ca="1">IFERROR(__xludf.DUMMYFUNCTION("""COMPUTED_VALUE"""),"BÌNH THẠNH")</f>
        <v>BÌNH THẠNH</v>
      </c>
      <c r="E49" s="54">
        <f ca="1">IFERROR(__xludf.DUMMYFUNCTION("""COMPUTED_VALUE"""),17)</f>
        <v>17</v>
      </c>
      <c r="F49" s="54">
        <f ca="1">IFERROR(__xludf.DUMMYFUNCTION("""COMPUTED_VALUE"""),17)</f>
        <v>17</v>
      </c>
      <c r="G49" s="51">
        <f t="shared" ca="1" si="0"/>
        <v>1</v>
      </c>
      <c r="H49" s="54">
        <f ca="1">IFERROR(__xludf.DUMMYFUNCTION("""COMPUTED_VALUE"""),17)</f>
        <v>17</v>
      </c>
      <c r="I49" s="51">
        <f t="shared" ca="1" si="1"/>
        <v>1</v>
      </c>
      <c r="J49" s="54">
        <f ca="1">IFERROR(__xludf.DUMMYFUNCTION("""COMPUTED_VALUE"""),14)</f>
        <v>14</v>
      </c>
      <c r="K49" s="51">
        <f t="shared" ca="1" si="2"/>
        <v>0.82352941176470584</v>
      </c>
      <c r="L49" s="54">
        <f ca="1">IFERROR(__xludf.DUMMYFUNCTION("""COMPUTED_VALUE"""),8)</f>
        <v>8</v>
      </c>
      <c r="M49" s="51">
        <f t="shared" ca="1" si="3"/>
        <v>0.47058823529411764</v>
      </c>
      <c r="N49" s="54">
        <f ca="1">IFERROR(__xludf.DUMMYFUNCTION("""COMPUTED_VALUE"""),7)</f>
        <v>7</v>
      </c>
      <c r="O49" s="54">
        <f ca="1">IFERROR(__xludf.DUMMYFUNCTION("""COMPUTED_VALUE"""),1)</f>
        <v>1</v>
      </c>
      <c r="P49" s="51">
        <f t="shared" ca="1" si="4"/>
        <v>0.14285714285714285</v>
      </c>
      <c r="Q49" s="54">
        <f ca="1">IFERROR(__xludf.DUMMYFUNCTION("""COMPUTED_VALUE"""),0)</f>
        <v>0</v>
      </c>
      <c r="R49" s="51">
        <f t="shared" ca="1" si="5"/>
        <v>0</v>
      </c>
      <c r="S49" s="53"/>
      <c r="T49" s="53"/>
      <c r="U49" s="51" t="str">
        <f t="shared" si="6"/>
        <v/>
      </c>
      <c r="V49" s="53"/>
      <c r="W49" s="51" t="str">
        <f t="shared" si="7"/>
        <v/>
      </c>
      <c r="X49" s="53"/>
      <c r="Y49" s="51" t="str">
        <f t="shared" si="8"/>
        <v/>
      </c>
      <c r="Z49" s="2"/>
      <c r="AA49" s="2"/>
      <c r="AB49" s="2"/>
      <c r="AC49" s="2"/>
      <c r="AD49" s="2"/>
      <c r="AE49" s="2"/>
    </row>
    <row r="50" spans="1:31" ht="12.75" x14ac:dyDescent="0.2">
      <c r="A50" s="53">
        <f ca="1">IFERROR(__xludf.DUMMYFUNCTION("""COMPUTED_VALUE"""),44)</f>
        <v>44</v>
      </c>
      <c r="B50" s="53" t="str">
        <f ca="1">IFERROR(__xludf.DUMMYFUNCTION("""COMPUTED_VALUE"""),"MN Thiên Anh")</f>
        <v>MN Thiên Anh</v>
      </c>
      <c r="C50" s="53" t="str">
        <f ca="1">IFERROR(__xludf.DUMMYFUNCTION("""COMPUTED_VALUE"""),"MN")</f>
        <v>MN</v>
      </c>
      <c r="D50" s="53" t="str">
        <f ca="1">IFERROR(__xludf.DUMMYFUNCTION("""COMPUTED_VALUE"""),"BÌNH THẠNH")</f>
        <v>BÌNH THẠNH</v>
      </c>
      <c r="E50" s="54">
        <f ca="1">IFERROR(__xludf.DUMMYFUNCTION("""COMPUTED_VALUE"""),40)</f>
        <v>40</v>
      </c>
      <c r="F50" s="54">
        <f ca="1">IFERROR(__xludf.DUMMYFUNCTION("""COMPUTED_VALUE"""),40)</f>
        <v>40</v>
      </c>
      <c r="G50" s="51">
        <f t="shared" ca="1" si="0"/>
        <v>1</v>
      </c>
      <c r="H50" s="54">
        <f ca="1">IFERROR(__xludf.DUMMYFUNCTION("""COMPUTED_VALUE"""),40)</f>
        <v>40</v>
      </c>
      <c r="I50" s="51">
        <f t="shared" ca="1" si="1"/>
        <v>1</v>
      </c>
      <c r="J50" s="54">
        <f ca="1">IFERROR(__xludf.DUMMYFUNCTION("""COMPUTED_VALUE"""),40)</f>
        <v>40</v>
      </c>
      <c r="K50" s="51">
        <f t="shared" ca="1" si="2"/>
        <v>1</v>
      </c>
      <c r="L50" s="54">
        <f ca="1">IFERROR(__xludf.DUMMYFUNCTION("""COMPUTED_VALUE"""),7)</f>
        <v>7</v>
      </c>
      <c r="M50" s="51">
        <f t="shared" ca="1" si="3"/>
        <v>0.17499999999999999</v>
      </c>
      <c r="N50" s="54">
        <f ca="1">IFERROR(__xludf.DUMMYFUNCTION("""COMPUTED_VALUE"""),136)</f>
        <v>136</v>
      </c>
      <c r="O50" s="54">
        <f ca="1">IFERROR(__xludf.DUMMYFUNCTION("""COMPUTED_VALUE"""),16)</f>
        <v>16</v>
      </c>
      <c r="P50" s="51">
        <f t="shared" ca="1" si="4"/>
        <v>0.11764705882352941</v>
      </c>
      <c r="Q50" s="54">
        <f ca="1">IFERROR(__xludf.DUMMYFUNCTION("""COMPUTED_VALUE"""),0)</f>
        <v>0</v>
      </c>
      <c r="R50" s="51">
        <f t="shared" ca="1" si="5"/>
        <v>0</v>
      </c>
      <c r="S50" s="53"/>
      <c r="T50" s="53"/>
      <c r="U50" s="51" t="str">
        <f t="shared" si="6"/>
        <v/>
      </c>
      <c r="V50" s="53"/>
      <c r="W50" s="51" t="str">
        <f t="shared" si="7"/>
        <v/>
      </c>
      <c r="X50" s="53"/>
      <c r="Y50" s="51" t="str">
        <f t="shared" si="8"/>
        <v/>
      </c>
      <c r="Z50" s="2"/>
      <c r="AA50" s="2"/>
      <c r="AB50" s="2"/>
      <c r="AC50" s="2"/>
      <c r="AD50" s="2"/>
      <c r="AE50" s="2"/>
    </row>
    <row r="51" spans="1:31" ht="12.75" x14ac:dyDescent="0.2">
      <c r="A51" s="53">
        <f ca="1">IFERROR(__xludf.DUMMYFUNCTION("""COMPUTED_VALUE"""),45)</f>
        <v>45</v>
      </c>
      <c r="B51" s="53" t="str">
        <f ca="1">IFERROR(__xludf.DUMMYFUNCTION("""COMPUTED_VALUE"""),"MN Họa Mi")</f>
        <v>MN Họa Mi</v>
      </c>
      <c r="C51" s="53" t="str">
        <f ca="1">IFERROR(__xludf.DUMMYFUNCTION("""COMPUTED_VALUE"""),"MN")</f>
        <v>MN</v>
      </c>
      <c r="D51" s="53" t="str">
        <f ca="1">IFERROR(__xludf.DUMMYFUNCTION("""COMPUTED_VALUE"""),"BÌNH THẠNH")</f>
        <v>BÌNH THẠNH</v>
      </c>
      <c r="E51" s="54">
        <f ca="1">IFERROR(__xludf.DUMMYFUNCTION("""COMPUTED_VALUE"""),16)</f>
        <v>16</v>
      </c>
      <c r="F51" s="54">
        <f ca="1">IFERROR(__xludf.DUMMYFUNCTION("""COMPUTED_VALUE"""),16)</f>
        <v>16</v>
      </c>
      <c r="G51" s="51">
        <f t="shared" ca="1" si="0"/>
        <v>1</v>
      </c>
      <c r="H51" s="54">
        <f ca="1">IFERROR(__xludf.DUMMYFUNCTION("""COMPUTED_VALUE"""),16)</f>
        <v>16</v>
      </c>
      <c r="I51" s="51">
        <f t="shared" ca="1" si="1"/>
        <v>1</v>
      </c>
      <c r="J51" s="54">
        <f ca="1">IFERROR(__xludf.DUMMYFUNCTION("""COMPUTED_VALUE"""),15)</f>
        <v>15</v>
      </c>
      <c r="K51" s="51">
        <f t="shared" ca="1" si="2"/>
        <v>0.9375</v>
      </c>
      <c r="L51" s="54">
        <f ca="1">IFERROR(__xludf.DUMMYFUNCTION("""COMPUTED_VALUE"""),2)</f>
        <v>2</v>
      </c>
      <c r="M51" s="51">
        <f t="shared" ca="1" si="3"/>
        <v>0.125</v>
      </c>
      <c r="N51" s="54">
        <f ca="1">IFERROR(__xludf.DUMMYFUNCTION("""COMPUTED_VALUE"""),19)</f>
        <v>19</v>
      </c>
      <c r="O51" s="54">
        <f ca="1">IFERROR(__xludf.DUMMYFUNCTION("""COMPUTED_VALUE"""),0)</f>
        <v>0</v>
      </c>
      <c r="P51" s="51">
        <f t="shared" ca="1" si="4"/>
        <v>0</v>
      </c>
      <c r="Q51" s="54">
        <f ca="1">IFERROR(__xludf.DUMMYFUNCTION("""COMPUTED_VALUE"""),0)</f>
        <v>0</v>
      </c>
      <c r="R51" s="51">
        <f t="shared" ca="1" si="5"/>
        <v>0</v>
      </c>
      <c r="S51" s="53"/>
      <c r="T51" s="53"/>
      <c r="U51" s="51" t="str">
        <f t="shared" si="6"/>
        <v/>
      </c>
      <c r="V51" s="53"/>
      <c r="W51" s="51" t="str">
        <f t="shared" si="7"/>
        <v/>
      </c>
      <c r="X51" s="53"/>
      <c r="Y51" s="51" t="str">
        <f t="shared" si="8"/>
        <v/>
      </c>
      <c r="Z51" s="2"/>
      <c r="AA51" s="2"/>
      <c r="AB51" s="2"/>
      <c r="AC51" s="2"/>
      <c r="AD51" s="2"/>
      <c r="AE51" s="2"/>
    </row>
    <row r="52" spans="1:31" ht="12.75" x14ac:dyDescent="0.2">
      <c r="A52" s="53">
        <f ca="1">IFERROR(__xludf.DUMMYFUNCTION("""COMPUTED_VALUE"""),46)</f>
        <v>46</v>
      </c>
      <c r="B52" s="53" t="str">
        <f ca="1">IFERROR(__xludf.DUMMYFUNCTION("""COMPUTED_VALUE"""),"MN Mỹ Đức")</f>
        <v>MN Mỹ Đức</v>
      </c>
      <c r="C52" s="53" t="str">
        <f ca="1">IFERROR(__xludf.DUMMYFUNCTION("""COMPUTED_VALUE"""),"MN")</f>
        <v>MN</v>
      </c>
      <c r="D52" s="53" t="str">
        <f ca="1">IFERROR(__xludf.DUMMYFUNCTION("""COMPUTED_VALUE"""),"BÌNH THẠNH")</f>
        <v>BÌNH THẠNH</v>
      </c>
      <c r="E52" s="54">
        <f ca="1">IFERROR(__xludf.DUMMYFUNCTION("""COMPUTED_VALUE"""),26)</f>
        <v>26</v>
      </c>
      <c r="F52" s="54">
        <f ca="1">IFERROR(__xludf.DUMMYFUNCTION("""COMPUTED_VALUE"""),26)</f>
        <v>26</v>
      </c>
      <c r="G52" s="51">
        <f t="shared" ca="1" si="0"/>
        <v>1</v>
      </c>
      <c r="H52" s="54">
        <f ca="1">IFERROR(__xludf.DUMMYFUNCTION("""COMPUTED_VALUE"""),26)</f>
        <v>26</v>
      </c>
      <c r="I52" s="51">
        <f t="shared" ca="1" si="1"/>
        <v>1</v>
      </c>
      <c r="J52" s="54">
        <f ca="1">IFERROR(__xludf.DUMMYFUNCTION("""COMPUTED_VALUE"""),23)</f>
        <v>23</v>
      </c>
      <c r="K52" s="51">
        <f t="shared" ca="1" si="2"/>
        <v>0.88461538461538458</v>
      </c>
      <c r="L52" s="54">
        <f ca="1">IFERROR(__xludf.DUMMYFUNCTION("""COMPUTED_VALUE"""),2)</f>
        <v>2</v>
      </c>
      <c r="M52" s="51">
        <f t="shared" ca="1" si="3"/>
        <v>7.6923076923076927E-2</v>
      </c>
      <c r="N52" s="54">
        <f ca="1">IFERROR(__xludf.DUMMYFUNCTION("""COMPUTED_VALUE"""),24)</f>
        <v>24</v>
      </c>
      <c r="O52" s="54">
        <f ca="1">IFERROR(__xludf.DUMMYFUNCTION("""COMPUTED_VALUE"""),0)</f>
        <v>0</v>
      </c>
      <c r="P52" s="51">
        <f t="shared" ca="1" si="4"/>
        <v>0</v>
      </c>
      <c r="Q52" s="54">
        <f ca="1">IFERROR(__xludf.DUMMYFUNCTION("""COMPUTED_VALUE"""),0)</f>
        <v>0</v>
      </c>
      <c r="R52" s="51">
        <f t="shared" ca="1" si="5"/>
        <v>0</v>
      </c>
      <c r="S52" s="53"/>
      <c r="T52" s="53"/>
      <c r="U52" s="51" t="str">
        <f t="shared" si="6"/>
        <v/>
      </c>
      <c r="V52" s="53"/>
      <c r="W52" s="51" t="str">
        <f t="shared" si="7"/>
        <v/>
      </c>
      <c r="X52" s="53"/>
      <c r="Y52" s="51" t="str">
        <f t="shared" si="8"/>
        <v/>
      </c>
      <c r="Z52" s="2"/>
      <c r="AA52" s="2"/>
      <c r="AB52" s="2"/>
      <c r="AC52" s="2"/>
      <c r="AD52" s="2"/>
      <c r="AE52" s="2"/>
    </row>
    <row r="53" spans="1:31" ht="12.75" x14ac:dyDescent="0.2">
      <c r="A53" s="53">
        <f ca="1">IFERROR(__xludf.DUMMYFUNCTION("""COMPUTED_VALUE"""),47)</f>
        <v>47</v>
      </c>
      <c r="B53" s="53" t="str">
        <f ca="1">IFERROR(__xludf.DUMMYFUNCTION("""COMPUTED_VALUE"""),"MN Tây Úc")</f>
        <v>MN Tây Úc</v>
      </c>
      <c r="C53" s="53" t="str">
        <f ca="1">IFERROR(__xludf.DUMMYFUNCTION("""COMPUTED_VALUE"""),"MN")</f>
        <v>MN</v>
      </c>
      <c r="D53" s="53" t="str">
        <f ca="1">IFERROR(__xludf.DUMMYFUNCTION("""COMPUTED_VALUE"""),"BÌNH THẠNH")</f>
        <v>BÌNH THẠNH</v>
      </c>
      <c r="E53" s="54">
        <f ca="1">IFERROR(__xludf.DUMMYFUNCTION("""COMPUTED_VALUE"""),40)</f>
        <v>40</v>
      </c>
      <c r="F53" s="54">
        <f ca="1">IFERROR(__xludf.DUMMYFUNCTION("""COMPUTED_VALUE"""),40)</f>
        <v>40</v>
      </c>
      <c r="G53" s="51">
        <f t="shared" ca="1" si="0"/>
        <v>1</v>
      </c>
      <c r="H53" s="54">
        <f ca="1">IFERROR(__xludf.DUMMYFUNCTION("""COMPUTED_VALUE"""),40)</f>
        <v>40</v>
      </c>
      <c r="I53" s="51">
        <f t="shared" ca="1" si="1"/>
        <v>1</v>
      </c>
      <c r="J53" s="54">
        <f ca="1">IFERROR(__xludf.DUMMYFUNCTION("""COMPUTED_VALUE"""),31)</f>
        <v>31</v>
      </c>
      <c r="K53" s="51">
        <f t="shared" ca="1" si="2"/>
        <v>0.77500000000000002</v>
      </c>
      <c r="L53" s="54">
        <f ca="1">IFERROR(__xludf.DUMMYFUNCTION("""COMPUTED_VALUE"""),3)</f>
        <v>3</v>
      </c>
      <c r="M53" s="51">
        <f t="shared" ca="1" si="3"/>
        <v>7.4999999999999997E-2</v>
      </c>
      <c r="N53" s="54">
        <f ca="1">IFERROR(__xludf.DUMMYFUNCTION("""COMPUTED_VALUE"""),73)</f>
        <v>73</v>
      </c>
      <c r="O53" s="54">
        <f ca="1">IFERROR(__xludf.DUMMYFUNCTION("""COMPUTED_VALUE"""),1)</f>
        <v>1</v>
      </c>
      <c r="P53" s="51">
        <f t="shared" ca="1" si="4"/>
        <v>1.3698630136986301E-2</v>
      </c>
      <c r="Q53" s="54">
        <f ca="1">IFERROR(__xludf.DUMMYFUNCTION("""COMPUTED_VALUE"""),0)</f>
        <v>0</v>
      </c>
      <c r="R53" s="51">
        <f t="shared" ca="1" si="5"/>
        <v>0</v>
      </c>
      <c r="S53" s="53"/>
      <c r="T53" s="53"/>
      <c r="U53" s="51" t="str">
        <f t="shared" si="6"/>
        <v/>
      </c>
      <c r="V53" s="53"/>
      <c r="W53" s="51" t="str">
        <f t="shared" si="7"/>
        <v/>
      </c>
      <c r="X53" s="53"/>
      <c r="Y53" s="51" t="str">
        <f t="shared" si="8"/>
        <v/>
      </c>
      <c r="Z53" s="2"/>
      <c r="AA53" s="2"/>
      <c r="AB53" s="2"/>
      <c r="AC53" s="2"/>
      <c r="AD53" s="2"/>
      <c r="AE53" s="2"/>
    </row>
    <row r="54" spans="1:31" ht="12.75" x14ac:dyDescent="0.2">
      <c r="A54" s="53">
        <f ca="1">IFERROR(__xludf.DUMMYFUNCTION("""COMPUTED_VALUE"""),48)</f>
        <v>48</v>
      </c>
      <c r="B54" s="53"/>
      <c r="C54" s="53"/>
      <c r="D54" s="53" t="str">
        <f ca="1">IFERROR(__xludf.DUMMYFUNCTION("""COMPUTED_VALUE"""),"BÌNH THẠNH")</f>
        <v>BÌNH THẠNH</v>
      </c>
      <c r="E54" s="54">
        <f ca="1">IFERROR(__xludf.DUMMYFUNCTION("""COMPUTED_VALUE"""),44)</f>
        <v>44</v>
      </c>
      <c r="F54" s="54">
        <f ca="1">IFERROR(__xludf.DUMMYFUNCTION("""COMPUTED_VALUE"""),44)</f>
        <v>44</v>
      </c>
      <c r="G54" s="51">
        <f t="shared" ca="1" si="0"/>
        <v>1</v>
      </c>
      <c r="H54" s="54">
        <f ca="1">IFERROR(__xludf.DUMMYFUNCTION("""COMPUTED_VALUE"""),44)</f>
        <v>44</v>
      </c>
      <c r="I54" s="51">
        <f t="shared" ca="1" si="1"/>
        <v>1</v>
      </c>
      <c r="J54" s="54">
        <f ca="1">IFERROR(__xludf.DUMMYFUNCTION("""COMPUTED_VALUE"""),42)</f>
        <v>42</v>
      </c>
      <c r="K54" s="51">
        <f t="shared" ca="1" si="2"/>
        <v>0.95454545454545459</v>
      </c>
      <c r="L54" s="54">
        <f ca="1">IFERROR(__xludf.DUMMYFUNCTION("""COMPUTED_VALUE"""),6)</f>
        <v>6</v>
      </c>
      <c r="M54" s="51">
        <f t="shared" ca="1" si="3"/>
        <v>0.13636363636363635</v>
      </c>
      <c r="N54" s="54">
        <f ca="1">IFERROR(__xludf.DUMMYFUNCTION("""COMPUTED_VALUE"""),71)</f>
        <v>71</v>
      </c>
      <c r="O54" s="54">
        <f ca="1">IFERROR(__xludf.DUMMYFUNCTION("""COMPUTED_VALUE"""),4)</f>
        <v>4</v>
      </c>
      <c r="P54" s="51">
        <f t="shared" ca="1" si="4"/>
        <v>5.6338028169014086E-2</v>
      </c>
      <c r="Q54" s="54">
        <f ca="1">IFERROR(__xludf.DUMMYFUNCTION("""COMPUTED_VALUE"""),2)</f>
        <v>2</v>
      </c>
      <c r="R54" s="51">
        <f t="shared" ca="1" si="5"/>
        <v>2.8169014084507043E-2</v>
      </c>
      <c r="S54" s="53"/>
      <c r="T54" s="53"/>
      <c r="U54" s="51" t="str">
        <f t="shared" si="6"/>
        <v/>
      </c>
      <c r="V54" s="53"/>
      <c r="W54" s="51" t="str">
        <f t="shared" si="7"/>
        <v/>
      </c>
      <c r="X54" s="53"/>
      <c r="Y54" s="51" t="str">
        <f t="shared" si="8"/>
        <v/>
      </c>
      <c r="Z54" s="2"/>
      <c r="AA54" s="2"/>
      <c r="AB54" s="2"/>
      <c r="AC54" s="2"/>
      <c r="AD54" s="2"/>
      <c r="AE54" s="2"/>
    </row>
    <row r="55" spans="1:31" ht="12.75" x14ac:dyDescent="0.2">
      <c r="A55" s="53">
        <f ca="1">IFERROR(__xludf.DUMMYFUNCTION("""COMPUTED_VALUE"""),49)</f>
        <v>49</v>
      </c>
      <c r="B55" s="53" t="str">
        <f ca="1">IFERROR(__xludf.DUMMYFUNCTION("""COMPUTED_VALUE"""),"MN Vinschool L5")</f>
        <v>MN Vinschool L5</v>
      </c>
      <c r="C55" s="53" t="str">
        <f ca="1">IFERROR(__xludf.DUMMYFUNCTION("""COMPUTED_VALUE"""),"MN")</f>
        <v>MN</v>
      </c>
      <c r="D55" s="53" t="str">
        <f ca="1">IFERROR(__xludf.DUMMYFUNCTION("""COMPUTED_VALUE"""),"BÌNH THẠNH")</f>
        <v>BÌNH THẠNH</v>
      </c>
      <c r="E55" s="54">
        <f ca="1">IFERROR(__xludf.DUMMYFUNCTION("""COMPUTED_VALUE"""),44)</f>
        <v>44</v>
      </c>
      <c r="F55" s="54">
        <f ca="1">IFERROR(__xludf.DUMMYFUNCTION("""COMPUTED_VALUE"""),44)</f>
        <v>44</v>
      </c>
      <c r="G55" s="51">
        <f t="shared" ca="1" si="0"/>
        <v>1</v>
      </c>
      <c r="H55" s="54">
        <f ca="1">IFERROR(__xludf.DUMMYFUNCTION("""COMPUTED_VALUE"""),44)</f>
        <v>44</v>
      </c>
      <c r="I55" s="51">
        <f t="shared" ca="1" si="1"/>
        <v>1</v>
      </c>
      <c r="J55" s="54">
        <f ca="1">IFERROR(__xludf.DUMMYFUNCTION("""COMPUTED_VALUE"""),40)</f>
        <v>40</v>
      </c>
      <c r="K55" s="51">
        <f t="shared" ca="1" si="2"/>
        <v>0.90909090909090906</v>
      </c>
      <c r="L55" s="54">
        <f ca="1">IFERROR(__xludf.DUMMYFUNCTION("""COMPUTED_VALUE"""),0)</f>
        <v>0</v>
      </c>
      <c r="M55" s="51">
        <f t="shared" ca="1" si="3"/>
        <v>0</v>
      </c>
      <c r="N55" s="54">
        <f ca="1">IFERROR(__xludf.DUMMYFUNCTION("""COMPUTED_VALUE"""),75)</f>
        <v>75</v>
      </c>
      <c r="O55" s="54">
        <f ca="1">IFERROR(__xludf.DUMMYFUNCTION("""COMPUTED_VALUE"""),3)</f>
        <v>3</v>
      </c>
      <c r="P55" s="51">
        <f t="shared" ca="1" si="4"/>
        <v>0.04</v>
      </c>
      <c r="Q55" s="54">
        <f ca="1">IFERROR(__xludf.DUMMYFUNCTION("""COMPUTED_VALUE"""),1)</f>
        <v>1</v>
      </c>
      <c r="R55" s="51">
        <f t="shared" ca="1" si="5"/>
        <v>1.3333333333333334E-2</v>
      </c>
      <c r="S55" s="53"/>
      <c r="T55" s="53"/>
      <c r="U55" s="51" t="str">
        <f t="shared" si="6"/>
        <v/>
      </c>
      <c r="V55" s="53"/>
      <c r="W55" s="51" t="str">
        <f t="shared" si="7"/>
        <v/>
      </c>
      <c r="X55" s="53"/>
      <c r="Y55" s="51" t="str">
        <f t="shared" si="8"/>
        <v/>
      </c>
      <c r="Z55" s="2"/>
      <c r="AA55" s="2"/>
      <c r="AB55" s="2"/>
      <c r="AC55" s="2"/>
      <c r="AD55" s="2"/>
      <c r="AE55" s="2"/>
    </row>
    <row r="56" spans="1:31" ht="12.75" x14ac:dyDescent="0.2">
      <c r="A56" s="53">
        <f ca="1">IFERROR(__xludf.DUMMYFUNCTION("""COMPUTED_VALUE"""),50)</f>
        <v>50</v>
      </c>
      <c r="B56" s="53" t="str">
        <f ca="1">IFERROR(__xludf.DUMMYFUNCTION("""COMPUTED_VALUE"""),"MN Vinschool P7")</f>
        <v>MN Vinschool P7</v>
      </c>
      <c r="C56" s="53" t="str">
        <f ca="1">IFERROR(__xludf.DUMMYFUNCTION("""COMPUTED_VALUE"""),"MN")</f>
        <v>MN</v>
      </c>
      <c r="D56" s="53" t="str">
        <f ca="1">IFERROR(__xludf.DUMMYFUNCTION("""COMPUTED_VALUE"""),"BÌNH THẠNH")</f>
        <v>BÌNH THẠNH</v>
      </c>
      <c r="E56" s="54">
        <f ca="1">IFERROR(__xludf.DUMMYFUNCTION("""COMPUTED_VALUE"""),56)</f>
        <v>56</v>
      </c>
      <c r="F56" s="54">
        <f ca="1">IFERROR(__xludf.DUMMYFUNCTION("""COMPUTED_VALUE"""),56)</f>
        <v>56</v>
      </c>
      <c r="G56" s="51">
        <f t="shared" ca="1" si="0"/>
        <v>1</v>
      </c>
      <c r="H56" s="54">
        <f ca="1">IFERROR(__xludf.DUMMYFUNCTION("""COMPUTED_VALUE"""),56)</f>
        <v>56</v>
      </c>
      <c r="I56" s="51">
        <f t="shared" ca="1" si="1"/>
        <v>1</v>
      </c>
      <c r="J56" s="54">
        <f ca="1">IFERROR(__xludf.DUMMYFUNCTION("""COMPUTED_VALUE"""),56)</f>
        <v>56</v>
      </c>
      <c r="K56" s="51">
        <f t="shared" ca="1" si="2"/>
        <v>1</v>
      </c>
      <c r="L56" s="54">
        <f ca="1">IFERROR(__xludf.DUMMYFUNCTION("""COMPUTED_VALUE"""),2)</f>
        <v>2</v>
      </c>
      <c r="M56" s="51">
        <f t="shared" ca="1" si="3"/>
        <v>3.5714285714285712E-2</v>
      </c>
      <c r="N56" s="54">
        <f ca="1">IFERROR(__xludf.DUMMYFUNCTION("""COMPUTED_VALUE"""),144)</f>
        <v>144</v>
      </c>
      <c r="O56" s="54">
        <f ca="1">IFERROR(__xludf.DUMMYFUNCTION("""COMPUTED_VALUE"""),5)</f>
        <v>5</v>
      </c>
      <c r="P56" s="51">
        <f t="shared" ca="1" si="4"/>
        <v>3.4722222222222224E-2</v>
      </c>
      <c r="Q56" s="54">
        <f ca="1">IFERROR(__xludf.DUMMYFUNCTION("""COMPUTED_VALUE"""),3)</f>
        <v>3</v>
      </c>
      <c r="R56" s="51">
        <f t="shared" ca="1" si="5"/>
        <v>2.0833333333333332E-2</v>
      </c>
      <c r="S56" s="53"/>
      <c r="T56" s="53"/>
      <c r="U56" s="51" t="str">
        <f t="shared" si="6"/>
        <v/>
      </c>
      <c r="V56" s="53"/>
      <c r="W56" s="51" t="str">
        <f t="shared" si="7"/>
        <v/>
      </c>
      <c r="X56" s="53"/>
      <c r="Y56" s="51" t="str">
        <f t="shared" si="8"/>
        <v/>
      </c>
      <c r="Z56" s="2"/>
      <c r="AA56" s="2"/>
      <c r="AB56" s="2"/>
      <c r="AC56" s="2"/>
      <c r="AD56" s="2"/>
      <c r="AE56" s="2"/>
    </row>
    <row r="57" spans="1:31" ht="12.75" x14ac:dyDescent="0.2">
      <c r="A57" s="53">
        <f ca="1">IFERROR(__xludf.DUMMYFUNCTION("""COMPUTED_VALUE"""),51)</f>
        <v>51</v>
      </c>
      <c r="B57" s="53" t="str">
        <f ca="1">IFERROR(__xludf.DUMMYFUNCTION("""COMPUTED_VALUE"""),"MN Vinschool LP")</f>
        <v>MN Vinschool LP</v>
      </c>
      <c r="C57" s="53" t="str">
        <f ca="1">IFERROR(__xludf.DUMMYFUNCTION("""COMPUTED_VALUE"""),"MN")</f>
        <v>MN</v>
      </c>
      <c r="D57" s="53" t="str">
        <f ca="1">IFERROR(__xludf.DUMMYFUNCTION("""COMPUTED_VALUE"""),"BÌNH THẠNH")</f>
        <v>BÌNH THẠNH</v>
      </c>
      <c r="E57" s="54">
        <f ca="1">IFERROR(__xludf.DUMMYFUNCTION("""COMPUTED_VALUE"""),44)</f>
        <v>44</v>
      </c>
      <c r="F57" s="54">
        <f ca="1">IFERROR(__xludf.DUMMYFUNCTION("""COMPUTED_VALUE"""),44)</f>
        <v>44</v>
      </c>
      <c r="G57" s="51">
        <f t="shared" ca="1" si="0"/>
        <v>1</v>
      </c>
      <c r="H57" s="54">
        <f ca="1">IFERROR(__xludf.DUMMYFUNCTION("""COMPUTED_VALUE"""),44)</f>
        <v>44</v>
      </c>
      <c r="I57" s="51">
        <f t="shared" ca="1" si="1"/>
        <v>1</v>
      </c>
      <c r="J57" s="54">
        <f ca="1">IFERROR(__xludf.DUMMYFUNCTION("""COMPUTED_VALUE"""),38)</f>
        <v>38</v>
      </c>
      <c r="K57" s="51">
        <f t="shared" ca="1" si="2"/>
        <v>0.86363636363636365</v>
      </c>
      <c r="L57" s="54">
        <f ca="1">IFERROR(__xludf.DUMMYFUNCTION("""COMPUTED_VALUE"""),6)</f>
        <v>6</v>
      </c>
      <c r="M57" s="51">
        <f t="shared" ca="1" si="3"/>
        <v>0.13636363636363635</v>
      </c>
      <c r="N57" s="54">
        <f ca="1">IFERROR(__xludf.DUMMYFUNCTION("""COMPUTED_VALUE"""),83)</f>
        <v>83</v>
      </c>
      <c r="O57" s="54">
        <f ca="1">IFERROR(__xludf.DUMMYFUNCTION("""COMPUTED_VALUE"""),6)</f>
        <v>6</v>
      </c>
      <c r="P57" s="51">
        <f t="shared" ca="1" si="4"/>
        <v>7.2289156626506021E-2</v>
      </c>
      <c r="Q57" s="54">
        <f ca="1">IFERROR(__xludf.DUMMYFUNCTION("""COMPUTED_VALUE"""),2)</f>
        <v>2</v>
      </c>
      <c r="R57" s="51">
        <f t="shared" ca="1" si="5"/>
        <v>2.4096385542168676E-2</v>
      </c>
      <c r="S57" s="53"/>
      <c r="T57" s="53"/>
      <c r="U57" s="51" t="str">
        <f t="shared" si="6"/>
        <v/>
      </c>
      <c r="V57" s="53"/>
      <c r="W57" s="51" t="str">
        <f t="shared" si="7"/>
        <v/>
      </c>
      <c r="X57" s="53"/>
      <c r="Y57" s="51" t="str">
        <f t="shared" si="8"/>
        <v/>
      </c>
      <c r="Z57" s="2"/>
      <c r="AA57" s="2"/>
      <c r="AB57" s="2"/>
      <c r="AC57" s="2"/>
      <c r="AD57" s="2"/>
      <c r="AE57" s="2"/>
    </row>
    <row r="58" spans="1:31" ht="12.75" x14ac:dyDescent="0.2">
      <c r="A58" s="53">
        <f ca="1">IFERROR(__xludf.DUMMYFUNCTION("""COMPUTED_VALUE"""),52)</f>
        <v>52</v>
      </c>
      <c r="B58" s="53" t="str">
        <f ca="1">IFERROR(__xludf.DUMMYFUNCTION("""COMPUTED_VALUE"""),"CTy TNHH MTV 
Giáo Dục Và Đào Tạo
 Hoa Sen SG Pearl")</f>
        <v>CTy TNHH MTV 
Giáo Dục Và Đào Tạo
 Hoa Sen SG Pearl</v>
      </c>
      <c r="C58" s="53" t="str">
        <f ca="1">IFERROR(__xludf.DUMMYFUNCTION("""COMPUTED_VALUE"""),"MN")</f>
        <v>MN</v>
      </c>
      <c r="D58" s="53" t="str">
        <f ca="1">IFERROR(__xludf.DUMMYFUNCTION("""COMPUTED_VALUE"""),"BÌNH THẠNH")</f>
        <v>BÌNH THẠNH</v>
      </c>
      <c r="E58" s="54">
        <f ca="1">IFERROR(__xludf.DUMMYFUNCTION("""COMPUTED_VALUE"""),98)</f>
        <v>98</v>
      </c>
      <c r="F58" s="54">
        <f ca="1">IFERROR(__xludf.DUMMYFUNCTION("""COMPUTED_VALUE"""),98)</f>
        <v>98</v>
      </c>
      <c r="G58" s="51">
        <f t="shared" ca="1" si="0"/>
        <v>1</v>
      </c>
      <c r="H58" s="54">
        <f ca="1">IFERROR(__xludf.DUMMYFUNCTION("""COMPUTED_VALUE"""),98)</f>
        <v>98</v>
      </c>
      <c r="I58" s="51">
        <f t="shared" ca="1" si="1"/>
        <v>1</v>
      </c>
      <c r="J58" s="54">
        <f ca="1">IFERROR(__xludf.DUMMYFUNCTION("""COMPUTED_VALUE"""),40)</f>
        <v>40</v>
      </c>
      <c r="K58" s="51">
        <f t="shared" ca="1" si="2"/>
        <v>0.40816326530612246</v>
      </c>
      <c r="L58" s="54">
        <f ca="1">IFERROR(__xludf.DUMMYFUNCTION("""COMPUTED_VALUE"""),0)</f>
        <v>0</v>
      </c>
      <c r="M58" s="51">
        <f t="shared" ca="1" si="3"/>
        <v>0</v>
      </c>
      <c r="N58" s="54">
        <f ca="1">IFERROR(__xludf.DUMMYFUNCTION("""COMPUTED_VALUE"""),253)</f>
        <v>253</v>
      </c>
      <c r="O58" s="54">
        <f ca="1">IFERROR(__xludf.DUMMYFUNCTION("""COMPUTED_VALUE"""),44)</f>
        <v>44</v>
      </c>
      <c r="P58" s="51">
        <f t="shared" ca="1" si="4"/>
        <v>0.17391304347826086</v>
      </c>
      <c r="Q58" s="54">
        <f ca="1">IFERROR(__xludf.DUMMYFUNCTION("""COMPUTED_VALUE"""),24)</f>
        <v>24</v>
      </c>
      <c r="R58" s="51">
        <f t="shared" ca="1" si="5"/>
        <v>9.4861660079051377E-2</v>
      </c>
      <c r="S58" s="53"/>
      <c r="T58" s="53"/>
      <c r="U58" s="51" t="str">
        <f t="shared" si="6"/>
        <v/>
      </c>
      <c r="V58" s="53"/>
      <c r="W58" s="51" t="str">
        <f t="shared" si="7"/>
        <v/>
      </c>
      <c r="X58" s="53"/>
      <c r="Y58" s="51" t="str">
        <f t="shared" si="8"/>
        <v/>
      </c>
      <c r="Z58" s="2"/>
      <c r="AA58" s="2"/>
      <c r="AB58" s="2"/>
      <c r="AC58" s="2"/>
      <c r="AD58" s="2"/>
      <c r="AE58" s="2"/>
    </row>
    <row r="59" spans="1:31" ht="12.75" x14ac:dyDescent="0.2">
      <c r="A59" s="53">
        <f ca="1">IFERROR(__xludf.DUMMYFUNCTION("""COMPUTED_VALUE"""),53)</f>
        <v>53</v>
      </c>
      <c r="B59" s="53" t="str">
        <f ca="1">IFERROR(__xludf.DUMMYFUNCTION("""COMPUTED_VALUE"""),"MN Hồng Nhi")</f>
        <v>MN Hồng Nhi</v>
      </c>
      <c r="C59" s="53" t="str">
        <f ca="1">IFERROR(__xludf.DUMMYFUNCTION("""COMPUTED_VALUE"""),"MN")</f>
        <v>MN</v>
      </c>
      <c r="D59" s="53" t="str">
        <f ca="1">IFERROR(__xludf.DUMMYFUNCTION("""COMPUTED_VALUE"""),"BÌNH THẠNH")</f>
        <v>BÌNH THẠNH</v>
      </c>
      <c r="E59" s="54">
        <f ca="1">IFERROR(__xludf.DUMMYFUNCTION("""COMPUTED_VALUE"""),30)</f>
        <v>30</v>
      </c>
      <c r="F59" s="54">
        <f ca="1">IFERROR(__xludf.DUMMYFUNCTION("""COMPUTED_VALUE"""),30)</f>
        <v>30</v>
      </c>
      <c r="G59" s="51">
        <f t="shared" ca="1" si="0"/>
        <v>1</v>
      </c>
      <c r="H59" s="54">
        <f ca="1">IFERROR(__xludf.DUMMYFUNCTION("""COMPUTED_VALUE"""),30)</f>
        <v>30</v>
      </c>
      <c r="I59" s="51">
        <f t="shared" ca="1" si="1"/>
        <v>1</v>
      </c>
      <c r="J59" s="54">
        <f ca="1">IFERROR(__xludf.DUMMYFUNCTION("""COMPUTED_VALUE"""),30)</f>
        <v>30</v>
      </c>
      <c r="K59" s="51">
        <f t="shared" ca="1" si="2"/>
        <v>1</v>
      </c>
      <c r="L59" s="54">
        <f ca="1">IFERROR(__xludf.DUMMYFUNCTION("""COMPUTED_VALUE"""),30)</f>
        <v>30</v>
      </c>
      <c r="M59" s="51">
        <f t="shared" ca="1" si="3"/>
        <v>1</v>
      </c>
      <c r="N59" s="54">
        <f ca="1">IFERROR(__xludf.DUMMYFUNCTION("""COMPUTED_VALUE"""),70)</f>
        <v>70</v>
      </c>
      <c r="O59" s="54">
        <f ca="1">IFERROR(__xludf.DUMMYFUNCTION("""COMPUTED_VALUE"""),2)</f>
        <v>2</v>
      </c>
      <c r="P59" s="51">
        <f t="shared" ca="1" si="4"/>
        <v>2.8571428571428571E-2</v>
      </c>
      <c r="Q59" s="54">
        <f ca="1">IFERROR(__xludf.DUMMYFUNCTION("""COMPUTED_VALUE"""),0)</f>
        <v>0</v>
      </c>
      <c r="R59" s="51">
        <f t="shared" ca="1" si="5"/>
        <v>0</v>
      </c>
      <c r="S59" s="53"/>
      <c r="T59" s="53"/>
      <c r="U59" s="51" t="str">
        <f t="shared" si="6"/>
        <v/>
      </c>
      <c r="V59" s="53"/>
      <c r="W59" s="51" t="str">
        <f t="shared" si="7"/>
        <v/>
      </c>
      <c r="X59" s="53"/>
      <c r="Y59" s="51" t="str">
        <f t="shared" si="8"/>
        <v/>
      </c>
      <c r="Z59" s="2"/>
      <c r="AA59" s="2"/>
      <c r="AB59" s="2"/>
      <c r="AC59" s="2"/>
      <c r="AD59" s="2"/>
      <c r="AE59" s="2"/>
    </row>
    <row r="60" spans="1:31" ht="12.75" x14ac:dyDescent="0.2">
      <c r="A60" s="53">
        <f ca="1">IFERROR(__xludf.DUMMYFUNCTION("""COMPUTED_VALUE"""),54)</f>
        <v>54</v>
      </c>
      <c r="B60" s="53" t="str">
        <f ca="1">IFERROR(__xludf.DUMMYFUNCTION("""COMPUTED_VALUE"""),"MG Ánh Sáng")</f>
        <v>MG Ánh Sáng</v>
      </c>
      <c r="C60" s="53" t="str">
        <f ca="1">IFERROR(__xludf.DUMMYFUNCTION("""COMPUTED_VALUE"""),"MN")</f>
        <v>MN</v>
      </c>
      <c r="D60" s="53" t="str">
        <f ca="1">IFERROR(__xludf.DUMMYFUNCTION("""COMPUTED_VALUE"""),"BÌNH THẠNH")</f>
        <v>BÌNH THẠNH</v>
      </c>
      <c r="E60" s="54">
        <f ca="1">IFERROR(__xludf.DUMMYFUNCTION("""COMPUTED_VALUE"""),24)</f>
        <v>24</v>
      </c>
      <c r="F60" s="54">
        <f ca="1">IFERROR(__xludf.DUMMYFUNCTION("""COMPUTED_VALUE"""),24)</f>
        <v>24</v>
      </c>
      <c r="G60" s="51">
        <f t="shared" ca="1" si="0"/>
        <v>1</v>
      </c>
      <c r="H60" s="54">
        <f ca="1">IFERROR(__xludf.DUMMYFUNCTION("""COMPUTED_VALUE"""),24)</f>
        <v>24</v>
      </c>
      <c r="I60" s="51">
        <f t="shared" ca="1" si="1"/>
        <v>1</v>
      </c>
      <c r="J60" s="54">
        <f ca="1">IFERROR(__xludf.DUMMYFUNCTION("""COMPUTED_VALUE"""),24)</f>
        <v>24</v>
      </c>
      <c r="K60" s="51">
        <f t="shared" ca="1" si="2"/>
        <v>1</v>
      </c>
      <c r="L60" s="54">
        <f ca="1">IFERROR(__xludf.DUMMYFUNCTION("""COMPUTED_VALUE"""),0)</f>
        <v>0</v>
      </c>
      <c r="M60" s="51">
        <f t="shared" ca="1" si="3"/>
        <v>0</v>
      </c>
      <c r="N60" s="54">
        <f ca="1">IFERROR(__xludf.DUMMYFUNCTION("""COMPUTED_VALUE"""),105)</f>
        <v>105</v>
      </c>
      <c r="O60" s="54">
        <f ca="1">IFERROR(__xludf.DUMMYFUNCTION("""COMPUTED_VALUE"""),0)</f>
        <v>0</v>
      </c>
      <c r="P60" s="51">
        <f t="shared" ca="1" si="4"/>
        <v>0</v>
      </c>
      <c r="Q60" s="54">
        <f ca="1">IFERROR(__xludf.DUMMYFUNCTION("""COMPUTED_VALUE"""),0)</f>
        <v>0</v>
      </c>
      <c r="R60" s="51">
        <f t="shared" ca="1" si="5"/>
        <v>0</v>
      </c>
      <c r="S60" s="53"/>
      <c r="T60" s="53"/>
      <c r="U60" s="51" t="str">
        <f t="shared" si="6"/>
        <v/>
      </c>
      <c r="V60" s="53"/>
      <c r="W60" s="51" t="str">
        <f t="shared" si="7"/>
        <v/>
      </c>
      <c r="X60" s="53"/>
      <c r="Y60" s="51" t="str">
        <f t="shared" si="8"/>
        <v/>
      </c>
      <c r="Z60" s="2"/>
      <c r="AA60" s="2"/>
      <c r="AB60" s="2"/>
      <c r="AC60" s="2"/>
      <c r="AD60" s="2"/>
      <c r="AE60" s="2"/>
    </row>
    <row r="61" spans="1:31" ht="12.75" x14ac:dyDescent="0.2">
      <c r="A61" s="53">
        <f ca="1">IFERROR(__xludf.DUMMYFUNCTION("""COMPUTED_VALUE"""),55)</f>
        <v>55</v>
      </c>
      <c r="B61" s="53" t="str">
        <f ca="1">IFERROR(__xludf.DUMMYFUNCTION("""COMPUTED_VALUE"""),"MN Văn Thánh Bắc")</f>
        <v>MN Văn Thánh Bắc</v>
      </c>
      <c r="C61" s="53" t="str">
        <f ca="1">IFERROR(__xludf.DUMMYFUNCTION("""COMPUTED_VALUE"""),"MN")</f>
        <v>MN</v>
      </c>
      <c r="D61" s="53" t="str">
        <f ca="1">IFERROR(__xludf.DUMMYFUNCTION("""COMPUTED_VALUE"""),"BÌNH THẠNH")</f>
        <v>BÌNH THẠNH</v>
      </c>
      <c r="E61" s="54">
        <f ca="1">IFERROR(__xludf.DUMMYFUNCTION("""COMPUTED_VALUE"""),15)</f>
        <v>15</v>
      </c>
      <c r="F61" s="54">
        <f ca="1">IFERROR(__xludf.DUMMYFUNCTION("""COMPUTED_VALUE"""),15)</f>
        <v>15</v>
      </c>
      <c r="G61" s="51">
        <f t="shared" ca="1" si="0"/>
        <v>1</v>
      </c>
      <c r="H61" s="54">
        <f ca="1">IFERROR(__xludf.DUMMYFUNCTION("""COMPUTED_VALUE"""),15)</f>
        <v>15</v>
      </c>
      <c r="I61" s="51">
        <f t="shared" ca="1" si="1"/>
        <v>1</v>
      </c>
      <c r="J61" s="54">
        <f ca="1">IFERROR(__xludf.DUMMYFUNCTION("""COMPUTED_VALUE"""),15)</f>
        <v>15</v>
      </c>
      <c r="K61" s="51">
        <f t="shared" ca="1" si="2"/>
        <v>1</v>
      </c>
      <c r="L61" s="54">
        <f ca="1">IFERROR(__xludf.DUMMYFUNCTION("""COMPUTED_VALUE"""),13)</f>
        <v>13</v>
      </c>
      <c r="M61" s="51">
        <f t="shared" ca="1" si="3"/>
        <v>0.8666666666666667</v>
      </c>
      <c r="N61" s="54">
        <f ca="1">IFERROR(__xludf.DUMMYFUNCTION("""COMPUTED_VALUE"""),16)</f>
        <v>16</v>
      </c>
      <c r="O61" s="54">
        <f ca="1">IFERROR(__xludf.DUMMYFUNCTION("""COMPUTED_VALUE"""),0)</f>
        <v>0</v>
      </c>
      <c r="P61" s="51">
        <f t="shared" ca="1" si="4"/>
        <v>0</v>
      </c>
      <c r="Q61" s="54">
        <f ca="1">IFERROR(__xludf.DUMMYFUNCTION("""COMPUTED_VALUE"""),0)</f>
        <v>0</v>
      </c>
      <c r="R61" s="51">
        <f t="shared" ca="1" si="5"/>
        <v>0</v>
      </c>
      <c r="S61" s="53"/>
      <c r="T61" s="53"/>
      <c r="U61" s="51" t="str">
        <f t="shared" si="6"/>
        <v/>
      </c>
      <c r="V61" s="53"/>
      <c r="W61" s="51" t="str">
        <f t="shared" si="7"/>
        <v/>
      </c>
      <c r="X61" s="53"/>
      <c r="Y61" s="51" t="str">
        <f t="shared" si="8"/>
        <v/>
      </c>
      <c r="Z61" s="2"/>
      <c r="AA61" s="2"/>
      <c r="AB61" s="2"/>
      <c r="AC61" s="2"/>
      <c r="AD61" s="2"/>
      <c r="AE61" s="2"/>
    </row>
    <row r="62" spans="1:31" ht="12.75" x14ac:dyDescent="0.2">
      <c r="A62" s="53">
        <f ca="1">IFERROR(__xludf.DUMMYFUNCTION("""COMPUTED_VALUE"""),56)</f>
        <v>56</v>
      </c>
      <c r="B62" s="53" t="str">
        <f ca="1">IFERROR(__xludf.DUMMYFUNCTION("""COMPUTED_VALUE"""),"MN Tổ Ong Vàng")</f>
        <v>MN Tổ Ong Vàng</v>
      </c>
      <c r="C62" s="53" t="str">
        <f ca="1">IFERROR(__xludf.DUMMYFUNCTION("""COMPUTED_VALUE"""),"MN")</f>
        <v>MN</v>
      </c>
      <c r="D62" s="53" t="str">
        <f ca="1">IFERROR(__xludf.DUMMYFUNCTION("""COMPUTED_VALUE"""),"BÌNH THẠNH")</f>
        <v>BÌNH THẠNH</v>
      </c>
      <c r="E62" s="54">
        <f ca="1">IFERROR(__xludf.DUMMYFUNCTION("""COMPUTED_VALUE"""),16)</f>
        <v>16</v>
      </c>
      <c r="F62" s="54">
        <f ca="1">IFERROR(__xludf.DUMMYFUNCTION("""COMPUTED_VALUE"""),16)</f>
        <v>16</v>
      </c>
      <c r="G62" s="51">
        <f t="shared" ca="1" si="0"/>
        <v>1</v>
      </c>
      <c r="H62" s="54">
        <f ca="1">IFERROR(__xludf.DUMMYFUNCTION("""COMPUTED_VALUE"""),16)</f>
        <v>16</v>
      </c>
      <c r="I62" s="51">
        <f t="shared" ca="1" si="1"/>
        <v>1</v>
      </c>
      <c r="J62" s="54">
        <f ca="1">IFERROR(__xludf.DUMMYFUNCTION("""COMPUTED_VALUE"""),16)</f>
        <v>16</v>
      </c>
      <c r="K62" s="51">
        <f t="shared" ca="1" si="2"/>
        <v>1</v>
      </c>
      <c r="L62" s="54">
        <f ca="1">IFERROR(__xludf.DUMMYFUNCTION("""COMPUTED_VALUE"""),4)</f>
        <v>4</v>
      </c>
      <c r="M62" s="51">
        <f t="shared" ca="1" si="3"/>
        <v>0.25</v>
      </c>
      <c r="N62" s="54">
        <f ca="1">IFERROR(__xludf.DUMMYFUNCTION("""COMPUTED_VALUE"""),4)</f>
        <v>4</v>
      </c>
      <c r="O62" s="54">
        <f ca="1">IFERROR(__xludf.DUMMYFUNCTION("""COMPUTED_VALUE"""),0)</f>
        <v>0</v>
      </c>
      <c r="P62" s="51">
        <f t="shared" ca="1" si="4"/>
        <v>0</v>
      </c>
      <c r="Q62" s="54">
        <f ca="1">IFERROR(__xludf.DUMMYFUNCTION("""COMPUTED_VALUE"""),0)</f>
        <v>0</v>
      </c>
      <c r="R62" s="51">
        <f t="shared" ca="1" si="5"/>
        <v>0</v>
      </c>
      <c r="S62" s="53"/>
      <c r="T62" s="53"/>
      <c r="U62" s="51" t="str">
        <f t="shared" si="6"/>
        <v/>
      </c>
      <c r="V62" s="53"/>
      <c r="W62" s="51" t="str">
        <f t="shared" si="7"/>
        <v/>
      </c>
      <c r="X62" s="53"/>
      <c r="Y62" s="51" t="str">
        <f t="shared" si="8"/>
        <v/>
      </c>
      <c r="Z62" s="2"/>
      <c r="AA62" s="2"/>
      <c r="AB62" s="2"/>
      <c r="AC62" s="2"/>
      <c r="AD62" s="2"/>
      <c r="AE62" s="2"/>
    </row>
    <row r="63" spans="1:31" ht="12.75" x14ac:dyDescent="0.2">
      <c r="A63" s="53">
        <f ca="1">IFERROR(__xludf.DUMMYFUNCTION("""COMPUTED_VALUE"""),57)</f>
        <v>57</v>
      </c>
      <c r="B63" s="53" t="str">
        <f ca="1">IFERROR(__xludf.DUMMYFUNCTION("""COMPUTED_VALUE"""),"MG Việt Anh")</f>
        <v>MG Việt Anh</v>
      </c>
      <c r="C63" s="53" t="str">
        <f ca="1">IFERROR(__xludf.DUMMYFUNCTION("""COMPUTED_VALUE"""),"MN")</f>
        <v>MN</v>
      </c>
      <c r="D63" s="53" t="str">
        <f ca="1">IFERROR(__xludf.DUMMYFUNCTION("""COMPUTED_VALUE"""),"BÌNH THẠNH")</f>
        <v>BÌNH THẠNH</v>
      </c>
      <c r="E63" s="54">
        <f ca="1">IFERROR(__xludf.DUMMYFUNCTION("""COMPUTED_VALUE"""),21)</f>
        <v>21</v>
      </c>
      <c r="F63" s="54">
        <f ca="1">IFERROR(__xludf.DUMMYFUNCTION("""COMPUTED_VALUE"""),21)</f>
        <v>21</v>
      </c>
      <c r="G63" s="51">
        <f t="shared" ca="1" si="0"/>
        <v>1</v>
      </c>
      <c r="H63" s="54">
        <f ca="1">IFERROR(__xludf.DUMMYFUNCTION("""COMPUTED_VALUE"""),21)</f>
        <v>21</v>
      </c>
      <c r="I63" s="51">
        <f t="shared" ca="1" si="1"/>
        <v>1</v>
      </c>
      <c r="J63" s="54">
        <f ca="1">IFERROR(__xludf.DUMMYFUNCTION("""COMPUTED_VALUE"""),21)</f>
        <v>21</v>
      </c>
      <c r="K63" s="51">
        <f t="shared" ca="1" si="2"/>
        <v>1</v>
      </c>
      <c r="L63" s="54">
        <f ca="1">IFERROR(__xludf.DUMMYFUNCTION("""COMPUTED_VALUE"""),4)</f>
        <v>4</v>
      </c>
      <c r="M63" s="51">
        <f t="shared" ca="1" si="3"/>
        <v>0.19047619047619047</v>
      </c>
      <c r="N63" s="54">
        <f ca="1">IFERROR(__xludf.DUMMYFUNCTION("""COMPUTED_VALUE"""),76)</f>
        <v>76</v>
      </c>
      <c r="O63" s="54">
        <f ca="1">IFERROR(__xludf.DUMMYFUNCTION("""COMPUTED_VALUE"""),14)</f>
        <v>14</v>
      </c>
      <c r="P63" s="51">
        <f t="shared" ca="1" si="4"/>
        <v>0.18421052631578946</v>
      </c>
      <c r="Q63" s="54">
        <f ca="1">IFERROR(__xludf.DUMMYFUNCTION("""COMPUTED_VALUE"""),0)</f>
        <v>0</v>
      </c>
      <c r="R63" s="51">
        <f t="shared" ca="1" si="5"/>
        <v>0</v>
      </c>
      <c r="S63" s="53"/>
      <c r="T63" s="53"/>
      <c r="U63" s="51" t="str">
        <f t="shared" si="6"/>
        <v/>
      </c>
      <c r="V63" s="53"/>
      <c r="W63" s="51" t="str">
        <f t="shared" si="7"/>
        <v/>
      </c>
      <c r="X63" s="53"/>
      <c r="Y63" s="51" t="str">
        <f t="shared" si="8"/>
        <v/>
      </c>
      <c r="Z63" s="2"/>
      <c r="AA63" s="2"/>
      <c r="AB63" s="2"/>
      <c r="AC63" s="2"/>
      <c r="AD63" s="2"/>
      <c r="AE63" s="2"/>
    </row>
    <row r="64" spans="1:31" ht="12.75" x14ac:dyDescent="0.2">
      <c r="A64" s="53">
        <f ca="1">IFERROR(__xludf.DUMMYFUNCTION("""COMPUTED_VALUE"""),58)</f>
        <v>58</v>
      </c>
      <c r="B64" s="53" t="str">
        <f ca="1">IFERROR(__xludf.DUMMYFUNCTION("""COMPUTED_VALUE"""),"MN Kỳ Lân")</f>
        <v>MN Kỳ Lân</v>
      </c>
      <c r="C64" s="53" t="str">
        <f ca="1">IFERROR(__xludf.DUMMYFUNCTION("""COMPUTED_VALUE"""),"MN")</f>
        <v>MN</v>
      </c>
      <c r="D64" s="53" t="str">
        <f ca="1">IFERROR(__xludf.DUMMYFUNCTION("""COMPUTED_VALUE"""),"BÌNH THẠNH")</f>
        <v>BÌNH THẠNH</v>
      </c>
      <c r="E64" s="54">
        <f ca="1">IFERROR(__xludf.DUMMYFUNCTION("""COMPUTED_VALUE"""),14)</f>
        <v>14</v>
      </c>
      <c r="F64" s="54">
        <f ca="1">IFERROR(__xludf.DUMMYFUNCTION("""COMPUTED_VALUE"""),14)</f>
        <v>14</v>
      </c>
      <c r="G64" s="51">
        <f t="shared" ca="1" si="0"/>
        <v>1</v>
      </c>
      <c r="H64" s="54">
        <f ca="1">IFERROR(__xludf.DUMMYFUNCTION("""COMPUTED_VALUE"""),14)</f>
        <v>14</v>
      </c>
      <c r="I64" s="51">
        <f t="shared" ca="1" si="1"/>
        <v>1</v>
      </c>
      <c r="J64" s="54">
        <f ca="1">IFERROR(__xludf.DUMMYFUNCTION("""COMPUTED_VALUE"""),14)</f>
        <v>14</v>
      </c>
      <c r="K64" s="51">
        <f t="shared" ca="1" si="2"/>
        <v>1</v>
      </c>
      <c r="L64" s="54">
        <f ca="1">IFERROR(__xludf.DUMMYFUNCTION("""COMPUTED_VALUE"""),1)</f>
        <v>1</v>
      </c>
      <c r="M64" s="51">
        <f t="shared" ca="1" si="3"/>
        <v>7.1428571428571425E-2</v>
      </c>
      <c r="N64" s="54">
        <f ca="1">IFERROR(__xludf.DUMMYFUNCTION("""COMPUTED_VALUE"""),5)</f>
        <v>5</v>
      </c>
      <c r="O64" s="54">
        <f ca="1">IFERROR(__xludf.DUMMYFUNCTION("""COMPUTED_VALUE"""),1)</f>
        <v>1</v>
      </c>
      <c r="P64" s="51">
        <f t="shared" ca="1" si="4"/>
        <v>0.2</v>
      </c>
      <c r="Q64" s="54">
        <f ca="1">IFERROR(__xludf.DUMMYFUNCTION("""COMPUTED_VALUE"""),0)</f>
        <v>0</v>
      </c>
      <c r="R64" s="51">
        <f t="shared" ca="1" si="5"/>
        <v>0</v>
      </c>
      <c r="S64" s="53"/>
      <c r="T64" s="53"/>
      <c r="U64" s="51" t="str">
        <f t="shared" si="6"/>
        <v/>
      </c>
      <c r="V64" s="53"/>
      <c r="W64" s="51" t="str">
        <f t="shared" si="7"/>
        <v/>
      </c>
      <c r="X64" s="53"/>
      <c r="Y64" s="51" t="str">
        <f t="shared" si="8"/>
        <v/>
      </c>
      <c r="Z64" s="2"/>
      <c r="AA64" s="2"/>
      <c r="AB64" s="2"/>
      <c r="AC64" s="2"/>
      <c r="AD64" s="2"/>
      <c r="AE64" s="2"/>
    </row>
    <row r="65" spans="1:31" ht="12.75" x14ac:dyDescent="0.2">
      <c r="A65" s="53">
        <f ca="1">IFERROR(__xludf.DUMMYFUNCTION("""COMPUTED_VALUE"""),59)</f>
        <v>59</v>
      </c>
      <c r="B65" s="53" t="str">
        <f ca="1">IFERROR(__xludf.DUMMYFUNCTION("""COMPUTED_VALUE"""),"MN Ngôi sao")</f>
        <v>MN Ngôi sao</v>
      </c>
      <c r="C65" s="53" t="str">
        <f ca="1">IFERROR(__xludf.DUMMYFUNCTION("""COMPUTED_VALUE"""),"MN")</f>
        <v>MN</v>
      </c>
      <c r="D65" s="53" t="str">
        <f ca="1">IFERROR(__xludf.DUMMYFUNCTION("""COMPUTED_VALUE"""),"BÌNH THẠNH")</f>
        <v>BÌNH THẠNH</v>
      </c>
      <c r="E65" s="53">
        <f ca="1">IFERROR(__xludf.DUMMYFUNCTION("""COMPUTED_VALUE"""),14)</f>
        <v>14</v>
      </c>
      <c r="F65" s="53">
        <f ca="1">IFERROR(__xludf.DUMMYFUNCTION("""COMPUTED_VALUE"""),14)</f>
        <v>14</v>
      </c>
      <c r="G65" s="51">
        <f t="shared" ca="1" si="0"/>
        <v>1</v>
      </c>
      <c r="H65" s="53">
        <f ca="1">IFERROR(__xludf.DUMMYFUNCTION("""COMPUTED_VALUE"""),14)</f>
        <v>14</v>
      </c>
      <c r="I65" s="51">
        <f t="shared" ca="1" si="1"/>
        <v>1</v>
      </c>
      <c r="J65" s="53">
        <f ca="1">IFERROR(__xludf.DUMMYFUNCTION("""COMPUTED_VALUE"""),14)</f>
        <v>14</v>
      </c>
      <c r="K65" s="51">
        <f t="shared" ca="1" si="2"/>
        <v>1</v>
      </c>
      <c r="L65" s="53">
        <f ca="1">IFERROR(__xludf.DUMMYFUNCTION("""COMPUTED_VALUE"""),1)</f>
        <v>1</v>
      </c>
      <c r="M65" s="51">
        <f t="shared" ca="1" si="3"/>
        <v>7.1428571428571425E-2</v>
      </c>
      <c r="N65" s="54">
        <f ca="1">IFERROR(__xludf.DUMMYFUNCTION("""COMPUTED_VALUE"""),14)</f>
        <v>14</v>
      </c>
      <c r="O65" s="54">
        <f ca="1">IFERROR(__xludf.DUMMYFUNCTION("""COMPUTED_VALUE"""),1)</f>
        <v>1</v>
      </c>
      <c r="P65" s="51">
        <f t="shared" ca="1" si="4"/>
        <v>7.1428571428571425E-2</v>
      </c>
      <c r="Q65" s="54">
        <f ca="1">IFERROR(__xludf.DUMMYFUNCTION("""COMPUTED_VALUE"""),2)</f>
        <v>2</v>
      </c>
      <c r="R65" s="51">
        <f t="shared" ca="1" si="5"/>
        <v>0.14285714285714285</v>
      </c>
      <c r="S65" s="53"/>
      <c r="T65" s="53"/>
      <c r="U65" s="51" t="str">
        <f t="shared" si="6"/>
        <v/>
      </c>
      <c r="V65" s="53"/>
      <c r="W65" s="51" t="str">
        <f t="shared" si="7"/>
        <v/>
      </c>
      <c r="X65" s="53"/>
      <c r="Y65" s="51" t="str">
        <f t="shared" si="8"/>
        <v/>
      </c>
      <c r="Z65" s="2"/>
      <c r="AA65" s="2"/>
      <c r="AB65" s="2"/>
      <c r="AC65" s="2"/>
      <c r="AD65" s="2"/>
      <c r="AE65" s="2"/>
    </row>
    <row r="66" spans="1:31" ht="12.75" x14ac:dyDescent="0.2">
      <c r="A66" s="53">
        <f ca="1">IFERROR(__xludf.DUMMYFUNCTION("""COMPUTED_VALUE"""),60)</f>
        <v>60</v>
      </c>
      <c r="B66" s="53"/>
      <c r="C66" s="53"/>
      <c r="D66" s="53" t="str">
        <f ca="1">IFERROR(__xludf.DUMMYFUNCTION("""COMPUTED_VALUE"""),"BÌNH THẠNH")</f>
        <v>BÌNH THẠNH</v>
      </c>
      <c r="E66" s="54">
        <f ca="1">IFERROR(__xludf.DUMMYFUNCTION("""COMPUTED_VALUE"""),15)</f>
        <v>15</v>
      </c>
      <c r="F66" s="54">
        <f ca="1">IFERROR(__xludf.DUMMYFUNCTION("""COMPUTED_VALUE"""),15)</f>
        <v>15</v>
      </c>
      <c r="G66" s="51">
        <f t="shared" ca="1" si="0"/>
        <v>1</v>
      </c>
      <c r="H66" s="54">
        <f ca="1">IFERROR(__xludf.DUMMYFUNCTION("""COMPUTED_VALUE"""),15)</f>
        <v>15</v>
      </c>
      <c r="I66" s="51">
        <f t="shared" ca="1" si="1"/>
        <v>1</v>
      </c>
      <c r="J66" s="54">
        <f ca="1">IFERROR(__xludf.DUMMYFUNCTION("""COMPUTED_VALUE"""),14)</f>
        <v>14</v>
      </c>
      <c r="K66" s="51">
        <f t="shared" ca="1" si="2"/>
        <v>0.93333333333333335</v>
      </c>
      <c r="L66" s="54">
        <f ca="1">IFERROR(__xludf.DUMMYFUNCTION("""COMPUTED_VALUE"""),10)</f>
        <v>10</v>
      </c>
      <c r="M66" s="51">
        <f t="shared" ca="1" si="3"/>
        <v>0.66666666666666663</v>
      </c>
      <c r="N66" s="54" t="str">
        <f ca="1">IFERROR(__xludf.DUMMYFUNCTION("""COMPUTED_VALUE"""),"-")</f>
        <v>-</v>
      </c>
      <c r="O66" s="54">
        <f ca="1">IFERROR(__xludf.DUMMYFUNCTION("""COMPUTED_VALUE"""),0)</f>
        <v>0</v>
      </c>
      <c r="P66" s="51" t="str">
        <f t="shared" ca="1" si="4"/>
        <v/>
      </c>
      <c r="Q66" s="54">
        <f ca="1">IFERROR(__xludf.DUMMYFUNCTION("""COMPUTED_VALUE"""),0)</f>
        <v>0</v>
      </c>
      <c r="R66" s="51" t="str">
        <f t="shared" ca="1" si="5"/>
        <v/>
      </c>
      <c r="S66" s="53"/>
      <c r="T66" s="53"/>
      <c r="U66" s="51" t="str">
        <f t="shared" si="6"/>
        <v/>
      </c>
      <c r="V66" s="53"/>
      <c r="W66" s="51" t="str">
        <f t="shared" si="7"/>
        <v/>
      </c>
      <c r="X66" s="53"/>
      <c r="Y66" s="51" t="str">
        <f t="shared" si="8"/>
        <v/>
      </c>
      <c r="Z66" s="2"/>
      <c r="AA66" s="2"/>
      <c r="AB66" s="2"/>
      <c r="AC66" s="2"/>
      <c r="AD66" s="2"/>
      <c r="AE66" s="2"/>
    </row>
    <row r="67" spans="1:31" ht="12.75" x14ac:dyDescent="0.2">
      <c r="A67" s="53">
        <f ca="1">IFERROR(__xludf.DUMMYFUNCTION("""COMPUTED_VALUE"""),61)</f>
        <v>61</v>
      </c>
      <c r="B67" s="53" t="str">
        <f ca="1">IFERROR(__xludf.DUMMYFUNCTION("""COMPUTED_VALUE"""),"MN Khu
Vườn Trí Tuệ")</f>
        <v>MN Khu
Vườn Trí Tuệ</v>
      </c>
      <c r="C67" s="53" t="str">
        <f ca="1">IFERROR(__xludf.DUMMYFUNCTION("""COMPUTED_VALUE"""),"MN")</f>
        <v>MN</v>
      </c>
      <c r="D67" s="53" t="str">
        <f ca="1">IFERROR(__xludf.DUMMYFUNCTION("""COMPUTED_VALUE"""),"BÌNH THẠNH")</f>
        <v>BÌNH THẠNH</v>
      </c>
      <c r="E67" s="54">
        <f ca="1">IFERROR(__xludf.DUMMYFUNCTION("""COMPUTED_VALUE"""),24)</f>
        <v>24</v>
      </c>
      <c r="F67" s="54">
        <f ca="1">IFERROR(__xludf.DUMMYFUNCTION("""COMPUTED_VALUE"""),24)</f>
        <v>24</v>
      </c>
      <c r="G67" s="51">
        <f t="shared" ca="1" si="0"/>
        <v>1</v>
      </c>
      <c r="H67" s="54">
        <f ca="1">IFERROR(__xludf.DUMMYFUNCTION("""COMPUTED_VALUE"""),24)</f>
        <v>24</v>
      </c>
      <c r="I67" s="51">
        <f t="shared" ca="1" si="1"/>
        <v>1</v>
      </c>
      <c r="J67" s="54">
        <f ca="1">IFERROR(__xludf.DUMMYFUNCTION("""COMPUTED_VALUE"""),24)</f>
        <v>24</v>
      </c>
      <c r="K67" s="51">
        <f t="shared" ca="1" si="2"/>
        <v>1</v>
      </c>
      <c r="L67" s="54">
        <f ca="1">IFERROR(__xludf.DUMMYFUNCTION("""COMPUTED_VALUE"""),0)</f>
        <v>0</v>
      </c>
      <c r="M67" s="51">
        <f t="shared" ca="1" si="3"/>
        <v>0</v>
      </c>
      <c r="N67" s="54">
        <f ca="1">IFERROR(__xludf.DUMMYFUNCTION("""COMPUTED_VALUE"""),25)</f>
        <v>25</v>
      </c>
      <c r="O67" s="54">
        <f ca="1">IFERROR(__xludf.DUMMYFUNCTION("""COMPUTED_VALUE"""),5)</f>
        <v>5</v>
      </c>
      <c r="P67" s="51">
        <f t="shared" ca="1" si="4"/>
        <v>0.2</v>
      </c>
      <c r="Q67" s="54">
        <f ca="1">IFERROR(__xludf.DUMMYFUNCTION("""COMPUTED_VALUE"""),0)</f>
        <v>0</v>
      </c>
      <c r="R67" s="51">
        <f t="shared" ca="1" si="5"/>
        <v>0</v>
      </c>
      <c r="S67" s="53"/>
      <c r="T67" s="53"/>
      <c r="U67" s="51" t="str">
        <f t="shared" si="6"/>
        <v/>
      </c>
      <c r="V67" s="53"/>
      <c r="W67" s="51" t="str">
        <f t="shared" si="7"/>
        <v/>
      </c>
      <c r="X67" s="53"/>
      <c r="Y67" s="51" t="str">
        <f t="shared" si="8"/>
        <v/>
      </c>
      <c r="Z67" s="2"/>
      <c r="AA67" s="2"/>
      <c r="AB67" s="2"/>
      <c r="AC67" s="2"/>
      <c r="AD67" s="2"/>
      <c r="AE67" s="2"/>
    </row>
    <row r="68" spans="1:31" ht="12.75" x14ac:dyDescent="0.2">
      <c r="A68" s="53">
        <f ca="1">IFERROR(__xludf.DUMMYFUNCTION("""COMPUTED_VALUE"""),62)</f>
        <v>62</v>
      </c>
      <c r="B68" s="53" t="str">
        <f ca="1">IFERROR(__xludf.DUMMYFUNCTION("""COMPUTED_VALUE"""),"MN Mai Thôn")</f>
        <v>MN Mai Thôn</v>
      </c>
      <c r="C68" s="53" t="str">
        <f ca="1">IFERROR(__xludf.DUMMYFUNCTION("""COMPUTED_VALUE"""),"MN")</f>
        <v>MN</v>
      </c>
      <c r="D68" s="53" t="str">
        <f ca="1">IFERROR(__xludf.DUMMYFUNCTION("""COMPUTED_VALUE"""),"BÌNH THẠNH")</f>
        <v>BÌNH THẠNH</v>
      </c>
      <c r="E68" s="54">
        <f ca="1">IFERROR(__xludf.DUMMYFUNCTION("""COMPUTED_VALUE"""),28)</f>
        <v>28</v>
      </c>
      <c r="F68" s="54">
        <f ca="1">IFERROR(__xludf.DUMMYFUNCTION("""COMPUTED_VALUE"""),28)</f>
        <v>28</v>
      </c>
      <c r="G68" s="51">
        <f t="shared" ca="1" si="0"/>
        <v>1</v>
      </c>
      <c r="H68" s="54">
        <f ca="1">IFERROR(__xludf.DUMMYFUNCTION("""COMPUTED_VALUE"""),28)</f>
        <v>28</v>
      </c>
      <c r="I68" s="51">
        <f t="shared" ca="1" si="1"/>
        <v>1</v>
      </c>
      <c r="J68" s="54">
        <f ca="1">IFERROR(__xludf.DUMMYFUNCTION("""COMPUTED_VALUE"""),28)</f>
        <v>28</v>
      </c>
      <c r="K68" s="51">
        <f t="shared" ca="1" si="2"/>
        <v>1</v>
      </c>
      <c r="L68" s="54">
        <f ca="1">IFERROR(__xludf.DUMMYFUNCTION("""COMPUTED_VALUE"""),0)</f>
        <v>0</v>
      </c>
      <c r="M68" s="51">
        <f t="shared" ca="1" si="3"/>
        <v>0</v>
      </c>
      <c r="N68" s="54">
        <f ca="1">IFERROR(__xludf.DUMMYFUNCTION("""COMPUTED_VALUE"""),86)</f>
        <v>86</v>
      </c>
      <c r="O68" s="54">
        <f ca="1">IFERROR(__xludf.DUMMYFUNCTION("""COMPUTED_VALUE"""),13)</f>
        <v>13</v>
      </c>
      <c r="P68" s="51">
        <f t="shared" ca="1" si="4"/>
        <v>0.15116279069767441</v>
      </c>
      <c r="Q68" s="54">
        <f ca="1">IFERROR(__xludf.DUMMYFUNCTION("""COMPUTED_VALUE"""),1)</f>
        <v>1</v>
      </c>
      <c r="R68" s="51">
        <f t="shared" ca="1" si="5"/>
        <v>1.1627906976744186E-2</v>
      </c>
      <c r="S68" s="53"/>
      <c r="T68" s="53"/>
      <c r="U68" s="51" t="str">
        <f t="shared" si="6"/>
        <v/>
      </c>
      <c r="V68" s="53"/>
      <c r="W68" s="51" t="str">
        <f t="shared" si="7"/>
        <v/>
      </c>
      <c r="X68" s="53"/>
      <c r="Y68" s="51" t="str">
        <f t="shared" si="8"/>
        <v/>
      </c>
      <c r="Z68" s="2"/>
      <c r="AA68" s="2"/>
      <c r="AB68" s="2"/>
      <c r="AC68" s="2"/>
      <c r="AD68" s="2"/>
      <c r="AE68" s="2"/>
    </row>
    <row r="69" spans="1:31" ht="12.75" x14ac:dyDescent="0.2">
      <c r="A69" s="53">
        <f ca="1">IFERROR(__xludf.DUMMYFUNCTION("""COMPUTED_VALUE"""),63)</f>
        <v>63</v>
      </c>
      <c r="B69" s="53" t="str">
        <f ca="1">IFERROR(__xludf.DUMMYFUNCTION("""COMPUTED_VALUE"""),"MN Dãy núi xanh")</f>
        <v>MN Dãy núi xanh</v>
      </c>
      <c r="C69" s="53" t="str">
        <f ca="1">IFERROR(__xludf.DUMMYFUNCTION("""COMPUTED_VALUE"""),"MN")</f>
        <v>MN</v>
      </c>
      <c r="D69" s="53" t="str">
        <f ca="1">IFERROR(__xludf.DUMMYFUNCTION("""COMPUTED_VALUE"""),"BÌNH THẠNH")</f>
        <v>BÌNH THẠNH</v>
      </c>
      <c r="E69" s="54">
        <f ca="1">IFERROR(__xludf.DUMMYFUNCTION("""COMPUTED_VALUE"""),18)</f>
        <v>18</v>
      </c>
      <c r="F69" s="54">
        <f ca="1">IFERROR(__xludf.DUMMYFUNCTION("""COMPUTED_VALUE"""),18)</f>
        <v>18</v>
      </c>
      <c r="G69" s="51">
        <f t="shared" ca="1" si="0"/>
        <v>1</v>
      </c>
      <c r="H69" s="54">
        <f ca="1">IFERROR(__xludf.DUMMYFUNCTION("""COMPUTED_VALUE"""),18)</f>
        <v>18</v>
      </c>
      <c r="I69" s="51">
        <f t="shared" ca="1" si="1"/>
        <v>1</v>
      </c>
      <c r="J69" s="54">
        <f ca="1">IFERROR(__xludf.DUMMYFUNCTION("""COMPUTED_VALUE"""),13)</f>
        <v>13</v>
      </c>
      <c r="K69" s="51">
        <f t="shared" ca="1" si="2"/>
        <v>0.72222222222222221</v>
      </c>
      <c r="L69" s="54">
        <f ca="1">IFERROR(__xludf.DUMMYFUNCTION("""COMPUTED_VALUE"""),0)</f>
        <v>0</v>
      </c>
      <c r="M69" s="51">
        <f t="shared" ca="1" si="3"/>
        <v>0</v>
      </c>
      <c r="N69" s="54">
        <f ca="1">IFERROR(__xludf.DUMMYFUNCTION("""COMPUTED_VALUE"""),17)</f>
        <v>17</v>
      </c>
      <c r="O69" s="54">
        <f ca="1">IFERROR(__xludf.DUMMYFUNCTION("""COMPUTED_VALUE"""),0)</f>
        <v>0</v>
      </c>
      <c r="P69" s="51">
        <f t="shared" ca="1" si="4"/>
        <v>0</v>
      </c>
      <c r="Q69" s="54">
        <f ca="1">IFERROR(__xludf.DUMMYFUNCTION("""COMPUTED_VALUE"""),0)</f>
        <v>0</v>
      </c>
      <c r="R69" s="51">
        <f t="shared" ca="1" si="5"/>
        <v>0</v>
      </c>
      <c r="S69" s="53"/>
      <c r="T69" s="53"/>
      <c r="U69" s="51" t="str">
        <f t="shared" si="6"/>
        <v/>
      </c>
      <c r="V69" s="53"/>
      <c r="W69" s="51" t="str">
        <f t="shared" si="7"/>
        <v/>
      </c>
      <c r="X69" s="53"/>
      <c r="Y69" s="51" t="str">
        <f t="shared" si="8"/>
        <v/>
      </c>
      <c r="Z69" s="2"/>
      <c r="AA69" s="2"/>
      <c r="AB69" s="2"/>
      <c r="AC69" s="2"/>
      <c r="AD69" s="2"/>
      <c r="AE69" s="2"/>
    </row>
    <row r="70" spans="1:31" ht="12.75" x14ac:dyDescent="0.2">
      <c r="A70" s="53" t="str">
        <f ca="1">IFERROR(__xludf.DUMMYFUNCTION("""COMPUTED_VALUE"""),"Tiểu học")</f>
        <v>Tiểu học</v>
      </c>
      <c r="B70" s="53"/>
      <c r="C70" s="53"/>
      <c r="D70" s="53"/>
      <c r="E70" s="54">
        <f ca="1">IFERROR(__xludf.DUMMYFUNCTION("""COMPUTED_VALUE"""),2373)</f>
        <v>2373</v>
      </c>
      <c r="F70" s="54">
        <f ca="1">IFERROR(__xludf.DUMMYFUNCTION("""COMPUTED_VALUE"""),2373)</f>
        <v>2373</v>
      </c>
      <c r="G70" s="51">
        <f t="shared" ref="G70:G78" ca="1" si="9">IFERROR(F70/E70,"")</f>
        <v>1</v>
      </c>
      <c r="H70" s="54">
        <f ca="1">IFERROR(__xludf.DUMMYFUNCTION("""COMPUTED_VALUE"""),2353)</f>
        <v>2353</v>
      </c>
      <c r="I70" s="51">
        <f t="shared" ref="I70:I78" ca="1" si="10">IFERROR(H70/E70,"")</f>
        <v>0.99157184997892966</v>
      </c>
      <c r="J70" s="54">
        <f ca="1">IFERROR(__xludf.DUMMYFUNCTION("""COMPUTED_VALUE"""),2157)</f>
        <v>2157</v>
      </c>
      <c r="K70" s="51">
        <f t="shared" ref="K70:K78" ca="1" si="11">IFERROR(J70/E70,"")</f>
        <v>0.90897597977243993</v>
      </c>
      <c r="L70" s="54">
        <f ca="1">IFERROR(__xludf.DUMMYFUNCTION("""COMPUTED_VALUE"""),565)</f>
        <v>565</v>
      </c>
      <c r="M70" s="51">
        <f t="shared" ref="M70:M78" ca="1" si="12">IFERROR(L70/E70,"")</f>
        <v>0.23809523809523808</v>
      </c>
      <c r="N70" s="54">
        <f ca="1">IFERROR(__xludf.DUMMYFUNCTION("""COMPUTED_VALUE"""),31546)</f>
        <v>31546</v>
      </c>
      <c r="O70" s="54">
        <f ca="1">IFERROR(__xludf.DUMMYFUNCTION("""COMPUTED_VALUE"""),16991)</f>
        <v>16991</v>
      </c>
      <c r="P70" s="51">
        <f t="shared" ref="P70:P78" ca="1" si="13">IFERROR(O70/N70,"")</f>
        <v>0.53861028339567618</v>
      </c>
      <c r="Q70" s="54">
        <f ca="1">IFERROR(__xludf.DUMMYFUNCTION("""COMPUTED_VALUE"""),5663)</f>
        <v>5663</v>
      </c>
      <c r="R70" s="51">
        <f t="shared" ref="R70:R78" ca="1" si="14">IFERROR(Q70/N70,"")</f>
        <v>0.17951562797185064</v>
      </c>
      <c r="S70" s="53"/>
      <c r="T70" s="53"/>
      <c r="U70" s="51" t="str">
        <f t="shared" ref="U70:U78" si="15">IFERROR(T70/S70,"")</f>
        <v/>
      </c>
      <c r="V70" s="53"/>
      <c r="W70" s="51" t="str">
        <f t="shared" ref="W70:W78" si="16">IFERROR(V70/S70,"")</f>
        <v/>
      </c>
      <c r="X70" s="53"/>
      <c r="Y70" s="51" t="str">
        <f t="shared" ref="Y70:Y78" si="17">IFERROR(X70/S70,"")</f>
        <v/>
      </c>
      <c r="Z70" s="2"/>
      <c r="AA70" s="2"/>
      <c r="AB70" s="2"/>
      <c r="AC70" s="2"/>
      <c r="AD70" s="2"/>
      <c r="AE70" s="2"/>
    </row>
    <row r="71" spans="1:31" ht="12.75" x14ac:dyDescent="0.2">
      <c r="A71" s="53">
        <f ca="1">IFERROR(__xludf.DUMMYFUNCTION("""COMPUTED_VALUE"""),64)</f>
        <v>64</v>
      </c>
      <c r="B71" s="53" t="str">
        <f ca="1">IFERROR(__xludf.DUMMYFUNCTION("""COMPUTED_VALUE"""),"TH Tô Vĩnh Diện")</f>
        <v>TH Tô Vĩnh Diện</v>
      </c>
      <c r="C71" s="53" t="str">
        <f ca="1">IFERROR(__xludf.DUMMYFUNCTION("""COMPUTED_VALUE"""),"TH")</f>
        <v>TH</v>
      </c>
      <c r="D71" s="53" t="str">
        <f ca="1">IFERROR(__xludf.DUMMYFUNCTION("""COMPUTED_VALUE"""),"BÌNH THẠNH")</f>
        <v>BÌNH THẠNH</v>
      </c>
      <c r="E71" s="54">
        <f ca="1">IFERROR(__xludf.DUMMYFUNCTION("""COMPUTED_VALUE"""),53)</f>
        <v>53</v>
      </c>
      <c r="F71" s="54">
        <f ca="1">IFERROR(__xludf.DUMMYFUNCTION("""COMPUTED_VALUE"""),53)</f>
        <v>53</v>
      </c>
      <c r="G71" s="51">
        <f t="shared" ca="1" si="9"/>
        <v>1</v>
      </c>
      <c r="H71" s="54">
        <f ca="1">IFERROR(__xludf.DUMMYFUNCTION("""COMPUTED_VALUE"""),53)</f>
        <v>53</v>
      </c>
      <c r="I71" s="51">
        <f t="shared" ca="1" si="10"/>
        <v>1</v>
      </c>
      <c r="J71" s="54">
        <f ca="1">IFERROR(__xludf.DUMMYFUNCTION("""COMPUTED_VALUE"""),53)</f>
        <v>53</v>
      </c>
      <c r="K71" s="51">
        <f t="shared" ca="1" si="11"/>
        <v>1</v>
      </c>
      <c r="L71" s="54">
        <f ca="1">IFERROR(__xludf.DUMMYFUNCTION("""COMPUTED_VALUE"""),31)</f>
        <v>31</v>
      </c>
      <c r="M71" s="51">
        <f t="shared" ca="1" si="12"/>
        <v>0.58490566037735847</v>
      </c>
      <c r="N71" s="54">
        <f ca="1">IFERROR(__xludf.DUMMYFUNCTION("""COMPUTED_VALUE"""),904)</f>
        <v>904</v>
      </c>
      <c r="O71" s="54">
        <f ca="1">IFERROR(__xludf.DUMMYFUNCTION("""COMPUTED_VALUE"""),588)</f>
        <v>588</v>
      </c>
      <c r="P71" s="51">
        <f t="shared" ca="1" si="13"/>
        <v>0.65044247787610621</v>
      </c>
      <c r="Q71" s="54">
        <f ca="1">IFERROR(__xludf.DUMMYFUNCTION("""COMPUTED_VALUE"""),365)</f>
        <v>365</v>
      </c>
      <c r="R71" s="51">
        <f t="shared" ca="1" si="14"/>
        <v>0.40376106194690264</v>
      </c>
      <c r="S71" s="53"/>
      <c r="T71" s="53"/>
      <c r="U71" s="51" t="str">
        <f t="shared" si="15"/>
        <v/>
      </c>
      <c r="V71" s="53"/>
      <c r="W71" s="51" t="str">
        <f t="shared" si="16"/>
        <v/>
      </c>
      <c r="X71" s="53"/>
      <c r="Y71" s="51" t="str">
        <f t="shared" si="17"/>
        <v/>
      </c>
      <c r="Z71" s="2"/>
      <c r="AA71" s="2"/>
      <c r="AB71" s="2"/>
      <c r="AC71" s="2"/>
      <c r="AD71" s="2"/>
      <c r="AE71" s="2"/>
    </row>
    <row r="72" spans="1:31" ht="12.75" x14ac:dyDescent="0.2">
      <c r="A72" s="53">
        <f ca="1">IFERROR(__xludf.DUMMYFUNCTION("""COMPUTED_VALUE"""),65)</f>
        <v>65</v>
      </c>
      <c r="B72" s="53" t="str">
        <f ca="1">IFERROR(__xludf.DUMMYFUNCTION("""COMPUTED_VALUE"""),"TH Lam Sơn")</f>
        <v>TH Lam Sơn</v>
      </c>
      <c r="C72" s="53" t="str">
        <f ca="1">IFERROR(__xludf.DUMMYFUNCTION("""COMPUTED_VALUE"""),"TH")</f>
        <v>TH</v>
      </c>
      <c r="D72" s="53" t="str">
        <f ca="1">IFERROR(__xludf.DUMMYFUNCTION("""COMPUTED_VALUE"""),"BÌNH THẠNH")</f>
        <v>BÌNH THẠNH</v>
      </c>
      <c r="E72" s="54">
        <f ca="1">IFERROR(__xludf.DUMMYFUNCTION("""COMPUTED_VALUE"""),56)</f>
        <v>56</v>
      </c>
      <c r="F72" s="54">
        <f ca="1">IFERROR(__xludf.DUMMYFUNCTION("""COMPUTED_VALUE"""),56)</f>
        <v>56</v>
      </c>
      <c r="G72" s="51">
        <f t="shared" ca="1" si="9"/>
        <v>1</v>
      </c>
      <c r="H72" s="54">
        <f ca="1">IFERROR(__xludf.DUMMYFUNCTION("""COMPUTED_VALUE"""),56)</f>
        <v>56</v>
      </c>
      <c r="I72" s="51">
        <f t="shared" ca="1" si="10"/>
        <v>1</v>
      </c>
      <c r="J72" s="54">
        <f ca="1">IFERROR(__xludf.DUMMYFUNCTION("""COMPUTED_VALUE"""),56)</f>
        <v>56</v>
      </c>
      <c r="K72" s="51">
        <f t="shared" ca="1" si="11"/>
        <v>1</v>
      </c>
      <c r="L72" s="54">
        <f ca="1">IFERROR(__xludf.DUMMYFUNCTION("""COMPUTED_VALUE"""),10)</f>
        <v>10</v>
      </c>
      <c r="M72" s="51">
        <f t="shared" ca="1" si="12"/>
        <v>0.17857142857142858</v>
      </c>
      <c r="N72" s="54">
        <f ca="1">IFERROR(__xludf.DUMMYFUNCTION("""COMPUTED_VALUE"""),829)</f>
        <v>829</v>
      </c>
      <c r="O72" s="54">
        <f ca="1">IFERROR(__xludf.DUMMYFUNCTION("""COMPUTED_VALUE"""),458)</f>
        <v>458</v>
      </c>
      <c r="P72" s="51">
        <f t="shared" ca="1" si="13"/>
        <v>0.55247285886610376</v>
      </c>
      <c r="Q72" s="54">
        <f ca="1">IFERROR(__xludf.DUMMYFUNCTION("""COMPUTED_VALUE"""),267)</f>
        <v>267</v>
      </c>
      <c r="R72" s="51">
        <f t="shared" ca="1" si="14"/>
        <v>0.32207478890229191</v>
      </c>
      <c r="S72" s="53"/>
      <c r="T72" s="53"/>
      <c r="U72" s="51" t="str">
        <f t="shared" si="15"/>
        <v/>
      </c>
      <c r="V72" s="53"/>
      <c r="W72" s="51" t="str">
        <f t="shared" si="16"/>
        <v/>
      </c>
      <c r="X72" s="53"/>
      <c r="Y72" s="51" t="str">
        <f t="shared" si="17"/>
        <v/>
      </c>
      <c r="Z72" s="2"/>
      <c r="AA72" s="2"/>
      <c r="AB72" s="2"/>
      <c r="AC72" s="2"/>
      <c r="AD72" s="2"/>
      <c r="AE72" s="2"/>
    </row>
    <row r="73" spans="1:31" ht="12.75" x14ac:dyDescent="0.2">
      <c r="A73" s="53">
        <f ca="1">IFERROR(__xludf.DUMMYFUNCTION("""COMPUTED_VALUE"""),66)</f>
        <v>66</v>
      </c>
      <c r="B73" s="53" t="str">
        <f ca="1">IFERROR(__xludf.DUMMYFUNCTION("""COMPUTED_VALUE"""),"TH Hà Huy Tập")</f>
        <v>TH Hà Huy Tập</v>
      </c>
      <c r="C73" s="53" t="str">
        <f ca="1">IFERROR(__xludf.DUMMYFUNCTION("""COMPUTED_VALUE"""),"TH")</f>
        <v>TH</v>
      </c>
      <c r="D73" s="53" t="str">
        <f ca="1">IFERROR(__xludf.DUMMYFUNCTION("""COMPUTED_VALUE"""),"BÌNH THẠNH")</f>
        <v>BÌNH THẠNH</v>
      </c>
      <c r="E73" s="54">
        <f ca="1">IFERROR(__xludf.DUMMYFUNCTION("""COMPUTED_VALUE"""),80)</f>
        <v>80</v>
      </c>
      <c r="F73" s="54">
        <f ca="1">IFERROR(__xludf.DUMMYFUNCTION("""COMPUTED_VALUE"""),80)</f>
        <v>80</v>
      </c>
      <c r="G73" s="51">
        <f t="shared" ca="1" si="9"/>
        <v>1</v>
      </c>
      <c r="H73" s="54">
        <f ca="1">IFERROR(__xludf.DUMMYFUNCTION("""COMPUTED_VALUE"""),80)</f>
        <v>80</v>
      </c>
      <c r="I73" s="51">
        <f t="shared" ca="1" si="10"/>
        <v>1</v>
      </c>
      <c r="J73" s="54">
        <f ca="1">IFERROR(__xludf.DUMMYFUNCTION("""COMPUTED_VALUE"""),69)</f>
        <v>69</v>
      </c>
      <c r="K73" s="51">
        <f t="shared" ca="1" si="11"/>
        <v>0.86250000000000004</v>
      </c>
      <c r="L73" s="54">
        <f ca="1">IFERROR(__xludf.DUMMYFUNCTION("""COMPUTED_VALUE"""),35)</f>
        <v>35</v>
      </c>
      <c r="M73" s="51">
        <f t="shared" ca="1" si="12"/>
        <v>0.4375</v>
      </c>
      <c r="N73" s="54">
        <f ca="1">IFERROR(__xludf.DUMMYFUNCTION("""COMPUTED_VALUE"""),1.447)</f>
        <v>1.4470000000000001</v>
      </c>
      <c r="O73" s="54">
        <f ca="1">IFERROR(__xludf.DUMMYFUNCTION("""COMPUTED_VALUE"""),576)</f>
        <v>576</v>
      </c>
      <c r="P73" s="51">
        <f t="shared" ca="1" si="13"/>
        <v>398.06496199032478</v>
      </c>
      <c r="Q73" s="54">
        <f ca="1">IFERROR(__xludf.DUMMYFUNCTION("""COMPUTED_VALUE"""),247)</f>
        <v>247</v>
      </c>
      <c r="R73" s="51">
        <f t="shared" ca="1" si="14"/>
        <v>170.69799585348997</v>
      </c>
      <c r="S73" s="53"/>
      <c r="T73" s="53"/>
      <c r="U73" s="51" t="str">
        <f t="shared" si="15"/>
        <v/>
      </c>
      <c r="V73" s="53"/>
      <c r="W73" s="51" t="str">
        <f t="shared" si="16"/>
        <v/>
      </c>
      <c r="X73" s="53"/>
      <c r="Y73" s="51" t="str">
        <f t="shared" si="17"/>
        <v/>
      </c>
      <c r="Z73" s="2"/>
      <c r="AA73" s="2"/>
      <c r="AB73" s="2"/>
      <c r="AC73" s="2"/>
      <c r="AD73" s="2"/>
      <c r="AE73" s="2"/>
    </row>
    <row r="74" spans="1:31" ht="12.75" x14ac:dyDescent="0.2">
      <c r="A74" s="53">
        <f ca="1">IFERROR(__xludf.DUMMYFUNCTION("""COMPUTED_VALUE"""),67)</f>
        <v>67</v>
      </c>
      <c r="B74" s="53"/>
      <c r="C74" s="53"/>
      <c r="D74" s="53" t="str">
        <f ca="1">IFERROR(__xludf.DUMMYFUNCTION("""COMPUTED_VALUE"""),"BÌNH THẠNH")</f>
        <v>BÌNH THẠNH</v>
      </c>
      <c r="E74" s="54">
        <f ca="1">IFERROR(__xludf.DUMMYFUNCTION("""COMPUTED_VALUE"""),28)</f>
        <v>28</v>
      </c>
      <c r="F74" s="54">
        <f ca="1">IFERROR(__xludf.DUMMYFUNCTION("""COMPUTED_VALUE"""),28)</f>
        <v>28</v>
      </c>
      <c r="G74" s="51">
        <f t="shared" ca="1" si="9"/>
        <v>1</v>
      </c>
      <c r="H74" s="54">
        <f ca="1">IFERROR(__xludf.DUMMYFUNCTION("""COMPUTED_VALUE"""),28)</f>
        <v>28</v>
      </c>
      <c r="I74" s="51">
        <f t="shared" ca="1" si="10"/>
        <v>1</v>
      </c>
      <c r="J74" s="54">
        <f ca="1">IFERROR(__xludf.DUMMYFUNCTION("""COMPUTED_VALUE"""),28)</f>
        <v>28</v>
      </c>
      <c r="K74" s="51">
        <f t="shared" ca="1" si="11"/>
        <v>1</v>
      </c>
      <c r="L74" s="54">
        <f ca="1">IFERROR(__xludf.DUMMYFUNCTION("""COMPUTED_VALUE"""),17)</f>
        <v>17</v>
      </c>
      <c r="M74" s="51">
        <f t="shared" ca="1" si="12"/>
        <v>0.6071428571428571</v>
      </c>
      <c r="N74" s="54">
        <f ca="1">IFERROR(__xludf.DUMMYFUNCTION("""COMPUTED_VALUE"""),436)</f>
        <v>436</v>
      </c>
      <c r="O74" s="54">
        <f ca="1">IFERROR(__xludf.DUMMYFUNCTION("""COMPUTED_VALUE"""),233)</f>
        <v>233</v>
      </c>
      <c r="P74" s="51">
        <f t="shared" ca="1" si="13"/>
        <v>0.5344036697247706</v>
      </c>
      <c r="Q74" s="54">
        <f ca="1">IFERROR(__xludf.DUMMYFUNCTION("""COMPUTED_VALUE"""),113)</f>
        <v>113</v>
      </c>
      <c r="R74" s="51">
        <f t="shared" ca="1" si="14"/>
        <v>0.25917431192660551</v>
      </c>
      <c r="S74" s="53"/>
      <c r="T74" s="53"/>
      <c r="U74" s="51" t="str">
        <f t="shared" si="15"/>
        <v/>
      </c>
      <c r="V74" s="53"/>
      <c r="W74" s="51" t="str">
        <f t="shared" si="16"/>
        <v/>
      </c>
      <c r="X74" s="53"/>
      <c r="Y74" s="51" t="str">
        <f t="shared" si="17"/>
        <v/>
      </c>
      <c r="Z74" s="2"/>
      <c r="AA74" s="2"/>
      <c r="AB74" s="2"/>
      <c r="AC74" s="2"/>
      <c r="AD74" s="2"/>
      <c r="AE74" s="2"/>
    </row>
    <row r="75" spans="1:31" ht="12.75" x14ac:dyDescent="0.2">
      <c r="A75" s="53">
        <f ca="1">IFERROR(__xludf.DUMMYFUNCTION("""COMPUTED_VALUE"""),68)</f>
        <v>68</v>
      </c>
      <c r="B75" s="53" t="str">
        <f ca="1">IFERROR(__xludf.DUMMYFUNCTION("""COMPUTED_VALUE"""),"TH Nguyễn Bá Ngọc")</f>
        <v>TH Nguyễn Bá Ngọc</v>
      </c>
      <c r="C75" s="53" t="str">
        <f ca="1">IFERROR(__xludf.DUMMYFUNCTION("""COMPUTED_VALUE"""),"TH")</f>
        <v>TH</v>
      </c>
      <c r="D75" s="53" t="str">
        <f ca="1">IFERROR(__xludf.DUMMYFUNCTION("""COMPUTED_VALUE"""),"BÌNH THẠNH")</f>
        <v>BÌNH THẠNH</v>
      </c>
      <c r="E75" s="54">
        <f ca="1">IFERROR(__xludf.DUMMYFUNCTION("""COMPUTED_VALUE"""),68)</f>
        <v>68</v>
      </c>
      <c r="F75" s="54">
        <f ca="1">IFERROR(__xludf.DUMMYFUNCTION("""COMPUTED_VALUE"""),68)</f>
        <v>68</v>
      </c>
      <c r="G75" s="51">
        <f t="shared" ca="1" si="9"/>
        <v>1</v>
      </c>
      <c r="H75" s="54">
        <f ca="1">IFERROR(__xludf.DUMMYFUNCTION("""COMPUTED_VALUE"""),68)</f>
        <v>68</v>
      </c>
      <c r="I75" s="51">
        <f t="shared" ca="1" si="10"/>
        <v>1</v>
      </c>
      <c r="J75" s="54">
        <f ca="1">IFERROR(__xludf.DUMMYFUNCTION("""COMPUTED_VALUE"""),65)</f>
        <v>65</v>
      </c>
      <c r="K75" s="51">
        <f t="shared" ca="1" si="11"/>
        <v>0.95588235294117652</v>
      </c>
      <c r="L75" s="54">
        <f ca="1">IFERROR(__xludf.DUMMYFUNCTION("""COMPUTED_VALUE"""),32)</f>
        <v>32</v>
      </c>
      <c r="M75" s="51">
        <f t="shared" ca="1" si="12"/>
        <v>0.47058823529411764</v>
      </c>
      <c r="N75" s="54">
        <f ca="1">IFERROR(__xludf.DUMMYFUNCTION("""COMPUTED_VALUE"""),941)</f>
        <v>941</v>
      </c>
      <c r="O75" s="54">
        <f ca="1">IFERROR(__xludf.DUMMYFUNCTION("""COMPUTED_VALUE"""),236)</f>
        <v>236</v>
      </c>
      <c r="P75" s="51">
        <f t="shared" ca="1" si="13"/>
        <v>0.25079702444208291</v>
      </c>
      <c r="Q75" s="54">
        <f ca="1">IFERROR(__xludf.DUMMYFUNCTION("""COMPUTED_VALUE"""),229)</f>
        <v>229</v>
      </c>
      <c r="R75" s="51">
        <f t="shared" ca="1" si="14"/>
        <v>0.24335812964930925</v>
      </c>
      <c r="S75" s="53"/>
      <c r="T75" s="53"/>
      <c r="U75" s="51" t="str">
        <f t="shared" si="15"/>
        <v/>
      </c>
      <c r="V75" s="53"/>
      <c r="W75" s="51" t="str">
        <f t="shared" si="16"/>
        <v/>
      </c>
      <c r="X75" s="53"/>
      <c r="Y75" s="51" t="str">
        <f t="shared" si="17"/>
        <v/>
      </c>
      <c r="Z75" s="2"/>
      <c r="AA75" s="2"/>
      <c r="AB75" s="2"/>
      <c r="AC75" s="2"/>
      <c r="AD75" s="2"/>
      <c r="AE75" s="2"/>
    </row>
    <row r="76" spans="1:31" ht="12.75" x14ac:dyDescent="0.2">
      <c r="A76" s="53">
        <f ca="1">IFERROR(__xludf.DUMMYFUNCTION("""COMPUTED_VALUE"""),69)</f>
        <v>69</v>
      </c>
      <c r="B76" s="53"/>
      <c r="C76" s="53"/>
      <c r="D76" s="53" t="str">
        <f ca="1">IFERROR(__xludf.DUMMYFUNCTION("""COMPUTED_VALUE"""),"BÌNH THẠNH")</f>
        <v>BÌNH THẠNH</v>
      </c>
      <c r="E76" s="54">
        <f ca="1">IFERROR(__xludf.DUMMYFUNCTION("""COMPUTED_VALUE"""),92)</f>
        <v>92</v>
      </c>
      <c r="F76" s="54">
        <f ca="1">IFERROR(__xludf.DUMMYFUNCTION("""COMPUTED_VALUE"""),92)</f>
        <v>92</v>
      </c>
      <c r="G76" s="51">
        <f t="shared" ca="1" si="9"/>
        <v>1</v>
      </c>
      <c r="H76" s="54">
        <f ca="1">IFERROR(__xludf.DUMMYFUNCTION("""COMPUTED_VALUE"""),92)</f>
        <v>92</v>
      </c>
      <c r="I76" s="51">
        <f t="shared" ca="1" si="10"/>
        <v>1</v>
      </c>
      <c r="J76" s="54">
        <f ca="1">IFERROR(__xludf.DUMMYFUNCTION("""COMPUTED_VALUE"""),92)</f>
        <v>92</v>
      </c>
      <c r="K76" s="51">
        <f t="shared" ca="1" si="11"/>
        <v>1</v>
      </c>
      <c r="L76" s="54">
        <f ca="1">IFERROR(__xludf.DUMMYFUNCTION("""COMPUTED_VALUE"""),29)</f>
        <v>29</v>
      </c>
      <c r="M76" s="51">
        <f t="shared" ca="1" si="12"/>
        <v>0.31521739130434784</v>
      </c>
      <c r="N76" s="54">
        <f ca="1">IFERROR(__xludf.DUMMYFUNCTION("""COMPUTED_VALUE"""),1.498)</f>
        <v>1.498</v>
      </c>
      <c r="O76" s="54">
        <f ca="1">IFERROR(__xludf.DUMMYFUNCTION("""COMPUTED_VALUE"""),529)</f>
        <v>529</v>
      </c>
      <c r="P76" s="51">
        <f t="shared" ca="1" si="13"/>
        <v>353.13751668891854</v>
      </c>
      <c r="Q76" s="54">
        <f ca="1">IFERROR(__xludf.DUMMYFUNCTION("""COMPUTED_VALUE"""),211)</f>
        <v>211</v>
      </c>
      <c r="R76" s="51">
        <f t="shared" ca="1" si="14"/>
        <v>140.85447263017357</v>
      </c>
      <c r="S76" s="53"/>
      <c r="T76" s="53"/>
      <c r="U76" s="51" t="str">
        <f t="shared" si="15"/>
        <v/>
      </c>
      <c r="V76" s="53"/>
      <c r="W76" s="51" t="str">
        <f t="shared" si="16"/>
        <v/>
      </c>
      <c r="X76" s="53"/>
      <c r="Y76" s="51" t="str">
        <f t="shared" si="17"/>
        <v/>
      </c>
      <c r="Z76" s="2"/>
      <c r="AA76" s="2"/>
      <c r="AB76" s="2"/>
      <c r="AC76" s="2"/>
      <c r="AD76" s="2"/>
      <c r="AE76" s="2"/>
    </row>
    <row r="77" spans="1:31" ht="12.75" x14ac:dyDescent="0.2">
      <c r="A77" s="53">
        <f ca="1">IFERROR(__xludf.DUMMYFUNCTION("""COMPUTED_VALUE"""),70)</f>
        <v>70</v>
      </c>
      <c r="B77" s="53" t="str">
        <f ca="1">IFERROR(__xludf.DUMMYFUNCTION("""COMPUTED_VALUE"""),"TH Phan Văn Trị")</f>
        <v>TH Phan Văn Trị</v>
      </c>
      <c r="C77" s="53" t="str">
        <f ca="1">IFERROR(__xludf.DUMMYFUNCTION("""COMPUTED_VALUE"""),"TH")</f>
        <v>TH</v>
      </c>
      <c r="D77" s="53" t="str">
        <f ca="1">IFERROR(__xludf.DUMMYFUNCTION("""COMPUTED_VALUE"""),"BÌNH THẠNH")</f>
        <v>BÌNH THẠNH</v>
      </c>
      <c r="E77" s="54">
        <f ca="1">IFERROR(__xludf.DUMMYFUNCTION("""COMPUTED_VALUE"""),36)</f>
        <v>36</v>
      </c>
      <c r="F77" s="54">
        <f ca="1">IFERROR(__xludf.DUMMYFUNCTION("""COMPUTED_VALUE"""),36)</f>
        <v>36</v>
      </c>
      <c r="G77" s="51">
        <f t="shared" ca="1" si="9"/>
        <v>1</v>
      </c>
      <c r="H77" s="54">
        <f ca="1">IFERROR(__xludf.DUMMYFUNCTION("""COMPUTED_VALUE"""),35)</f>
        <v>35</v>
      </c>
      <c r="I77" s="51">
        <f t="shared" ca="1" si="10"/>
        <v>0.97222222222222221</v>
      </c>
      <c r="J77" s="54">
        <f ca="1">IFERROR(__xludf.DUMMYFUNCTION("""COMPUTED_VALUE"""),25)</f>
        <v>25</v>
      </c>
      <c r="K77" s="51">
        <f t="shared" ca="1" si="11"/>
        <v>0.69444444444444442</v>
      </c>
      <c r="L77" s="54">
        <f ca="1">IFERROR(__xludf.DUMMYFUNCTION("""COMPUTED_VALUE"""),3)</f>
        <v>3</v>
      </c>
      <c r="M77" s="51">
        <f t="shared" ca="1" si="12"/>
        <v>8.3333333333333329E-2</v>
      </c>
      <c r="N77" s="54">
        <f ca="1">IFERROR(__xludf.DUMMYFUNCTION("""COMPUTED_VALUE"""),652)</f>
        <v>652</v>
      </c>
      <c r="O77" s="54">
        <f ca="1">IFERROR(__xludf.DUMMYFUNCTION("""COMPUTED_VALUE"""),294)</f>
        <v>294</v>
      </c>
      <c r="P77" s="51">
        <f t="shared" ca="1" si="13"/>
        <v>0.45092024539877301</v>
      </c>
      <c r="Q77" s="54">
        <f ca="1">IFERROR(__xludf.DUMMYFUNCTION("""COMPUTED_VALUE"""),173)</f>
        <v>173</v>
      </c>
      <c r="R77" s="51">
        <f t="shared" ca="1" si="14"/>
        <v>0.26533742331288346</v>
      </c>
      <c r="S77" s="53"/>
      <c r="T77" s="53"/>
      <c r="U77" s="51" t="str">
        <f t="shared" si="15"/>
        <v/>
      </c>
      <c r="V77" s="53"/>
      <c r="W77" s="51" t="str">
        <f t="shared" si="16"/>
        <v/>
      </c>
      <c r="X77" s="53"/>
      <c r="Y77" s="51" t="str">
        <f t="shared" si="17"/>
        <v/>
      </c>
      <c r="Z77" s="2"/>
      <c r="AA77" s="2"/>
      <c r="AB77" s="2"/>
      <c r="AC77" s="2"/>
      <c r="AD77" s="2"/>
      <c r="AE77" s="2"/>
    </row>
    <row r="78" spans="1:31" ht="12.75" x14ac:dyDescent="0.2">
      <c r="A78" s="53">
        <f ca="1">IFERROR(__xludf.DUMMYFUNCTION("""COMPUTED_VALUE"""),71)</f>
        <v>71</v>
      </c>
      <c r="B78" s="53" t="str">
        <f ca="1">IFERROR(__xludf.DUMMYFUNCTION("""COMPUTED_VALUE"""),"TH Bình Hoà")</f>
        <v>TH Bình Hoà</v>
      </c>
      <c r="C78" s="53" t="str">
        <f ca="1">IFERROR(__xludf.DUMMYFUNCTION("""COMPUTED_VALUE"""),"TH")</f>
        <v>TH</v>
      </c>
      <c r="D78" s="53" t="str">
        <f ca="1">IFERROR(__xludf.DUMMYFUNCTION("""COMPUTED_VALUE"""),"BÌNH THẠNH")</f>
        <v>BÌNH THẠNH</v>
      </c>
      <c r="E78" s="54">
        <f ca="1">IFERROR(__xludf.DUMMYFUNCTION("""COMPUTED_VALUE"""),54)</f>
        <v>54</v>
      </c>
      <c r="F78" s="54">
        <f ca="1">IFERROR(__xludf.DUMMYFUNCTION("""COMPUTED_VALUE"""),54)</f>
        <v>54</v>
      </c>
      <c r="G78" s="51">
        <f t="shared" ca="1" si="9"/>
        <v>1</v>
      </c>
      <c r="H78" s="54">
        <f ca="1">IFERROR(__xludf.DUMMYFUNCTION("""COMPUTED_VALUE"""),54)</f>
        <v>54</v>
      </c>
      <c r="I78" s="51">
        <f t="shared" ca="1" si="10"/>
        <v>1</v>
      </c>
      <c r="J78" s="54">
        <f ca="1">IFERROR(__xludf.DUMMYFUNCTION("""COMPUTED_VALUE"""),54)</f>
        <v>54</v>
      </c>
      <c r="K78" s="51">
        <f t="shared" ca="1" si="11"/>
        <v>1</v>
      </c>
      <c r="L78" s="54">
        <f ca="1">IFERROR(__xludf.DUMMYFUNCTION("""COMPUTED_VALUE"""),20)</f>
        <v>20</v>
      </c>
      <c r="M78" s="51">
        <f t="shared" ca="1" si="12"/>
        <v>0.37037037037037035</v>
      </c>
      <c r="N78" s="54">
        <f ca="1">IFERROR(__xludf.DUMMYFUNCTION("""COMPUTED_VALUE"""),1.569)</f>
        <v>1.569</v>
      </c>
      <c r="O78" s="54">
        <f ca="1">IFERROR(__xludf.DUMMYFUNCTION("""COMPUTED_VALUE"""),610)</f>
        <v>610</v>
      </c>
      <c r="P78" s="51">
        <f t="shared" ca="1" si="13"/>
        <v>388.78266411727213</v>
      </c>
      <c r="Q78" s="54">
        <f ca="1">IFERROR(__xludf.DUMMYFUNCTION("""COMPUTED_VALUE"""),287)</f>
        <v>287</v>
      </c>
      <c r="R78" s="51">
        <f t="shared" ca="1" si="14"/>
        <v>182.91905672402805</v>
      </c>
      <c r="S78" s="53"/>
      <c r="T78" s="53"/>
      <c r="U78" s="51" t="str">
        <f t="shared" si="15"/>
        <v/>
      </c>
      <c r="V78" s="53"/>
      <c r="W78" s="51" t="str">
        <f t="shared" si="16"/>
        <v/>
      </c>
      <c r="X78" s="53"/>
      <c r="Y78" s="51" t="str">
        <f t="shared" si="17"/>
        <v/>
      </c>
      <c r="Z78" s="2"/>
      <c r="AA78" s="2"/>
      <c r="AB78" s="2"/>
      <c r="AC78" s="2"/>
      <c r="AD78" s="2"/>
      <c r="AE78" s="2"/>
    </row>
    <row r="79" spans="1:31" ht="12.75" x14ac:dyDescent="0.2">
      <c r="A79" s="53">
        <f ca="1">IFERROR(__xludf.DUMMYFUNCTION("""COMPUTED_VALUE"""),72)</f>
        <v>72</v>
      </c>
      <c r="B79" s="53" t="str">
        <f ca="1">IFERROR(__xludf.DUMMYFUNCTION("""COMPUTED_VALUE"""),"TH Trần Quang Vinh")</f>
        <v>TH Trần Quang Vinh</v>
      </c>
      <c r="C79" s="53" t="str">
        <f ca="1">IFERROR(__xludf.DUMMYFUNCTION("""COMPUTED_VALUE"""),"TH")</f>
        <v>TH</v>
      </c>
      <c r="D79" s="53" t="str">
        <f ca="1">IFERROR(__xludf.DUMMYFUNCTION("""COMPUTED_VALUE"""),"BÌNH THẠNH")</f>
        <v>BÌNH THẠNH</v>
      </c>
      <c r="E79" s="54">
        <f ca="1">IFERROR(__xludf.DUMMYFUNCTION("""COMPUTED_VALUE"""),47)</f>
        <v>47</v>
      </c>
      <c r="F79" s="54">
        <f ca="1">IFERROR(__xludf.DUMMYFUNCTION("""COMPUTED_VALUE"""),47)</f>
        <v>47</v>
      </c>
      <c r="G79" s="54"/>
      <c r="H79" s="54">
        <f ca="1">IFERROR(__xludf.DUMMYFUNCTION("""COMPUTED_VALUE"""),47)</f>
        <v>47</v>
      </c>
      <c r="I79" s="54"/>
      <c r="J79" s="54">
        <f ca="1">IFERROR(__xludf.DUMMYFUNCTION("""COMPUTED_VALUE"""),47)</f>
        <v>47</v>
      </c>
      <c r="K79" s="54"/>
      <c r="L79" s="54">
        <f ca="1">IFERROR(__xludf.DUMMYFUNCTION("""COMPUTED_VALUE"""),28)</f>
        <v>28</v>
      </c>
      <c r="M79" s="54"/>
      <c r="N79" s="54">
        <f ca="1">IFERROR(__xludf.DUMMYFUNCTION("""COMPUTED_VALUE"""),785)</f>
        <v>785</v>
      </c>
      <c r="O79" s="54">
        <f ca="1">IFERROR(__xludf.DUMMYFUNCTION("""COMPUTED_VALUE"""),467)</f>
        <v>467</v>
      </c>
      <c r="P79" s="54"/>
      <c r="Q79" s="54">
        <f ca="1">IFERROR(__xludf.DUMMYFUNCTION("""COMPUTED_VALUE"""),236)</f>
        <v>236</v>
      </c>
      <c r="R79" s="54"/>
      <c r="S79" s="53"/>
      <c r="T79" s="53"/>
      <c r="U79" s="53"/>
      <c r="V79" s="53"/>
      <c r="W79" s="53"/>
      <c r="X79" s="53"/>
      <c r="Y79" s="53"/>
      <c r="Z79" s="2"/>
      <c r="AA79" s="2"/>
      <c r="AB79" s="2"/>
      <c r="AC79" s="2"/>
      <c r="AD79" s="2"/>
      <c r="AE79" s="2"/>
    </row>
    <row r="80" spans="1:31" ht="12.75" x14ac:dyDescent="0.2">
      <c r="A80" s="53">
        <f ca="1">IFERROR(__xludf.DUMMYFUNCTION("""COMPUTED_VALUE"""),73)</f>
        <v>73</v>
      </c>
      <c r="B80" s="53" t="str">
        <f ca="1">IFERROR(__xludf.DUMMYFUNCTION("""COMPUTED_VALUE"""),"TH Bình Lợi Trung")</f>
        <v>TH Bình Lợi Trung</v>
      </c>
      <c r="C80" s="53" t="str">
        <f ca="1">IFERROR(__xludf.DUMMYFUNCTION("""COMPUTED_VALUE"""),"TH")</f>
        <v>TH</v>
      </c>
      <c r="D80" s="53" t="str">
        <f ca="1">IFERROR(__xludf.DUMMYFUNCTION("""COMPUTED_VALUE"""),"BÌNH THẠNH")</f>
        <v>BÌNH THẠNH</v>
      </c>
      <c r="E80" s="54">
        <f ca="1">IFERROR(__xludf.DUMMYFUNCTION("""COMPUTED_VALUE"""),46)</f>
        <v>46</v>
      </c>
      <c r="F80" s="54">
        <f ca="1">IFERROR(__xludf.DUMMYFUNCTION("""COMPUTED_VALUE"""),46)</f>
        <v>46</v>
      </c>
      <c r="G80" s="54"/>
      <c r="H80" s="54">
        <f ca="1">IFERROR(__xludf.DUMMYFUNCTION("""COMPUTED_VALUE"""),45)</f>
        <v>45</v>
      </c>
      <c r="I80" s="54"/>
      <c r="J80" s="54">
        <f ca="1">IFERROR(__xludf.DUMMYFUNCTION("""COMPUTED_VALUE"""),43)</f>
        <v>43</v>
      </c>
      <c r="K80" s="54"/>
      <c r="L80" s="54">
        <f ca="1">IFERROR(__xludf.DUMMYFUNCTION("""COMPUTED_VALUE"""),21)</f>
        <v>21</v>
      </c>
      <c r="M80" s="54"/>
      <c r="N80" s="54">
        <f ca="1">IFERROR(__xludf.DUMMYFUNCTION("""COMPUTED_VALUE"""),1.216)</f>
        <v>1.216</v>
      </c>
      <c r="O80" s="54">
        <f ca="1">IFERROR(__xludf.DUMMYFUNCTION("""COMPUTED_VALUE"""),385)</f>
        <v>385</v>
      </c>
      <c r="P80" s="54"/>
      <c r="Q80" s="54">
        <f ca="1">IFERROR(__xludf.DUMMYFUNCTION("""COMPUTED_VALUE"""),457)</f>
        <v>457</v>
      </c>
      <c r="R80" s="54"/>
      <c r="S80" s="53"/>
      <c r="T80" s="53"/>
      <c r="U80" s="53"/>
      <c r="V80" s="53"/>
      <c r="W80" s="53"/>
      <c r="X80" s="53"/>
      <c r="Y80" s="53"/>
      <c r="Z80" s="2"/>
      <c r="AA80" s="2"/>
      <c r="AB80" s="2"/>
      <c r="AC80" s="2"/>
      <c r="AD80" s="2"/>
      <c r="AE80" s="2"/>
    </row>
    <row r="81" spans="1:31" ht="12.75" x14ac:dyDescent="0.2">
      <c r="A81" s="53">
        <f ca="1">IFERROR(__xludf.DUMMYFUNCTION("""COMPUTED_VALUE"""),74)</f>
        <v>74</v>
      </c>
      <c r="B81" s="53" t="str">
        <f ca="1">IFERROR(__xludf.DUMMYFUNCTION("""COMPUTED_VALUE"""),"TH Nguyễn Đình Chiểu")</f>
        <v>TH Nguyễn Đình Chiểu</v>
      </c>
      <c r="C81" s="53" t="str">
        <f ca="1">IFERROR(__xludf.DUMMYFUNCTION("""COMPUTED_VALUE"""),"TH")</f>
        <v>TH</v>
      </c>
      <c r="D81" s="53" t="str">
        <f ca="1">IFERROR(__xludf.DUMMYFUNCTION("""COMPUTED_VALUE"""),"BÌNH THẠNH")</f>
        <v>BÌNH THẠNH</v>
      </c>
      <c r="E81" s="54">
        <f ca="1">IFERROR(__xludf.DUMMYFUNCTION("""COMPUTED_VALUE"""),147)</f>
        <v>147</v>
      </c>
      <c r="F81" s="54">
        <f ca="1">IFERROR(__xludf.DUMMYFUNCTION("""COMPUTED_VALUE"""),147)</f>
        <v>147</v>
      </c>
      <c r="G81" s="54"/>
      <c r="H81" s="54">
        <f ca="1">IFERROR(__xludf.DUMMYFUNCTION("""COMPUTED_VALUE"""),147)</f>
        <v>147</v>
      </c>
      <c r="I81" s="54"/>
      <c r="J81" s="54">
        <f ca="1">IFERROR(__xludf.DUMMYFUNCTION("""COMPUTED_VALUE"""),140)</f>
        <v>140</v>
      </c>
      <c r="K81" s="54"/>
      <c r="L81" s="54">
        <f ca="1">IFERROR(__xludf.DUMMYFUNCTION("""COMPUTED_VALUE"""),49)</f>
        <v>49</v>
      </c>
      <c r="M81" s="54"/>
      <c r="N81" s="54">
        <f ca="1">IFERROR(__xludf.DUMMYFUNCTION("""COMPUTED_VALUE"""),2.424)</f>
        <v>2.4239999999999999</v>
      </c>
      <c r="O81" s="54">
        <f ca="1">IFERROR(__xludf.DUMMYFUNCTION("""COMPUTED_VALUE"""),1033)</f>
        <v>1033</v>
      </c>
      <c r="P81" s="54"/>
      <c r="Q81" s="54">
        <f ca="1">IFERROR(__xludf.DUMMYFUNCTION("""COMPUTED_VALUE"""),539)</f>
        <v>539</v>
      </c>
      <c r="R81" s="54"/>
      <c r="S81" s="53"/>
      <c r="T81" s="53"/>
      <c r="U81" s="53"/>
      <c r="V81" s="53"/>
      <c r="W81" s="53"/>
      <c r="X81" s="53"/>
      <c r="Y81" s="53"/>
      <c r="Z81" s="2"/>
      <c r="AA81" s="2"/>
      <c r="AB81" s="2"/>
      <c r="AC81" s="2"/>
      <c r="AD81" s="2"/>
      <c r="AE81" s="2"/>
    </row>
    <row r="82" spans="1:31" ht="12.75" x14ac:dyDescent="0.2">
      <c r="A82" s="53">
        <f ca="1">IFERROR(__xludf.DUMMYFUNCTION("""COMPUTED_VALUE"""),75)</f>
        <v>75</v>
      </c>
      <c r="B82" s="53" t="str">
        <f ca="1">IFERROR(__xludf.DUMMYFUNCTION("""COMPUTED_VALUE"""),"TH Lê Đình Chinh")</f>
        <v>TH Lê Đình Chinh</v>
      </c>
      <c r="C82" s="53" t="str">
        <f ca="1">IFERROR(__xludf.DUMMYFUNCTION("""COMPUTED_VALUE"""),"TH")</f>
        <v>TH</v>
      </c>
      <c r="D82" s="53" t="str">
        <f ca="1">IFERROR(__xludf.DUMMYFUNCTION("""COMPUTED_VALUE"""),"BÌNH THẠNH")</f>
        <v>BÌNH THẠNH</v>
      </c>
      <c r="E82" s="54">
        <f ca="1">IFERROR(__xludf.DUMMYFUNCTION("""COMPUTED_VALUE"""),42)</f>
        <v>42</v>
      </c>
      <c r="F82" s="54">
        <f ca="1">IFERROR(__xludf.DUMMYFUNCTION("""COMPUTED_VALUE"""),42)</f>
        <v>42</v>
      </c>
      <c r="G82" s="54"/>
      <c r="H82" s="54">
        <f ca="1">IFERROR(__xludf.DUMMYFUNCTION("""COMPUTED_VALUE"""),42)</f>
        <v>42</v>
      </c>
      <c r="I82" s="54"/>
      <c r="J82" s="54">
        <f ca="1">IFERROR(__xludf.DUMMYFUNCTION("""COMPUTED_VALUE"""),42)</f>
        <v>42</v>
      </c>
      <c r="K82" s="54"/>
      <c r="L82" s="54">
        <f ca="1">IFERROR(__xludf.DUMMYFUNCTION("""COMPUTED_VALUE"""),11)</f>
        <v>11</v>
      </c>
      <c r="M82" s="54"/>
      <c r="N82" s="54">
        <f ca="1">IFERROR(__xludf.DUMMYFUNCTION("""COMPUTED_VALUE"""),553)</f>
        <v>553</v>
      </c>
      <c r="O82" s="54">
        <f ca="1">IFERROR(__xludf.DUMMYFUNCTION("""COMPUTED_VALUE"""),138)</f>
        <v>138</v>
      </c>
      <c r="P82" s="54"/>
      <c r="Q82" s="54">
        <f ca="1">IFERROR(__xludf.DUMMYFUNCTION("""COMPUTED_VALUE"""),126)</f>
        <v>126</v>
      </c>
      <c r="R82" s="54"/>
      <c r="S82" s="53"/>
      <c r="T82" s="53"/>
      <c r="U82" s="53"/>
      <c r="V82" s="53"/>
      <c r="W82" s="53"/>
      <c r="X82" s="53"/>
      <c r="Y82" s="53"/>
      <c r="Z82" s="2"/>
      <c r="AA82" s="2"/>
      <c r="AB82" s="2"/>
      <c r="AC82" s="2"/>
      <c r="AD82" s="2"/>
      <c r="AE82" s="2"/>
    </row>
    <row r="83" spans="1:31" ht="12.75" x14ac:dyDescent="0.2">
      <c r="A83" s="53">
        <f ca="1">IFERROR(__xludf.DUMMYFUNCTION("""COMPUTED_VALUE"""),76)</f>
        <v>76</v>
      </c>
      <c r="B83" s="53" t="str">
        <f ca="1">IFERROR(__xludf.DUMMYFUNCTION("""COMPUTED_VALUE"""),"TH Hồng Hà")</f>
        <v>TH Hồng Hà</v>
      </c>
      <c r="C83" s="53" t="str">
        <f ca="1">IFERROR(__xludf.DUMMYFUNCTION("""COMPUTED_VALUE"""),"TH")</f>
        <v>TH</v>
      </c>
      <c r="D83" s="53" t="str">
        <f ca="1">IFERROR(__xludf.DUMMYFUNCTION("""COMPUTED_VALUE"""),"BÌNH THẠNH")</f>
        <v>BÌNH THẠNH</v>
      </c>
      <c r="E83" s="54">
        <f ca="1">IFERROR(__xludf.DUMMYFUNCTION("""COMPUTED_VALUE"""),152)</f>
        <v>152</v>
      </c>
      <c r="F83" s="54">
        <f ca="1">IFERROR(__xludf.DUMMYFUNCTION("""COMPUTED_VALUE"""),152)</f>
        <v>152</v>
      </c>
      <c r="G83" s="54"/>
      <c r="H83" s="54">
        <f ca="1">IFERROR(__xludf.DUMMYFUNCTION("""COMPUTED_VALUE"""),152)</f>
        <v>152</v>
      </c>
      <c r="I83" s="54"/>
      <c r="J83" s="54">
        <f ca="1">IFERROR(__xludf.DUMMYFUNCTION("""COMPUTED_VALUE"""),150)</f>
        <v>150</v>
      </c>
      <c r="K83" s="54"/>
      <c r="L83" s="54">
        <f ca="1">IFERROR(__xludf.DUMMYFUNCTION("""COMPUTED_VALUE"""),30)</f>
        <v>30</v>
      </c>
      <c r="M83" s="54"/>
      <c r="N83" s="54">
        <f ca="1">IFERROR(__xludf.DUMMYFUNCTION("""COMPUTED_VALUE"""),2.277)</f>
        <v>2.2770000000000001</v>
      </c>
      <c r="O83" s="54">
        <f ca="1">IFERROR(__xludf.DUMMYFUNCTION("""COMPUTED_VALUE"""),762)</f>
        <v>762</v>
      </c>
      <c r="P83" s="54"/>
      <c r="Q83" s="54">
        <f ca="1">IFERROR(__xludf.DUMMYFUNCTION("""COMPUTED_VALUE"""),372)</f>
        <v>372</v>
      </c>
      <c r="R83" s="54"/>
      <c r="S83" s="53"/>
      <c r="T83" s="53"/>
      <c r="U83" s="53"/>
      <c r="V83" s="53"/>
      <c r="W83" s="53"/>
      <c r="X83" s="53"/>
      <c r="Y83" s="53"/>
      <c r="Z83" s="2"/>
      <c r="AA83" s="2"/>
      <c r="AB83" s="2"/>
      <c r="AC83" s="2"/>
      <c r="AD83" s="2"/>
      <c r="AE83" s="2"/>
    </row>
    <row r="84" spans="1:31" ht="12.75" x14ac:dyDescent="0.2">
      <c r="A84" s="53">
        <f ca="1">IFERROR(__xludf.DUMMYFUNCTION("""COMPUTED_VALUE"""),77)</f>
        <v>77</v>
      </c>
      <c r="B84" s="53" t="str">
        <f ca="1">IFERROR(__xludf.DUMMYFUNCTION("""COMPUTED_VALUE"""),"TH Phù Đổng")</f>
        <v>TH Phù Đổng</v>
      </c>
      <c r="C84" s="53" t="str">
        <f ca="1">IFERROR(__xludf.DUMMYFUNCTION("""COMPUTED_VALUE"""),"TH")</f>
        <v>TH</v>
      </c>
      <c r="D84" s="53" t="str">
        <f ca="1">IFERROR(__xludf.DUMMYFUNCTION("""COMPUTED_VALUE"""),"BÌNH THẠNH")</f>
        <v>BÌNH THẠNH</v>
      </c>
      <c r="E84" s="54">
        <f ca="1">IFERROR(__xludf.DUMMYFUNCTION("""COMPUTED_VALUE"""),70)</f>
        <v>70</v>
      </c>
      <c r="F84" s="54">
        <f ca="1">IFERROR(__xludf.DUMMYFUNCTION("""COMPUTED_VALUE"""),70)</f>
        <v>70</v>
      </c>
      <c r="G84" s="54"/>
      <c r="H84" s="54">
        <f ca="1">IFERROR(__xludf.DUMMYFUNCTION("""COMPUTED_VALUE"""),70)</f>
        <v>70</v>
      </c>
      <c r="I84" s="54"/>
      <c r="J84" s="54">
        <f ca="1">IFERROR(__xludf.DUMMYFUNCTION("""COMPUTED_VALUE"""),70)</f>
        <v>70</v>
      </c>
      <c r="K84" s="54"/>
      <c r="L84" s="54">
        <f ca="1">IFERROR(__xludf.DUMMYFUNCTION("""COMPUTED_VALUE"""),55)</f>
        <v>55</v>
      </c>
      <c r="M84" s="54"/>
      <c r="N84" s="54">
        <f ca="1">IFERROR(__xludf.DUMMYFUNCTION("""COMPUTED_VALUE"""),930)</f>
        <v>930</v>
      </c>
      <c r="O84" s="54">
        <f ca="1">IFERROR(__xludf.DUMMYFUNCTION("""COMPUTED_VALUE"""),651)</f>
        <v>651</v>
      </c>
      <c r="P84" s="54"/>
      <c r="Q84" s="54">
        <f ca="1">IFERROR(__xludf.DUMMYFUNCTION("""COMPUTED_VALUE"""),240)</f>
        <v>240</v>
      </c>
      <c r="R84" s="54"/>
      <c r="S84" s="53"/>
      <c r="T84" s="53"/>
      <c r="U84" s="53"/>
      <c r="V84" s="53"/>
      <c r="W84" s="53"/>
      <c r="X84" s="53"/>
      <c r="Y84" s="53"/>
      <c r="Z84" s="2"/>
      <c r="AA84" s="2"/>
      <c r="AB84" s="2"/>
      <c r="AC84" s="2"/>
      <c r="AD84" s="2"/>
      <c r="AE84" s="2"/>
    </row>
    <row r="85" spans="1:31" ht="12.75" x14ac:dyDescent="0.2">
      <c r="A85" s="53">
        <f ca="1">IFERROR(__xludf.DUMMYFUNCTION("""COMPUTED_VALUE"""),78)</f>
        <v>78</v>
      </c>
      <c r="B85" s="53" t="str">
        <f ca="1">IFERROR(__xludf.DUMMYFUNCTION("""COMPUTED_VALUE"""),"TH Thạnh Mỹ Tây")</f>
        <v>TH Thạnh Mỹ Tây</v>
      </c>
      <c r="C85" s="53" t="str">
        <f ca="1">IFERROR(__xludf.DUMMYFUNCTION("""COMPUTED_VALUE"""),"TH")</f>
        <v>TH</v>
      </c>
      <c r="D85" s="53" t="str">
        <f ca="1">IFERROR(__xludf.DUMMYFUNCTION("""COMPUTED_VALUE"""),"BÌNH THẠNH")</f>
        <v>BÌNH THẠNH</v>
      </c>
      <c r="E85" s="54">
        <f ca="1">IFERROR(__xludf.DUMMYFUNCTION("""COMPUTED_VALUE"""),44)</f>
        <v>44</v>
      </c>
      <c r="F85" s="54">
        <f ca="1">IFERROR(__xludf.DUMMYFUNCTION("""COMPUTED_VALUE"""),44)</f>
        <v>44</v>
      </c>
      <c r="G85" s="54"/>
      <c r="H85" s="54">
        <f ca="1">IFERROR(__xludf.DUMMYFUNCTION("""COMPUTED_VALUE"""),44)</f>
        <v>44</v>
      </c>
      <c r="I85" s="54"/>
      <c r="J85" s="54">
        <f ca="1">IFERROR(__xludf.DUMMYFUNCTION("""COMPUTED_VALUE"""),44)</f>
        <v>44</v>
      </c>
      <c r="K85" s="54"/>
      <c r="L85" s="54">
        <f ca="1">IFERROR(__xludf.DUMMYFUNCTION("""COMPUTED_VALUE"""),13)</f>
        <v>13</v>
      </c>
      <c r="M85" s="54"/>
      <c r="N85" s="54">
        <f ca="1">IFERROR(__xludf.DUMMYFUNCTION("""COMPUTED_VALUE"""),785)</f>
        <v>785</v>
      </c>
      <c r="O85" s="54">
        <f ca="1">IFERROR(__xludf.DUMMYFUNCTION("""COMPUTED_VALUE"""),444)</f>
        <v>444</v>
      </c>
      <c r="P85" s="54"/>
      <c r="Q85" s="54">
        <f ca="1">IFERROR(__xludf.DUMMYFUNCTION("""COMPUTED_VALUE"""),201)</f>
        <v>201</v>
      </c>
      <c r="R85" s="54"/>
      <c r="S85" s="53"/>
      <c r="T85" s="53"/>
      <c r="U85" s="53"/>
      <c r="V85" s="53"/>
      <c r="W85" s="53"/>
      <c r="X85" s="53"/>
      <c r="Y85" s="53"/>
      <c r="Z85" s="2"/>
      <c r="AA85" s="2"/>
      <c r="AB85" s="2"/>
      <c r="AC85" s="2"/>
      <c r="AD85" s="2"/>
      <c r="AE85" s="2"/>
    </row>
    <row r="86" spans="1:31" ht="12.75" x14ac:dyDescent="0.2">
      <c r="A86" s="53">
        <f ca="1">IFERROR(__xludf.DUMMYFUNCTION("""COMPUTED_VALUE"""),79)</f>
        <v>79</v>
      </c>
      <c r="B86" s="53" t="str">
        <f ca="1">IFERROR(__xludf.DUMMYFUNCTION("""COMPUTED_VALUE"""),"TH Nguyễn 
 Trọng Tuyển")</f>
        <v>TH Nguyễn 
 Trọng Tuyển</v>
      </c>
      <c r="C86" s="53" t="str">
        <f ca="1">IFERROR(__xludf.DUMMYFUNCTION("""COMPUTED_VALUE"""),"TH")</f>
        <v>TH</v>
      </c>
      <c r="D86" s="53" t="str">
        <f ca="1">IFERROR(__xludf.DUMMYFUNCTION("""COMPUTED_VALUE"""),"BÌNH THẠNH")</f>
        <v>BÌNH THẠNH</v>
      </c>
      <c r="E86" s="54">
        <f ca="1">IFERROR(__xludf.DUMMYFUNCTION("""COMPUTED_VALUE"""),36)</f>
        <v>36</v>
      </c>
      <c r="F86" s="54">
        <f ca="1">IFERROR(__xludf.DUMMYFUNCTION("""COMPUTED_VALUE"""),36)</f>
        <v>36</v>
      </c>
      <c r="G86" s="54"/>
      <c r="H86" s="54">
        <f ca="1">IFERROR(__xludf.DUMMYFUNCTION("""COMPUTED_VALUE"""),36)</f>
        <v>36</v>
      </c>
      <c r="I86" s="54"/>
      <c r="J86" s="54">
        <f ca="1">IFERROR(__xludf.DUMMYFUNCTION("""COMPUTED_VALUE"""),28)</f>
        <v>28</v>
      </c>
      <c r="K86" s="54"/>
      <c r="L86" s="54">
        <f ca="1">IFERROR(__xludf.DUMMYFUNCTION("""COMPUTED_VALUE"""),9)</f>
        <v>9</v>
      </c>
      <c r="M86" s="54"/>
      <c r="N86" s="54">
        <f ca="1">IFERROR(__xludf.DUMMYFUNCTION("""COMPUTED_VALUE"""),735)</f>
        <v>735</v>
      </c>
      <c r="O86" s="54">
        <f ca="1">IFERROR(__xludf.DUMMYFUNCTION("""COMPUTED_VALUE"""),421)</f>
        <v>421</v>
      </c>
      <c r="P86" s="54"/>
      <c r="Q86" s="54">
        <f ca="1">IFERROR(__xludf.DUMMYFUNCTION("""COMPUTED_VALUE"""),204)</f>
        <v>204</v>
      </c>
      <c r="R86" s="54"/>
      <c r="S86" s="53"/>
      <c r="T86" s="53"/>
      <c r="U86" s="53"/>
      <c r="V86" s="53"/>
      <c r="W86" s="53"/>
      <c r="X86" s="53"/>
      <c r="Y86" s="53"/>
      <c r="Z86" s="2"/>
      <c r="AA86" s="2"/>
      <c r="AB86" s="2"/>
      <c r="AC86" s="2"/>
      <c r="AD86" s="2"/>
      <c r="AE86" s="2"/>
    </row>
    <row r="87" spans="1:31" ht="12.75" x14ac:dyDescent="0.2">
      <c r="A87" s="53">
        <f ca="1">IFERROR(__xludf.DUMMYFUNCTION("""COMPUTED_VALUE"""),80)</f>
        <v>80</v>
      </c>
      <c r="B87" s="53" t="str">
        <f ca="1">IFERROR(__xludf.DUMMYFUNCTION("""COMPUTED_VALUE"""),"TH Cửu Long")</f>
        <v>TH Cửu Long</v>
      </c>
      <c r="C87" s="53" t="str">
        <f ca="1">IFERROR(__xludf.DUMMYFUNCTION("""COMPUTED_VALUE"""),"TH")</f>
        <v>TH</v>
      </c>
      <c r="D87" s="53" t="str">
        <f ca="1">IFERROR(__xludf.DUMMYFUNCTION("""COMPUTED_VALUE"""),"BÌNH THẠNH")</f>
        <v>BÌNH THẠNH</v>
      </c>
      <c r="E87" s="54">
        <f ca="1">IFERROR(__xludf.DUMMYFUNCTION("""COMPUTED_VALUE"""),62)</f>
        <v>62</v>
      </c>
      <c r="F87" s="54">
        <f ca="1">IFERROR(__xludf.DUMMYFUNCTION("""COMPUTED_VALUE"""),62)</f>
        <v>62</v>
      </c>
      <c r="G87" s="54"/>
      <c r="H87" s="54">
        <f ca="1">IFERROR(__xludf.DUMMYFUNCTION("""COMPUTED_VALUE"""),62)</f>
        <v>62</v>
      </c>
      <c r="I87" s="54"/>
      <c r="J87" s="54">
        <f ca="1">IFERROR(__xludf.DUMMYFUNCTION("""COMPUTED_VALUE"""),60)</f>
        <v>60</v>
      </c>
      <c r="K87" s="54"/>
      <c r="L87" s="54">
        <f ca="1">IFERROR(__xludf.DUMMYFUNCTION("""COMPUTED_VALUE"""),23)</f>
        <v>23</v>
      </c>
      <c r="M87" s="54"/>
      <c r="N87" s="54">
        <f ca="1">IFERROR(__xludf.DUMMYFUNCTION("""COMPUTED_VALUE"""),974)</f>
        <v>974</v>
      </c>
      <c r="O87" s="54">
        <f ca="1">IFERROR(__xludf.DUMMYFUNCTION("""COMPUTED_VALUE"""),290)</f>
        <v>290</v>
      </c>
      <c r="P87" s="54"/>
      <c r="Q87" s="54">
        <f ca="1">IFERROR(__xludf.DUMMYFUNCTION("""COMPUTED_VALUE"""),290)</f>
        <v>290</v>
      </c>
      <c r="R87" s="54"/>
      <c r="S87" s="53"/>
      <c r="T87" s="53"/>
      <c r="U87" s="53"/>
      <c r="V87" s="53"/>
      <c r="W87" s="53"/>
      <c r="X87" s="53"/>
      <c r="Y87" s="53"/>
      <c r="Z87" s="2"/>
      <c r="AA87" s="2"/>
      <c r="AB87" s="2"/>
      <c r="AC87" s="2"/>
      <c r="AD87" s="2"/>
      <c r="AE87" s="2"/>
    </row>
    <row r="88" spans="1:31" ht="12.75" x14ac:dyDescent="0.2">
      <c r="A88" s="53">
        <f ca="1">IFERROR(__xludf.DUMMYFUNCTION("""COMPUTED_VALUE"""),81)</f>
        <v>81</v>
      </c>
      <c r="B88" s="53" t="str">
        <f ca="1">IFERROR(__xludf.DUMMYFUNCTION("""COMPUTED_VALUE"""),"TH Bạch Đằng")</f>
        <v>TH Bạch Đằng</v>
      </c>
      <c r="C88" s="53" t="str">
        <f ca="1">IFERROR(__xludf.DUMMYFUNCTION("""COMPUTED_VALUE"""),"TH")</f>
        <v>TH</v>
      </c>
      <c r="D88" s="53" t="str">
        <f ca="1">IFERROR(__xludf.DUMMYFUNCTION("""COMPUTED_VALUE"""),"BÌNH THẠNH")</f>
        <v>BÌNH THẠNH</v>
      </c>
      <c r="E88" s="54">
        <f ca="1">IFERROR(__xludf.DUMMYFUNCTION("""COMPUTED_VALUE"""),61)</f>
        <v>61</v>
      </c>
      <c r="F88" s="54">
        <f ca="1">IFERROR(__xludf.DUMMYFUNCTION("""COMPUTED_VALUE"""),61)</f>
        <v>61</v>
      </c>
      <c r="G88" s="54"/>
      <c r="H88" s="54">
        <f ca="1">IFERROR(__xludf.DUMMYFUNCTION("""COMPUTED_VALUE"""),61)</f>
        <v>61</v>
      </c>
      <c r="I88" s="54"/>
      <c r="J88" s="54">
        <f ca="1">IFERROR(__xludf.DUMMYFUNCTION("""COMPUTED_VALUE"""),59)</f>
        <v>59</v>
      </c>
      <c r="K88" s="54"/>
      <c r="L88" s="54">
        <f ca="1">IFERROR(__xludf.DUMMYFUNCTION("""COMPUTED_VALUE"""),20)</f>
        <v>20</v>
      </c>
      <c r="M88" s="54"/>
      <c r="N88" s="54">
        <f ca="1">IFERROR(__xludf.DUMMYFUNCTION("""COMPUTED_VALUE"""),1.039)</f>
        <v>1.0389999999999999</v>
      </c>
      <c r="O88" s="54">
        <f ca="1">IFERROR(__xludf.DUMMYFUNCTION("""COMPUTED_VALUE"""),804)</f>
        <v>804</v>
      </c>
      <c r="P88" s="54"/>
      <c r="Q88" s="54">
        <f ca="1">IFERROR(__xludf.DUMMYFUNCTION("""COMPUTED_VALUE"""),294)</f>
        <v>294</v>
      </c>
      <c r="R88" s="54"/>
      <c r="S88" s="53"/>
      <c r="T88" s="53"/>
      <c r="U88" s="53"/>
      <c r="V88" s="53"/>
      <c r="W88" s="53"/>
      <c r="X88" s="53"/>
      <c r="Y88" s="53"/>
      <c r="Z88" s="2"/>
      <c r="AA88" s="2"/>
      <c r="AB88" s="2"/>
      <c r="AC88" s="2"/>
      <c r="AD88" s="2"/>
      <c r="AE88" s="2"/>
    </row>
    <row r="89" spans="1:31" ht="12.75" x14ac:dyDescent="0.2">
      <c r="A89" s="53">
        <f ca="1">IFERROR(__xludf.DUMMYFUNCTION("""COMPUTED_VALUE"""),82)</f>
        <v>82</v>
      </c>
      <c r="B89" s="53" t="str">
        <f ca="1">IFERROR(__xludf.DUMMYFUNCTION("""COMPUTED_VALUE"""),"TH Đống Đa")</f>
        <v>TH Đống Đa</v>
      </c>
      <c r="C89" s="53" t="str">
        <f ca="1">IFERROR(__xludf.DUMMYFUNCTION("""COMPUTED_VALUE"""),"TH")</f>
        <v>TH</v>
      </c>
      <c r="D89" s="53" t="str">
        <f ca="1">IFERROR(__xludf.DUMMYFUNCTION("""COMPUTED_VALUE"""),"BÌNH THẠNH")</f>
        <v>BÌNH THẠNH</v>
      </c>
      <c r="E89" s="54">
        <f ca="1">IFERROR(__xludf.DUMMYFUNCTION("""COMPUTED_VALUE"""),63)</f>
        <v>63</v>
      </c>
      <c r="F89" s="54">
        <f ca="1">IFERROR(__xludf.DUMMYFUNCTION("""COMPUTED_VALUE"""),63)</f>
        <v>63</v>
      </c>
      <c r="G89" s="54"/>
      <c r="H89" s="54">
        <f ca="1">IFERROR(__xludf.DUMMYFUNCTION("""COMPUTED_VALUE"""),63)</f>
        <v>63</v>
      </c>
      <c r="I89" s="54"/>
      <c r="J89" s="54">
        <f ca="1">IFERROR(__xludf.DUMMYFUNCTION("""COMPUTED_VALUE"""),62)</f>
        <v>62</v>
      </c>
      <c r="K89" s="54"/>
      <c r="L89" s="54">
        <f ca="1">IFERROR(__xludf.DUMMYFUNCTION("""COMPUTED_VALUE"""),17)</f>
        <v>17</v>
      </c>
      <c r="M89" s="54"/>
      <c r="N89" s="54">
        <f ca="1">IFERROR(__xludf.DUMMYFUNCTION("""COMPUTED_VALUE"""),2.058)</f>
        <v>2.0579999999999998</v>
      </c>
      <c r="O89" s="54">
        <f ca="1">IFERROR(__xludf.DUMMYFUNCTION("""COMPUTED_VALUE"""),719)</f>
        <v>719</v>
      </c>
      <c r="P89" s="54"/>
      <c r="Q89" s="54">
        <f ca="1">IFERROR(__xludf.DUMMYFUNCTION("""COMPUTED_VALUE"""),369)</f>
        <v>369</v>
      </c>
      <c r="R89" s="54"/>
      <c r="S89" s="53"/>
      <c r="T89" s="53"/>
      <c r="U89" s="53"/>
      <c r="V89" s="53"/>
      <c r="W89" s="53"/>
      <c r="X89" s="53"/>
      <c r="Y89" s="53"/>
      <c r="Z89" s="2"/>
      <c r="AA89" s="2"/>
      <c r="AB89" s="2"/>
      <c r="AC89" s="2"/>
      <c r="AD89" s="2"/>
      <c r="AE89" s="2"/>
    </row>
    <row r="90" spans="1:31" ht="12.75" x14ac:dyDescent="0.2">
      <c r="A90" s="53">
        <f ca="1">IFERROR(__xludf.DUMMYFUNCTION("""COMPUTED_VALUE"""),83)</f>
        <v>83</v>
      </c>
      <c r="B90" s="53" t="str">
        <f ca="1">IFERROR(__xludf.DUMMYFUNCTION("""COMPUTED_VALUE"""),"TH Chu Văn An")</f>
        <v>TH Chu Văn An</v>
      </c>
      <c r="C90" s="53" t="str">
        <f ca="1">IFERROR(__xludf.DUMMYFUNCTION("""COMPUTED_VALUE"""),"TH")</f>
        <v>TH</v>
      </c>
      <c r="D90" s="53" t="str">
        <f ca="1">IFERROR(__xludf.DUMMYFUNCTION("""COMPUTED_VALUE"""),"BÌNH THẠNH")</f>
        <v>BÌNH THẠNH</v>
      </c>
      <c r="E90" s="54">
        <f ca="1">IFERROR(__xludf.DUMMYFUNCTION("""COMPUTED_VALUE"""),97)</f>
        <v>97</v>
      </c>
      <c r="F90" s="54">
        <f ca="1">IFERROR(__xludf.DUMMYFUNCTION("""COMPUTED_VALUE"""),97)</f>
        <v>97</v>
      </c>
      <c r="G90" s="54"/>
      <c r="H90" s="54">
        <f ca="1">IFERROR(__xludf.DUMMYFUNCTION("""COMPUTED_VALUE"""),96)</f>
        <v>96</v>
      </c>
      <c r="I90" s="54"/>
      <c r="J90" s="54">
        <f ca="1">IFERROR(__xludf.DUMMYFUNCTION("""COMPUTED_VALUE"""),78)</f>
        <v>78</v>
      </c>
      <c r="K90" s="54"/>
      <c r="L90" s="54">
        <f ca="1">IFERROR(__xludf.DUMMYFUNCTION("""COMPUTED_VALUE"""),16)</f>
        <v>16</v>
      </c>
      <c r="M90" s="54"/>
      <c r="N90" s="54">
        <f ca="1">IFERROR(__xludf.DUMMYFUNCTION("""COMPUTED_VALUE"""),1.077)</f>
        <v>1.077</v>
      </c>
      <c r="O90" s="54">
        <f ca="1">IFERROR(__xludf.DUMMYFUNCTION("""COMPUTED_VALUE"""),141)</f>
        <v>141</v>
      </c>
      <c r="P90" s="54"/>
      <c r="Q90" s="54">
        <f ca="1">IFERROR(__xludf.DUMMYFUNCTION("""COMPUTED_VALUE"""),118)</f>
        <v>118</v>
      </c>
      <c r="R90" s="54"/>
      <c r="S90" s="53"/>
      <c r="T90" s="53"/>
      <c r="U90" s="53"/>
      <c r="V90" s="53"/>
      <c r="W90" s="53"/>
      <c r="X90" s="53"/>
      <c r="Y90" s="53"/>
      <c r="Z90" s="2"/>
      <c r="AA90" s="2"/>
      <c r="AB90" s="2"/>
      <c r="AC90" s="2"/>
      <c r="AD90" s="2"/>
      <c r="AE90" s="2"/>
    </row>
    <row r="91" spans="1:31" ht="12.75" x14ac:dyDescent="0.2">
      <c r="A91" s="53">
        <f ca="1">IFERROR(__xludf.DUMMYFUNCTION("""COMPUTED_VALUE"""),84)</f>
        <v>84</v>
      </c>
      <c r="B91" s="53" t="str">
        <f ca="1">IFERROR(__xludf.DUMMYFUNCTION("""COMPUTED_VALUE"""),"TH Tầm Vu")</f>
        <v>TH Tầm Vu</v>
      </c>
      <c r="C91" s="53" t="str">
        <f ca="1">IFERROR(__xludf.DUMMYFUNCTION("""COMPUTED_VALUE"""),"TH")</f>
        <v>TH</v>
      </c>
      <c r="D91" s="53" t="str">
        <f ca="1">IFERROR(__xludf.DUMMYFUNCTION("""COMPUTED_VALUE"""),"BÌNH THẠNH")</f>
        <v>BÌNH THẠNH</v>
      </c>
      <c r="E91" s="54">
        <f ca="1">IFERROR(__xludf.DUMMYFUNCTION("""COMPUTED_VALUE"""),61)</f>
        <v>61</v>
      </c>
      <c r="F91" s="54">
        <f ca="1">IFERROR(__xludf.DUMMYFUNCTION("""COMPUTED_VALUE"""),61)</f>
        <v>61</v>
      </c>
      <c r="G91" s="54"/>
      <c r="H91" s="54">
        <f ca="1">IFERROR(__xludf.DUMMYFUNCTION("""COMPUTED_VALUE"""),61)</f>
        <v>61</v>
      </c>
      <c r="I91" s="54"/>
      <c r="J91" s="54">
        <f ca="1">IFERROR(__xludf.DUMMYFUNCTION("""COMPUTED_VALUE"""),61)</f>
        <v>61</v>
      </c>
      <c r="K91" s="54"/>
      <c r="L91" s="54">
        <f ca="1">IFERROR(__xludf.DUMMYFUNCTION("""COMPUTED_VALUE"""),19)</f>
        <v>19</v>
      </c>
      <c r="M91" s="54"/>
      <c r="N91" s="54">
        <f ca="1">IFERROR(__xludf.DUMMYFUNCTION("""COMPUTED_VALUE"""),1.175)</f>
        <v>1.175</v>
      </c>
      <c r="O91" s="54">
        <f ca="1">IFERROR(__xludf.DUMMYFUNCTION("""COMPUTED_VALUE"""),494)</f>
        <v>494</v>
      </c>
      <c r="P91" s="54"/>
      <c r="Q91" s="54">
        <f ca="1">IFERROR(__xludf.DUMMYFUNCTION("""COMPUTED_VALUE"""),263)</f>
        <v>263</v>
      </c>
      <c r="R91" s="54"/>
      <c r="S91" s="53"/>
      <c r="T91" s="53"/>
      <c r="U91" s="53"/>
      <c r="V91" s="53"/>
      <c r="W91" s="53"/>
      <c r="X91" s="53"/>
      <c r="Y91" s="53"/>
      <c r="Z91" s="2"/>
      <c r="AA91" s="2"/>
      <c r="AB91" s="2"/>
      <c r="AC91" s="2"/>
      <c r="AD91" s="2"/>
      <c r="AE91" s="2"/>
    </row>
    <row r="92" spans="1:31" ht="12.75" x14ac:dyDescent="0.2">
      <c r="A92" s="53">
        <f ca="1">IFERROR(__xludf.DUMMYFUNCTION("""COMPUTED_VALUE"""),85)</f>
        <v>85</v>
      </c>
      <c r="B92" s="53" t="str">
        <f ca="1">IFERROR(__xludf.DUMMYFUNCTION("""COMPUTED_VALUE"""),"TH Thanh Đa")</f>
        <v>TH Thanh Đa</v>
      </c>
      <c r="C92" s="53" t="str">
        <f ca="1">IFERROR(__xludf.DUMMYFUNCTION("""COMPUTED_VALUE"""),"TH")</f>
        <v>TH</v>
      </c>
      <c r="D92" s="53" t="str">
        <f ca="1">IFERROR(__xludf.DUMMYFUNCTION("""COMPUTED_VALUE"""),"BÌNH THẠNH")</f>
        <v>BÌNH THẠNH</v>
      </c>
      <c r="E92" s="54">
        <f ca="1">IFERROR(__xludf.DUMMYFUNCTION("""COMPUTED_VALUE"""),85)</f>
        <v>85</v>
      </c>
      <c r="F92" s="54">
        <f ca="1">IFERROR(__xludf.DUMMYFUNCTION("""COMPUTED_VALUE"""),84)</f>
        <v>84</v>
      </c>
      <c r="G92" s="54"/>
      <c r="H92" s="54">
        <f ca="1">IFERROR(__xludf.DUMMYFUNCTION("""COMPUTED_VALUE"""),84)</f>
        <v>84</v>
      </c>
      <c r="I92" s="54"/>
      <c r="J92" s="54">
        <f ca="1">IFERROR(__xludf.DUMMYFUNCTION("""COMPUTED_VALUE"""),84)</f>
        <v>84</v>
      </c>
      <c r="K92" s="54"/>
      <c r="L92" s="54">
        <f ca="1">IFERROR(__xludf.DUMMYFUNCTION("""COMPUTED_VALUE"""),37)</f>
        <v>37</v>
      </c>
      <c r="M92" s="54"/>
      <c r="N92" s="54">
        <f ca="1">IFERROR(__xludf.DUMMYFUNCTION("""COMPUTED_VALUE"""),1.644)</f>
        <v>1.6439999999999999</v>
      </c>
      <c r="O92" s="54">
        <f ca="1">IFERROR(__xludf.DUMMYFUNCTION("""COMPUTED_VALUE"""),646)</f>
        <v>646</v>
      </c>
      <c r="P92" s="54"/>
      <c r="Q92" s="54">
        <f ca="1">IFERROR(__xludf.DUMMYFUNCTION("""COMPUTED_VALUE"""),269)</f>
        <v>269</v>
      </c>
      <c r="R92" s="54"/>
      <c r="S92" s="53"/>
      <c r="T92" s="53"/>
      <c r="U92" s="53"/>
      <c r="V92" s="53"/>
      <c r="W92" s="53"/>
      <c r="X92" s="53"/>
      <c r="Y92" s="53"/>
      <c r="Z92" s="2"/>
      <c r="AA92" s="2"/>
      <c r="AB92" s="2"/>
      <c r="AC92" s="2"/>
      <c r="AD92" s="2"/>
      <c r="AE92" s="2"/>
    </row>
    <row r="93" spans="1:31" ht="12.75" x14ac:dyDescent="0.2">
      <c r="A93" s="53">
        <f ca="1">IFERROR(__xludf.DUMMYFUNCTION("""COMPUTED_VALUE"""),86)</f>
        <v>86</v>
      </c>
      <c r="B93" s="53" t="str">
        <f ca="1">IFERROR(__xludf.DUMMYFUNCTION("""COMPUTED_VALUE"""),"TH Bình Quới Tây")</f>
        <v>TH Bình Quới Tây</v>
      </c>
      <c r="C93" s="53" t="str">
        <f ca="1">IFERROR(__xludf.DUMMYFUNCTION("""COMPUTED_VALUE"""),"TH")</f>
        <v>TH</v>
      </c>
      <c r="D93" s="53" t="str">
        <f ca="1">IFERROR(__xludf.DUMMYFUNCTION("""COMPUTED_VALUE"""),"BÌNH THẠNH")</f>
        <v>BÌNH THẠNH</v>
      </c>
      <c r="E93" s="54">
        <f ca="1">IFERROR(__xludf.DUMMYFUNCTION("""COMPUTED_VALUE"""),67)</f>
        <v>67</v>
      </c>
      <c r="F93" s="54">
        <f ca="1">IFERROR(__xludf.DUMMYFUNCTION("""COMPUTED_VALUE"""),67)</f>
        <v>67</v>
      </c>
      <c r="G93" s="54"/>
      <c r="H93" s="54">
        <f ca="1">IFERROR(__xludf.DUMMYFUNCTION("""COMPUTED_VALUE"""),67)</f>
        <v>67</v>
      </c>
      <c r="I93" s="54"/>
      <c r="J93" s="54">
        <f ca="1">IFERROR(__xludf.DUMMYFUNCTION("""COMPUTED_VALUE"""),62)</f>
        <v>62</v>
      </c>
      <c r="K93" s="54"/>
      <c r="L93" s="54">
        <f ca="1">IFERROR(__xludf.DUMMYFUNCTION("""COMPUTED_VALUE"""),21)</f>
        <v>21</v>
      </c>
      <c r="M93" s="54"/>
      <c r="N93" s="54">
        <f ca="1">IFERROR(__xludf.DUMMYFUNCTION("""COMPUTED_VALUE"""),992)</f>
        <v>992</v>
      </c>
      <c r="O93" s="54">
        <f ca="1">IFERROR(__xludf.DUMMYFUNCTION("""COMPUTED_VALUE"""),709)</f>
        <v>709</v>
      </c>
      <c r="P93" s="54"/>
      <c r="Q93" s="53">
        <f ca="1">IFERROR(__xludf.DUMMYFUNCTION("""COMPUTED_VALUE"""),383)</f>
        <v>383</v>
      </c>
      <c r="R93" s="53"/>
      <c r="S93" s="53"/>
      <c r="T93" s="53"/>
      <c r="U93" s="53"/>
      <c r="V93" s="53"/>
      <c r="W93" s="53"/>
      <c r="X93" s="53"/>
      <c r="Y93" s="53"/>
      <c r="Z93" s="2"/>
      <c r="AA93" s="2"/>
      <c r="AB93" s="2"/>
      <c r="AC93" s="2"/>
      <c r="AD93" s="2"/>
      <c r="AE93" s="2"/>
    </row>
    <row r="94" spans="1:31" ht="12.75" x14ac:dyDescent="0.2">
      <c r="A94" s="53">
        <f ca="1">IFERROR(__xludf.DUMMYFUNCTION("""COMPUTED_VALUE"""),87)</f>
        <v>87</v>
      </c>
      <c r="B94" s="53" t="str">
        <f ca="1">IFERROR(__xludf.DUMMYFUNCTION("""COMPUTED_VALUE"""),"DL Việt Úc")</f>
        <v>DL Việt Úc</v>
      </c>
      <c r="C94" s="53" t="str">
        <f ca="1">IFERROR(__xludf.DUMMYFUNCTION("""COMPUTED_VALUE"""),"TH")</f>
        <v>TH</v>
      </c>
      <c r="D94" s="53" t="str">
        <f ca="1">IFERROR(__xludf.DUMMYFUNCTION("""COMPUTED_VALUE"""),"BÌNH THẠNH")</f>
        <v>BÌNH THẠNH</v>
      </c>
      <c r="E94" s="54">
        <f ca="1">IFERROR(__xludf.DUMMYFUNCTION("""COMPUTED_VALUE"""),40)</f>
        <v>40</v>
      </c>
      <c r="F94" s="54">
        <f ca="1">IFERROR(__xludf.DUMMYFUNCTION("""COMPUTED_VALUE"""),40)</f>
        <v>40</v>
      </c>
      <c r="G94" s="54"/>
      <c r="H94" s="54">
        <f ca="1">IFERROR(__xludf.DUMMYFUNCTION("""COMPUTED_VALUE"""),40)</f>
        <v>40</v>
      </c>
      <c r="I94" s="54"/>
      <c r="J94" s="54">
        <f ca="1">IFERROR(__xludf.DUMMYFUNCTION("""COMPUTED_VALUE"""),38)</f>
        <v>38</v>
      </c>
      <c r="K94" s="54"/>
      <c r="L94" s="54">
        <f ca="1">IFERROR(__xludf.DUMMYFUNCTION("""COMPUTED_VALUE"""),9)</f>
        <v>9</v>
      </c>
      <c r="M94" s="54"/>
      <c r="N94" s="54">
        <f ca="1">IFERROR(__xludf.DUMMYFUNCTION("""COMPUTED_VALUE"""),95)</f>
        <v>95</v>
      </c>
      <c r="O94" s="54">
        <f ca="1">IFERROR(__xludf.DUMMYFUNCTION("""COMPUTED_VALUE"""),25)</f>
        <v>25</v>
      </c>
      <c r="P94" s="54"/>
      <c r="Q94" s="53">
        <f ca="1">IFERROR(__xludf.DUMMYFUNCTION("""COMPUTED_VALUE"""),11)</f>
        <v>11</v>
      </c>
      <c r="R94" s="53"/>
      <c r="S94" s="53"/>
      <c r="T94" s="53"/>
      <c r="U94" s="53"/>
      <c r="V94" s="53"/>
      <c r="W94" s="53"/>
      <c r="X94" s="53"/>
      <c r="Y94" s="53"/>
      <c r="Z94" s="2"/>
      <c r="AA94" s="2"/>
      <c r="AB94" s="2"/>
      <c r="AC94" s="2"/>
      <c r="AD94" s="2"/>
      <c r="AE94" s="2"/>
    </row>
    <row r="95" spans="1:31" ht="12.75" x14ac:dyDescent="0.2">
      <c r="A95" s="53">
        <f ca="1">IFERROR(__xludf.DUMMYFUNCTION("""COMPUTED_VALUE"""),88)</f>
        <v>88</v>
      </c>
      <c r="B95" s="53" t="str">
        <f ca="1">IFERROR(__xludf.DUMMYFUNCTION("""COMPUTED_VALUE"""),"DL Việt Mỹ")</f>
        <v>DL Việt Mỹ</v>
      </c>
      <c r="C95" s="53" t="str">
        <f ca="1">IFERROR(__xludf.DUMMYFUNCTION("""COMPUTED_VALUE"""),"TH")</f>
        <v>TH</v>
      </c>
      <c r="D95" s="53" t="str">
        <f ca="1">IFERROR(__xludf.DUMMYFUNCTION("""COMPUTED_VALUE"""),"BÌNH THẠNH")</f>
        <v>BÌNH THẠNH</v>
      </c>
      <c r="E95" s="54">
        <f ca="1">IFERROR(__xludf.DUMMYFUNCTION("""COMPUTED_VALUE"""),39)</f>
        <v>39</v>
      </c>
      <c r="F95" s="54">
        <f ca="1">IFERROR(__xludf.DUMMYFUNCTION("""COMPUTED_VALUE"""),39)</f>
        <v>39</v>
      </c>
      <c r="G95" s="54"/>
      <c r="H95" s="54">
        <f ca="1">IFERROR(__xludf.DUMMYFUNCTION("""COMPUTED_VALUE"""),39)</f>
        <v>39</v>
      </c>
      <c r="I95" s="54"/>
      <c r="J95" s="54">
        <f ca="1">IFERROR(__xludf.DUMMYFUNCTION("""COMPUTED_VALUE"""),39)</f>
        <v>39</v>
      </c>
      <c r="K95" s="54"/>
      <c r="L95" s="54">
        <f ca="1">IFERROR(__xludf.DUMMYFUNCTION("""COMPUTED_VALUE"""),39)</f>
        <v>39</v>
      </c>
      <c r="M95" s="54"/>
      <c r="N95" s="54">
        <f ca="1">IFERROR(__xludf.DUMMYFUNCTION("""COMPUTED_VALUE"""),103)</f>
        <v>103</v>
      </c>
      <c r="O95" s="54">
        <f ca="1">IFERROR(__xludf.DUMMYFUNCTION("""COMPUTED_VALUE"""),33)</f>
        <v>33</v>
      </c>
      <c r="P95" s="54"/>
      <c r="Q95" s="54">
        <f ca="1">IFERROR(__xludf.DUMMYFUNCTION("""COMPUTED_VALUE"""),10)</f>
        <v>10</v>
      </c>
      <c r="R95" s="54"/>
      <c r="S95" s="53"/>
      <c r="T95" s="53"/>
      <c r="U95" s="53"/>
      <c r="V95" s="53"/>
      <c r="W95" s="53"/>
      <c r="X95" s="53"/>
      <c r="Y95" s="53"/>
      <c r="Z95" s="2"/>
      <c r="AA95" s="2"/>
      <c r="AB95" s="2"/>
      <c r="AC95" s="2"/>
      <c r="AD95" s="2"/>
      <c r="AE95" s="2"/>
    </row>
    <row r="96" spans="1:31" ht="12.75" x14ac:dyDescent="0.2">
      <c r="A96" s="53">
        <f ca="1">IFERROR(__xludf.DUMMYFUNCTION("""COMPUTED_VALUE"""),89)</f>
        <v>89</v>
      </c>
      <c r="B96" s="53" t="str">
        <f ca="1">IFERROR(__xludf.DUMMYFUNCTION("""COMPUTED_VALUE"""),"TH Ngôi Nhà 
Thông Thái")</f>
        <v>TH Ngôi Nhà 
Thông Thái</v>
      </c>
      <c r="C96" s="53" t="str">
        <f ca="1">IFERROR(__xludf.DUMMYFUNCTION("""COMPUTED_VALUE"""),"TH")</f>
        <v>TH</v>
      </c>
      <c r="D96" s="53" t="str">
        <f ca="1">IFERROR(__xludf.DUMMYFUNCTION("""COMPUTED_VALUE"""),"BÌNH THẠNH")</f>
        <v>BÌNH THẠNH</v>
      </c>
      <c r="E96" s="54">
        <f ca="1">IFERROR(__xludf.DUMMYFUNCTION("""COMPUTED_VALUE"""),19)</f>
        <v>19</v>
      </c>
      <c r="F96" s="54">
        <f ca="1">IFERROR(__xludf.DUMMYFUNCTION("""COMPUTED_VALUE"""),19)</f>
        <v>19</v>
      </c>
      <c r="G96" s="54"/>
      <c r="H96" s="54">
        <f ca="1">IFERROR(__xludf.DUMMYFUNCTION("""COMPUTED_VALUE"""),19)</f>
        <v>19</v>
      </c>
      <c r="I96" s="54"/>
      <c r="J96" s="54">
        <f ca="1">IFERROR(__xludf.DUMMYFUNCTION("""COMPUTED_VALUE"""),16)</f>
        <v>16</v>
      </c>
      <c r="K96" s="54"/>
      <c r="L96" s="54">
        <f ca="1">IFERROR(__xludf.DUMMYFUNCTION("""COMPUTED_VALUE"""),2)</f>
        <v>2</v>
      </c>
      <c r="M96" s="54"/>
      <c r="N96" s="54">
        <f ca="1">IFERROR(__xludf.DUMMYFUNCTION("""COMPUTED_VALUE"""),69)</f>
        <v>69</v>
      </c>
      <c r="O96" s="54">
        <f ca="1">IFERROR(__xludf.DUMMYFUNCTION("""COMPUTED_VALUE"""),7)</f>
        <v>7</v>
      </c>
      <c r="P96" s="54"/>
      <c r="Q96" s="54">
        <f ca="1">IFERROR(__xludf.DUMMYFUNCTION("""COMPUTED_VALUE"""),1)</f>
        <v>1</v>
      </c>
      <c r="R96" s="54"/>
      <c r="S96" s="53"/>
      <c r="T96" s="53"/>
      <c r="U96" s="53"/>
      <c r="V96" s="53"/>
      <c r="W96" s="53"/>
      <c r="X96" s="53"/>
      <c r="Y96" s="53"/>
      <c r="Z96" s="2"/>
      <c r="AA96" s="2"/>
      <c r="AB96" s="2"/>
      <c r="AC96" s="2"/>
      <c r="AD96" s="2"/>
      <c r="AE96" s="2"/>
    </row>
    <row r="97" spans="1:31" ht="12.75" x14ac:dyDescent="0.2">
      <c r="A97" s="53">
        <f ca="1">IFERROR(__xludf.DUMMYFUNCTION("""COMPUTED_VALUE"""),90)</f>
        <v>90</v>
      </c>
      <c r="B97" s="53" t="str">
        <f ca="1">IFERROR(__xludf.DUMMYFUNCTION("""COMPUTED_VALUE"""),"DL Quốc Tế
  Á Châu")</f>
        <v>DL Quốc Tế
  Á Châu</v>
      </c>
      <c r="C97" s="53" t="str">
        <f ca="1">IFERROR(__xludf.DUMMYFUNCTION("""COMPUTED_VALUE"""),"TH")</f>
        <v>TH</v>
      </c>
      <c r="D97" s="53" t="str">
        <f ca="1">IFERROR(__xludf.DUMMYFUNCTION("""COMPUTED_VALUE"""),"BÌNH THẠNH")</f>
        <v>BÌNH THẠNH</v>
      </c>
      <c r="E97" s="54">
        <f ca="1">IFERROR(__xludf.DUMMYFUNCTION("""COMPUTED_VALUE"""),95)</f>
        <v>95</v>
      </c>
      <c r="F97" s="54">
        <f ca="1">IFERROR(__xludf.DUMMYFUNCTION("""COMPUTED_VALUE"""),95)</f>
        <v>95</v>
      </c>
      <c r="G97" s="54"/>
      <c r="H97" s="54">
        <f ca="1">IFERROR(__xludf.DUMMYFUNCTION("""COMPUTED_VALUE"""),95)</f>
        <v>95</v>
      </c>
      <c r="I97" s="54"/>
      <c r="J97" s="54">
        <f ca="1">IFERROR(__xludf.DUMMYFUNCTION("""COMPUTED_VALUE"""),61)</f>
        <v>61</v>
      </c>
      <c r="K97" s="54"/>
      <c r="L97" s="54">
        <f ca="1">IFERROR(__xludf.DUMMYFUNCTION("""COMPUTED_VALUE"""),10)</f>
        <v>10</v>
      </c>
      <c r="M97" s="54"/>
      <c r="N97" s="54">
        <f ca="1">IFERROR(__xludf.DUMMYFUNCTION("""COMPUTED_VALUE"""),391)</f>
        <v>391</v>
      </c>
      <c r="O97" s="54">
        <f ca="1">IFERROR(__xludf.DUMMYFUNCTION("""COMPUTED_VALUE"""),47)</f>
        <v>47</v>
      </c>
      <c r="P97" s="54"/>
      <c r="Q97" s="54">
        <f ca="1">IFERROR(__xludf.DUMMYFUNCTION("""COMPUTED_VALUE"""),82)</f>
        <v>82</v>
      </c>
      <c r="R97" s="54"/>
      <c r="S97" s="53"/>
      <c r="T97" s="53"/>
      <c r="U97" s="53"/>
      <c r="V97" s="53"/>
      <c r="W97" s="53"/>
      <c r="X97" s="53"/>
      <c r="Y97" s="53"/>
      <c r="Z97" s="2"/>
      <c r="AA97" s="2"/>
      <c r="AB97" s="2"/>
      <c r="AC97" s="2"/>
      <c r="AD97" s="2"/>
      <c r="AE97" s="2"/>
    </row>
    <row r="98" spans="1:31" ht="12.75" x14ac:dyDescent="0.2">
      <c r="A98" s="53">
        <f ca="1">IFERROR(__xludf.DUMMYFUNCTION("""COMPUTED_VALUE"""),91)</f>
        <v>91</v>
      </c>
      <c r="B98" s="53" t="str">
        <f ca="1">IFERROR(__xludf.DUMMYFUNCTION("""COMPUTED_VALUE"""),"TH Anh Quốc")</f>
        <v>TH Anh Quốc</v>
      </c>
      <c r="C98" s="53" t="str">
        <f ca="1">IFERROR(__xludf.DUMMYFUNCTION("""COMPUTED_VALUE"""),"TH")</f>
        <v>TH</v>
      </c>
      <c r="D98" s="53" t="str">
        <f ca="1">IFERROR(__xludf.DUMMYFUNCTION("""COMPUTED_VALUE"""),"BÌNH THẠNH")</f>
        <v>BÌNH THẠNH</v>
      </c>
      <c r="E98" s="54">
        <f ca="1">IFERROR(__xludf.DUMMYFUNCTION("""COMPUTED_VALUE"""),75)</f>
        <v>75</v>
      </c>
      <c r="F98" s="54">
        <f ca="1">IFERROR(__xludf.DUMMYFUNCTION("""COMPUTED_VALUE"""),42)</f>
        <v>42</v>
      </c>
      <c r="G98" s="54"/>
      <c r="H98" s="54">
        <f ca="1">IFERROR(__xludf.DUMMYFUNCTION("""COMPUTED_VALUE"""),18)</f>
        <v>18</v>
      </c>
      <c r="I98" s="54"/>
      <c r="J98" s="54">
        <f ca="1">IFERROR(__xludf.DUMMYFUNCTION("""COMPUTED_VALUE"""),11)</f>
        <v>11</v>
      </c>
      <c r="K98" s="54"/>
      <c r="L98" s="54">
        <f ca="1">IFERROR(__xludf.DUMMYFUNCTION("""COMPUTED_VALUE"""),4)</f>
        <v>4</v>
      </c>
      <c r="M98" s="54"/>
      <c r="N98" s="54">
        <f ca="1">IFERROR(__xludf.DUMMYFUNCTION("""COMPUTED_VALUE"""),412)</f>
        <v>412</v>
      </c>
      <c r="O98" s="54">
        <f ca="1">IFERROR(__xludf.DUMMYFUNCTION("""COMPUTED_VALUE"""),42)</f>
        <v>42</v>
      </c>
      <c r="P98" s="54"/>
      <c r="Q98" s="54">
        <f ca="1">IFERROR(__xludf.DUMMYFUNCTION("""COMPUTED_VALUE"""),18)</f>
        <v>18</v>
      </c>
      <c r="R98" s="54"/>
      <c r="S98" s="53"/>
      <c r="T98" s="53"/>
      <c r="U98" s="53"/>
      <c r="V98" s="53"/>
      <c r="W98" s="53"/>
      <c r="X98" s="53"/>
      <c r="Y98" s="53"/>
      <c r="Z98" s="2"/>
      <c r="AA98" s="2"/>
      <c r="AB98" s="2"/>
      <c r="AC98" s="2"/>
      <c r="AD98" s="2"/>
      <c r="AE98" s="2"/>
    </row>
    <row r="99" spans="1:31" ht="12.75" x14ac:dyDescent="0.2">
      <c r="A99" s="53">
        <f ca="1">IFERROR(__xludf.DUMMYFUNCTION("""COMPUTED_VALUE"""),92)</f>
        <v>92</v>
      </c>
      <c r="B99" s="53" t="str">
        <f ca="1">IFERROR(__xludf.DUMMYFUNCTION("""COMPUTED_VALUE"""),"TH Mùa Xuân")</f>
        <v>TH Mùa Xuân</v>
      </c>
      <c r="C99" s="53" t="str">
        <f ca="1">IFERROR(__xludf.DUMMYFUNCTION("""COMPUTED_VALUE"""),"TH")</f>
        <v>TH</v>
      </c>
      <c r="D99" s="53" t="str">
        <f ca="1">IFERROR(__xludf.DUMMYFUNCTION("""COMPUTED_VALUE"""),"BÌNH THẠNH")</f>
        <v>BÌNH THẠNH</v>
      </c>
      <c r="E99" s="54">
        <f ca="1">IFERROR(__xludf.DUMMYFUNCTION("""COMPUTED_VALUE"""),424)</f>
        <v>424</v>
      </c>
      <c r="F99" s="54">
        <f ca="1">IFERROR(__xludf.DUMMYFUNCTION("""COMPUTED_VALUE"""),424)</f>
        <v>424</v>
      </c>
      <c r="G99" s="54"/>
      <c r="H99" s="54">
        <f ca="1">IFERROR(__xludf.DUMMYFUNCTION("""COMPUTED_VALUE"""),424)</f>
        <v>424</v>
      </c>
      <c r="I99" s="54"/>
      <c r="J99" s="54">
        <f ca="1">IFERROR(__xludf.DUMMYFUNCTION("""COMPUTED_VALUE"""),424)</f>
        <v>424</v>
      </c>
      <c r="K99" s="54"/>
      <c r="L99" s="54">
        <f ca="1">IFERROR(__xludf.DUMMYFUNCTION("""COMPUTED_VALUE"""),5)</f>
        <v>5</v>
      </c>
      <c r="M99" s="54"/>
      <c r="N99" s="54">
        <f ca="1">IFERROR(__xludf.DUMMYFUNCTION("""COMPUTED_VALUE"""),916)</f>
        <v>916</v>
      </c>
      <c r="O99" s="54">
        <f ca="1">IFERROR(__xludf.DUMMYFUNCTION("""COMPUTED_VALUE"""),114)</f>
        <v>114</v>
      </c>
      <c r="P99" s="54"/>
      <c r="Q99" s="54">
        <f ca="1">IFERROR(__xludf.DUMMYFUNCTION("""COMPUTED_VALUE"""),63)</f>
        <v>63</v>
      </c>
      <c r="R99" s="54"/>
      <c r="S99" s="53"/>
      <c r="T99" s="53"/>
      <c r="U99" s="53"/>
      <c r="V99" s="53"/>
      <c r="W99" s="53"/>
      <c r="X99" s="53"/>
      <c r="Y99" s="53"/>
      <c r="Z99" s="2"/>
      <c r="AA99" s="2"/>
      <c r="AB99" s="2"/>
      <c r="AC99" s="2"/>
      <c r="AD99" s="2"/>
      <c r="AE99" s="2"/>
    </row>
    <row r="100" spans="1:31" ht="12.75" x14ac:dyDescent="0.2">
      <c r="A100" s="53">
        <f ca="1">IFERROR(__xludf.DUMMYFUNCTION("""COMPUTED_VALUE"""),93)</f>
        <v>93</v>
      </c>
      <c r="B100" s="53" t="str">
        <f ca="1">IFERROR(__xludf.DUMMYFUNCTION("""COMPUTED_VALUE"""),"TH Vinschool")</f>
        <v>TH Vinschool</v>
      </c>
      <c r="C100" s="53" t="str">
        <f ca="1">IFERROR(__xludf.DUMMYFUNCTION("""COMPUTED_VALUE"""),"TH")</f>
        <v>TH</v>
      </c>
      <c r="D100" s="53" t="str">
        <f ca="1">IFERROR(__xludf.DUMMYFUNCTION("""COMPUTED_VALUE"""),"BÌNH THẠNH")</f>
        <v>BÌNH THẠNH</v>
      </c>
      <c r="E100" s="54">
        <f ca="1">IFERROR(__xludf.DUMMYFUNCTION("""COMPUTED_VALUE"""),235)</f>
        <v>235</v>
      </c>
      <c r="F100" s="54">
        <f ca="1">IFERROR(__xludf.DUMMYFUNCTION("""COMPUTED_VALUE"""),235)</f>
        <v>235</v>
      </c>
      <c r="G100" s="54"/>
      <c r="H100" s="54">
        <f ca="1">IFERROR(__xludf.DUMMYFUNCTION("""COMPUTED_VALUE"""),235)</f>
        <v>235</v>
      </c>
      <c r="I100" s="54"/>
      <c r="J100" s="54">
        <f ca="1">IFERROR(__xludf.DUMMYFUNCTION("""COMPUTED_VALUE"""),204)</f>
        <v>204</v>
      </c>
      <c r="K100" s="54"/>
      <c r="L100" s="54">
        <f ca="1">IFERROR(__xludf.DUMMYFUNCTION("""COMPUTED_VALUE"""),3)</f>
        <v>3</v>
      </c>
      <c r="M100" s="54"/>
      <c r="N100" s="54">
        <f ca="1">IFERROR(__xludf.DUMMYFUNCTION("""COMPUTED_VALUE"""),1.763)</f>
        <v>1.7629999999999999</v>
      </c>
      <c r="O100" s="54">
        <f ca="1">IFERROR(__xludf.DUMMYFUNCTION("""COMPUTED_VALUE"""),317)</f>
        <v>317</v>
      </c>
      <c r="P100" s="54"/>
      <c r="Q100" s="54">
        <f ca="1">IFERROR(__xludf.DUMMYFUNCTION("""COMPUTED_VALUE"""),113)</f>
        <v>113</v>
      </c>
      <c r="R100" s="54"/>
      <c r="S100" s="53"/>
      <c r="T100" s="53"/>
      <c r="U100" s="53"/>
      <c r="V100" s="53"/>
      <c r="W100" s="53"/>
      <c r="X100" s="53"/>
      <c r="Y100" s="53"/>
      <c r="Z100" s="2"/>
      <c r="AA100" s="2"/>
      <c r="AB100" s="2"/>
      <c r="AC100" s="2"/>
      <c r="AD100" s="2"/>
      <c r="AE100" s="2"/>
    </row>
    <row r="101" spans="1:31" ht="12.75" x14ac:dyDescent="0.2">
      <c r="A101" s="53" t="str">
        <f ca="1">IFERROR(__xludf.DUMMYFUNCTION("""COMPUTED_VALUE"""),"THCS")</f>
        <v>THCS</v>
      </c>
      <c r="B101" s="53"/>
      <c r="C101" s="53"/>
      <c r="D101" s="53"/>
      <c r="E101" s="54">
        <f ca="1">IFERROR(__xludf.DUMMYFUNCTION("""COMPUTED_VALUE"""),1634)</f>
        <v>1634</v>
      </c>
      <c r="F101" s="54">
        <f ca="1">IFERROR(__xludf.DUMMYFUNCTION("""COMPUTED_VALUE"""),1630)</f>
        <v>1630</v>
      </c>
      <c r="G101" s="54"/>
      <c r="H101" s="54">
        <f ca="1">IFERROR(__xludf.DUMMYFUNCTION("""COMPUTED_VALUE"""),1627)</f>
        <v>1627</v>
      </c>
      <c r="I101" s="54"/>
      <c r="J101" s="54">
        <f ca="1">IFERROR(__xludf.DUMMYFUNCTION("""COMPUTED_VALUE"""),1330)</f>
        <v>1330</v>
      </c>
      <c r="K101" s="54"/>
      <c r="L101" s="54">
        <f ca="1">IFERROR(__xludf.DUMMYFUNCTION("""COMPUTED_VALUE"""),470)</f>
        <v>470</v>
      </c>
      <c r="M101" s="54"/>
      <c r="N101" s="54">
        <f ca="1">IFERROR(__xludf.DUMMYFUNCTION("""COMPUTED_VALUE"""),2843)</f>
        <v>2843</v>
      </c>
      <c r="O101" s="54">
        <f ca="1">IFERROR(__xludf.DUMMYFUNCTION("""COMPUTED_VALUE"""),2803)</f>
        <v>2803</v>
      </c>
      <c r="P101" s="54"/>
      <c r="Q101" s="54">
        <f ca="1">IFERROR(__xludf.DUMMYFUNCTION("""COMPUTED_VALUE"""),1275)</f>
        <v>1275</v>
      </c>
      <c r="R101" s="54"/>
      <c r="S101" s="54">
        <f ca="1">IFERROR(__xludf.DUMMYFUNCTION("""COMPUTED_VALUE"""),19310)</f>
        <v>19310</v>
      </c>
      <c r="T101" s="53">
        <f ca="1">IFERROR(__xludf.DUMMYFUNCTION("""COMPUTED_VALUE"""),19145)</f>
        <v>19145</v>
      </c>
      <c r="U101" s="53"/>
      <c r="V101" s="54">
        <f ca="1">IFERROR(__xludf.DUMMYFUNCTION("""COMPUTED_VALUE"""),16019)</f>
        <v>16019</v>
      </c>
      <c r="W101" s="54"/>
      <c r="X101" s="54">
        <f ca="1">IFERROR(__xludf.DUMMYFUNCTION("""COMPUTED_VALUE"""),4536)</f>
        <v>4536</v>
      </c>
      <c r="Y101" s="54"/>
      <c r="Z101" s="2"/>
      <c r="AA101" s="2"/>
      <c r="AB101" s="2"/>
      <c r="AC101" s="2"/>
      <c r="AD101" s="2"/>
      <c r="AE101" s="2"/>
    </row>
    <row r="102" spans="1:31" ht="12.75" x14ac:dyDescent="0.2">
      <c r="A102" s="53">
        <f ca="1">IFERROR(__xludf.DUMMYFUNCTION("""COMPUTED_VALUE"""),94)</f>
        <v>94</v>
      </c>
      <c r="B102" s="53" t="str">
        <f ca="1">IFERROR(__xludf.DUMMYFUNCTION("""COMPUTED_VALUE"""),"THCS LAM SƠN")</f>
        <v>THCS LAM SƠN</v>
      </c>
      <c r="C102" s="53" t="str">
        <f ca="1">IFERROR(__xludf.DUMMYFUNCTION("""COMPUTED_VALUE"""),"THCS")</f>
        <v>THCS</v>
      </c>
      <c r="D102" s="53" t="str">
        <f ca="1">IFERROR(__xludf.DUMMYFUNCTION("""COMPUTED_VALUE"""),"BÌNH THẠNH")</f>
        <v>BÌNH THẠNH</v>
      </c>
      <c r="E102" s="54">
        <f ca="1">IFERROR(__xludf.DUMMYFUNCTION("""COMPUTED_VALUE"""),64)</f>
        <v>64</v>
      </c>
      <c r="F102" s="54">
        <f ca="1">IFERROR(__xludf.DUMMYFUNCTION("""COMPUTED_VALUE"""),64)</f>
        <v>64</v>
      </c>
      <c r="G102" s="54"/>
      <c r="H102" s="54">
        <f ca="1">IFERROR(__xludf.DUMMYFUNCTION("""COMPUTED_VALUE"""),63)</f>
        <v>63</v>
      </c>
      <c r="I102" s="54"/>
      <c r="J102" s="54">
        <f ca="1">IFERROR(__xludf.DUMMYFUNCTION("""COMPUTED_VALUE"""),58)</f>
        <v>58</v>
      </c>
      <c r="K102" s="54"/>
      <c r="L102" s="54">
        <f ca="1">IFERROR(__xludf.DUMMYFUNCTION("""COMPUTED_VALUE"""),16)</f>
        <v>16</v>
      </c>
      <c r="M102" s="54"/>
      <c r="N102" s="54">
        <f ca="1">IFERROR(__xludf.DUMMYFUNCTION("""COMPUTED_VALUE"""),270)</f>
        <v>270</v>
      </c>
      <c r="O102" s="54">
        <f ca="1">IFERROR(__xludf.DUMMYFUNCTION("""COMPUTED_VALUE"""),199)</f>
        <v>199</v>
      </c>
      <c r="P102" s="54"/>
      <c r="Q102" s="54">
        <f ca="1">IFERROR(__xludf.DUMMYFUNCTION("""COMPUTED_VALUE"""),129)</f>
        <v>129</v>
      </c>
      <c r="R102" s="54"/>
      <c r="S102" s="54">
        <f ca="1">IFERROR(__xludf.DUMMYFUNCTION("""COMPUTED_VALUE"""),774)</f>
        <v>774</v>
      </c>
      <c r="T102" s="56">
        <f ca="1">IFERROR(__xludf.DUMMYFUNCTION("""COMPUTED_VALUE"""),734)</f>
        <v>734</v>
      </c>
      <c r="U102" s="56"/>
      <c r="V102" s="54">
        <f ca="1">IFERROR(__xludf.DUMMYFUNCTION("""COMPUTED_VALUE"""),691)</f>
        <v>691</v>
      </c>
      <c r="W102" s="54"/>
      <c r="X102" s="54">
        <f ca="1">IFERROR(__xludf.DUMMYFUNCTION("""COMPUTED_VALUE"""),775)</f>
        <v>775</v>
      </c>
      <c r="Y102" s="54"/>
      <c r="Z102" s="2"/>
      <c r="AA102" s="2"/>
      <c r="AB102" s="2"/>
      <c r="AC102" s="2"/>
      <c r="AD102" s="2"/>
      <c r="AE102" s="2"/>
    </row>
    <row r="103" spans="1:31" ht="12.75" x14ac:dyDescent="0.2">
      <c r="A103" s="53">
        <f ca="1">IFERROR(__xludf.DUMMYFUNCTION("""COMPUTED_VALUE"""),95)</f>
        <v>95</v>
      </c>
      <c r="B103" s="53" t="str">
        <f ca="1">IFERROR(__xludf.DUMMYFUNCTION("""COMPUTED_VALUE"""),"THCS TRƯƠNG
 CÔNG ĐỊNH")</f>
        <v>THCS TRƯƠNG
 CÔNG ĐỊNH</v>
      </c>
      <c r="C103" s="53" t="str">
        <f ca="1">IFERROR(__xludf.DUMMYFUNCTION("""COMPUTED_VALUE"""),"THCS")</f>
        <v>THCS</v>
      </c>
      <c r="D103" s="53" t="str">
        <f ca="1">IFERROR(__xludf.DUMMYFUNCTION("""COMPUTED_VALUE"""),"BÌNH THẠNH")</f>
        <v>BÌNH THẠNH</v>
      </c>
      <c r="E103" s="54">
        <f ca="1">IFERROR(__xludf.DUMMYFUNCTION("""COMPUTED_VALUE"""),73)</f>
        <v>73</v>
      </c>
      <c r="F103" s="54">
        <f ca="1">IFERROR(__xludf.DUMMYFUNCTION("""COMPUTED_VALUE"""),73)</f>
        <v>73</v>
      </c>
      <c r="G103" s="54"/>
      <c r="H103" s="54">
        <f ca="1">IFERROR(__xludf.DUMMYFUNCTION("""COMPUTED_VALUE"""),73)</f>
        <v>73</v>
      </c>
      <c r="I103" s="54"/>
      <c r="J103" s="54">
        <f ca="1">IFERROR(__xludf.DUMMYFUNCTION("""COMPUTED_VALUE"""),45)</f>
        <v>45</v>
      </c>
      <c r="K103" s="54"/>
      <c r="L103" s="54">
        <f ca="1">IFERROR(__xludf.DUMMYFUNCTION("""COMPUTED_VALUE"""),15)</f>
        <v>15</v>
      </c>
      <c r="M103" s="54"/>
      <c r="N103" s="54">
        <f ca="1">IFERROR(__xludf.DUMMYFUNCTION("""COMPUTED_VALUE"""),250)</f>
        <v>250</v>
      </c>
      <c r="O103" s="54">
        <f ca="1">IFERROR(__xludf.DUMMYFUNCTION("""COMPUTED_VALUE"""),200)</f>
        <v>200</v>
      </c>
      <c r="P103" s="54"/>
      <c r="Q103" s="54">
        <f ca="1">IFERROR(__xludf.DUMMYFUNCTION("""COMPUTED_VALUE"""),200)</f>
        <v>200</v>
      </c>
      <c r="R103" s="54"/>
      <c r="S103" s="56">
        <f ca="1">IFERROR(__xludf.DUMMYFUNCTION("""COMPUTED_VALUE"""),4663)</f>
        <v>4663</v>
      </c>
      <c r="T103" s="56">
        <f ca="1">IFERROR(__xludf.DUMMYFUNCTION("""COMPUTED_VALUE"""),1738)</f>
        <v>1738</v>
      </c>
      <c r="U103" s="56"/>
      <c r="V103" s="56">
        <f ca="1">IFERROR(__xludf.DUMMYFUNCTION("""COMPUTED_VALUE"""),1678)</f>
        <v>1678</v>
      </c>
      <c r="W103" s="56"/>
      <c r="X103" s="56">
        <f ca="1">IFERROR(__xludf.DUMMYFUNCTION("""COMPUTED_VALUE"""),813)</f>
        <v>813</v>
      </c>
      <c r="Y103" s="56"/>
      <c r="Z103" s="2"/>
      <c r="AA103" s="2"/>
      <c r="AB103" s="2"/>
      <c r="AC103" s="2"/>
      <c r="AD103" s="2"/>
      <c r="AE103" s="2"/>
    </row>
    <row r="104" spans="1:31" ht="12.75" x14ac:dyDescent="0.2">
      <c r="A104" s="53">
        <f ca="1">IFERROR(__xludf.DUMMYFUNCTION("""COMPUTED_VALUE"""),96)</f>
        <v>96</v>
      </c>
      <c r="B104" s="53" t="str">
        <f ca="1">IFERROR(__xludf.DUMMYFUNCTION("""COMPUTED_VALUE"""),"THCS HÀ HUY TẬP")</f>
        <v>THCS HÀ HUY TẬP</v>
      </c>
      <c r="C104" s="53" t="str">
        <f ca="1">IFERROR(__xludf.DUMMYFUNCTION("""COMPUTED_VALUE"""),"THCS")</f>
        <v>THCS</v>
      </c>
      <c r="D104" s="53" t="str">
        <f ca="1">IFERROR(__xludf.DUMMYFUNCTION("""COMPUTED_VALUE"""),"BÌNH THẠNH")</f>
        <v>BÌNH THẠNH</v>
      </c>
      <c r="E104" s="54">
        <f ca="1">IFERROR(__xludf.DUMMYFUNCTION("""COMPUTED_VALUE"""),102)</f>
        <v>102</v>
      </c>
      <c r="F104" s="54">
        <f ca="1">IFERROR(__xludf.DUMMYFUNCTION("""COMPUTED_VALUE"""),102)</f>
        <v>102</v>
      </c>
      <c r="G104" s="54"/>
      <c r="H104" s="54">
        <f ca="1">IFERROR(__xludf.DUMMYFUNCTION("""COMPUTED_VALUE"""),102)</f>
        <v>102</v>
      </c>
      <c r="I104" s="54"/>
      <c r="J104" s="54">
        <f ca="1">IFERROR(__xludf.DUMMYFUNCTION("""COMPUTED_VALUE"""),96)</f>
        <v>96</v>
      </c>
      <c r="K104" s="54"/>
      <c r="L104" s="54">
        <f ca="1">IFERROR(__xludf.DUMMYFUNCTION("""COMPUTED_VALUE"""),35)</f>
        <v>35</v>
      </c>
      <c r="M104" s="54"/>
      <c r="N104" s="54">
        <f ca="1">IFERROR(__xludf.DUMMYFUNCTION("""COMPUTED_VALUE"""),212)</f>
        <v>212</v>
      </c>
      <c r="O104" s="54">
        <f ca="1">IFERROR(__xludf.DUMMYFUNCTION("""COMPUTED_VALUE"""),149)</f>
        <v>149</v>
      </c>
      <c r="P104" s="54"/>
      <c r="Q104" s="54">
        <f ca="1">IFERROR(__xludf.DUMMYFUNCTION("""COMPUTED_VALUE"""),80)</f>
        <v>80</v>
      </c>
      <c r="R104" s="54"/>
      <c r="S104" s="54">
        <f ca="1">IFERROR(__xludf.DUMMYFUNCTION("""COMPUTED_VALUE"""),2023)</f>
        <v>2023</v>
      </c>
      <c r="T104" s="56">
        <f ca="1">IFERROR(__xludf.DUMMYFUNCTION("""COMPUTED_VALUE"""),1816)</f>
        <v>1816</v>
      </c>
      <c r="U104" s="56"/>
      <c r="V104" s="54">
        <f ca="1">IFERROR(__xludf.DUMMYFUNCTION("""COMPUTED_VALUE"""),1356)</f>
        <v>1356</v>
      </c>
      <c r="W104" s="54"/>
      <c r="X104" s="54">
        <f ca="1">IFERROR(__xludf.DUMMYFUNCTION("""COMPUTED_VALUE"""),617)</f>
        <v>617</v>
      </c>
      <c r="Y104" s="54"/>
      <c r="Z104" s="2"/>
      <c r="AA104" s="2"/>
      <c r="AB104" s="2"/>
      <c r="AC104" s="2"/>
      <c r="AD104" s="2"/>
      <c r="AE104" s="2"/>
    </row>
    <row r="105" spans="1:31" ht="12.75" x14ac:dyDescent="0.2">
      <c r="A105" s="53">
        <f ca="1">IFERROR(__xludf.DUMMYFUNCTION("""COMPUTED_VALUE"""),97)</f>
        <v>97</v>
      </c>
      <c r="B105" s="53" t="str">
        <f ca="1">IFERROR(__xludf.DUMMYFUNCTION("""COMPUTED_VALUE"""),"THCS YÊN THẾ")</f>
        <v>THCS YÊN THẾ</v>
      </c>
      <c r="C105" s="53" t="str">
        <f ca="1">IFERROR(__xludf.DUMMYFUNCTION("""COMPUTED_VALUE"""),"THCS")</f>
        <v>THCS</v>
      </c>
      <c r="D105" s="53" t="str">
        <f ca="1">IFERROR(__xludf.DUMMYFUNCTION("""COMPUTED_VALUE"""),"BÌNH THẠNH")</f>
        <v>BÌNH THẠNH</v>
      </c>
      <c r="E105" s="54">
        <f ca="1">IFERROR(__xludf.DUMMYFUNCTION("""COMPUTED_VALUE"""),25)</f>
        <v>25</v>
      </c>
      <c r="F105" s="54">
        <f ca="1">IFERROR(__xludf.DUMMYFUNCTION("""COMPUTED_VALUE"""),25)</f>
        <v>25</v>
      </c>
      <c r="G105" s="54"/>
      <c r="H105" s="54">
        <f ca="1">IFERROR(__xludf.DUMMYFUNCTION("""COMPUTED_VALUE"""),25)</f>
        <v>25</v>
      </c>
      <c r="I105" s="54"/>
      <c r="J105" s="54">
        <f ca="1">IFERROR(__xludf.DUMMYFUNCTION("""COMPUTED_VALUE"""),18)</f>
        <v>18</v>
      </c>
      <c r="K105" s="54"/>
      <c r="L105" s="54">
        <f ca="1">IFERROR(__xludf.DUMMYFUNCTION("""COMPUTED_VALUE"""),7)</f>
        <v>7</v>
      </c>
      <c r="M105" s="54"/>
      <c r="N105" s="54">
        <f ca="1">IFERROR(__xludf.DUMMYFUNCTION("""COMPUTED_VALUE"""),122)</f>
        <v>122</v>
      </c>
      <c r="O105" s="54">
        <f ca="1">IFERROR(__xludf.DUMMYFUNCTION("""COMPUTED_VALUE"""),27)</f>
        <v>27</v>
      </c>
      <c r="P105" s="54"/>
      <c r="Q105" s="54">
        <f ca="1">IFERROR(__xludf.DUMMYFUNCTION("""COMPUTED_VALUE"""),55)</f>
        <v>55</v>
      </c>
      <c r="R105" s="54"/>
      <c r="S105" s="56">
        <f ca="1">IFERROR(__xludf.DUMMYFUNCTION("""COMPUTED_VALUE"""),246)</f>
        <v>246</v>
      </c>
      <c r="T105" s="56">
        <f ca="1">IFERROR(__xludf.DUMMYFUNCTION("""COMPUTED_VALUE"""),236)</f>
        <v>236</v>
      </c>
      <c r="U105" s="56"/>
      <c r="V105" s="56">
        <f ca="1">IFERROR(__xludf.DUMMYFUNCTION("""COMPUTED_VALUE"""),112)</f>
        <v>112</v>
      </c>
      <c r="W105" s="56"/>
      <c r="X105" s="56">
        <f ca="1">IFERROR(__xludf.DUMMYFUNCTION("""COMPUTED_VALUE"""),111)</f>
        <v>111</v>
      </c>
      <c r="Y105" s="56"/>
      <c r="Z105" s="2"/>
      <c r="AA105" s="2"/>
      <c r="AB105" s="2"/>
      <c r="AC105" s="2"/>
      <c r="AD105" s="2"/>
      <c r="AE105" s="2"/>
    </row>
    <row r="106" spans="1:31" ht="12.75" x14ac:dyDescent="0.2">
      <c r="A106" s="53">
        <f ca="1">IFERROR(__xludf.DUMMYFUNCTION("""COMPUTED_VALUE"""),98)</f>
        <v>98</v>
      </c>
      <c r="B106" s="53" t="str">
        <f ca="1">IFERROR(__xludf.DUMMYFUNCTION("""COMPUTED_VALUE"""),"THCS NGUYỄN
 VĂN BÉ")</f>
        <v>THCS NGUYỄN
 VĂN BÉ</v>
      </c>
      <c r="C106" s="53" t="str">
        <f ca="1">IFERROR(__xludf.DUMMYFUNCTION("""COMPUTED_VALUE"""),"THCS")</f>
        <v>THCS</v>
      </c>
      <c r="D106" s="53" t="str">
        <f ca="1">IFERROR(__xludf.DUMMYFUNCTION("""COMPUTED_VALUE"""),"BÌNH THẠNH")</f>
        <v>BÌNH THẠNH</v>
      </c>
      <c r="E106" s="54">
        <f ca="1">IFERROR(__xludf.DUMMYFUNCTION("""COMPUTED_VALUE"""),95)</f>
        <v>95</v>
      </c>
      <c r="F106" s="54">
        <f ca="1">IFERROR(__xludf.DUMMYFUNCTION("""COMPUTED_VALUE"""),93)</f>
        <v>93</v>
      </c>
      <c r="G106" s="54"/>
      <c r="H106" s="54">
        <f ca="1">IFERROR(__xludf.DUMMYFUNCTION("""COMPUTED_VALUE"""),93)</f>
        <v>93</v>
      </c>
      <c r="I106" s="54"/>
      <c r="J106" s="54">
        <f ca="1">IFERROR(__xludf.DUMMYFUNCTION("""COMPUTED_VALUE"""),93)</f>
        <v>93</v>
      </c>
      <c r="K106" s="54"/>
      <c r="L106" s="54">
        <f ca="1">IFERROR(__xludf.DUMMYFUNCTION("""COMPUTED_VALUE"""),59)</f>
        <v>59</v>
      </c>
      <c r="M106" s="54"/>
      <c r="N106" s="54">
        <f ca="1">IFERROR(__xludf.DUMMYFUNCTION("""COMPUTED_VALUE"""),141)</f>
        <v>141</v>
      </c>
      <c r="O106" s="54">
        <f ca="1">IFERROR(__xludf.DUMMYFUNCTION("""COMPUTED_VALUE"""),94)</f>
        <v>94</v>
      </c>
      <c r="P106" s="54"/>
      <c r="Q106" s="54">
        <f ca="1">IFERROR(__xludf.DUMMYFUNCTION("""COMPUTED_VALUE"""),21)</f>
        <v>21</v>
      </c>
      <c r="R106" s="54"/>
      <c r="S106" s="54">
        <f ca="1">IFERROR(__xludf.DUMMYFUNCTION("""COMPUTED_VALUE"""),1740)</f>
        <v>1740</v>
      </c>
      <c r="T106" s="56">
        <f ca="1">IFERROR(__xludf.DUMMYFUNCTION("""COMPUTED_VALUE"""),1651)</f>
        <v>1651</v>
      </c>
      <c r="U106" s="56"/>
      <c r="V106" s="54">
        <f ca="1">IFERROR(__xludf.DUMMYFUNCTION("""COMPUTED_VALUE"""),1551)</f>
        <v>1551</v>
      </c>
      <c r="W106" s="54"/>
      <c r="X106" s="54">
        <f ca="1">IFERROR(__xludf.DUMMYFUNCTION("""COMPUTED_VALUE"""),557)</f>
        <v>557</v>
      </c>
      <c r="Y106" s="54"/>
      <c r="Z106" s="2"/>
      <c r="AA106" s="2"/>
      <c r="AB106" s="2"/>
      <c r="AC106" s="2"/>
      <c r="AD106" s="2"/>
      <c r="AE106" s="2"/>
    </row>
    <row r="107" spans="1:31" ht="12.75" x14ac:dyDescent="0.2">
      <c r="A107" s="53">
        <f ca="1">IFERROR(__xludf.DUMMYFUNCTION("""COMPUTED_VALUE"""),99)</f>
        <v>99</v>
      </c>
      <c r="B107" s="53" t="str">
        <f ca="1">IFERROR(__xludf.DUMMYFUNCTION("""COMPUTED_VALUE"""),"THCS RẠNG ĐÔNG")</f>
        <v>THCS RẠNG ĐÔNG</v>
      </c>
      <c r="C107" s="53" t="str">
        <f ca="1">IFERROR(__xludf.DUMMYFUNCTION("""COMPUTED_VALUE"""),"THCS")</f>
        <v>THCS</v>
      </c>
      <c r="D107" s="53" t="str">
        <f ca="1">IFERROR(__xludf.DUMMYFUNCTION("""COMPUTED_VALUE"""),"BÌNH THẠNH")</f>
        <v>BÌNH THẠNH</v>
      </c>
      <c r="E107" s="54">
        <f ca="1">IFERROR(__xludf.DUMMYFUNCTION("""COMPUTED_VALUE"""),69)</f>
        <v>69</v>
      </c>
      <c r="F107" s="54">
        <f ca="1">IFERROR(__xludf.DUMMYFUNCTION("""COMPUTED_VALUE"""),69)</f>
        <v>69</v>
      </c>
      <c r="G107" s="54"/>
      <c r="H107" s="54">
        <f ca="1">IFERROR(__xludf.DUMMYFUNCTION("""COMPUTED_VALUE"""),68)</f>
        <v>68</v>
      </c>
      <c r="I107" s="54"/>
      <c r="J107" s="54">
        <f ca="1">IFERROR(__xludf.DUMMYFUNCTION("""COMPUTED_VALUE"""),52)</f>
        <v>52</v>
      </c>
      <c r="K107" s="54"/>
      <c r="L107" s="54">
        <f ca="1">IFERROR(__xludf.DUMMYFUNCTION("""COMPUTED_VALUE"""),11)</f>
        <v>11</v>
      </c>
      <c r="M107" s="54"/>
      <c r="N107" s="54">
        <f ca="1">IFERROR(__xludf.DUMMYFUNCTION("""COMPUTED_VALUE"""),494)</f>
        <v>494</v>
      </c>
      <c r="O107" s="54">
        <f ca="1">IFERROR(__xludf.DUMMYFUNCTION("""COMPUTED_VALUE"""),263)</f>
        <v>263</v>
      </c>
      <c r="P107" s="54"/>
      <c r="Q107" s="54">
        <f ca="1">IFERROR(__xludf.DUMMYFUNCTION("""COMPUTED_VALUE"""),145)</f>
        <v>145</v>
      </c>
      <c r="R107" s="54"/>
      <c r="S107" s="54">
        <f ca="1">IFERROR(__xludf.DUMMYFUNCTION("""COMPUTED_VALUE"""),907)</f>
        <v>907</v>
      </c>
      <c r="T107" s="56">
        <f ca="1">IFERROR(__xludf.DUMMYFUNCTION("""COMPUTED_VALUE"""),781)</f>
        <v>781</v>
      </c>
      <c r="U107" s="56"/>
      <c r="V107" s="54">
        <f ca="1">IFERROR(__xludf.DUMMYFUNCTION("""COMPUTED_VALUE"""),690)</f>
        <v>690</v>
      </c>
      <c r="W107" s="54"/>
      <c r="X107" s="54">
        <f ca="1">IFERROR(__xludf.DUMMYFUNCTION("""COMPUTED_VALUE"""),4211)</f>
        <v>4211</v>
      </c>
      <c r="Y107" s="54"/>
      <c r="Z107" s="2"/>
      <c r="AA107" s="2"/>
      <c r="AB107" s="2"/>
      <c r="AC107" s="2"/>
      <c r="AD107" s="2"/>
      <c r="AE107" s="2"/>
    </row>
    <row r="108" spans="1:31" ht="12.75" x14ac:dyDescent="0.2">
      <c r="A108" s="53">
        <f ca="1">IFERROR(__xludf.DUMMYFUNCTION("""COMPUTED_VALUE"""),100)</f>
        <v>100</v>
      </c>
      <c r="B108" s="53" t="str">
        <f ca="1">IFERROR(__xludf.DUMMYFUNCTION("""COMPUTED_VALUE"""),"THCS BÌNH 
LỢI TRUNG")</f>
        <v>THCS BÌNH 
LỢI TRUNG</v>
      </c>
      <c r="C108" s="53" t="str">
        <f ca="1">IFERROR(__xludf.DUMMYFUNCTION("""COMPUTED_VALUE"""),"THCS")</f>
        <v>THCS</v>
      </c>
      <c r="D108" s="53" t="str">
        <f ca="1">IFERROR(__xludf.DUMMYFUNCTION("""COMPUTED_VALUE"""),"BÌNH THẠNH")</f>
        <v>BÌNH THẠNH</v>
      </c>
      <c r="E108" s="54">
        <f ca="1">IFERROR(__xludf.DUMMYFUNCTION("""COMPUTED_VALUE"""),71)</f>
        <v>71</v>
      </c>
      <c r="F108" s="54">
        <f ca="1">IFERROR(__xludf.DUMMYFUNCTION("""COMPUTED_VALUE"""),71)</f>
        <v>71</v>
      </c>
      <c r="G108" s="54"/>
      <c r="H108" s="54">
        <f ca="1">IFERROR(__xludf.DUMMYFUNCTION("""COMPUTED_VALUE"""),71)</f>
        <v>71</v>
      </c>
      <c r="I108" s="54"/>
      <c r="J108" s="54">
        <f ca="1">IFERROR(__xludf.DUMMYFUNCTION("""COMPUTED_VALUE"""),65)</f>
        <v>65</v>
      </c>
      <c r="K108" s="54"/>
      <c r="L108" s="54">
        <f ca="1">IFERROR(__xludf.DUMMYFUNCTION("""COMPUTED_VALUE"""),18)</f>
        <v>18</v>
      </c>
      <c r="M108" s="54"/>
      <c r="N108" s="54">
        <f ca="1">IFERROR(__xludf.DUMMYFUNCTION("""COMPUTED_VALUE"""),393)</f>
        <v>393</v>
      </c>
      <c r="O108" s="54">
        <f ca="1">IFERROR(__xludf.DUMMYFUNCTION("""COMPUTED_VALUE"""),162)</f>
        <v>162</v>
      </c>
      <c r="P108" s="54"/>
      <c r="Q108" s="54">
        <f ca="1">IFERROR(__xludf.DUMMYFUNCTION("""COMPUTED_VALUE"""),162)</f>
        <v>162</v>
      </c>
      <c r="R108" s="54"/>
      <c r="S108" s="54">
        <f ca="1">IFERROR(__xludf.DUMMYFUNCTION("""COMPUTED_VALUE"""),1023)</f>
        <v>1023</v>
      </c>
      <c r="T108" s="56">
        <f ca="1">IFERROR(__xludf.DUMMYFUNCTION("""COMPUTED_VALUE"""),1001)</f>
        <v>1001</v>
      </c>
      <c r="U108" s="56"/>
      <c r="V108" s="54">
        <f ca="1">IFERROR(__xludf.DUMMYFUNCTION("""COMPUTED_VALUE"""),981)</f>
        <v>981</v>
      </c>
      <c r="W108" s="54"/>
      <c r="X108" s="54">
        <f ca="1">IFERROR(__xludf.DUMMYFUNCTION("""COMPUTED_VALUE"""),344)</f>
        <v>344</v>
      </c>
      <c r="Y108" s="54"/>
      <c r="Z108" s="2"/>
      <c r="AA108" s="2"/>
      <c r="AB108" s="2"/>
      <c r="AC108" s="2"/>
      <c r="AD108" s="2"/>
      <c r="AE108" s="2"/>
    </row>
    <row r="109" spans="1:31" ht="12.75" x14ac:dyDescent="0.2">
      <c r="A109" s="53">
        <f ca="1">IFERROR(__xludf.DUMMYFUNCTION("""COMPUTED_VALUE"""),101)</f>
        <v>101</v>
      </c>
      <c r="B109" s="53" t="str">
        <f ca="1">IFERROR(__xludf.DUMMYFUNCTION("""COMPUTED_VALUE"""),"THCS ĐIỆN BIÊN")</f>
        <v>THCS ĐIỆN BIÊN</v>
      </c>
      <c r="C109" s="53" t="str">
        <f ca="1">IFERROR(__xludf.DUMMYFUNCTION("""COMPUTED_VALUE"""),"THCS")</f>
        <v>THCS</v>
      </c>
      <c r="D109" s="53" t="str">
        <f ca="1">IFERROR(__xludf.DUMMYFUNCTION("""COMPUTED_VALUE"""),"BÌNH THẠNH")</f>
        <v>BÌNH THẠNH</v>
      </c>
      <c r="E109" s="54">
        <f ca="1">IFERROR(__xludf.DUMMYFUNCTION("""COMPUTED_VALUE"""),91)</f>
        <v>91</v>
      </c>
      <c r="F109" s="54">
        <f ca="1">IFERROR(__xludf.DUMMYFUNCTION("""COMPUTED_VALUE"""),91)</f>
        <v>91</v>
      </c>
      <c r="G109" s="54"/>
      <c r="H109" s="54">
        <f ca="1">IFERROR(__xludf.DUMMYFUNCTION("""COMPUTED_VALUE"""),91)</f>
        <v>91</v>
      </c>
      <c r="I109" s="54"/>
      <c r="J109" s="54">
        <f ca="1">IFERROR(__xludf.DUMMYFUNCTION("""COMPUTED_VALUE"""),87)</f>
        <v>87</v>
      </c>
      <c r="K109" s="54"/>
      <c r="L109" s="54">
        <f ca="1">IFERROR(__xludf.DUMMYFUNCTION("""COMPUTED_VALUE"""),35)</f>
        <v>35</v>
      </c>
      <c r="M109" s="54"/>
      <c r="N109" s="54">
        <f ca="1">IFERROR(__xludf.DUMMYFUNCTION("""COMPUTED_VALUE"""),2.001)</f>
        <v>2.0009999999999999</v>
      </c>
      <c r="O109" s="54">
        <f ca="1">IFERROR(__xludf.DUMMYFUNCTION("""COMPUTED_VALUE"""),272)</f>
        <v>272</v>
      </c>
      <c r="P109" s="54"/>
      <c r="Q109" s="54">
        <f ca="1">IFERROR(__xludf.DUMMYFUNCTION("""COMPUTED_VALUE"""),174)</f>
        <v>174</v>
      </c>
      <c r="R109" s="54"/>
      <c r="S109" s="54">
        <f ca="1">IFERROR(__xludf.DUMMYFUNCTION("""COMPUTED_VALUE"""),2001)</f>
        <v>2001</v>
      </c>
      <c r="T109" s="56">
        <f ca="1">IFERROR(__xludf.DUMMYFUNCTION("""COMPUTED_VALUE"""),1964)</f>
        <v>1964</v>
      </c>
      <c r="U109" s="56"/>
      <c r="V109" s="54">
        <f ca="1">IFERROR(__xludf.DUMMYFUNCTION("""COMPUTED_VALUE"""),858)</f>
        <v>858</v>
      </c>
      <c r="W109" s="54"/>
      <c r="X109" s="54">
        <f ca="1">IFERROR(__xludf.DUMMYFUNCTION("""COMPUTED_VALUE"""),422)</f>
        <v>422</v>
      </c>
      <c r="Y109" s="54"/>
      <c r="Z109" s="2"/>
      <c r="AA109" s="2"/>
      <c r="AB109" s="2"/>
      <c r="AC109" s="2"/>
      <c r="AD109" s="2"/>
      <c r="AE109" s="2"/>
    </row>
    <row r="110" spans="1:31" ht="12.75" x14ac:dyDescent="0.2">
      <c r="A110" s="53">
        <f ca="1">IFERROR(__xludf.DUMMYFUNCTION("""COMPUTED_VALUE"""),102)</f>
        <v>102</v>
      </c>
      <c r="B110" s="53" t="str">
        <f ca="1">IFERROR(__xludf.DUMMYFUNCTION("""COMPUTED_VALUE"""),"THCS PHÚ MỸ")</f>
        <v>THCS PHÚ MỸ</v>
      </c>
      <c r="C110" s="53" t="str">
        <f ca="1">IFERROR(__xludf.DUMMYFUNCTION("""COMPUTED_VALUE"""),"THCS")</f>
        <v>THCS</v>
      </c>
      <c r="D110" s="53" t="str">
        <f ca="1">IFERROR(__xludf.DUMMYFUNCTION("""COMPUTED_VALUE"""),"BÌNH THẠNH")</f>
        <v>BÌNH THẠNH</v>
      </c>
      <c r="E110" s="54">
        <f ca="1">IFERROR(__xludf.DUMMYFUNCTION("""COMPUTED_VALUE"""),73)</f>
        <v>73</v>
      </c>
      <c r="F110" s="54">
        <f ca="1">IFERROR(__xludf.DUMMYFUNCTION("""COMPUTED_VALUE"""),73)</f>
        <v>73</v>
      </c>
      <c r="G110" s="54"/>
      <c r="H110" s="54">
        <f ca="1">IFERROR(__xludf.DUMMYFUNCTION("""COMPUTED_VALUE"""),73)</f>
        <v>73</v>
      </c>
      <c r="I110" s="54"/>
      <c r="J110" s="54">
        <f ca="1">IFERROR(__xludf.DUMMYFUNCTION("""COMPUTED_VALUE"""),72)</f>
        <v>72</v>
      </c>
      <c r="K110" s="54"/>
      <c r="L110" s="54">
        <f ca="1">IFERROR(__xludf.DUMMYFUNCTION("""COMPUTED_VALUE"""),27)</f>
        <v>27</v>
      </c>
      <c r="M110" s="54"/>
      <c r="N110" s="54">
        <f ca="1">IFERROR(__xludf.DUMMYFUNCTION("""COMPUTED_VALUE"""),293)</f>
        <v>293</v>
      </c>
      <c r="O110" s="54">
        <f ca="1">IFERROR(__xludf.DUMMYFUNCTION("""COMPUTED_VALUE"""),147)</f>
        <v>147</v>
      </c>
      <c r="P110" s="54"/>
      <c r="Q110" s="54">
        <f ca="1">IFERROR(__xludf.DUMMYFUNCTION("""COMPUTED_VALUE"""),74)</f>
        <v>74</v>
      </c>
      <c r="R110" s="54"/>
      <c r="S110" s="54">
        <f ca="1">IFERROR(__xludf.DUMMYFUNCTION("""COMPUTED_VALUE"""),930)</f>
        <v>930</v>
      </c>
      <c r="T110" s="56">
        <f ca="1">IFERROR(__xludf.DUMMYFUNCTION("""COMPUTED_VALUE"""),868)</f>
        <v>868</v>
      </c>
      <c r="U110" s="56"/>
      <c r="V110" s="54">
        <f ca="1">IFERROR(__xludf.DUMMYFUNCTION("""COMPUTED_VALUE"""),781)</f>
        <v>781</v>
      </c>
      <c r="W110" s="54"/>
      <c r="X110" s="54">
        <f ca="1">IFERROR(__xludf.DUMMYFUNCTION("""COMPUTED_VALUE"""),355)</f>
        <v>355</v>
      </c>
      <c r="Y110" s="54"/>
      <c r="Z110" s="2"/>
      <c r="AA110" s="2"/>
      <c r="AB110" s="2"/>
      <c r="AC110" s="2"/>
      <c r="AD110" s="2"/>
      <c r="AE110" s="2"/>
    </row>
    <row r="111" spans="1:31" ht="12.75" x14ac:dyDescent="0.2">
      <c r="A111" s="53">
        <f ca="1">IFERROR(__xludf.DUMMYFUNCTION("""COMPUTED_VALUE"""),103)</f>
        <v>103</v>
      </c>
      <c r="B111" s="53" t="str">
        <f ca="1">IFERROR(__xludf.DUMMYFUNCTION("""COMPUTED_VALUE"""),"THCS CỬU LONG")</f>
        <v>THCS CỬU LONG</v>
      </c>
      <c r="C111" s="53" t="str">
        <f ca="1">IFERROR(__xludf.DUMMYFUNCTION("""COMPUTED_VALUE"""),"THCS")</f>
        <v>THCS</v>
      </c>
      <c r="D111" s="53" t="str">
        <f ca="1">IFERROR(__xludf.DUMMYFUNCTION("""COMPUTED_VALUE"""),"BÌNH THẠNH")</f>
        <v>BÌNH THẠNH</v>
      </c>
      <c r="E111" s="54">
        <f ca="1">IFERROR(__xludf.DUMMYFUNCTION("""COMPUTED_VALUE"""),41)</f>
        <v>41</v>
      </c>
      <c r="F111" s="54">
        <f ca="1">IFERROR(__xludf.DUMMYFUNCTION("""COMPUTED_VALUE"""),41)</f>
        <v>41</v>
      </c>
      <c r="G111" s="54"/>
      <c r="H111" s="54">
        <f ca="1">IFERROR(__xludf.DUMMYFUNCTION("""COMPUTED_VALUE"""),41)</f>
        <v>41</v>
      </c>
      <c r="I111" s="54"/>
      <c r="J111" s="54">
        <f ca="1">IFERROR(__xludf.DUMMYFUNCTION("""COMPUTED_VALUE"""),41)</f>
        <v>41</v>
      </c>
      <c r="K111" s="54"/>
      <c r="L111" s="54">
        <f ca="1">IFERROR(__xludf.DUMMYFUNCTION("""COMPUTED_VALUE"""),20)</f>
        <v>20</v>
      </c>
      <c r="M111" s="54"/>
      <c r="N111" s="54">
        <f ca="1">IFERROR(__xludf.DUMMYFUNCTION("""COMPUTED_VALUE"""),696)</f>
        <v>696</v>
      </c>
      <c r="O111" s="54">
        <f ca="1">IFERROR(__xludf.DUMMYFUNCTION("""COMPUTED_VALUE"""),37)</f>
        <v>37</v>
      </c>
      <c r="P111" s="54"/>
      <c r="Q111" s="54">
        <f ca="1">IFERROR(__xludf.DUMMYFUNCTION("""COMPUTED_VALUE"""),37)</f>
        <v>37</v>
      </c>
      <c r="R111" s="54"/>
      <c r="S111" s="54">
        <f ca="1">IFERROR(__xludf.DUMMYFUNCTION("""COMPUTED_VALUE"""),696)</f>
        <v>696</v>
      </c>
      <c r="T111" s="54">
        <f ca="1">IFERROR(__xludf.DUMMYFUNCTION("""COMPUTED_VALUE"""),548)</f>
        <v>548</v>
      </c>
      <c r="U111" s="54"/>
      <c r="V111" s="54">
        <f ca="1">IFERROR(__xludf.DUMMYFUNCTION("""COMPUTED_VALUE"""),435)</f>
        <v>435</v>
      </c>
      <c r="W111" s="54"/>
      <c r="X111" s="54">
        <f ca="1">IFERROR(__xludf.DUMMYFUNCTION("""COMPUTED_VALUE"""),185)</f>
        <v>185</v>
      </c>
      <c r="Y111" s="54"/>
      <c r="Z111" s="2"/>
      <c r="AA111" s="2"/>
      <c r="AB111" s="2"/>
      <c r="AC111" s="2"/>
      <c r="AD111" s="2"/>
      <c r="AE111" s="2"/>
    </row>
    <row r="112" spans="1:31" ht="12.75" x14ac:dyDescent="0.2">
      <c r="A112" s="53">
        <f ca="1">IFERROR(__xludf.DUMMYFUNCTION("""COMPUTED_VALUE"""),104)</f>
        <v>104</v>
      </c>
      <c r="B112" s="53" t="str">
        <f ca="1">IFERROR(__xludf.DUMMYFUNCTION("""COMPUTED_VALUE"""),"THCS ĐỐNG ĐA")</f>
        <v>THCS ĐỐNG ĐA</v>
      </c>
      <c r="C112" s="53" t="str">
        <f ca="1">IFERROR(__xludf.DUMMYFUNCTION("""COMPUTED_VALUE"""),"THCS")</f>
        <v>THCS</v>
      </c>
      <c r="D112" s="53" t="str">
        <f ca="1">IFERROR(__xludf.DUMMYFUNCTION("""COMPUTED_VALUE"""),"BÌNH THẠNH")</f>
        <v>BÌNH THẠNH</v>
      </c>
      <c r="E112" s="54">
        <f ca="1">IFERROR(__xludf.DUMMYFUNCTION("""COMPUTED_VALUE"""),80)</f>
        <v>80</v>
      </c>
      <c r="F112" s="54">
        <f ca="1">IFERROR(__xludf.DUMMYFUNCTION("""COMPUTED_VALUE"""),80)</f>
        <v>80</v>
      </c>
      <c r="G112" s="54"/>
      <c r="H112" s="54">
        <f ca="1">IFERROR(__xludf.DUMMYFUNCTION("""COMPUTED_VALUE"""),80)</f>
        <v>80</v>
      </c>
      <c r="I112" s="54"/>
      <c r="J112" s="54">
        <f ca="1">IFERROR(__xludf.DUMMYFUNCTION("""COMPUTED_VALUE"""),80)</f>
        <v>80</v>
      </c>
      <c r="K112" s="54"/>
      <c r="L112" s="54">
        <f ca="1">IFERROR(__xludf.DUMMYFUNCTION("""COMPUTED_VALUE"""),15)</f>
        <v>15</v>
      </c>
      <c r="M112" s="54"/>
      <c r="N112" s="54">
        <f ca="1">IFERROR(__xludf.DUMMYFUNCTION("""COMPUTED_VALUE"""),495)</f>
        <v>495</v>
      </c>
      <c r="O112" s="54">
        <f ca="1">IFERROR(__xludf.DUMMYFUNCTION("""COMPUTED_VALUE"""),202)</f>
        <v>202</v>
      </c>
      <c r="P112" s="54"/>
      <c r="Q112" s="54">
        <f ca="1">IFERROR(__xludf.DUMMYFUNCTION("""COMPUTED_VALUE"""),102)</f>
        <v>102</v>
      </c>
      <c r="R112" s="54"/>
      <c r="S112" s="56">
        <f ca="1">IFERROR(__xludf.DUMMYFUNCTION("""COMPUTED_VALUE"""),1253)</f>
        <v>1253</v>
      </c>
      <c r="T112" s="56">
        <f ca="1">IFERROR(__xludf.DUMMYFUNCTION("""COMPUTED_VALUE"""),1233)</f>
        <v>1233</v>
      </c>
      <c r="U112" s="56"/>
      <c r="V112" s="56">
        <f ca="1">IFERROR(__xludf.DUMMYFUNCTION("""COMPUTED_VALUE"""),1201)</f>
        <v>1201</v>
      </c>
      <c r="W112" s="56"/>
      <c r="X112" s="56">
        <f ca="1">IFERROR(__xludf.DUMMYFUNCTION("""COMPUTED_VALUE"""),109)</f>
        <v>109</v>
      </c>
      <c r="Y112" s="56"/>
      <c r="Z112" s="2"/>
      <c r="AA112" s="2"/>
      <c r="AB112" s="2"/>
      <c r="AC112" s="2"/>
      <c r="AD112" s="2"/>
      <c r="AE112" s="2"/>
    </row>
    <row r="113" spans="1:31" ht="12.75" x14ac:dyDescent="0.2">
      <c r="A113" s="53">
        <f ca="1">IFERROR(__xludf.DUMMYFUNCTION("""COMPUTED_VALUE"""),105)</f>
        <v>105</v>
      </c>
      <c r="B113" s="53" t="str">
        <f ca="1">IFERROR(__xludf.DUMMYFUNCTION("""COMPUTED_VALUE"""),"THCS LÊ VĂN TÁM")</f>
        <v>THCS LÊ VĂN TÁM</v>
      </c>
      <c r="C113" s="53" t="str">
        <f ca="1">IFERROR(__xludf.DUMMYFUNCTION("""COMPUTED_VALUE"""),"THCS")</f>
        <v>THCS</v>
      </c>
      <c r="D113" s="53" t="str">
        <f ca="1">IFERROR(__xludf.DUMMYFUNCTION("""COMPUTED_VALUE"""),"BÌNH THẠNH")</f>
        <v>BÌNH THẠNH</v>
      </c>
      <c r="E113" s="54">
        <f ca="1">IFERROR(__xludf.DUMMYFUNCTION("""COMPUTED_VALUE"""),87)</f>
        <v>87</v>
      </c>
      <c r="F113" s="54">
        <f ca="1">IFERROR(__xludf.DUMMYFUNCTION("""COMPUTED_VALUE"""),87)</f>
        <v>87</v>
      </c>
      <c r="G113" s="54"/>
      <c r="H113" s="54">
        <f ca="1">IFERROR(__xludf.DUMMYFUNCTION("""COMPUTED_VALUE"""),87)</f>
        <v>87</v>
      </c>
      <c r="I113" s="54"/>
      <c r="J113" s="54">
        <f ca="1">IFERROR(__xludf.DUMMYFUNCTION("""COMPUTED_VALUE"""),86)</f>
        <v>86</v>
      </c>
      <c r="K113" s="54"/>
      <c r="L113" s="54">
        <f ca="1">IFERROR(__xludf.DUMMYFUNCTION("""COMPUTED_VALUE"""),65)</f>
        <v>65</v>
      </c>
      <c r="M113" s="54"/>
      <c r="N113" s="54">
        <f ca="1">IFERROR(__xludf.DUMMYFUNCTION("""COMPUTED_VALUE"""),642)</f>
        <v>642</v>
      </c>
      <c r="O113" s="54">
        <f ca="1">IFERROR(__xludf.DUMMYFUNCTION("""COMPUTED_VALUE"""),195)</f>
        <v>195</v>
      </c>
      <c r="P113" s="54"/>
      <c r="Q113" s="54">
        <f ca="1">IFERROR(__xludf.DUMMYFUNCTION("""COMPUTED_VALUE"""),49)</f>
        <v>49</v>
      </c>
      <c r="R113" s="54"/>
      <c r="S113" s="54">
        <f ca="1">IFERROR(__xludf.DUMMYFUNCTION("""COMPUTED_VALUE"""),1244)</f>
        <v>1244</v>
      </c>
      <c r="T113" s="56">
        <f ca="1">IFERROR(__xludf.DUMMYFUNCTION("""COMPUTED_VALUE"""),1019)</f>
        <v>1019</v>
      </c>
      <c r="U113" s="56"/>
      <c r="V113" s="54">
        <f ca="1">IFERROR(__xludf.DUMMYFUNCTION("""COMPUTED_VALUE"""),682)</f>
        <v>682</v>
      </c>
      <c r="W113" s="54"/>
      <c r="X113" s="54">
        <f ca="1">IFERROR(__xludf.DUMMYFUNCTION("""COMPUTED_VALUE"""),338)</f>
        <v>338</v>
      </c>
      <c r="Y113" s="54"/>
      <c r="Z113" s="2"/>
      <c r="AA113" s="2"/>
      <c r="AB113" s="2"/>
      <c r="AC113" s="2"/>
      <c r="AD113" s="2"/>
      <c r="AE113" s="2"/>
    </row>
    <row r="114" spans="1:31" ht="12.75" x14ac:dyDescent="0.2">
      <c r="A114" s="53">
        <f ca="1">IFERROR(__xludf.DUMMYFUNCTION("""COMPUTED_VALUE"""),106)</f>
        <v>106</v>
      </c>
      <c r="B114" s="53" t="str">
        <f ca="1">IFERROR(__xludf.DUMMYFUNCTION("""COMPUTED_VALUE"""),"THCS THANH ĐA")</f>
        <v>THCS THANH ĐA</v>
      </c>
      <c r="C114" s="53" t="str">
        <f ca="1">IFERROR(__xludf.DUMMYFUNCTION("""COMPUTED_VALUE"""),"THCS")</f>
        <v>THCS</v>
      </c>
      <c r="D114" s="53" t="str">
        <f ca="1">IFERROR(__xludf.DUMMYFUNCTION("""COMPUTED_VALUE"""),"BÌNH THẠNH")</f>
        <v>BÌNH THẠNH</v>
      </c>
      <c r="E114" s="54">
        <f ca="1">IFERROR(__xludf.DUMMYFUNCTION("""COMPUTED_VALUE"""),39)</f>
        <v>39</v>
      </c>
      <c r="F114" s="54">
        <f ca="1">IFERROR(__xludf.DUMMYFUNCTION("""COMPUTED_VALUE"""),39)</f>
        <v>39</v>
      </c>
      <c r="G114" s="54"/>
      <c r="H114" s="54">
        <f ca="1">IFERROR(__xludf.DUMMYFUNCTION("""COMPUTED_VALUE"""),39)</f>
        <v>39</v>
      </c>
      <c r="I114" s="54"/>
      <c r="J114" s="54">
        <f ca="1">IFERROR(__xludf.DUMMYFUNCTION("""COMPUTED_VALUE"""),26)</f>
        <v>26</v>
      </c>
      <c r="K114" s="54"/>
      <c r="L114" s="54">
        <f ca="1">IFERROR(__xludf.DUMMYFUNCTION("""COMPUTED_VALUE"""),8)</f>
        <v>8</v>
      </c>
      <c r="M114" s="54"/>
      <c r="N114" s="54">
        <f ca="1">IFERROR(__xludf.DUMMYFUNCTION("""COMPUTED_VALUE"""),230)</f>
        <v>230</v>
      </c>
      <c r="O114" s="54">
        <f ca="1">IFERROR(__xludf.DUMMYFUNCTION("""COMPUTED_VALUE"""),230)</f>
        <v>230</v>
      </c>
      <c r="P114" s="54"/>
      <c r="Q114" s="54">
        <f ca="1">IFERROR(__xludf.DUMMYFUNCTION("""COMPUTED_VALUE"""),230)</f>
        <v>230</v>
      </c>
      <c r="R114" s="54"/>
      <c r="S114" s="54">
        <f ca="1">IFERROR(__xludf.DUMMYFUNCTION("""COMPUTED_VALUE"""),858)</f>
        <v>858</v>
      </c>
      <c r="T114" s="54">
        <f ca="1">IFERROR(__xludf.DUMMYFUNCTION("""COMPUTED_VALUE"""),733)</f>
        <v>733</v>
      </c>
      <c r="U114" s="54"/>
      <c r="V114" s="54">
        <f ca="1">IFERROR(__xludf.DUMMYFUNCTION("""COMPUTED_VALUE"""),620)</f>
        <v>620</v>
      </c>
      <c r="W114" s="54"/>
      <c r="X114" s="54">
        <f ca="1">IFERROR(__xludf.DUMMYFUNCTION("""COMPUTED_VALUE"""),162)</f>
        <v>162</v>
      </c>
      <c r="Y114" s="54"/>
      <c r="Z114" s="2"/>
      <c r="AA114" s="2"/>
      <c r="AB114" s="2"/>
      <c r="AC114" s="2"/>
      <c r="AD114" s="2"/>
      <c r="AE114" s="2"/>
    </row>
    <row r="115" spans="1:31" ht="12.75" x14ac:dyDescent="0.2">
      <c r="A115" s="53">
        <f ca="1">IFERROR(__xludf.DUMMYFUNCTION("""COMPUTED_VALUE"""),107)</f>
        <v>107</v>
      </c>
      <c r="B115" s="53" t="str">
        <f ca="1">IFERROR(__xludf.DUMMYFUNCTION("""COMPUTED_VALUE"""),"THCS CÙ CHÍNH LAN")</f>
        <v>THCS CÙ CHÍNH LAN</v>
      </c>
      <c r="C115" s="53" t="str">
        <f ca="1">IFERROR(__xludf.DUMMYFUNCTION("""COMPUTED_VALUE"""),"THCS")</f>
        <v>THCS</v>
      </c>
      <c r="D115" s="53" t="str">
        <f ca="1">IFERROR(__xludf.DUMMYFUNCTION("""COMPUTED_VALUE"""),"BÌNH THẠNH")</f>
        <v>BÌNH THẠNH</v>
      </c>
      <c r="E115" s="54">
        <f ca="1">IFERROR(__xludf.DUMMYFUNCTION("""COMPUTED_VALUE"""),38)</f>
        <v>38</v>
      </c>
      <c r="F115" s="54">
        <f ca="1">IFERROR(__xludf.DUMMYFUNCTION("""COMPUTED_VALUE"""),38)</f>
        <v>38</v>
      </c>
      <c r="G115" s="54"/>
      <c r="H115" s="54">
        <f ca="1">IFERROR(__xludf.DUMMYFUNCTION("""COMPUTED_VALUE"""),38)</f>
        <v>38</v>
      </c>
      <c r="I115" s="54"/>
      <c r="J115" s="54">
        <f ca="1">IFERROR(__xludf.DUMMYFUNCTION("""COMPUTED_VALUE"""),35)</f>
        <v>35</v>
      </c>
      <c r="K115" s="54"/>
      <c r="L115" s="54">
        <f ca="1">IFERROR(__xludf.DUMMYFUNCTION("""COMPUTED_VALUE"""),10)</f>
        <v>10</v>
      </c>
      <c r="M115" s="54"/>
      <c r="N115" s="54">
        <f ca="1">IFERROR(__xludf.DUMMYFUNCTION("""COMPUTED_VALUE"""),137)</f>
        <v>137</v>
      </c>
      <c r="O115" s="54">
        <f ca="1">IFERROR(__xludf.DUMMYFUNCTION("""COMPUTED_VALUE"""),38)</f>
        <v>38</v>
      </c>
      <c r="P115" s="54"/>
      <c r="Q115" s="54">
        <f ca="1">IFERROR(__xludf.DUMMYFUNCTION("""COMPUTED_VALUE"""),38)</f>
        <v>38</v>
      </c>
      <c r="R115" s="54"/>
      <c r="S115" s="54">
        <f ca="1">IFERROR(__xludf.DUMMYFUNCTION("""COMPUTED_VALUE"""),590)</f>
        <v>590</v>
      </c>
      <c r="T115" s="56">
        <f ca="1">IFERROR(__xludf.DUMMYFUNCTION("""COMPUTED_VALUE"""),58)</f>
        <v>58</v>
      </c>
      <c r="U115" s="56"/>
      <c r="V115" s="54">
        <f ca="1">IFERROR(__xludf.DUMMYFUNCTION("""COMPUTED_VALUE"""),205)</f>
        <v>205</v>
      </c>
      <c r="W115" s="54"/>
      <c r="X115" s="54">
        <f ca="1">IFERROR(__xludf.DUMMYFUNCTION("""COMPUTED_VALUE"""),114)</f>
        <v>114</v>
      </c>
      <c r="Y115" s="54"/>
      <c r="Z115" s="2"/>
      <c r="AA115" s="2"/>
      <c r="AB115" s="2"/>
      <c r="AC115" s="2"/>
      <c r="AD115" s="2"/>
      <c r="AE115" s="2"/>
    </row>
    <row r="116" spans="1:31" ht="12.75" x14ac:dyDescent="0.2">
      <c r="A116" s="53">
        <f ca="1">IFERROR(__xludf.DUMMYFUNCTION("""COMPUTED_VALUE"""),108)</f>
        <v>108</v>
      </c>
      <c r="B116" s="53" t="str">
        <f ca="1">IFERROR(__xludf.DUMMYFUNCTION("""COMPUTED_VALUE"""),"THCS BÌNH QUỚI TÂY")</f>
        <v>THCS BÌNH QUỚI TÂY</v>
      </c>
      <c r="C116" s="53" t="str">
        <f ca="1">IFERROR(__xludf.DUMMYFUNCTION("""COMPUTED_VALUE"""),"THCS")</f>
        <v>THCS</v>
      </c>
      <c r="D116" s="53" t="str">
        <f ca="1">IFERROR(__xludf.DUMMYFUNCTION("""COMPUTED_VALUE"""),"BÌNH THẠNH")</f>
        <v>BÌNH THẠNH</v>
      </c>
      <c r="E116" s="54">
        <f ca="1">IFERROR(__xludf.DUMMYFUNCTION("""COMPUTED_VALUE"""),39)</f>
        <v>39</v>
      </c>
      <c r="F116" s="54">
        <f ca="1">IFERROR(__xludf.DUMMYFUNCTION("""COMPUTED_VALUE"""),39)</f>
        <v>39</v>
      </c>
      <c r="G116" s="54"/>
      <c r="H116" s="54">
        <f ca="1">IFERROR(__xludf.DUMMYFUNCTION("""COMPUTED_VALUE"""),39)</f>
        <v>39</v>
      </c>
      <c r="I116" s="54"/>
      <c r="J116" s="54">
        <f ca="1">IFERROR(__xludf.DUMMYFUNCTION("""COMPUTED_VALUE"""),28)</f>
        <v>28</v>
      </c>
      <c r="K116" s="54"/>
      <c r="L116" s="54">
        <f ca="1">IFERROR(__xludf.DUMMYFUNCTION("""COMPUTED_VALUE"""),4)</f>
        <v>4</v>
      </c>
      <c r="M116" s="54"/>
      <c r="N116" s="54">
        <f ca="1">IFERROR(__xludf.DUMMYFUNCTION("""COMPUTED_VALUE"""),207)</f>
        <v>207</v>
      </c>
      <c r="O116" s="54">
        <f ca="1">IFERROR(__xludf.DUMMYFUNCTION("""COMPUTED_VALUE"""),152)</f>
        <v>152</v>
      </c>
      <c r="P116" s="54"/>
      <c r="Q116" s="54">
        <f ca="1">IFERROR(__xludf.DUMMYFUNCTION("""COMPUTED_VALUE"""),109)</f>
        <v>109</v>
      </c>
      <c r="R116" s="54"/>
      <c r="S116" s="54">
        <f ca="1">IFERROR(__xludf.DUMMYFUNCTION("""COMPUTED_VALUE"""),443)</f>
        <v>443</v>
      </c>
      <c r="T116" s="54">
        <f ca="1">IFERROR(__xludf.DUMMYFUNCTION("""COMPUTED_VALUE"""),413)</f>
        <v>413</v>
      </c>
      <c r="U116" s="54"/>
      <c r="V116" s="54">
        <f ca="1">IFERROR(__xludf.DUMMYFUNCTION("""COMPUTED_VALUE"""),353)</f>
        <v>353</v>
      </c>
      <c r="W116" s="54"/>
      <c r="X116" s="54">
        <f ca="1">IFERROR(__xludf.DUMMYFUNCTION("""COMPUTED_VALUE"""),189)</f>
        <v>189</v>
      </c>
      <c r="Y116" s="54"/>
      <c r="Z116" s="2"/>
      <c r="AA116" s="2"/>
      <c r="AB116" s="2"/>
      <c r="AC116" s="2"/>
      <c r="AD116" s="2"/>
      <c r="AE116" s="2"/>
    </row>
    <row r="117" spans="1:31" ht="12.75" x14ac:dyDescent="0.2">
      <c r="A117" s="53">
        <f ca="1">IFERROR(__xludf.DUMMYFUNCTION("""COMPUTED_VALUE"""),109)</f>
        <v>109</v>
      </c>
      <c r="B117" s="53" t="str">
        <f ca="1">IFERROR(__xludf.DUMMYFUNCTION("""COMPUTED_VALUE"""),"THCS ANH QUỐC")</f>
        <v>THCS ANH QUỐC</v>
      </c>
      <c r="C117" s="53" t="str">
        <f ca="1">IFERROR(__xludf.DUMMYFUNCTION("""COMPUTED_VALUE"""),"THCS")</f>
        <v>THCS</v>
      </c>
      <c r="D117" s="53" t="str">
        <f ca="1">IFERROR(__xludf.DUMMYFUNCTION("""COMPUTED_VALUE"""),"BÌNH THẠNH")</f>
        <v>BÌNH THẠNH</v>
      </c>
      <c r="E117" s="54">
        <f ca="1">IFERROR(__xludf.DUMMYFUNCTION("""COMPUTED_VALUE"""),56)</f>
        <v>56</v>
      </c>
      <c r="F117" s="54">
        <f ca="1">IFERROR(__xludf.DUMMYFUNCTION("""COMPUTED_VALUE"""),56)</f>
        <v>56</v>
      </c>
      <c r="G117" s="54"/>
      <c r="H117" s="54">
        <f ca="1">IFERROR(__xludf.DUMMYFUNCTION("""COMPUTED_VALUE"""),56)</f>
        <v>56</v>
      </c>
      <c r="I117" s="54"/>
      <c r="J117" s="54">
        <f ca="1">IFERROR(__xludf.DUMMYFUNCTION("""COMPUTED_VALUE"""),48)</f>
        <v>48</v>
      </c>
      <c r="K117" s="54"/>
      <c r="L117" s="54">
        <f ca="1">IFERROR(__xludf.DUMMYFUNCTION("""COMPUTED_VALUE"""),0)</f>
        <v>0</v>
      </c>
      <c r="M117" s="54"/>
      <c r="N117" s="54">
        <f ca="1">IFERROR(__xludf.DUMMYFUNCTION("""COMPUTED_VALUE"""),59)</f>
        <v>59</v>
      </c>
      <c r="O117" s="54">
        <f ca="1">IFERROR(__xludf.DUMMYFUNCTION("""COMPUTED_VALUE"""),27)</f>
        <v>27</v>
      </c>
      <c r="P117" s="54"/>
      <c r="Q117" s="54">
        <f ca="1">IFERROR(__xludf.DUMMYFUNCTION("""COMPUTED_VALUE"""),15)</f>
        <v>15</v>
      </c>
      <c r="R117" s="54"/>
      <c r="S117" s="54">
        <f ca="1">IFERROR(__xludf.DUMMYFUNCTION("""COMPUTED_VALUE"""),246)</f>
        <v>246</v>
      </c>
      <c r="T117" s="54">
        <f ca="1">IFERROR(__xludf.DUMMYFUNCTION("""COMPUTED_VALUE"""),240)</f>
        <v>240</v>
      </c>
      <c r="U117" s="54"/>
      <c r="V117" s="54">
        <f ca="1">IFERROR(__xludf.DUMMYFUNCTION("""COMPUTED_VALUE"""),205)</f>
        <v>205</v>
      </c>
      <c r="W117" s="54"/>
      <c r="X117" s="54">
        <f ca="1">IFERROR(__xludf.DUMMYFUNCTION("""COMPUTED_VALUE"""),148)</f>
        <v>148</v>
      </c>
      <c r="Y117" s="54"/>
      <c r="Z117" s="2"/>
      <c r="AA117" s="2"/>
      <c r="AB117" s="2"/>
      <c r="AC117" s="2"/>
      <c r="AD117" s="2"/>
      <c r="AE117" s="2"/>
    </row>
    <row r="118" spans="1:31" ht="12.75" x14ac:dyDescent="0.2">
      <c r="A118" s="53">
        <f ca="1">IFERROR(__xludf.DUMMYFUNCTION("""COMPUTED_VALUE"""),110)</f>
        <v>110</v>
      </c>
      <c r="B118" s="53" t="str">
        <f ca="1">IFERROR(__xludf.DUMMYFUNCTION("""COMPUTED_VALUE"""),"THCS MÙA XUÂN")</f>
        <v>THCS MÙA XUÂN</v>
      </c>
      <c r="C118" s="53" t="str">
        <f ca="1">IFERROR(__xludf.DUMMYFUNCTION("""COMPUTED_VALUE"""),"THCS")</f>
        <v>THCS</v>
      </c>
      <c r="D118" s="53" t="str">
        <f ca="1">IFERROR(__xludf.DUMMYFUNCTION("""COMPUTED_VALUE"""),"BÌNH THẠNH")</f>
        <v>BÌNH THẠNH</v>
      </c>
      <c r="E118" s="54">
        <f ca="1">IFERROR(__xludf.DUMMYFUNCTION("""COMPUTED_VALUE"""),424)</f>
        <v>424</v>
      </c>
      <c r="F118" s="54">
        <f ca="1">IFERROR(__xludf.DUMMYFUNCTION("""COMPUTED_VALUE"""),424)</f>
        <v>424</v>
      </c>
      <c r="G118" s="54"/>
      <c r="H118" s="54">
        <f ca="1">IFERROR(__xludf.DUMMYFUNCTION("""COMPUTED_VALUE"""),424)</f>
        <v>424</v>
      </c>
      <c r="I118" s="54"/>
      <c r="J118" s="54">
        <f ca="1">IFERROR(__xludf.DUMMYFUNCTION("""COMPUTED_VALUE"""),400)</f>
        <v>400</v>
      </c>
      <c r="K118" s="54"/>
      <c r="L118" s="54">
        <f ca="1">IFERROR(__xludf.DUMMYFUNCTION("""COMPUTED_VALUE"""),125)</f>
        <v>125</v>
      </c>
      <c r="M118" s="54"/>
      <c r="N118" s="54">
        <f ca="1">IFERROR(__xludf.DUMMYFUNCTION("""COMPUTED_VALUE"""),165)</f>
        <v>165</v>
      </c>
      <c r="O118" s="54">
        <f ca="1">IFERROR(__xludf.DUMMYFUNCTION("""COMPUTED_VALUE"""),53)</f>
        <v>53</v>
      </c>
      <c r="P118" s="54"/>
      <c r="Q118" s="54">
        <f ca="1">IFERROR(__xludf.DUMMYFUNCTION("""COMPUTED_VALUE"""),23)</f>
        <v>23</v>
      </c>
      <c r="R118" s="54"/>
      <c r="S118" s="54">
        <f ca="1">IFERROR(__xludf.DUMMYFUNCTION("""COMPUTED_VALUE"""),526)</f>
        <v>526</v>
      </c>
      <c r="T118" s="56">
        <f ca="1">IFERROR(__xludf.DUMMYFUNCTION("""COMPUTED_VALUE"""),459)</f>
        <v>459</v>
      </c>
      <c r="U118" s="56"/>
      <c r="V118" s="54">
        <f ca="1">IFERROR(__xludf.DUMMYFUNCTION("""COMPUTED_VALUE"""),404)</f>
        <v>404</v>
      </c>
      <c r="W118" s="54"/>
      <c r="X118" s="54">
        <f ca="1">IFERROR(__xludf.DUMMYFUNCTION("""COMPUTED_VALUE"""),62)</f>
        <v>62</v>
      </c>
      <c r="Y118" s="54"/>
      <c r="Z118" s="2"/>
      <c r="AA118" s="2"/>
      <c r="AB118" s="2"/>
      <c r="AC118" s="2"/>
      <c r="AD118" s="2"/>
      <c r="AE118" s="2"/>
    </row>
    <row r="119" spans="1:31" ht="12.75" x14ac:dyDescent="0.2">
      <c r="A119" s="53">
        <f ca="1">IFERROR(__xludf.DUMMYFUNCTION("""COMPUTED_VALUE"""),111)</f>
        <v>111</v>
      </c>
      <c r="B119" s="53" t="str">
        <f ca="1">IFERROR(__xludf.DUMMYFUNCTION("""COMPUTED_VALUE"""),"THCS VINSCHOOL")</f>
        <v>THCS VINSCHOOL</v>
      </c>
      <c r="C119" s="53" t="str">
        <f ca="1">IFERROR(__xludf.DUMMYFUNCTION("""COMPUTED_VALUE"""),"THCS")</f>
        <v>THCS</v>
      </c>
      <c r="D119" s="53" t="str">
        <f ca="1">IFERROR(__xludf.DUMMYFUNCTION("""COMPUTED_VALUE"""),"BÌNH THẠNH")</f>
        <v>BÌNH THẠNH</v>
      </c>
      <c r="E119" s="54">
        <f ca="1">IFERROR(__xludf.DUMMYFUNCTION("""COMPUTED_VALUE"""),167)</f>
        <v>167</v>
      </c>
      <c r="F119" s="54">
        <f ca="1">IFERROR(__xludf.DUMMYFUNCTION("""COMPUTED_VALUE"""),165)</f>
        <v>165</v>
      </c>
      <c r="G119" s="54"/>
      <c r="H119" s="54">
        <f ca="1">IFERROR(__xludf.DUMMYFUNCTION("""COMPUTED_VALUE"""),164)</f>
        <v>164</v>
      </c>
      <c r="I119" s="54"/>
      <c r="J119" s="54">
        <f ca="1">IFERROR(__xludf.DUMMYFUNCTION("""COMPUTED_VALUE"""),134)</f>
        <v>134</v>
      </c>
      <c r="K119" s="54"/>
      <c r="L119" s="54">
        <f ca="1">IFERROR(__xludf.DUMMYFUNCTION("""COMPUTED_VALUE"""),0)</f>
        <v>0</v>
      </c>
      <c r="M119" s="54"/>
      <c r="N119" s="54">
        <f ca="1">IFERROR(__xludf.DUMMYFUNCTION("""COMPUTED_VALUE"""),537)</f>
        <v>537</v>
      </c>
      <c r="O119" s="54">
        <f ca="1">IFERROR(__xludf.DUMMYFUNCTION("""COMPUTED_VALUE"""),46)</f>
        <v>46</v>
      </c>
      <c r="P119" s="54"/>
      <c r="Q119" s="54">
        <f ca="1">IFERROR(__xludf.DUMMYFUNCTION("""COMPUTED_VALUE"""),33)</f>
        <v>33</v>
      </c>
      <c r="R119" s="54"/>
      <c r="S119" s="54">
        <f ca="1">IFERROR(__xludf.DUMMYFUNCTION("""COMPUTED_VALUE"""),2505)</f>
        <v>2505</v>
      </c>
      <c r="T119" s="56">
        <f ca="1">IFERROR(__xludf.DUMMYFUNCTION("""COMPUTED_VALUE"""),1135)</f>
        <v>1135</v>
      </c>
      <c r="U119" s="56"/>
      <c r="V119" s="54">
        <f ca="1">IFERROR(__xludf.DUMMYFUNCTION("""COMPUTED_VALUE"""),1135)</f>
        <v>1135</v>
      </c>
      <c r="W119" s="54"/>
      <c r="X119" s="54">
        <f ca="1">IFERROR(__xludf.DUMMYFUNCTION("""COMPUTED_VALUE"""),197)</f>
        <v>197</v>
      </c>
      <c r="Y119" s="54"/>
      <c r="Z119" s="2"/>
      <c r="AA119" s="2"/>
      <c r="AB119" s="2"/>
      <c r="AC119" s="2"/>
      <c r="AD119" s="2"/>
      <c r="AE119" s="2"/>
    </row>
    <row r="120" spans="1:31" ht="12.75" x14ac:dyDescent="0.2">
      <c r="A120" s="53" t="str">
        <f ca="1">IFERROR(__xludf.DUMMYFUNCTION("""COMPUTED_VALUE"""),"THPT")</f>
        <v>THPT</v>
      </c>
      <c r="B120" s="53"/>
      <c r="C120" s="53"/>
      <c r="D120" s="53"/>
      <c r="E120" s="54">
        <f ca="1">IFERROR(__xludf.DUMMYFUNCTION("""COMPUTED_VALUE"""),732)</f>
        <v>732</v>
      </c>
      <c r="F120" s="54">
        <f ca="1">IFERROR(__xludf.DUMMYFUNCTION("""COMPUTED_VALUE"""),731)</f>
        <v>731</v>
      </c>
      <c r="G120" s="54"/>
      <c r="H120" s="54">
        <f ca="1">IFERROR(__xludf.DUMMYFUNCTION("""COMPUTED_VALUE"""),730)</f>
        <v>730</v>
      </c>
      <c r="I120" s="54"/>
      <c r="J120" s="54">
        <f ca="1">IFERROR(__xludf.DUMMYFUNCTION("""COMPUTED_VALUE"""),626)</f>
        <v>626</v>
      </c>
      <c r="K120" s="54"/>
      <c r="L120" s="54">
        <f ca="1">IFERROR(__xludf.DUMMYFUNCTION("""COMPUTED_VALUE"""),216)</f>
        <v>216</v>
      </c>
      <c r="M120" s="54"/>
      <c r="N120" s="53"/>
      <c r="O120" s="53"/>
      <c r="P120" s="53"/>
      <c r="Q120" s="53"/>
      <c r="R120" s="53"/>
      <c r="S120" s="56">
        <f ca="1">IFERROR(__xludf.DUMMYFUNCTION("""COMPUTED_VALUE"""),4326)</f>
        <v>4326</v>
      </c>
      <c r="T120" s="53">
        <f ca="1">IFERROR(__xludf.DUMMYFUNCTION("""COMPUTED_VALUE"""),4281)</f>
        <v>4281</v>
      </c>
      <c r="U120" s="53"/>
      <c r="V120" s="53">
        <f ca="1">IFERROR(__xludf.DUMMYFUNCTION("""COMPUTED_VALUE"""),1845)</f>
        <v>1845</v>
      </c>
      <c r="W120" s="53"/>
      <c r="X120" s="53">
        <f ca="1">IFERROR(__xludf.DUMMYFUNCTION("""COMPUTED_VALUE"""),546)</f>
        <v>546</v>
      </c>
      <c r="Y120" s="53"/>
      <c r="Z120" s="2"/>
      <c r="AA120" s="2"/>
      <c r="AB120" s="2"/>
      <c r="AC120" s="2"/>
      <c r="AD120" s="2"/>
      <c r="AE120" s="2"/>
    </row>
    <row r="121" spans="1:31" ht="12.75" x14ac:dyDescent="0.2">
      <c r="A121" s="53">
        <f ca="1">IFERROR(__xludf.DUMMYFUNCTION("""COMPUTED_VALUE"""),112)</f>
        <v>112</v>
      </c>
      <c r="B121" s="53" t="str">
        <f ca="1">IFERROR(__xludf.DUMMYFUNCTION("""COMPUTED_VALUE"""),"THPT Võ Thị Sáu")</f>
        <v>THPT Võ Thị Sáu</v>
      </c>
      <c r="C121" s="53" t="str">
        <f ca="1">IFERROR(__xludf.DUMMYFUNCTION("""COMPUTED_VALUE"""),"THPT")</f>
        <v>THPT</v>
      </c>
      <c r="D121" s="53" t="str">
        <f ca="1">IFERROR(__xludf.DUMMYFUNCTION("""COMPUTED_VALUE"""),"BÌNH THẠNH")</f>
        <v>BÌNH THẠNH</v>
      </c>
      <c r="E121" s="54">
        <f ca="1">IFERROR(__xludf.DUMMYFUNCTION("""COMPUTED_VALUE"""),128)</f>
        <v>128</v>
      </c>
      <c r="F121" s="54">
        <f ca="1">IFERROR(__xludf.DUMMYFUNCTION("""COMPUTED_VALUE"""),127)</f>
        <v>127</v>
      </c>
      <c r="G121" s="54"/>
      <c r="H121" s="54">
        <f ca="1">IFERROR(__xludf.DUMMYFUNCTION("""COMPUTED_VALUE"""),127)</f>
        <v>127</v>
      </c>
      <c r="I121" s="54"/>
      <c r="J121" s="54">
        <f ca="1">IFERROR(__xludf.DUMMYFUNCTION("""COMPUTED_VALUE"""),71)</f>
        <v>71</v>
      </c>
      <c r="K121" s="54"/>
      <c r="L121" s="54">
        <f ca="1">IFERROR(__xludf.DUMMYFUNCTION("""COMPUTED_VALUE"""),56)</f>
        <v>56</v>
      </c>
      <c r="M121" s="54"/>
      <c r="N121" s="53"/>
      <c r="O121" s="53"/>
      <c r="P121" s="53"/>
      <c r="Q121" s="53"/>
      <c r="R121" s="53"/>
      <c r="S121" s="54">
        <f ca="1">IFERROR(__xludf.DUMMYFUNCTION("""COMPUTED_VALUE"""),1845)</f>
        <v>1845</v>
      </c>
      <c r="T121" s="53">
        <f ca="1">IFERROR(__xludf.DUMMYFUNCTION("""COMPUTED_VALUE"""),1840)</f>
        <v>1840</v>
      </c>
      <c r="U121" s="53"/>
      <c r="V121" s="54">
        <f ca="1">IFERROR(__xludf.DUMMYFUNCTION("""COMPUTED_VALUE"""),1839)</f>
        <v>1839</v>
      </c>
      <c r="W121" s="54"/>
      <c r="X121" s="54">
        <f ca="1">IFERROR(__xludf.DUMMYFUNCTION("""COMPUTED_VALUE"""),819)</f>
        <v>819</v>
      </c>
      <c r="Y121" s="54"/>
      <c r="Z121" s="2"/>
      <c r="AA121" s="2"/>
      <c r="AB121" s="2"/>
      <c r="AC121" s="2"/>
      <c r="AD121" s="2"/>
      <c r="AE121" s="2"/>
    </row>
    <row r="122" spans="1:31" ht="12.75" x14ac:dyDescent="0.2">
      <c r="A122" s="53">
        <f ca="1">IFERROR(__xludf.DUMMYFUNCTION("""COMPUTED_VALUE"""),113)</f>
        <v>113</v>
      </c>
      <c r="B122" s="53" t="str">
        <f ca="1">IFERROR(__xludf.DUMMYFUNCTION("""COMPUTED_VALUE"""),"THPT Phan Đăng Lưu")</f>
        <v>THPT Phan Đăng Lưu</v>
      </c>
      <c r="C122" s="53" t="str">
        <f ca="1">IFERROR(__xludf.DUMMYFUNCTION("""COMPUTED_VALUE"""),"THPT")</f>
        <v>THPT</v>
      </c>
      <c r="D122" s="53" t="str">
        <f ca="1">IFERROR(__xludf.DUMMYFUNCTION("""COMPUTED_VALUE"""),"BÌNH THẠNH")</f>
        <v>BÌNH THẠNH</v>
      </c>
      <c r="E122" s="54">
        <f ca="1">IFERROR(__xludf.DUMMYFUNCTION("""COMPUTED_VALUE"""),103)</f>
        <v>103</v>
      </c>
      <c r="F122" s="54">
        <f ca="1">IFERROR(__xludf.DUMMYFUNCTION("""COMPUTED_VALUE"""),103)</f>
        <v>103</v>
      </c>
      <c r="G122" s="54"/>
      <c r="H122" s="54">
        <f ca="1">IFERROR(__xludf.DUMMYFUNCTION("""COMPUTED_VALUE"""),103)</f>
        <v>103</v>
      </c>
      <c r="I122" s="54"/>
      <c r="J122" s="54">
        <f ca="1">IFERROR(__xludf.DUMMYFUNCTION("""COMPUTED_VALUE"""),99)</f>
        <v>99</v>
      </c>
      <c r="K122" s="54"/>
      <c r="L122" s="54">
        <f ca="1">IFERROR(__xludf.DUMMYFUNCTION("""COMPUTED_VALUE"""),33)</f>
        <v>33</v>
      </c>
      <c r="M122" s="54"/>
      <c r="N122" s="53"/>
      <c r="O122" s="53"/>
      <c r="P122" s="53"/>
      <c r="Q122" s="53"/>
      <c r="R122" s="53"/>
      <c r="S122" s="54">
        <f ca="1">IFERROR(__xludf.DUMMYFUNCTION("""COMPUTED_VALUE"""),2317)</f>
        <v>2317</v>
      </c>
      <c r="T122" s="54">
        <f ca="1">IFERROR(__xludf.DUMMYFUNCTION("""COMPUTED_VALUE"""),2299)</f>
        <v>2299</v>
      </c>
      <c r="U122" s="54"/>
      <c r="V122" s="54">
        <f ca="1">IFERROR(__xludf.DUMMYFUNCTION("""COMPUTED_VALUE"""),2289)</f>
        <v>2289</v>
      </c>
      <c r="W122" s="54"/>
      <c r="X122" s="54">
        <f ca="1">IFERROR(__xludf.DUMMYFUNCTION("""COMPUTED_VALUE"""),1156)</f>
        <v>1156</v>
      </c>
      <c r="Y122" s="54"/>
      <c r="Z122" s="2"/>
      <c r="AA122" s="2"/>
      <c r="AB122" s="2"/>
      <c r="AC122" s="2"/>
      <c r="AD122" s="2"/>
      <c r="AE122" s="2"/>
    </row>
    <row r="123" spans="1:31" ht="12.75" x14ac:dyDescent="0.2">
      <c r="A123" s="53">
        <f ca="1">IFERROR(__xludf.DUMMYFUNCTION("""COMPUTED_VALUE"""),114)</f>
        <v>114</v>
      </c>
      <c r="B123" s="53" t="str">
        <f ca="1">IFERROR(__xludf.DUMMYFUNCTION("""COMPUTED_VALUE"""),"THPT Hoàng Hoa Thám")</f>
        <v>THPT Hoàng Hoa Thám</v>
      </c>
      <c r="C123" s="53" t="str">
        <f ca="1">IFERROR(__xludf.DUMMYFUNCTION("""COMPUTED_VALUE"""),"THPT")</f>
        <v>THPT</v>
      </c>
      <c r="D123" s="53" t="str">
        <f ca="1">IFERROR(__xludf.DUMMYFUNCTION("""COMPUTED_VALUE"""),"BÌNH THẠNH")</f>
        <v>BÌNH THẠNH</v>
      </c>
      <c r="E123" s="54">
        <f ca="1">IFERROR(__xludf.DUMMYFUNCTION("""COMPUTED_VALUE"""),125)</f>
        <v>125</v>
      </c>
      <c r="F123" s="54">
        <f ca="1">IFERROR(__xludf.DUMMYFUNCTION("""COMPUTED_VALUE"""),125)</f>
        <v>125</v>
      </c>
      <c r="G123" s="54"/>
      <c r="H123" s="54">
        <f ca="1">IFERROR(__xludf.DUMMYFUNCTION("""COMPUTED_VALUE"""),124)</f>
        <v>124</v>
      </c>
      <c r="I123" s="54"/>
      <c r="J123" s="54">
        <f ca="1">IFERROR(__xludf.DUMMYFUNCTION("""COMPUTED_VALUE"""),103)</f>
        <v>103</v>
      </c>
      <c r="K123" s="54"/>
      <c r="L123" s="54">
        <f ca="1">IFERROR(__xludf.DUMMYFUNCTION("""COMPUTED_VALUE"""),52)</f>
        <v>52</v>
      </c>
      <c r="M123" s="54"/>
      <c r="N123" s="53"/>
      <c r="O123" s="53"/>
      <c r="P123" s="53"/>
      <c r="Q123" s="53"/>
      <c r="R123" s="53"/>
      <c r="S123" s="54">
        <f ca="1">IFERROR(__xludf.DUMMYFUNCTION("""COMPUTED_VALUE"""),1911)</f>
        <v>1911</v>
      </c>
      <c r="T123" s="53">
        <f ca="1">IFERROR(__xludf.DUMMYFUNCTION("""COMPUTED_VALUE"""),1898)</f>
        <v>1898</v>
      </c>
      <c r="U123" s="53"/>
      <c r="V123" s="54">
        <f ca="1">IFERROR(__xludf.DUMMYFUNCTION("""COMPUTED_VALUE"""),1882)</f>
        <v>1882</v>
      </c>
      <c r="W123" s="54"/>
      <c r="X123" s="54">
        <f ca="1">IFERROR(__xludf.DUMMYFUNCTION("""COMPUTED_VALUE"""),870)</f>
        <v>870</v>
      </c>
      <c r="Y123" s="54"/>
      <c r="Z123" s="2"/>
      <c r="AA123" s="2"/>
      <c r="AB123" s="2"/>
      <c r="AC123" s="2"/>
      <c r="AD123" s="2"/>
      <c r="AE123" s="2"/>
    </row>
    <row r="124" spans="1:31" ht="12.75" x14ac:dyDescent="0.2">
      <c r="A124" s="53">
        <f ca="1">IFERROR(__xludf.DUMMYFUNCTION("""COMPUTED_VALUE"""),115)</f>
        <v>115</v>
      </c>
      <c r="B124" s="53" t="str">
        <f ca="1">IFERROR(__xludf.DUMMYFUNCTION("""COMPUTED_VALUE"""),"THPT Trần Văn Giàu")</f>
        <v>THPT Trần Văn Giàu</v>
      </c>
      <c r="C124" s="53" t="str">
        <f ca="1">IFERROR(__xludf.DUMMYFUNCTION("""COMPUTED_VALUE"""),"THPT")</f>
        <v>THPT</v>
      </c>
      <c r="D124" s="53" t="str">
        <f ca="1">IFERROR(__xludf.DUMMYFUNCTION("""COMPUTED_VALUE"""),"BÌNH THẠNH")</f>
        <v>BÌNH THẠNH</v>
      </c>
      <c r="E124" s="54">
        <f ca="1">IFERROR(__xludf.DUMMYFUNCTION("""COMPUTED_VALUE"""),96)</f>
        <v>96</v>
      </c>
      <c r="F124" s="54">
        <f ca="1">IFERROR(__xludf.DUMMYFUNCTION("""COMPUTED_VALUE"""),96)</f>
        <v>96</v>
      </c>
      <c r="G124" s="54"/>
      <c r="H124" s="54">
        <f ca="1">IFERROR(__xludf.DUMMYFUNCTION("""COMPUTED_VALUE"""),96)</f>
        <v>96</v>
      </c>
      <c r="I124" s="54"/>
      <c r="J124" s="54">
        <f ca="1">IFERROR(__xludf.DUMMYFUNCTION("""COMPUTED_VALUE"""),84)</f>
        <v>84</v>
      </c>
      <c r="K124" s="54"/>
      <c r="L124" s="54">
        <f ca="1">IFERROR(__xludf.DUMMYFUNCTION("""COMPUTED_VALUE"""),19)</f>
        <v>19</v>
      </c>
      <c r="M124" s="54"/>
      <c r="N124" s="53"/>
      <c r="O124" s="53"/>
      <c r="P124" s="53"/>
      <c r="Q124" s="53"/>
      <c r="R124" s="53"/>
      <c r="S124" s="54">
        <f ca="1">IFERROR(__xludf.DUMMYFUNCTION("""COMPUTED_VALUE"""),2622)</f>
        <v>2622</v>
      </c>
      <c r="T124" s="53">
        <f ca="1">IFERROR(__xludf.DUMMYFUNCTION("""COMPUTED_VALUE"""),2617)</f>
        <v>2617</v>
      </c>
      <c r="U124" s="53"/>
      <c r="V124" s="54">
        <f ca="1">IFERROR(__xludf.DUMMYFUNCTION("""COMPUTED_VALUE"""),2602)</f>
        <v>2602</v>
      </c>
      <c r="W124" s="54"/>
      <c r="X124" s="54">
        <f ca="1">IFERROR(__xludf.DUMMYFUNCTION("""COMPUTED_VALUE"""),802)</f>
        <v>802</v>
      </c>
      <c r="Y124" s="54"/>
      <c r="Z124" s="2"/>
      <c r="AA124" s="2"/>
      <c r="AB124" s="2"/>
      <c r="AC124" s="2"/>
      <c r="AD124" s="2"/>
      <c r="AE124" s="2"/>
    </row>
    <row r="125" spans="1:31" ht="12.75" x14ac:dyDescent="0.2">
      <c r="A125" s="53">
        <f ca="1">IFERROR(__xludf.DUMMYFUNCTION("""COMPUTED_VALUE"""),116)</f>
        <v>116</v>
      </c>
      <c r="B125" s="53" t="str">
        <f ca="1">IFERROR(__xludf.DUMMYFUNCTION("""COMPUTED_VALUE"""),"THPT Gia Định")</f>
        <v>THPT Gia Định</v>
      </c>
      <c r="C125" s="53" t="str">
        <f ca="1">IFERROR(__xludf.DUMMYFUNCTION("""COMPUTED_VALUE"""),"THPT")</f>
        <v>THPT</v>
      </c>
      <c r="D125" s="53" t="str">
        <f ca="1">IFERROR(__xludf.DUMMYFUNCTION("""COMPUTED_VALUE"""),"BÌNH THẠNH")</f>
        <v>BÌNH THẠNH</v>
      </c>
      <c r="E125" s="54">
        <f ca="1">IFERROR(__xludf.DUMMYFUNCTION("""COMPUTED_VALUE"""),148)</f>
        <v>148</v>
      </c>
      <c r="F125" s="54">
        <f ca="1">IFERROR(__xludf.DUMMYFUNCTION("""COMPUTED_VALUE"""),148)</f>
        <v>148</v>
      </c>
      <c r="G125" s="54"/>
      <c r="H125" s="54">
        <f ca="1">IFERROR(__xludf.DUMMYFUNCTION("""COMPUTED_VALUE"""),148)</f>
        <v>148</v>
      </c>
      <c r="I125" s="54"/>
      <c r="J125" s="54">
        <f ca="1">IFERROR(__xludf.DUMMYFUNCTION("""COMPUTED_VALUE"""),137)</f>
        <v>137</v>
      </c>
      <c r="K125" s="54"/>
      <c r="L125" s="54">
        <f ca="1">IFERROR(__xludf.DUMMYFUNCTION("""COMPUTED_VALUE"""),22)</f>
        <v>22</v>
      </c>
      <c r="M125" s="54"/>
      <c r="N125" s="53"/>
      <c r="O125" s="53"/>
      <c r="P125" s="53"/>
      <c r="Q125" s="53"/>
      <c r="R125" s="53"/>
      <c r="S125" s="54">
        <f ca="1">IFERROR(__xludf.DUMMYFUNCTION("""COMPUTED_VALUE"""),1470)</f>
        <v>1470</v>
      </c>
      <c r="T125" s="53">
        <f ca="1">IFERROR(__xludf.DUMMYFUNCTION("""COMPUTED_VALUE"""),1445)</f>
        <v>1445</v>
      </c>
      <c r="U125" s="53"/>
      <c r="V125" s="54">
        <f ca="1">IFERROR(__xludf.DUMMYFUNCTION("""COMPUTED_VALUE"""),1412)</f>
        <v>1412</v>
      </c>
      <c r="W125" s="54"/>
      <c r="X125" s="54">
        <f ca="1">IFERROR(__xludf.DUMMYFUNCTION("""COMPUTED_VALUE"""),899)</f>
        <v>899</v>
      </c>
      <c r="Y125" s="54"/>
      <c r="Z125" s="2"/>
      <c r="AA125" s="2"/>
      <c r="AB125" s="2"/>
      <c r="AC125" s="2"/>
      <c r="AD125" s="2"/>
      <c r="AE125" s="2"/>
    </row>
    <row r="126" spans="1:31" ht="12.75" x14ac:dyDescent="0.2">
      <c r="A126" s="53">
        <f ca="1">IFERROR(__xludf.DUMMYFUNCTION("""COMPUTED_VALUE"""),117)</f>
        <v>117</v>
      </c>
      <c r="B126" s="53" t="str">
        <f ca="1">IFERROR(__xludf.DUMMYFUNCTION("""COMPUTED_VALUE"""),"THPT Thanh Đa")</f>
        <v>THPT Thanh Đa</v>
      </c>
      <c r="C126" s="53" t="str">
        <f ca="1">IFERROR(__xludf.DUMMYFUNCTION("""COMPUTED_VALUE"""),"THPT")</f>
        <v>THPT</v>
      </c>
      <c r="D126" s="53" t="str">
        <f ca="1">IFERROR(__xludf.DUMMYFUNCTION("""COMPUTED_VALUE"""),"BÌNH THẠNH")</f>
        <v>BÌNH THẠNH</v>
      </c>
      <c r="E126" s="54">
        <f ca="1">IFERROR(__xludf.DUMMYFUNCTION("""COMPUTED_VALUE"""),89)</f>
        <v>89</v>
      </c>
      <c r="F126" s="54">
        <f ca="1">IFERROR(__xludf.DUMMYFUNCTION("""COMPUTED_VALUE"""),89)</f>
        <v>89</v>
      </c>
      <c r="G126" s="54"/>
      <c r="H126" s="54">
        <f ca="1">IFERROR(__xludf.DUMMYFUNCTION("""COMPUTED_VALUE"""),89)</f>
        <v>89</v>
      </c>
      <c r="I126" s="54"/>
      <c r="J126" s="54">
        <f ca="1">IFERROR(__xludf.DUMMYFUNCTION("""COMPUTED_VALUE"""),89)</f>
        <v>89</v>
      </c>
      <c r="K126" s="54"/>
      <c r="L126" s="54">
        <f ca="1">IFERROR(__xludf.DUMMYFUNCTION("""COMPUTED_VALUE"""),32)</f>
        <v>32</v>
      </c>
      <c r="M126" s="54"/>
      <c r="N126" s="53"/>
      <c r="O126" s="53"/>
      <c r="P126" s="53"/>
      <c r="Q126" s="53"/>
      <c r="R126" s="53"/>
      <c r="S126" s="56">
        <f ca="1">IFERROR(__xludf.DUMMYFUNCTION("""COMPUTED_VALUE"""),1470)</f>
        <v>1470</v>
      </c>
      <c r="T126" s="53">
        <f ca="1">IFERROR(__xludf.DUMMYFUNCTION("""COMPUTED_VALUE"""),1445)</f>
        <v>1445</v>
      </c>
      <c r="U126" s="53"/>
      <c r="V126" s="53">
        <f ca="1">IFERROR(__xludf.DUMMYFUNCTION("""COMPUTED_VALUE"""),1412)</f>
        <v>1412</v>
      </c>
      <c r="W126" s="53"/>
      <c r="X126" s="53">
        <f ca="1">IFERROR(__xludf.DUMMYFUNCTION("""COMPUTED_VALUE"""),63)</f>
        <v>63</v>
      </c>
      <c r="Y126" s="53"/>
      <c r="Z126" s="2"/>
      <c r="AA126" s="2"/>
      <c r="AB126" s="2"/>
      <c r="AC126" s="2"/>
      <c r="AD126" s="2"/>
      <c r="AE126" s="2"/>
    </row>
    <row r="127" spans="1:31" ht="12.75" x14ac:dyDescent="0.2">
      <c r="A127" s="53">
        <f ca="1">IFERROR(__xludf.DUMMYFUNCTION("""COMPUTED_VALUE"""),118)</f>
        <v>118</v>
      </c>
      <c r="B127" s="53" t="str">
        <f ca="1">IFERROR(__xludf.DUMMYFUNCTION("""COMPUTED_VALUE"""),"THPT Sài Gòn")</f>
        <v>THPT Sài Gòn</v>
      </c>
      <c r="C127" s="53" t="str">
        <f ca="1">IFERROR(__xludf.DUMMYFUNCTION("""COMPUTED_VALUE"""),"THPT")</f>
        <v>THPT</v>
      </c>
      <c r="D127" s="53" t="str">
        <f ca="1">IFERROR(__xludf.DUMMYFUNCTION("""COMPUTED_VALUE"""),"BÌNH THẠNH")</f>
        <v>BÌNH THẠNH</v>
      </c>
      <c r="E127" s="54">
        <f ca="1">IFERROR(__xludf.DUMMYFUNCTION("""COMPUTED_VALUE"""),43)</f>
        <v>43</v>
      </c>
      <c r="F127" s="54">
        <f ca="1">IFERROR(__xludf.DUMMYFUNCTION("""COMPUTED_VALUE"""),43)</f>
        <v>43</v>
      </c>
      <c r="G127" s="54"/>
      <c r="H127" s="54">
        <f ca="1">IFERROR(__xludf.DUMMYFUNCTION("""COMPUTED_VALUE"""),43)</f>
        <v>43</v>
      </c>
      <c r="I127" s="54"/>
      <c r="J127" s="54">
        <f ca="1">IFERROR(__xludf.DUMMYFUNCTION("""COMPUTED_VALUE"""),43)</f>
        <v>43</v>
      </c>
      <c r="K127" s="54"/>
      <c r="L127" s="54">
        <f ca="1">IFERROR(__xludf.DUMMYFUNCTION("""COMPUTED_VALUE"""),2)</f>
        <v>2</v>
      </c>
      <c r="M127" s="54"/>
      <c r="N127" s="53"/>
      <c r="O127" s="53"/>
      <c r="P127" s="53"/>
      <c r="Q127" s="53"/>
      <c r="R127" s="53"/>
      <c r="S127" s="54">
        <f ca="1">IFERROR(__xludf.DUMMYFUNCTION("""COMPUTED_VALUE"""),285)</f>
        <v>285</v>
      </c>
      <c r="T127" s="53">
        <f ca="1">IFERROR(__xludf.DUMMYFUNCTION("""COMPUTED_VALUE"""),222)</f>
        <v>222</v>
      </c>
      <c r="U127" s="53"/>
      <c r="V127" s="54">
        <f ca="1">IFERROR(__xludf.DUMMYFUNCTION("""COMPUTED_VALUE"""),222)</f>
        <v>222</v>
      </c>
      <c r="W127" s="54"/>
      <c r="X127" s="54">
        <f ca="1">IFERROR(__xludf.DUMMYFUNCTION("""COMPUTED_VALUE"""),63)</f>
        <v>63</v>
      </c>
      <c r="Y127" s="54"/>
      <c r="Z127" s="2"/>
      <c r="AA127" s="2"/>
      <c r="AB127" s="2"/>
      <c r="AC127" s="2"/>
      <c r="AD127" s="2"/>
      <c r="AE127" s="2"/>
    </row>
    <row r="128" spans="1:31" ht="12.75" x14ac:dyDescent="0.2">
      <c r="A128" s="53" t="str">
        <f ca="1">IFERROR(__xludf.DUMMYFUNCTION("""COMPUTED_VALUE"""),"Chuyên biệt ")</f>
        <v xml:space="preserve">Chuyên biệt </v>
      </c>
      <c r="B128" s="53"/>
      <c r="C128" s="53"/>
      <c r="D128" s="53" t="str">
        <f ca="1">IFERROR(__xludf.DUMMYFUNCTION("""COMPUTED_VALUE"""),"BÌNH THẠNH")</f>
        <v>BÌNH THẠNH</v>
      </c>
      <c r="E128" s="54">
        <f ca="1">IFERROR(__xludf.DUMMYFUNCTION("""COMPUTED_VALUE"""),191)</f>
        <v>191</v>
      </c>
      <c r="F128" s="54">
        <f ca="1">IFERROR(__xludf.DUMMYFUNCTION("""COMPUTED_VALUE"""),186)</f>
        <v>186</v>
      </c>
      <c r="G128" s="54"/>
      <c r="H128" s="54">
        <f ca="1">IFERROR(__xludf.DUMMYFUNCTION("""COMPUTED_VALUE"""),187)</f>
        <v>187</v>
      </c>
      <c r="I128" s="54"/>
      <c r="J128" s="54">
        <f ca="1">IFERROR(__xludf.DUMMYFUNCTION("""COMPUTED_VALUE"""),178)</f>
        <v>178</v>
      </c>
      <c r="K128" s="54"/>
      <c r="L128" s="54">
        <f ca="1">IFERROR(__xludf.DUMMYFUNCTION("""COMPUTED_VALUE"""),68)</f>
        <v>68</v>
      </c>
      <c r="M128" s="54"/>
      <c r="N128" s="54">
        <f ca="1">IFERROR(__xludf.DUMMYFUNCTION("""COMPUTED_VALUE"""),513)</f>
        <v>513</v>
      </c>
      <c r="O128" s="54">
        <f ca="1">IFERROR(__xludf.DUMMYFUNCTION("""COMPUTED_VALUE"""),425)</f>
        <v>425</v>
      </c>
      <c r="P128" s="54"/>
      <c r="Q128" s="54">
        <f ca="1">IFERROR(__xludf.DUMMYFUNCTION("""COMPUTED_VALUE"""),245)</f>
        <v>245</v>
      </c>
      <c r="R128" s="54"/>
      <c r="S128" s="53"/>
      <c r="T128" s="53"/>
      <c r="U128" s="53"/>
      <c r="V128" s="53"/>
      <c r="W128" s="53"/>
      <c r="X128" s="53"/>
      <c r="Y128" s="53"/>
      <c r="Z128" s="2"/>
      <c r="AA128" s="2"/>
      <c r="AB128" s="2"/>
      <c r="AC128" s="2"/>
      <c r="AD128" s="2"/>
      <c r="AE128" s="2"/>
    </row>
    <row r="129" spans="1:31" ht="12.75" x14ac:dyDescent="0.2">
      <c r="A129" s="53">
        <f ca="1">IFERROR(__xludf.DUMMYFUNCTION("""COMPUTED_VALUE"""),119)</f>
        <v>119</v>
      </c>
      <c r="B129" s="53" t="str">
        <f ca="1">IFERROR(__xludf.DUMMYFUNCTION("""COMPUTED_VALUE"""),"GDCB Gia Định")</f>
        <v>GDCB Gia Định</v>
      </c>
      <c r="C129" s="53" t="str">
        <f ca="1">IFERROR(__xludf.DUMMYFUNCTION("""COMPUTED_VALUE"""),"GDCB")</f>
        <v>GDCB</v>
      </c>
      <c r="D129" s="53" t="str">
        <f ca="1">IFERROR(__xludf.DUMMYFUNCTION("""COMPUTED_VALUE"""),"BÌNH THẠNH")</f>
        <v>BÌNH THẠNH</v>
      </c>
      <c r="E129" s="54">
        <f ca="1">IFERROR(__xludf.DUMMYFUNCTION("""COMPUTED_VALUE"""),18)</f>
        <v>18</v>
      </c>
      <c r="F129" s="54">
        <f ca="1">IFERROR(__xludf.DUMMYFUNCTION("""COMPUTED_VALUE"""),18)</f>
        <v>18</v>
      </c>
      <c r="G129" s="54"/>
      <c r="H129" s="54">
        <f ca="1">IFERROR(__xludf.DUMMYFUNCTION("""COMPUTED_VALUE"""),18)</f>
        <v>18</v>
      </c>
      <c r="I129" s="54"/>
      <c r="J129" s="54">
        <f ca="1">IFERROR(__xludf.DUMMYFUNCTION("""COMPUTED_VALUE"""),18)</f>
        <v>18</v>
      </c>
      <c r="K129" s="54"/>
      <c r="L129" s="54">
        <f ca="1">IFERROR(__xludf.DUMMYFUNCTION("""COMPUTED_VALUE"""),2)</f>
        <v>2</v>
      </c>
      <c r="M129" s="54"/>
      <c r="N129" s="54">
        <f ca="1">IFERROR(__xludf.DUMMYFUNCTION("""COMPUTED_VALUE"""),82)</f>
        <v>82</v>
      </c>
      <c r="O129" s="54">
        <f ca="1">IFERROR(__xludf.DUMMYFUNCTION("""COMPUTED_VALUE"""),50)</f>
        <v>50</v>
      </c>
      <c r="P129" s="54"/>
      <c r="Q129" s="54">
        <f ca="1">IFERROR(__xludf.DUMMYFUNCTION("""COMPUTED_VALUE"""),30)</f>
        <v>30</v>
      </c>
      <c r="R129" s="54"/>
      <c r="S129" s="53"/>
      <c r="T129" s="53"/>
      <c r="U129" s="53"/>
      <c r="V129" s="53"/>
      <c r="W129" s="53"/>
      <c r="X129" s="53"/>
      <c r="Y129" s="53"/>
      <c r="Z129" s="2"/>
      <c r="AA129" s="2"/>
      <c r="AB129" s="2"/>
      <c r="AC129" s="2"/>
      <c r="AD129" s="2"/>
      <c r="AE129" s="2"/>
    </row>
    <row r="130" spans="1:31" ht="12.75" x14ac:dyDescent="0.2">
      <c r="A130" s="53">
        <f ca="1">IFERROR(__xludf.DUMMYFUNCTION("""COMPUTED_VALUE"""),120)</f>
        <v>120</v>
      </c>
      <c r="B130" s="53" t="str">
        <f ca="1">IFERROR(__xludf.DUMMYFUNCTION("""COMPUTED_VALUE"""),"GDCB Anh Minh")</f>
        <v>GDCB Anh Minh</v>
      </c>
      <c r="C130" s="53" t="str">
        <f ca="1">IFERROR(__xludf.DUMMYFUNCTION("""COMPUTED_VALUE"""),"GDCB")</f>
        <v>GDCB</v>
      </c>
      <c r="D130" s="53" t="str">
        <f ca="1">IFERROR(__xludf.DUMMYFUNCTION("""COMPUTED_VALUE"""),"BÌNH THẠNH")</f>
        <v>BÌNH THẠNH</v>
      </c>
      <c r="E130" s="54">
        <f ca="1">IFERROR(__xludf.DUMMYFUNCTION("""COMPUTED_VALUE"""),25)</f>
        <v>25</v>
      </c>
      <c r="F130" s="54">
        <f ca="1">IFERROR(__xludf.DUMMYFUNCTION("""COMPUTED_VALUE"""),25)</f>
        <v>25</v>
      </c>
      <c r="G130" s="54"/>
      <c r="H130" s="54">
        <f ca="1">IFERROR(__xludf.DUMMYFUNCTION("""COMPUTED_VALUE"""),25)</f>
        <v>25</v>
      </c>
      <c r="I130" s="54"/>
      <c r="J130" s="54">
        <f ca="1">IFERROR(__xludf.DUMMYFUNCTION("""COMPUTED_VALUE"""),21)</f>
        <v>21</v>
      </c>
      <c r="K130" s="54"/>
      <c r="L130" s="54">
        <f ca="1">IFERROR(__xludf.DUMMYFUNCTION("""COMPUTED_VALUE"""),2)</f>
        <v>2</v>
      </c>
      <c r="M130" s="54"/>
      <c r="N130" s="54">
        <f ca="1">IFERROR(__xludf.DUMMYFUNCTION("""COMPUTED_VALUE"""),104)</f>
        <v>104</v>
      </c>
      <c r="O130" s="54">
        <f ca="1">IFERROR(__xludf.DUMMYFUNCTION("""COMPUTED_VALUE"""),90)</f>
        <v>90</v>
      </c>
      <c r="P130" s="54"/>
      <c r="Q130" s="54">
        <f ca="1">IFERROR(__xludf.DUMMYFUNCTION("""COMPUTED_VALUE"""),50)</f>
        <v>50</v>
      </c>
      <c r="R130" s="54"/>
      <c r="S130" s="53"/>
      <c r="T130" s="53"/>
      <c r="U130" s="53"/>
      <c r="V130" s="53"/>
      <c r="W130" s="53"/>
      <c r="X130" s="53"/>
      <c r="Y130" s="53"/>
      <c r="Z130" s="2"/>
      <c r="AA130" s="2"/>
      <c r="AB130" s="2"/>
      <c r="AC130" s="2"/>
      <c r="AD130" s="2"/>
      <c r="AE130" s="2"/>
    </row>
    <row r="131" spans="1:31" ht="12.75" x14ac:dyDescent="0.2">
      <c r="A131" s="53">
        <f ca="1">IFERROR(__xludf.DUMMYFUNCTION("""COMPUTED_VALUE"""),121)</f>
        <v>121</v>
      </c>
      <c r="B131" s="53" t="str">
        <f ca="1">IFERROR(__xludf.DUMMYFUNCTION("""COMPUTED_VALUE"""),"GDCB Khai Trí")</f>
        <v>GDCB Khai Trí</v>
      </c>
      <c r="C131" s="53" t="str">
        <f ca="1">IFERROR(__xludf.DUMMYFUNCTION("""COMPUTED_VALUE"""),"GDCB")</f>
        <v>GDCB</v>
      </c>
      <c r="D131" s="53" t="str">
        <f ca="1">IFERROR(__xludf.DUMMYFUNCTION("""COMPUTED_VALUE"""),"BÌNH THẠNH")</f>
        <v>BÌNH THẠNH</v>
      </c>
      <c r="E131" s="54">
        <f ca="1">IFERROR(__xludf.DUMMYFUNCTION("""COMPUTED_VALUE"""),48)</f>
        <v>48</v>
      </c>
      <c r="F131" s="54">
        <f ca="1">IFERROR(__xludf.DUMMYFUNCTION("""COMPUTED_VALUE"""),48)</f>
        <v>48</v>
      </c>
      <c r="G131" s="54"/>
      <c r="H131" s="54">
        <f ca="1">IFERROR(__xludf.DUMMYFUNCTION("""COMPUTED_VALUE"""),48)</f>
        <v>48</v>
      </c>
      <c r="I131" s="54"/>
      <c r="J131" s="54">
        <f ca="1">IFERROR(__xludf.DUMMYFUNCTION("""COMPUTED_VALUE"""),40)</f>
        <v>40</v>
      </c>
      <c r="K131" s="54"/>
      <c r="L131" s="54">
        <f ca="1">IFERROR(__xludf.DUMMYFUNCTION("""COMPUTED_VALUE"""),8)</f>
        <v>8</v>
      </c>
      <c r="M131" s="54"/>
      <c r="N131" s="54">
        <f ca="1">IFERROR(__xludf.DUMMYFUNCTION("""COMPUTED_VALUE"""),25)</f>
        <v>25</v>
      </c>
      <c r="O131" s="54">
        <f ca="1">IFERROR(__xludf.DUMMYFUNCTION("""COMPUTED_VALUE"""),23)</f>
        <v>23</v>
      </c>
      <c r="P131" s="54"/>
      <c r="Q131" s="54">
        <f ca="1">IFERROR(__xludf.DUMMYFUNCTION("""COMPUTED_VALUE"""),13)</f>
        <v>13</v>
      </c>
      <c r="R131" s="54"/>
      <c r="S131" s="53"/>
      <c r="T131" s="53"/>
      <c r="U131" s="53"/>
      <c r="V131" s="53"/>
      <c r="W131" s="53"/>
      <c r="X131" s="53"/>
      <c r="Y131" s="53"/>
      <c r="Z131" s="2"/>
      <c r="AA131" s="2"/>
      <c r="AB131" s="2"/>
      <c r="AC131" s="2"/>
      <c r="AD131" s="2"/>
      <c r="AE131" s="2"/>
    </row>
    <row r="132" spans="1:31" ht="12.75" x14ac:dyDescent="0.2">
      <c r="A132" s="53">
        <f ca="1">IFERROR(__xludf.DUMMYFUNCTION("""COMPUTED_VALUE"""),122)</f>
        <v>122</v>
      </c>
      <c r="B132" s="53" t="str">
        <f ca="1">IFERROR(__xludf.DUMMYFUNCTION("""COMPUTED_VALUE"""),"GDCB Hy Vọng")</f>
        <v>GDCB Hy Vọng</v>
      </c>
      <c r="C132" s="53" t="str">
        <f ca="1">IFERROR(__xludf.DUMMYFUNCTION("""COMPUTED_VALUE"""),"GDCB")</f>
        <v>GDCB</v>
      </c>
      <c r="D132" s="53" t="str">
        <f ca="1">IFERROR(__xludf.DUMMYFUNCTION("""COMPUTED_VALUE"""),"BÌNH THẠNH")</f>
        <v>BÌNH THẠNH</v>
      </c>
      <c r="E132" s="54">
        <f ca="1">IFERROR(__xludf.DUMMYFUNCTION("""COMPUTED_VALUE"""),20)</f>
        <v>20</v>
      </c>
      <c r="F132" s="54">
        <f ca="1">IFERROR(__xludf.DUMMYFUNCTION("""COMPUTED_VALUE"""),20)</f>
        <v>20</v>
      </c>
      <c r="G132" s="54"/>
      <c r="H132" s="54">
        <f ca="1">IFERROR(__xludf.DUMMYFUNCTION("""COMPUTED_VALUE"""),20)</f>
        <v>20</v>
      </c>
      <c r="I132" s="54"/>
      <c r="J132" s="54">
        <f ca="1">IFERROR(__xludf.DUMMYFUNCTION("""COMPUTED_VALUE"""),20)</f>
        <v>20</v>
      </c>
      <c r="K132" s="54"/>
      <c r="L132" s="54">
        <f ca="1">IFERROR(__xludf.DUMMYFUNCTION("""COMPUTED_VALUE"""),19)</f>
        <v>19</v>
      </c>
      <c r="M132" s="54"/>
      <c r="N132" s="54">
        <f ca="1">IFERROR(__xludf.DUMMYFUNCTION("""COMPUTED_VALUE"""),127)</f>
        <v>127</v>
      </c>
      <c r="O132" s="54">
        <f ca="1">IFERROR(__xludf.DUMMYFUNCTION("""COMPUTED_VALUE"""),110)</f>
        <v>110</v>
      </c>
      <c r="P132" s="54"/>
      <c r="Q132" s="54">
        <f ca="1">IFERROR(__xludf.DUMMYFUNCTION("""COMPUTED_VALUE"""),60)</f>
        <v>60</v>
      </c>
      <c r="R132" s="54"/>
      <c r="S132" s="53"/>
      <c r="T132" s="53"/>
      <c r="U132" s="53"/>
      <c r="V132" s="53"/>
      <c r="W132" s="53"/>
      <c r="X132" s="53"/>
      <c r="Y132" s="53"/>
      <c r="Z132" s="2"/>
      <c r="AA132" s="2"/>
      <c r="AB132" s="2"/>
      <c r="AC132" s="2"/>
      <c r="AD132" s="2"/>
      <c r="AE132" s="2"/>
    </row>
    <row r="133" spans="1:31" ht="12.75" x14ac:dyDescent="0.2">
      <c r="A133" s="53">
        <f ca="1">IFERROR(__xludf.DUMMYFUNCTION("""COMPUTED_VALUE"""),123)</f>
        <v>123</v>
      </c>
      <c r="B133" s="53" t="str">
        <f ca="1">IFERROR(__xludf.DUMMYFUNCTION("""COMPUTED_VALUE"""),"GDCB Tuổi Ngọc")</f>
        <v>GDCB Tuổi Ngọc</v>
      </c>
      <c r="C133" s="53" t="str">
        <f ca="1">IFERROR(__xludf.DUMMYFUNCTION("""COMPUTED_VALUE"""),"GDCB")</f>
        <v>GDCB</v>
      </c>
      <c r="D133" s="53" t="str">
        <f ca="1">IFERROR(__xludf.DUMMYFUNCTION("""COMPUTED_VALUE"""),"BÌNH THẠNH")</f>
        <v>BÌNH THẠNH</v>
      </c>
      <c r="E133" s="54">
        <f ca="1">IFERROR(__xludf.DUMMYFUNCTION("""COMPUTED_VALUE"""),25)</f>
        <v>25</v>
      </c>
      <c r="F133" s="54">
        <f ca="1">IFERROR(__xludf.DUMMYFUNCTION("""COMPUTED_VALUE"""),25)</f>
        <v>25</v>
      </c>
      <c r="G133" s="54"/>
      <c r="H133" s="54">
        <f ca="1">IFERROR(__xludf.DUMMYFUNCTION("""COMPUTED_VALUE"""),25)</f>
        <v>25</v>
      </c>
      <c r="I133" s="54"/>
      <c r="J133" s="54">
        <f ca="1">IFERROR(__xludf.DUMMYFUNCTION("""COMPUTED_VALUE"""),25)</f>
        <v>25</v>
      </c>
      <c r="K133" s="54"/>
      <c r="L133" s="54">
        <f ca="1">IFERROR(__xludf.DUMMYFUNCTION("""COMPUTED_VALUE"""),25)</f>
        <v>25</v>
      </c>
      <c r="M133" s="54"/>
      <c r="N133" s="54">
        <f ca="1">IFERROR(__xludf.DUMMYFUNCTION("""COMPUTED_VALUE"""),30)</f>
        <v>30</v>
      </c>
      <c r="O133" s="54">
        <f ca="1">IFERROR(__xludf.DUMMYFUNCTION("""COMPUTED_VALUE"""),25)</f>
        <v>25</v>
      </c>
      <c r="P133" s="54"/>
      <c r="Q133" s="54">
        <f ca="1">IFERROR(__xludf.DUMMYFUNCTION("""COMPUTED_VALUE"""),15)</f>
        <v>15</v>
      </c>
      <c r="R133" s="54"/>
      <c r="S133" s="53"/>
      <c r="T133" s="53"/>
      <c r="U133" s="53"/>
      <c r="V133" s="53"/>
      <c r="W133" s="53"/>
      <c r="X133" s="53"/>
      <c r="Y133" s="53"/>
      <c r="Z133" s="2"/>
      <c r="AA133" s="2"/>
      <c r="AB133" s="2"/>
      <c r="AC133" s="2"/>
      <c r="AD133" s="2"/>
      <c r="AE133" s="2"/>
    </row>
    <row r="134" spans="1:31" ht="12.75" x14ac:dyDescent="0.2">
      <c r="A134" s="53">
        <f ca="1">IFERROR(__xludf.DUMMYFUNCTION("""COMPUTED_VALUE"""),124)</f>
        <v>124</v>
      </c>
      <c r="B134" s="53" t="str">
        <f ca="1">IFERROR(__xludf.DUMMYFUNCTION("""COMPUTED_VALUE"""),"GDCB Từng Bước Nhỏ")</f>
        <v>GDCB Từng Bước Nhỏ</v>
      </c>
      <c r="C134" s="53" t="str">
        <f ca="1">IFERROR(__xludf.DUMMYFUNCTION("""COMPUTED_VALUE"""),"GDCB")</f>
        <v>GDCB</v>
      </c>
      <c r="D134" s="53" t="str">
        <f ca="1">IFERROR(__xludf.DUMMYFUNCTION("""COMPUTED_VALUE"""),"BÌNH THẠNH")</f>
        <v>BÌNH THẠNH</v>
      </c>
      <c r="E134" s="54">
        <f ca="1">IFERROR(__xludf.DUMMYFUNCTION("""COMPUTED_VALUE"""),10)</f>
        <v>10</v>
      </c>
      <c r="F134" s="54">
        <f ca="1">IFERROR(__xludf.DUMMYFUNCTION("""COMPUTED_VALUE"""),10)</f>
        <v>10</v>
      </c>
      <c r="G134" s="54"/>
      <c r="H134" s="54">
        <f ca="1">IFERROR(__xludf.DUMMYFUNCTION("""COMPUTED_VALUE"""),10)</f>
        <v>10</v>
      </c>
      <c r="I134" s="54"/>
      <c r="J134" s="54">
        <f ca="1">IFERROR(__xludf.DUMMYFUNCTION("""COMPUTED_VALUE"""),10)</f>
        <v>10</v>
      </c>
      <c r="K134" s="54"/>
      <c r="L134" s="54">
        <f ca="1">IFERROR(__xludf.DUMMYFUNCTION("""COMPUTED_VALUE"""),10)</f>
        <v>10</v>
      </c>
      <c r="M134" s="54"/>
      <c r="N134" s="54">
        <f ca="1">IFERROR(__xludf.DUMMYFUNCTION("""COMPUTED_VALUE"""),30)</f>
        <v>30</v>
      </c>
      <c r="O134" s="54">
        <f ca="1">IFERROR(__xludf.DUMMYFUNCTION("""COMPUTED_VALUE"""),32)</f>
        <v>32</v>
      </c>
      <c r="P134" s="54"/>
      <c r="Q134" s="54">
        <f ca="1">IFERROR(__xludf.DUMMYFUNCTION("""COMPUTED_VALUE"""),17)</f>
        <v>17</v>
      </c>
      <c r="R134" s="54"/>
      <c r="S134" s="53"/>
      <c r="T134" s="53"/>
      <c r="U134" s="53"/>
      <c r="V134" s="53"/>
      <c r="W134" s="53"/>
      <c r="X134" s="53"/>
      <c r="Y134" s="53"/>
      <c r="Z134" s="2"/>
      <c r="AA134" s="2"/>
      <c r="AB134" s="2"/>
      <c r="AC134" s="2"/>
      <c r="AD134" s="2"/>
      <c r="AE134" s="2"/>
    </row>
    <row r="135" spans="1:31" ht="12.75" x14ac:dyDescent="0.2">
      <c r="A135" s="53">
        <f ca="1">IFERROR(__xludf.DUMMYFUNCTION("""COMPUTED_VALUE"""),125)</f>
        <v>125</v>
      </c>
      <c r="B135" s="53" t="str">
        <f ca="1">IFERROR(__xludf.DUMMYFUNCTION("""COMPUTED_VALUE"""),"TT Nhân Văn")</f>
        <v>TT Nhân Văn</v>
      </c>
      <c r="C135" s="53" t="str">
        <f ca="1">IFERROR(__xludf.DUMMYFUNCTION("""COMPUTED_VALUE"""),"GDCB")</f>
        <v>GDCB</v>
      </c>
      <c r="D135" s="53" t="str">
        <f ca="1">IFERROR(__xludf.DUMMYFUNCTION("""COMPUTED_VALUE"""),"BÌNH THẠNH")</f>
        <v>BÌNH THẠNH</v>
      </c>
      <c r="E135" s="54">
        <f ca="1">IFERROR(__xludf.DUMMYFUNCTION("""COMPUTED_VALUE"""),22)</f>
        <v>22</v>
      </c>
      <c r="F135" s="54">
        <f ca="1">IFERROR(__xludf.DUMMYFUNCTION("""COMPUTED_VALUE"""),22)</f>
        <v>22</v>
      </c>
      <c r="G135" s="54"/>
      <c r="H135" s="54">
        <f ca="1">IFERROR(__xludf.DUMMYFUNCTION("""COMPUTED_VALUE"""),22)</f>
        <v>22</v>
      </c>
      <c r="I135" s="54"/>
      <c r="J135" s="54">
        <f ca="1">IFERROR(__xludf.DUMMYFUNCTION("""COMPUTED_VALUE"""),22)</f>
        <v>22</v>
      </c>
      <c r="K135" s="54"/>
      <c r="L135" s="54">
        <f ca="1">IFERROR(__xludf.DUMMYFUNCTION("""COMPUTED_VALUE"""),0)</f>
        <v>0</v>
      </c>
      <c r="M135" s="54"/>
      <c r="N135" s="54">
        <f ca="1">IFERROR(__xludf.DUMMYFUNCTION("""COMPUTED_VALUE"""),40)</f>
        <v>40</v>
      </c>
      <c r="O135" s="54">
        <f ca="1">IFERROR(__xludf.DUMMYFUNCTION("""COMPUTED_VALUE"""),35)</f>
        <v>35</v>
      </c>
      <c r="P135" s="54"/>
      <c r="Q135" s="54">
        <f ca="1">IFERROR(__xludf.DUMMYFUNCTION("""COMPUTED_VALUE"""),20)</f>
        <v>20</v>
      </c>
      <c r="R135" s="54"/>
      <c r="S135" s="53"/>
      <c r="T135" s="53"/>
      <c r="U135" s="53"/>
      <c r="V135" s="53"/>
      <c r="W135" s="53"/>
      <c r="X135" s="53"/>
      <c r="Y135" s="53"/>
      <c r="Z135" s="2"/>
      <c r="AA135" s="2"/>
      <c r="AB135" s="2"/>
      <c r="AC135" s="2"/>
      <c r="AD135" s="2"/>
      <c r="AE135" s="2"/>
    </row>
    <row r="136" spans="1:31" ht="12.75" x14ac:dyDescent="0.2">
      <c r="A136" s="53">
        <f ca="1">IFERROR(__xludf.DUMMYFUNCTION("""COMPUTED_VALUE"""),126)</f>
        <v>126</v>
      </c>
      <c r="B136" s="53" t="str">
        <f ca="1">IFERROR(__xludf.DUMMYFUNCTION("""COMPUTED_VALUE"""),"TT Hoa Cúc Trắng")</f>
        <v>TT Hoa Cúc Trắng</v>
      </c>
      <c r="C136" s="53" t="str">
        <f ca="1">IFERROR(__xludf.DUMMYFUNCTION("""COMPUTED_VALUE"""),"GDCB")</f>
        <v>GDCB</v>
      </c>
      <c r="D136" s="53" t="str">
        <f ca="1">IFERROR(__xludf.DUMMYFUNCTION("""COMPUTED_VALUE"""),"BÌNH THẠNH")</f>
        <v>BÌNH THẠNH</v>
      </c>
      <c r="E136" s="54">
        <f ca="1">IFERROR(__xludf.DUMMYFUNCTION("""COMPUTED_VALUE"""),18)</f>
        <v>18</v>
      </c>
      <c r="F136" s="54">
        <f ca="1">IFERROR(__xludf.DUMMYFUNCTION("""COMPUTED_VALUE"""),18)</f>
        <v>18</v>
      </c>
      <c r="G136" s="54"/>
      <c r="H136" s="54">
        <f ca="1">IFERROR(__xludf.DUMMYFUNCTION("""COMPUTED_VALUE"""),18)</f>
        <v>18</v>
      </c>
      <c r="I136" s="54"/>
      <c r="J136" s="54">
        <f ca="1">IFERROR(__xludf.DUMMYFUNCTION("""COMPUTED_VALUE"""),18)</f>
        <v>18</v>
      </c>
      <c r="K136" s="54"/>
      <c r="L136" s="54">
        <f ca="1">IFERROR(__xludf.DUMMYFUNCTION("""COMPUTED_VALUE"""),2)</f>
        <v>2</v>
      </c>
      <c r="M136" s="54"/>
      <c r="N136" s="54">
        <f ca="1">IFERROR(__xludf.DUMMYFUNCTION("""COMPUTED_VALUE"""),30)</f>
        <v>30</v>
      </c>
      <c r="O136" s="54">
        <f ca="1">IFERROR(__xludf.DUMMYFUNCTION("""COMPUTED_VALUE"""),25)</f>
        <v>25</v>
      </c>
      <c r="P136" s="54"/>
      <c r="Q136" s="54">
        <f ca="1">IFERROR(__xludf.DUMMYFUNCTION("""COMPUTED_VALUE"""),15)</f>
        <v>15</v>
      </c>
      <c r="R136" s="54"/>
      <c r="S136" s="53"/>
      <c r="T136" s="53"/>
      <c r="U136" s="53"/>
      <c r="V136" s="53"/>
      <c r="W136" s="53"/>
      <c r="X136" s="53"/>
      <c r="Y136" s="53"/>
      <c r="Z136" s="2"/>
      <c r="AA136" s="2"/>
      <c r="AB136" s="2"/>
      <c r="AC136" s="2"/>
      <c r="AD136" s="2"/>
      <c r="AE136" s="2"/>
    </row>
    <row r="137" spans="1:31" ht="12.75" x14ac:dyDescent="0.2">
      <c r="A137" s="53">
        <f ca="1">IFERROR(__xludf.DUMMYFUNCTION("""COMPUTED_VALUE"""),127)</f>
        <v>127</v>
      </c>
      <c r="B137" s="53" t="str">
        <f ca="1">IFERROR(__xludf.DUMMYFUNCTION("""COMPUTED_VALUE"""),"Phổ cập")</f>
        <v>Phổ cập</v>
      </c>
      <c r="C137" s="53" t="str">
        <f ca="1">IFERROR(__xludf.DUMMYFUNCTION("""COMPUTED_VALUE"""),"PC")</f>
        <v>PC</v>
      </c>
      <c r="D137" s="53" t="str">
        <f ca="1">IFERROR(__xludf.DUMMYFUNCTION("""COMPUTED_VALUE"""),"BÌNH THẠNH")</f>
        <v>BÌNH THẠNH</v>
      </c>
      <c r="E137" s="54">
        <f ca="1">IFERROR(__xludf.DUMMYFUNCTION("""COMPUTED_VALUE"""),25)</f>
        <v>25</v>
      </c>
      <c r="F137" s="54">
        <f ca="1">IFERROR(__xludf.DUMMYFUNCTION("""COMPUTED_VALUE"""),25)</f>
        <v>25</v>
      </c>
      <c r="G137" s="54"/>
      <c r="H137" s="54">
        <f ca="1">IFERROR(__xludf.DUMMYFUNCTION("""COMPUTED_VALUE"""),25)</f>
        <v>25</v>
      </c>
      <c r="I137" s="54"/>
      <c r="J137" s="54">
        <f ca="1">IFERROR(__xludf.DUMMYFUNCTION("""COMPUTED_VALUE"""),15)</f>
        <v>15</v>
      </c>
      <c r="K137" s="54"/>
      <c r="L137" s="54">
        <f ca="1">IFERROR(__xludf.DUMMYFUNCTION("""COMPUTED_VALUE"""),0)</f>
        <v>0</v>
      </c>
      <c r="M137" s="54"/>
      <c r="N137" s="54">
        <f ca="1">IFERROR(__xludf.DUMMYFUNCTION("""COMPUTED_VALUE"""),45)</f>
        <v>45</v>
      </c>
      <c r="O137" s="54">
        <f ca="1">IFERROR(__xludf.DUMMYFUNCTION("""COMPUTED_VALUE"""),35)</f>
        <v>35</v>
      </c>
      <c r="P137" s="54"/>
      <c r="Q137" s="54">
        <f ca="1">IFERROR(__xludf.DUMMYFUNCTION("""COMPUTED_VALUE"""),25)</f>
        <v>25</v>
      </c>
      <c r="R137" s="54"/>
      <c r="S137" s="53"/>
      <c r="T137" s="53"/>
      <c r="U137" s="53"/>
      <c r="V137" s="53"/>
      <c r="W137" s="53"/>
      <c r="X137" s="53"/>
      <c r="Y137" s="53"/>
      <c r="Z137" s="2"/>
      <c r="AA137" s="2"/>
      <c r="AB137" s="2"/>
      <c r="AC137" s="2"/>
      <c r="AD137" s="2"/>
      <c r="AE137" s="2"/>
    </row>
    <row r="138" spans="1:31" ht="12.75" x14ac:dyDescent="0.2">
      <c r="A138" s="53" t="str">
        <f ca="1">IFERROR(__xludf.DUMMYFUNCTION("""COMPUTED_VALUE"""),"GDTX")</f>
        <v>GDTX</v>
      </c>
      <c r="B138" s="53"/>
      <c r="C138" s="53"/>
      <c r="D138" s="53"/>
      <c r="E138" s="54">
        <f ca="1">IFERROR(__xludf.DUMMYFUNCTION("""COMPUTED_VALUE"""),39)</f>
        <v>39</v>
      </c>
      <c r="F138" s="54">
        <f ca="1">IFERROR(__xludf.DUMMYFUNCTION("""COMPUTED_VALUE"""),39)</f>
        <v>39</v>
      </c>
      <c r="G138" s="54"/>
      <c r="H138" s="54">
        <f ca="1">IFERROR(__xludf.DUMMYFUNCTION("""COMPUTED_VALUE"""),39)</f>
        <v>39</v>
      </c>
      <c r="I138" s="54"/>
      <c r="J138" s="54">
        <f ca="1">IFERROR(__xludf.DUMMYFUNCTION("""COMPUTED_VALUE"""),35)</f>
        <v>35</v>
      </c>
      <c r="K138" s="54"/>
      <c r="L138" s="54">
        <f ca="1">IFERROR(__xludf.DUMMYFUNCTION("""COMPUTED_VALUE"""),5)</f>
        <v>5</v>
      </c>
      <c r="M138" s="54"/>
      <c r="N138" s="53"/>
      <c r="O138" s="53"/>
      <c r="P138" s="53"/>
      <c r="Q138" s="53"/>
      <c r="R138" s="53"/>
      <c r="S138" s="54">
        <f ca="1">IFERROR(__xludf.DUMMYFUNCTION("""COMPUTED_VALUE"""),555)</f>
        <v>555</v>
      </c>
      <c r="T138" s="54">
        <f ca="1">IFERROR(__xludf.DUMMYFUNCTION("""COMPUTED_VALUE"""),552)</f>
        <v>552</v>
      </c>
      <c r="U138" s="54"/>
      <c r="V138" s="54">
        <f ca="1">IFERROR(__xludf.DUMMYFUNCTION("""COMPUTED_VALUE"""),538)</f>
        <v>538</v>
      </c>
      <c r="W138" s="54"/>
      <c r="X138" s="54">
        <f ca="1">IFERROR(__xludf.DUMMYFUNCTION("""COMPUTED_VALUE"""),254)</f>
        <v>254</v>
      </c>
      <c r="Y138" s="54"/>
      <c r="Z138" s="2"/>
      <c r="AA138" s="2"/>
      <c r="AB138" s="2"/>
      <c r="AC138" s="2"/>
      <c r="AD138" s="2"/>
      <c r="AE138" s="2"/>
    </row>
    <row r="139" spans="1:31" ht="12.75" x14ac:dyDescent="0.2">
      <c r="A139" s="53">
        <f ca="1">IFERROR(__xludf.DUMMYFUNCTION("""COMPUTED_VALUE"""),128)</f>
        <v>128</v>
      </c>
      <c r="B139" s="53" t="str">
        <f ca="1">IFERROR(__xludf.DUMMYFUNCTION("""COMPUTED_VALUE"""),"GDTX")</f>
        <v>GDTX</v>
      </c>
      <c r="C139" s="53" t="str">
        <f ca="1">IFERROR(__xludf.DUMMYFUNCTION("""COMPUTED_VALUE"""),"GDTX")</f>
        <v>GDTX</v>
      </c>
      <c r="D139" s="53" t="str">
        <f ca="1">IFERROR(__xludf.DUMMYFUNCTION("""COMPUTED_VALUE"""),"BÌNH THẠNH")</f>
        <v>BÌNH THẠNH</v>
      </c>
      <c r="E139" s="54">
        <f ca="1">IFERROR(__xludf.DUMMYFUNCTION("""COMPUTED_VALUE"""),39)</f>
        <v>39</v>
      </c>
      <c r="F139" s="54">
        <f ca="1">IFERROR(__xludf.DUMMYFUNCTION("""COMPUTED_VALUE"""),39)</f>
        <v>39</v>
      </c>
      <c r="G139" s="54"/>
      <c r="H139" s="54">
        <f ca="1">IFERROR(__xludf.DUMMYFUNCTION("""COMPUTED_VALUE"""),39)</f>
        <v>39</v>
      </c>
      <c r="I139" s="54"/>
      <c r="J139" s="54">
        <f ca="1">IFERROR(__xludf.DUMMYFUNCTION("""COMPUTED_VALUE"""),35)</f>
        <v>35</v>
      </c>
      <c r="K139" s="54"/>
      <c r="L139" s="54">
        <f ca="1">IFERROR(__xludf.DUMMYFUNCTION("""COMPUTED_VALUE"""),5)</f>
        <v>5</v>
      </c>
      <c r="M139" s="54"/>
      <c r="N139" s="53"/>
      <c r="O139" s="53"/>
      <c r="P139" s="53"/>
      <c r="Q139" s="53"/>
      <c r="R139" s="53"/>
      <c r="S139" s="54">
        <f ca="1">IFERROR(__xludf.DUMMYFUNCTION("""COMPUTED_VALUE"""),555)</f>
        <v>555</v>
      </c>
      <c r="T139" s="54">
        <f ca="1">IFERROR(__xludf.DUMMYFUNCTION("""COMPUTED_VALUE"""),552)</f>
        <v>552</v>
      </c>
      <c r="U139" s="54"/>
      <c r="V139" s="54">
        <f ca="1">IFERROR(__xludf.DUMMYFUNCTION("""COMPUTED_VALUE"""),538)</f>
        <v>538</v>
      </c>
      <c r="W139" s="54"/>
      <c r="X139" s="54">
        <f ca="1">IFERROR(__xludf.DUMMYFUNCTION("""COMPUTED_VALUE"""),254)</f>
        <v>254</v>
      </c>
      <c r="Y139" s="54"/>
      <c r="Z139" s="2"/>
      <c r="AA139" s="2"/>
      <c r="AB139" s="2"/>
      <c r="AC139" s="2"/>
      <c r="AD139" s="2"/>
      <c r="AE139" s="2"/>
    </row>
    <row r="140" spans="1:31" ht="12.75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2.75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2.75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2.75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2.75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2.75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2.75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2.75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2.75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2.75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2.75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2.75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2.75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2.75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2.75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2.75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2.75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2.75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2.75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2.75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2.75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2.75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2.75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2.75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2.75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2.75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2.75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2.75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2.75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2.75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2.75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2.75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2.75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2.75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2.75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2.75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2.75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2.75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2.75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2.75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2.75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2.75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2.75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2.75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2.75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2.75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2.75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2.75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2.75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2.75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2.75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2.75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2.75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2.75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2.75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2.75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2.75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2.75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2.75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2.75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2.75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2.75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2.75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2.75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2.75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2.75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2.75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2.75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2.75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2.75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2.75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2.75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2.75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2.75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2.75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2.75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2.75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2.75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2.75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2.75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2.75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2.75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2.75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2.75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2.75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2.75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2.75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2.75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2.75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2.75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2.75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2.75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2.75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2.75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2.75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2.75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2.75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2.75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2.75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2.75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2.75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2.75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2.75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2.75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2.75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2.75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2.75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2.75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2.75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2.75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2.75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2.75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2.75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2.75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2.75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2.75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2.75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2.75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2.75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2.75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2.75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2.75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2.75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2.75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2.75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2.75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2.75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2.75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2.75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2.75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2.75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2.75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2.75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2.75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2.75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2.75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2.75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2.75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2.75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2.75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2.75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2.75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2.75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2.75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2.75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2.75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2.75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2.75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2.75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2.75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2.75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2.75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2.75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2.75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2.75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2.75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2.75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2.75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2.75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2.75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2.75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2.75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2.75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2.75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2.75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2.75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2.75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2.75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2.75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2.75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2.75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2.75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2.75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2.75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2.75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2.75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2.75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2.75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2.75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2.75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2.75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2.75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2.75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2.75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2.75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2.75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2.75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2.75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2.75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2.75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2.75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2.75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2.75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2.75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2.75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2.75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2.75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2.75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2.75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2.75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2.75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2.75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2.75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2.75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2.75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2.75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2.75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2.75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2.75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2.75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2.75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2.75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2.75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2.75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2.75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2.75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2.75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2.75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2.75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2.75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2.75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2.75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2.75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2.75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2.75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2.75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2.75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2.75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2.75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2.75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2.75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2.75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2.75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2.75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2.75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2.75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2.75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2.75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2.75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2.75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2.75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2.75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2.75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2.75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2.75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2.75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2.75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2.75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2.75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2.75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2.75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2.75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2.75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2.75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2.75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2.75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2.75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2.75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2.75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2.75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2.75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2.75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2.75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2.75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2.75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2.75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2.75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2.75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2.75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2.75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2.75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2.75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2.75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2.75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2.75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2.75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2.75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2.75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2.75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2.75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2.75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2.75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2.75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2.75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2.75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2.75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2.75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2.75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2.75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2.75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2.75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2.75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2.75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2.75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2.75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2.75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2.75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2.75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2.75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2.75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2.75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2.75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2.75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2.75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2.75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2.75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2.75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2.75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2.75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2.75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2.75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2.75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2.75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2.75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2.75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2.75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2.75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2.75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2.75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2.75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2.75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2.75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2.75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2.75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2.75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2.75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2.75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2.75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2.75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2.75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2.75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2.75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2.75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2.75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2.75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2.75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2.75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2.75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2.75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2.75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2.75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2.75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2.75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2.75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2.75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2.75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2.75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2.75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2.75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2.75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2.75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2.75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2.75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2.75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2.75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2.75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2.75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2.75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2.75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2.75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2.75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2.75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2.75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2.75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2.75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2.75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2.75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2.75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2.75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2.75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2.75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2.75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2.75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2.75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2.75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2.75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2.75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2.75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2.75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2.75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2.75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2.75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2.75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2.75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2.75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2.75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2.75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2.75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2.75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2.75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2.75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2.75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2.75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2.75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2.75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2.75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2.75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2.75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2.75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2.75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2.75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2.75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2.75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2.75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2.75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2.75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2.75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2.75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2.75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2.75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2.75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2.75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2.75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2.75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2.75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2.75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2.75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2.75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2.75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2.75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2.75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2.75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2.75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2.75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2.75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2.75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2.75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2.75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2.75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2.75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2.75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2.75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2.75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2.75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2.75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2.75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2.75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2.75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2.75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2.75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2.75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2.75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2.75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2.75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2.75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2.75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2.75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2.75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2.75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2.75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2.75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2.75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2.75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2.75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2.75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2.75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2.75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2.75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2.75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2.75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2.75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2.75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2.75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2.75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2.75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2.75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2.75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2.75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2.75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2.75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2.75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2.75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2.75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2.75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2.75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2.75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2.75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2.75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2.75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2.75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2.75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2.75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2.75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2.75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2.75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2.75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2.75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2.75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2.75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2.75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2.75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2.75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2.75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2.75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2.75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2.75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2.75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2.75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2.75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2.75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2.75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2.75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2.75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2.75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2.75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2.75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2.75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2.75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2.75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2.75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2.75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2.75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2.75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2.75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2.75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2.75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2.75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2.75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2.75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2.75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2.75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2.75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2.75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2.75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2.75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2.75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2.75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2.75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2.75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2.75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2.75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2.75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2.75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2.75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2.75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2.75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2.75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2.75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2.75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2.75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2.75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2.75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2.75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2.75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2.75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2.75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2.75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2.75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2.75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2.75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2.75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2.75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2.75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2.75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2.75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2.75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2.75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2.75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2.75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2.75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2.75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2.75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2.75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2.75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2.75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2.75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2.75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2.75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2.75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2.75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2.75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2.75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2.75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2.75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2.75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2.75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2.75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2.75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2.75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2.75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2.75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2.75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2.75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2.75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2.75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2.75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2.75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2.75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2.75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2.75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2.75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2.75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2.75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2.75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2.75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2.75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2.75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2.75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2.75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2.75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2.75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2.75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2.75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2.75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2.75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2.75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2.75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2.75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2.75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2.75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2.75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2.75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2.75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2.75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2.75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2.75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2.75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2.75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2.75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2.75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2.75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2.75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2.75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2.75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2.75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2.75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2.75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2.75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2.75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2.75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2.75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2.75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2.75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2.75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2.75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2.75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2.75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2.75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2.75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2.75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2.75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2.75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2.75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2.75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2.75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2.75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2.75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2.75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2.75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2.75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2.75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2.75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2.75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2.75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2.75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2.75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2.75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2.75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2.75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2.75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2.75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2.75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2.75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2.75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2.75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2.75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2.75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2.75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2.75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2.75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2.75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2.75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2.75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2.75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2.75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2.75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2.75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2.75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2.75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2.75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2.75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2.75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2.75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2.75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2.75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2.75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2.75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2.75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2.75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2.75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2.75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2.75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2.75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2.75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2.75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2.75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2.75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2.75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2.75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2.75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2.75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2.75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2.75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2.75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2.75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2.75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2.75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2.75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2.75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2.75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2.75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2.75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2.75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2.75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2.75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2.75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2.75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2.75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2.75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2.75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2.75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2.75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2.75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2.75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2.75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2.75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2.75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2.75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2.75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2.75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2.75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2.75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2.75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2.75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2.75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2.75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2.75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2.75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2.75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2.75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2.75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2.75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2.75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2.75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2.75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2.75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2.75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2.75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2.75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2.75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2.75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2.75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2.75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2.75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2.75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2.75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2.75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2.75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2.75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2.75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2.75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2.75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2.75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2.75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2.75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2.75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2.75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2.75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2.75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2.75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2.75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2.75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2.75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2.75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2.75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2.75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2.75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2.75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2.75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2.75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2.75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2.75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2.75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2.75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2.75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2.75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2.75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2.75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2.75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2.75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2.75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2.75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2.75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2.75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2.75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2.75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2.75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2.75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2.75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2.75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2.75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2.75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2.75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2.75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2.75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2.75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2.75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2.75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2.75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2.75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2.75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2.75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2.75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2.75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2.75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2.75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2.75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2.75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2.75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2.75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2.75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2.75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2.75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2.75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2.75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2.75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2.75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2.75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2.75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2.75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2.75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2.75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2.75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2.75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2.75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2.75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2.75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2.75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2.75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2.75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2.75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2.75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2.75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2.75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2.75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2.75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2.75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2.75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2.75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2.75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2.75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2.75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2.75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2.75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2.75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2.75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2.75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2.75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 ht="12.75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 ht="12.75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  <row r="1000" spans="1:31" ht="12.75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</row>
  </sheetData>
  <mergeCells count="16">
    <mergeCell ref="N3:R3"/>
    <mergeCell ref="S3:Y3"/>
    <mergeCell ref="F4:G4"/>
    <mergeCell ref="H4:I4"/>
    <mergeCell ref="J4:K4"/>
    <mergeCell ref="L4:M4"/>
    <mergeCell ref="O4:P4"/>
    <mergeCell ref="Q4:R4"/>
    <mergeCell ref="T4:U4"/>
    <mergeCell ref="V4:W4"/>
    <mergeCell ref="X4:Y4"/>
    <mergeCell ref="A3:A4"/>
    <mergeCell ref="B3:B4"/>
    <mergeCell ref="C3:C4"/>
    <mergeCell ref="D3:D4"/>
    <mergeCell ref="E3:M3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E1000"/>
  <sheetViews>
    <sheetView zoomScale="85" zoomScaleNormal="85" workbookViewId="0">
      <selection activeCell="B21" sqref="B21"/>
    </sheetView>
  </sheetViews>
  <sheetFormatPr defaultColWidth="12.5703125" defaultRowHeight="15.75" customHeight="1" x14ac:dyDescent="0.2"/>
  <cols>
    <col min="1" max="1" width="12.5703125" style="3"/>
    <col min="2" max="2" width="37.7109375" style="3" customWidth="1"/>
    <col min="3" max="4" width="12.5703125" style="3"/>
    <col min="5" max="5" width="10.42578125" style="3" customWidth="1"/>
    <col min="6" max="13" width="8.85546875" style="3" customWidth="1"/>
    <col min="14" max="14" width="10.42578125" style="3" customWidth="1"/>
    <col min="15" max="18" width="8.85546875" style="3" customWidth="1"/>
    <col min="19" max="19" width="10.42578125" style="3" customWidth="1"/>
    <col min="20" max="25" width="8.85546875" style="3" customWidth="1"/>
    <col min="26" max="16384" width="12.5703125" style="3"/>
  </cols>
  <sheetData>
    <row r="1" spans="1:31" ht="26.25" customHeight="1" x14ac:dyDescent="0.2">
      <c r="A1" s="49" t="s">
        <v>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ht="35.25" customHeight="1" x14ac:dyDescent="0.2">
      <c r="A2" s="4" t="s">
        <v>26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</row>
    <row r="3" spans="1:31" ht="30.75" customHeight="1" x14ac:dyDescent="0.2">
      <c r="A3" s="89" t="str">
        <f ca="1">IFERROR(__xludf.DUMMYFUNCTION("IMPORTRANGE(""https://docs.google.com/spreadsheets/d/1giFCfPZvq6d2WPbrXwJ7ksTcnSjmuNbU5G4IRrh5hOk/edit#gid=0"",""BTa!A14:T500"")"),"STT")</f>
        <v>STT</v>
      </c>
      <c r="B3" s="89" t="str">
        <f ca="1">IFERROR(__xludf.DUMMYFUNCTION("""COMPUTED_VALUE"""),"TRƯỜNG")</f>
        <v>TRƯỜNG</v>
      </c>
      <c r="C3" s="89" t="str">
        <f ca="1">IFERROR(__xludf.DUMMYFUNCTION("""COMPUTED_VALUE"""),"BẬC HỌC (MN, TH, THCS, THPT, CB, GDTX)")</f>
        <v>BẬC HỌC (MN, TH, THCS, THPT, CB, GDTX)</v>
      </c>
      <c r="D3" s="89" t="str">
        <f ca="1">IFERROR(__xludf.DUMMYFUNCTION("""COMPUTED_VALUE"""),"THÀNH PHỐ, QUẬN, HUYỆN")</f>
        <v>THÀNH PHỐ, QUẬN, HUYỆN</v>
      </c>
      <c r="E3" s="91" t="str">
        <f ca="1">IFERROR(__xludf.DUMMYFUNCTION("""COMPUTED_VALUE"""),"Cán bộ - Giáo viên - Nhân viên")</f>
        <v>Cán bộ - Giáo viên - Nhân viên</v>
      </c>
      <c r="F3" s="92"/>
      <c r="G3" s="92"/>
      <c r="H3" s="92"/>
      <c r="I3" s="92"/>
      <c r="J3" s="92"/>
      <c r="K3" s="92"/>
      <c r="L3" s="92"/>
      <c r="M3" s="92"/>
      <c r="N3" s="93" t="str">
        <f ca="1">IFERROR(__xludf.DUMMYFUNCTION("""COMPUTED_VALUE"""),"Học sinh từ 5 đến dưới 12 tuổi")</f>
        <v>Học sinh từ 5 đến dưới 12 tuổi</v>
      </c>
      <c r="O3" s="92"/>
      <c r="P3" s="92"/>
      <c r="Q3" s="92"/>
      <c r="R3" s="92"/>
      <c r="S3" s="94" t="str">
        <f ca="1">IFERROR(__xludf.DUMMYFUNCTION("""COMPUTED_VALUE"""),"Học sinh từ 12 đến dưới 18 tuổi")</f>
        <v>Học sinh từ 12 đến dưới 18 tuổi</v>
      </c>
      <c r="T3" s="95"/>
      <c r="U3" s="95"/>
      <c r="V3" s="95"/>
      <c r="W3" s="95"/>
      <c r="X3" s="95"/>
      <c r="Y3" s="95"/>
      <c r="Z3" s="2"/>
      <c r="AA3" s="2"/>
      <c r="AB3" s="2"/>
      <c r="AC3" s="2"/>
      <c r="AD3" s="2"/>
      <c r="AE3" s="2"/>
    </row>
    <row r="4" spans="1:31" ht="27" customHeight="1" x14ac:dyDescent="0.2">
      <c r="A4" s="90"/>
      <c r="B4" s="90"/>
      <c r="C4" s="90"/>
      <c r="D4" s="90"/>
      <c r="E4" s="7" t="str">
        <f ca="1">IFERROR(__xludf.DUMMYFUNCTION("""COMPUTED_VALUE"""),"Tổng CB-GV-NV")</f>
        <v>Tổng CB-GV-NV</v>
      </c>
      <c r="F4" s="96" t="s">
        <v>22</v>
      </c>
      <c r="G4" s="97"/>
      <c r="H4" s="96" t="s">
        <v>23</v>
      </c>
      <c r="I4" s="97"/>
      <c r="J4" s="96" t="s">
        <v>24</v>
      </c>
      <c r="K4" s="97"/>
      <c r="L4" s="96" t="s">
        <v>25</v>
      </c>
      <c r="M4" s="97"/>
      <c r="N4" s="7" t="str">
        <f ca="1">IFERROR(__xludf.DUMMYFUNCTION("""COMPUTED_VALUE"""),"Tổng học sinh")</f>
        <v>Tổng học sinh</v>
      </c>
      <c r="O4" s="96" t="s">
        <v>22</v>
      </c>
      <c r="P4" s="97"/>
      <c r="Q4" s="96" t="s">
        <v>23</v>
      </c>
      <c r="R4" s="97"/>
      <c r="S4" s="8" t="str">
        <f ca="1">IFERROR(__xludf.DUMMYFUNCTION("""COMPUTED_VALUE"""),"Tổng học sinh")</f>
        <v>Tổng học sinh</v>
      </c>
      <c r="T4" s="98" t="s">
        <v>22</v>
      </c>
      <c r="U4" s="99"/>
      <c r="V4" s="98" t="s">
        <v>23</v>
      </c>
      <c r="W4" s="99"/>
      <c r="X4" s="98" t="s">
        <v>24</v>
      </c>
      <c r="Y4" s="99"/>
      <c r="Z4" s="2"/>
      <c r="AA4" s="2"/>
      <c r="AB4" s="2"/>
      <c r="AC4" s="2"/>
      <c r="AD4" s="2"/>
      <c r="AE4" s="2"/>
    </row>
    <row r="5" spans="1:31" ht="12.75" x14ac:dyDescent="0.2">
      <c r="A5" s="50" t="str">
        <f ca="1">IFERROR(__xludf.DUMMYFUNCTION("""COMPUTED_VALUE"""),"TỔNG TOÀN QUẬN/HUYỆN/TP")</f>
        <v>TỔNG TOÀN QUẬN/HUYỆN/TP</v>
      </c>
      <c r="B5" s="20"/>
      <c r="C5" s="20"/>
      <c r="D5" s="20" t="str">
        <f ca="1">IFERROR(__xludf.DUMMYFUNCTION("""COMPUTED_VALUE"""),"Bình Tân")</f>
        <v>Bình Tân</v>
      </c>
      <c r="E5" s="15">
        <f ca="1">IFERROR(__xludf.DUMMYFUNCTION("""COMPUTED_VALUE"""),12)</f>
        <v>12</v>
      </c>
      <c r="F5" s="15">
        <f ca="1">IFERROR(__xludf.DUMMYFUNCTION("""COMPUTED_VALUE"""),12)</f>
        <v>12</v>
      </c>
      <c r="G5" s="51">
        <f ca="1">IFERROR(F5/E5,"")</f>
        <v>1</v>
      </c>
      <c r="H5" s="15">
        <f ca="1">IFERROR(__xludf.DUMMYFUNCTION("""COMPUTED_VALUE"""),12)</f>
        <v>12</v>
      </c>
      <c r="I5" s="51">
        <f ca="1">IFERROR(H5/E5,"")</f>
        <v>1</v>
      </c>
      <c r="J5" s="15">
        <f ca="1">IFERROR(__xludf.DUMMYFUNCTION("""COMPUTED_VALUE"""),11)</f>
        <v>11</v>
      </c>
      <c r="K5" s="51">
        <f ca="1">IFERROR(J5/E5,"")</f>
        <v>0.91666666666666663</v>
      </c>
      <c r="L5" s="15">
        <f ca="1">IFERROR(__xludf.DUMMYFUNCTION("""COMPUTED_VALUE"""),1)</f>
        <v>1</v>
      </c>
      <c r="M5" s="51">
        <f ca="1">IFERROR(L5/E5,"")</f>
        <v>8.3333333333333329E-2</v>
      </c>
      <c r="N5" s="15">
        <f ca="1">IFERROR(__xludf.DUMMYFUNCTION("""COMPUTED_VALUE"""),73779)</f>
        <v>73779</v>
      </c>
      <c r="O5" s="15">
        <f ca="1">IFERROR(__xludf.DUMMYFUNCTION("""COMPUTED_VALUE"""),41633)</f>
        <v>41633</v>
      </c>
      <c r="P5" s="51">
        <f ca="1">IFERROR(O5/N5,"")</f>
        <v>0.56429336260995677</v>
      </c>
      <c r="Q5" s="15">
        <f ca="1">IFERROR(__xludf.DUMMYFUNCTION("""COMPUTED_VALUE"""),22724)</f>
        <v>22724</v>
      </c>
      <c r="R5" s="51">
        <f ca="1">IFERROR(Q5/N5,"")</f>
        <v>0.30800092167147836</v>
      </c>
      <c r="S5" s="15">
        <f ca="1">IFERROR(__xludf.DUMMYFUNCTION("""COMPUTED_VALUE"""),36579)</f>
        <v>36579</v>
      </c>
      <c r="T5" s="15">
        <f ca="1">IFERROR(__xludf.DUMMYFUNCTION("""COMPUTED_VALUE"""),35180)</f>
        <v>35180</v>
      </c>
      <c r="U5" s="51">
        <f ca="1">IFERROR(T5/S5,"")</f>
        <v>0.96175401186473108</v>
      </c>
      <c r="V5" s="15">
        <f ca="1">IFERROR(__xludf.DUMMYFUNCTION("""COMPUTED_VALUE"""),32540)</f>
        <v>32540</v>
      </c>
      <c r="W5" s="51">
        <f ca="1">IFERROR(V5/S5,"")</f>
        <v>0.88958145383963472</v>
      </c>
      <c r="X5" s="15">
        <f ca="1">IFERROR(__xludf.DUMMYFUNCTION("""COMPUTED_VALUE"""),9814)</f>
        <v>9814</v>
      </c>
      <c r="Y5" s="51">
        <f ca="1">IFERROR(X5/S5,"")</f>
        <v>0.26829601684026355</v>
      </c>
      <c r="Z5" s="2"/>
      <c r="AA5" s="2"/>
      <c r="AB5" s="2"/>
      <c r="AC5" s="2"/>
      <c r="AD5" s="2"/>
      <c r="AE5" s="2"/>
    </row>
    <row r="6" spans="1:31" ht="12.75" x14ac:dyDescent="0.2">
      <c r="A6" s="53" t="str">
        <f ca="1">IFERROR(__xludf.DUMMYFUNCTION("""COMPUTED_VALUE"""),"THCS")</f>
        <v>THCS</v>
      </c>
      <c r="B6" s="53"/>
      <c r="C6" s="53"/>
      <c r="D6" s="53"/>
      <c r="E6" s="53"/>
      <c r="F6" s="53"/>
      <c r="G6" s="51" t="str">
        <f t="shared" ref="G6:G69" si="0">IFERROR(F6/E6,"")</f>
        <v/>
      </c>
      <c r="H6" s="53"/>
      <c r="I6" s="51" t="str">
        <f t="shared" ref="I6:I69" si="1">IFERROR(H6/E6,"")</f>
        <v/>
      </c>
      <c r="J6" s="53"/>
      <c r="K6" s="51" t="str">
        <f t="shared" ref="K6:K69" si="2">IFERROR(J6/E6,"")</f>
        <v/>
      </c>
      <c r="L6" s="53"/>
      <c r="M6" s="51" t="str">
        <f t="shared" ref="M6:M69" si="3">IFERROR(L6/E6,"")</f>
        <v/>
      </c>
      <c r="N6" s="53"/>
      <c r="O6" s="53"/>
      <c r="P6" s="51" t="str">
        <f t="shared" ref="P6:P69" si="4">IFERROR(O6/N6,"")</f>
        <v/>
      </c>
      <c r="Q6" s="53"/>
      <c r="R6" s="51" t="str">
        <f t="shared" ref="R6:R69" si="5">IFERROR(Q6/N6,"")</f>
        <v/>
      </c>
      <c r="S6" s="53"/>
      <c r="T6" s="53"/>
      <c r="U6" s="51" t="str">
        <f t="shared" ref="U6:U69" si="6">IFERROR(T6/S6,"")</f>
        <v/>
      </c>
      <c r="V6" s="53"/>
      <c r="W6" s="51" t="str">
        <f t="shared" ref="W6:W69" si="7">IFERROR(V6/S6,"")</f>
        <v/>
      </c>
      <c r="X6" s="53"/>
      <c r="Y6" s="51" t="str">
        <f t="shared" ref="Y6:Y69" si="8">IFERROR(X6/S6,"")</f>
        <v/>
      </c>
      <c r="Z6" s="2"/>
      <c r="AA6" s="2"/>
      <c r="AB6" s="2"/>
      <c r="AC6" s="2"/>
      <c r="AD6" s="2"/>
      <c r="AE6" s="2"/>
    </row>
    <row r="7" spans="1:31" ht="12.75" x14ac:dyDescent="0.2">
      <c r="A7" s="53">
        <f ca="1">IFERROR(__xludf.DUMMYFUNCTION("""COMPUTED_VALUE"""),1)</f>
        <v>1</v>
      </c>
      <c r="B7" s="53" t="str">
        <f ca="1">IFERROR(__xludf.DUMMYFUNCTION("""COMPUTED_VALUE"""),"THCS Bình Tân")</f>
        <v>THCS Bình Tân</v>
      </c>
      <c r="C7" s="53" t="str">
        <f ca="1">IFERROR(__xludf.DUMMYFUNCTION("""COMPUTED_VALUE"""),"THCS")</f>
        <v>THCS</v>
      </c>
      <c r="D7" s="53" t="str">
        <f ca="1">IFERROR(__xludf.DUMMYFUNCTION("""COMPUTED_VALUE"""),"Bình Tân")</f>
        <v>Bình Tân</v>
      </c>
      <c r="E7" s="53"/>
      <c r="F7" s="53"/>
      <c r="G7" s="51" t="str">
        <f t="shared" si="0"/>
        <v/>
      </c>
      <c r="H7" s="53"/>
      <c r="I7" s="51" t="str">
        <f t="shared" si="1"/>
        <v/>
      </c>
      <c r="J7" s="53"/>
      <c r="K7" s="51" t="str">
        <f t="shared" si="2"/>
        <v/>
      </c>
      <c r="L7" s="53"/>
      <c r="M7" s="51" t="str">
        <f t="shared" si="3"/>
        <v/>
      </c>
      <c r="N7" s="54">
        <f ca="1">IFERROR(__xludf.DUMMYFUNCTION("""COMPUTED_VALUE"""),784)</f>
        <v>784</v>
      </c>
      <c r="O7" s="54">
        <f ca="1">IFERROR(__xludf.DUMMYFUNCTION("""COMPUTED_VALUE"""),538)</f>
        <v>538</v>
      </c>
      <c r="P7" s="51">
        <f t="shared" ca="1" si="4"/>
        <v>0.68622448979591832</v>
      </c>
      <c r="Q7" s="54">
        <f ca="1">IFERROR(__xludf.DUMMYFUNCTION("""COMPUTED_VALUE"""),356)</f>
        <v>356</v>
      </c>
      <c r="R7" s="51">
        <f t="shared" ca="1" si="5"/>
        <v>0.45408163265306123</v>
      </c>
      <c r="S7" s="53"/>
      <c r="T7" s="53"/>
      <c r="U7" s="51" t="str">
        <f t="shared" si="6"/>
        <v/>
      </c>
      <c r="V7" s="53"/>
      <c r="W7" s="51" t="str">
        <f t="shared" si="7"/>
        <v/>
      </c>
      <c r="X7" s="53"/>
      <c r="Y7" s="51" t="str">
        <f t="shared" si="8"/>
        <v/>
      </c>
      <c r="Z7" s="2"/>
      <c r="AA7" s="2"/>
      <c r="AB7" s="2"/>
      <c r="AC7" s="2"/>
      <c r="AD7" s="2"/>
      <c r="AE7" s="2"/>
    </row>
    <row r="8" spans="1:31" ht="12.75" x14ac:dyDescent="0.2">
      <c r="A8" s="53">
        <f ca="1">IFERROR(__xludf.DUMMYFUNCTION("""COMPUTED_VALUE"""),2)</f>
        <v>2</v>
      </c>
      <c r="B8" s="53" t="str">
        <f ca="1">IFERROR(__xludf.DUMMYFUNCTION("""COMPUTED_VALUE"""),"THCS Lê Tấn Bê")</f>
        <v>THCS Lê Tấn Bê</v>
      </c>
      <c r="C8" s="53" t="str">
        <f ca="1">IFERROR(__xludf.DUMMYFUNCTION("""COMPUTED_VALUE"""),"THCS")</f>
        <v>THCS</v>
      </c>
      <c r="D8" s="53" t="str">
        <f ca="1">IFERROR(__xludf.DUMMYFUNCTION("""COMPUTED_VALUE"""),"Bình Tân")</f>
        <v>Bình Tân</v>
      </c>
      <c r="E8" s="53"/>
      <c r="F8" s="53"/>
      <c r="G8" s="51" t="str">
        <f t="shared" si="0"/>
        <v/>
      </c>
      <c r="H8" s="53"/>
      <c r="I8" s="51" t="str">
        <f t="shared" si="1"/>
        <v/>
      </c>
      <c r="J8" s="53"/>
      <c r="K8" s="51" t="str">
        <f t="shared" si="2"/>
        <v/>
      </c>
      <c r="L8" s="53"/>
      <c r="M8" s="51" t="str">
        <f t="shared" si="3"/>
        <v/>
      </c>
      <c r="N8" s="54">
        <f ca="1">IFERROR(__xludf.DUMMYFUNCTION("""COMPUTED_VALUE"""),166)</f>
        <v>166</v>
      </c>
      <c r="O8" s="54">
        <f ca="1">IFERROR(__xludf.DUMMYFUNCTION("""COMPUTED_VALUE"""),105)</f>
        <v>105</v>
      </c>
      <c r="P8" s="51">
        <f t="shared" ca="1" si="4"/>
        <v>0.63253012048192769</v>
      </c>
      <c r="Q8" s="54">
        <f ca="1">IFERROR(__xludf.DUMMYFUNCTION("""COMPUTED_VALUE"""),44)</f>
        <v>44</v>
      </c>
      <c r="R8" s="51">
        <f t="shared" ca="1" si="5"/>
        <v>0.26506024096385544</v>
      </c>
      <c r="S8" s="53"/>
      <c r="T8" s="53"/>
      <c r="U8" s="51" t="str">
        <f t="shared" si="6"/>
        <v/>
      </c>
      <c r="V8" s="53"/>
      <c r="W8" s="51" t="str">
        <f t="shared" si="7"/>
        <v/>
      </c>
      <c r="X8" s="53"/>
      <c r="Y8" s="51" t="str">
        <f t="shared" si="8"/>
        <v/>
      </c>
      <c r="Z8" s="2"/>
      <c r="AA8" s="2"/>
      <c r="AB8" s="2"/>
      <c r="AC8" s="2"/>
      <c r="AD8" s="2"/>
      <c r="AE8" s="2"/>
    </row>
    <row r="9" spans="1:31" ht="12.75" x14ac:dyDescent="0.2">
      <c r="A9" s="53">
        <f ca="1">IFERROR(__xludf.DUMMYFUNCTION("""COMPUTED_VALUE"""),3)</f>
        <v>3</v>
      </c>
      <c r="B9" s="53" t="str">
        <f ca="1">IFERROR(__xludf.DUMMYFUNCTION("""COMPUTED_VALUE"""),"THCS An Lạc")</f>
        <v>THCS An Lạc</v>
      </c>
      <c r="C9" s="53" t="str">
        <f ca="1">IFERROR(__xludf.DUMMYFUNCTION("""COMPUTED_VALUE"""),"THCS")</f>
        <v>THCS</v>
      </c>
      <c r="D9" s="53" t="str">
        <f ca="1">IFERROR(__xludf.DUMMYFUNCTION("""COMPUTED_VALUE"""),"Bình Tân")</f>
        <v>Bình Tân</v>
      </c>
      <c r="E9" s="53"/>
      <c r="F9" s="53"/>
      <c r="G9" s="51" t="str">
        <f t="shared" si="0"/>
        <v/>
      </c>
      <c r="H9" s="53"/>
      <c r="I9" s="51" t="str">
        <f t="shared" si="1"/>
        <v/>
      </c>
      <c r="J9" s="53"/>
      <c r="K9" s="51" t="str">
        <f t="shared" si="2"/>
        <v/>
      </c>
      <c r="L9" s="53"/>
      <c r="M9" s="51" t="str">
        <f t="shared" si="3"/>
        <v/>
      </c>
      <c r="N9" s="54">
        <f ca="1">IFERROR(__xludf.DUMMYFUNCTION("""COMPUTED_VALUE"""),549)</f>
        <v>549</v>
      </c>
      <c r="O9" s="54">
        <f ca="1">IFERROR(__xludf.DUMMYFUNCTION("""COMPUTED_VALUE"""),378)</f>
        <v>378</v>
      </c>
      <c r="P9" s="51">
        <f t="shared" ca="1" si="4"/>
        <v>0.68852459016393441</v>
      </c>
      <c r="Q9" s="54">
        <f ca="1">IFERROR(__xludf.DUMMYFUNCTION("""COMPUTED_VALUE"""),222)</f>
        <v>222</v>
      </c>
      <c r="R9" s="51">
        <f t="shared" ca="1" si="5"/>
        <v>0.40437158469945356</v>
      </c>
      <c r="S9" s="53"/>
      <c r="T9" s="53"/>
      <c r="U9" s="51" t="str">
        <f t="shared" si="6"/>
        <v/>
      </c>
      <c r="V9" s="53"/>
      <c r="W9" s="51" t="str">
        <f t="shared" si="7"/>
        <v/>
      </c>
      <c r="X9" s="53"/>
      <c r="Y9" s="51" t="str">
        <f t="shared" si="8"/>
        <v/>
      </c>
      <c r="Z9" s="2"/>
      <c r="AA9" s="2"/>
      <c r="AB9" s="2"/>
      <c r="AC9" s="2"/>
      <c r="AD9" s="2"/>
      <c r="AE9" s="2"/>
    </row>
    <row r="10" spans="1:31" ht="12.75" x14ac:dyDescent="0.2">
      <c r="A10" s="53">
        <f ca="1">IFERROR(__xludf.DUMMYFUNCTION("""COMPUTED_VALUE"""),4)</f>
        <v>4</v>
      </c>
      <c r="B10" s="53" t="str">
        <f ca="1">IFERROR(__xludf.DUMMYFUNCTION("""COMPUTED_VALUE"""),"THCS Nguyễn Trãi")</f>
        <v>THCS Nguyễn Trãi</v>
      </c>
      <c r="C10" s="53" t="str">
        <f ca="1">IFERROR(__xludf.DUMMYFUNCTION("""COMPUTED_VALUE"""),"THCS")</f>
        <v>THCS</v>
      </c>
      <c r="D10" s="53" t="str">
        <f ca="1">IFERROR(__xludf.DUMMYFUNCTION("""COMPUTED_VALUE"""),"Bình Tân")</f>
        <v>Bình Tân</v>
      </c>
      <c r="E10" s="53"/>
      <c r="F10" s="53"/>
      <c r="G10" s="51" t="str">
        <f t="shared" si="0"/>
        <v/>
      </c>
      <c r="H10" s="53"/>
      <c r="I10" s="51" t="str">
        <f t="shared" si="1"/>
        <v/>
      </c>
      <c r="J10" s="53"/>
      <c r="K10" s="51" t="str">
        <f t="shared" si="2"/>
        <v/>
      </c>
      <c r="L10" s="53"/>
      <c r="M10" s="51" t="str">
        <f t="shared" si="3"/>
        <v/>
      </c>
      <c r="N10" s="54">
        <f ca="1">IFERROR(__xludf.DUMMYFUNCTION("""COMPUTED_VALUE"""),642)</f>
        <v>642</v>
      </c>
      <c r="O10" s="54">
        <f ca="1">IFERROR(__xludf.DUMMYFUNCTION("""COMPUTED_VALUE"""),325)</f>
        <v>325</v>
      </c>
      <c r="P10" s="51">
        <f t="shared" ca="1" si="4"/>
        <v>0.50623052959501558</v>
      </c>
      <c r="Q10" s="54">
        <f ca="1">IFERROR(__xludf.DUMMYFUNCTION("""COMPUTED_VALUE"""),265)</f>
        <v>265</v>
      </c>
      <c r="R10" s="51">
        <f t="shared" ca="1" si="5"/>
        <v>0.41277258566978192</v>
      </c>
      <c r="S10" s="53"/>
      <c r="T10" s="53"/>
      <c r="U10" s="51" t="str">
        <f t="shared" si="6"/>
        <v/>
      </c>
      <c r="V10" s="53"/>
      <c r="W10" s="51" t="str">
        <f t="shared" si="7"/>
        <v/>
      </c>
      <c r="X10" s="53"/>
      <c r="Y10" s="51" t="str">
        <f t="shared" si="8"/>
        <v/>
      </c>
      <c r="Z10" s="2"/>
      <c r="AA10" s="2"/>
      <c r="AB10" s="2"/>
      <c r="AC10" s="2"/>
      <c r="AD10" s="2"/>
      <c r="AE10" s="2"/>
    </row>
    <row r="11" spans="1:31" ht="12.75" x14ac:dyDescent="0.2">
      <c r="A11" s="53">
        <f ca="1">IFERROR(__xludf.DUMMYFUNCTION("""COMPUTED_VALUE"""),5)</f>
        <v>5</v>
      </c>
      <c r="B11" s="53" t="str">
        <f ca="1">IFERROR(__xludf.DUMMYFUNCTION("""COMPUTED_VALUE"""),"THCS Lạc Long Quân")</f>
        <v>THCS Lạc Long Quân</v>
      </c>
      <c r="C11" s="53" t="str">
        <f ca="1">IFERROR(__xludf.DUMMYFUNCTION("""COMPUTED_VALUE"""),"THCS")</f>
        <v>THCS</v>
      </c>
      <c r="D11" s="53" t="str">
        <f ca="1">IFERROR(__xludf.DUMMYFUNCTION("""COMPUTED_VALUE"""),"Bình Tân")</f>
        <v>Bình Tân</v>
      </c>
      <c r="E11" s="53"/>
      <c r="F11" s="53"/>
      <c r="G11" s="51" t="str">
        <f t="shared" si="0"/>
        <v/>
      </c>
      <c r="H11" s="53"/>
      <c r="I11" s="51" t="str">
        <f t="shared" si="1"/>
        <v/>
      </c>
      <c r="J11" s="53"/>
      <c r="K11" s="51" t="str">
        <f t="shared" si="2"/>
        <v/>
      </c>
      <c r="L11" s="53"/>
      <c r="M11" s="51" t="str">
        <f t="shared" si="3"/>
        <v/>
      </c>
      <c r="N11" s="54">
        <f ca="1">IFERROR(__xludf.DUMMYFUNCTION("""COMPUTED_VALUE"""),1258)</f>
        <v>1258</v>
      </c>
      <c r="O11" s="54">
        <f ca="1">IFERROR(__xludf.DUMMYFUNCTION("""COMPUTED_VALUE"""),704)</f>
        <v>704</v>
      </c>
      <c r="P11" s="51">
        <f t="shared" ca="1" si="4"/>
        <v>0.55961844197138311</v>
      </c>
      <c r="Q11" s="54">
        <f ca="1">IFERROR(__xludf.DUMMYFUNCTION("""COMPUTED_VALUE"""),501)</f>
        <v>501</v>
      </c>
      <c r="R11" s="51">
        <f t="shared" ca="1" si="5"/>
        <v>0.39825119236883944</v>
      </c>
      <c r="S11" s="53"/>
      <c r="T11" s="53"/>
      <c r="U11" s="51" t="str">
        <f t="shared" si="6"/>
        <v/>
      </c>
      <c r="V11" s="53"/>
      <c r="W11" s="51" t="str">
        <f t="shared" si="7"/>
        <v/>
      </c>
      <c r="X11" s="53"/>
      <c r="Y11" s="51" t="str">
        <f t="shared" si="8"/>
        <v/>
      </c>
      <c r="Z11" s="2"/>
      <c r="AA11" s="2"/>
      <c r="AB11" s="2"/>
      <c r="AC11" s="2"/>
      <c r="AD11" s="2"/>
      <c r="AE11" s="2"/>
    </row>
    <row r="12" spans="1:31" ht="12.75" x14ac:dyDescent="0.2">
      <c r="A12" s="53">
        <f ca="1">IFERROR(__xludf.DUMMYFUNCTION("""COMPUTED_VALUE"""),6)</f>
        <v>6</v>
      </c>
      <c r="B12" s="53" t="str">
        <f ca="1">IFERROR(__xludf.DUMMYFUNCTION("""COMPUTED_VALUE"""),"THCS Trần Quốc Toản")</f>
        <v>THCS Trần Quốc Toản</v>
      </c>
      <c r="C12" s="53" t="str">
        <f ca="1">IFERROR(__xludf.DUMMYFUNCTION("""COMPUTED_VALUE"""),"THCS")</f>
        <v>THCS</v>
      </c>
      <c r="D12" s="53" t="str">
        <f ca="1">IFERROR(__xludf.DUMMYFUNCTION("""COMPUTED_VALUE"""),"Bình Tân")</f>
        <v>Bình Tân</v>
      </c>
      <c r="E12" s="53"/>
      <c r="F12" s="53"/>
      <c r="G12" s="51" t="str">
        <f t="shared" si="0"/>
        <v/>
      </c>
      <c r="H12" s="53"/>
      <c r="I12" s="51" t="str">
        <f t="shared" si="1"/>
        <v/>
      </c>
      <c r="J12" s="53"/>
      <c r="K12" s="51" t="str">
        <f t="shared" si="2"/>
        <v/>
      </c>
      <c r="L12" s="53"/>
      <c r="M12" s="51" t="str">
        <f t="shared" si="3"/>
        <v/>
      </c>
      <c r="N12" s="54">
        <f ca="1">IFERROR(__xludf.DUMMYFUNCTION("""COMPUTED_VALUE"""),669)</f>
        <v>669</v>
      </c>
      <c r="O12" s="54">
        <f ca="1">IFERROR(__xludf.DUMMYFUNCTION("""COMPUTED_VALUE"""),397)</f>
        <v>397</v>
      </c>
      <c r="P12" s="51">
        <f t="shared" ca="1" si="4"/>
        <v>0.59342301943198805</v>
      </c>
      <c r="Q12" s="54">
        <f ca="1">IFERROR(__xludf.DUMMYFUNCTION("""COMPUTED_VALUE"""),173)</f>
        <v>173</v>
      </c>
      <c r="R12" s="51">
        <f t="shared" ca="1" si="5"/>
        <v>0.25859491778774291</v>
      </c>
      <c r="S12" s="53"/>
      <c r="T12" s="53"/>
      <c r="U12" s="51" t="str">
        <f t="shared" si="6"/>
        <v/>
      </c>
      <c r="V12" s="53"/>
      <c r="W12" s="51" t="str">
        <f t="shared" si="7"/>
        <v/>
      </c>
      <c r="X12" s="53"/>
      <c r="Y12" s="51" t="str">
        <f t="shared" si="8"/>
        <v/>
      </c>
      <c r="Z12" s="2"/>
      <c r="AA12" s="2"/>
      <c r="AB12" s="2"/>
      <c r="AC12" s="2"/>
      <c r="AD12" s="2"/>
      <c r="AE12" s="2"/>
    </row>
    <row r="13" spans="1:31" ht="12.75" x14ac:dyDescent="0.2">
      <c r="A13" s="53">
        <f ca="1">IFERROR(__xludf.DUMMYFUNCTION("""COMPUTED_VALUE"""),7)</f>
        <v>7</v>
      </c>
      <c r="B13" s="53" t="str">
        <f ca="1">IFERROR(__xludf.DUMMYFUNCTION("""COMPUTED_VALUE"""),"THCS Bình Hưng Hòa")</f>
        <v>THCS Bình Hưng Hòa</v>
      </c>
      <c r="C13" s="53" t="str">
        <f ca="1">IFERROR(__xludf.DUMMYFUNCTION("""COMPUTED_VALUE"""),"THCS")</f>
        <v>THCS</v>
      </c>
      <c r="D13" s="53" t="str">
        <f ca="1">IFERROR(__xludf.DUMMYFUNCTION("""COMPUTED_VALUE"""),"Bình Tân")</f>
        <v>Bình Tân</v>
      </c>
      <c r="E13" s="53"/>
      <c r="F13" s="53"/>
      <c r="G13" s="51" t="str">
        <f t="shared" si="0"/>
        <v/>
      </c>
      <c r="H13" s="53"/>
      <c r="I13" s="51" t="str">
        <f t="shared" si="1"/>
        <v/>
      </c>
      <c r="J13" s="53"/>
      <c r="K13" s="51" t="str">
        <f t="shared" si="2"/>
        <v/>
      </c>
      <c r="L13" s="53"/>
      <c r="M13" s="51" t="str">
        <f t="shared" si="3"/>
        <v/>
      </c>
      <c r="N13" s="54">
        <f ca="1">IFERROR(__xludf.DUMMYFUNCTION("""COMPUTED_VALUE"""),680)</f>
        <v>680</v>
      </c>
      <c r="O13" s="54">
        <f ca="1">IFERROR(__xludf.DUMMYFUNCTION("""COMPUTED_VALUE"""),486)</f>
        <v>486</v>
      </c>
      <c r="P13" s="51">
        <f t="shared" ca="1" si="4"/>
        <v>0.71470588235294119</v>
      </c>
      <c r="Q13" s="54">
        <f ca="1">IFERROR(__xludf.DUMMYFUNCTION("""COMPUTED_VALUE"""),269)</f>
        <v>269</v>
      </c>
      <c r="R13" s="51">
        <f t="shared" ca="1" si="5"/>
        <v>0.39558823529411763</v>
      </c>
      <c r="S13" s="53"/>
      <c r="T13" s="53"/>
      <c r="U13" s="51" t="str">
        <f t="shared" si="6"/>
        <v/>
      </c>
      <c r="V13" s="53"/>
      <c r="W13" s="51" t="str">
        <f t="shared" si="7"/>
        <v/>
      </c>
      <c r="X13" s="53"/>
      <c r="Y13" s="51" t="str">
        <f t="shared" si="8"/>
        <v/>
      </c>
      <c r="Z13" s="2"/>
      <c r="AA13" s="2"/>
      <c r="AB13" s="2"/>
      <c r="AC13" s="2"/>
      <c r="AD13" s="2"/>
      <c r="AE13" s="2"/>
    </row>
    <row r="14" spans="1:31" ht="12.75" x14ac:dyDescent="0.2">
      <c r="A14" s="53">
        <f ca="1">IFERROR(__xludf.DUMMYFUNCTION("""COMPUTED_VALUE"""),8)</f>
        <v>8</v>
      </c>
      <c r="B14" s="53" t="str">
        <f ca="1">IFERROR(__xludf.DUMMYFUNCTION("""COMPUTED_VALUE"""),"THCS Huỳnh Văn Nghệ")</f>
        <v>THCS Huỳnh Văn Nghệ</v>
      </c>
      <c r="C14" s="53" t="str">
        <f ca="1">IFERROR(__xludf.DUMMYFUNCTION("""COMPUTED_VALUE"""),"THCS")</f>
        <v>THCS</v>
      </c>
      <c r="D14" s="53" t="str">
        <f ca="1">IFERROR(__xludf.DUMMYFUNCTION("""COMPUTED_VALUE"""),"Bình Tân")</f>
        <v>Bình Tân</v>
      </c>
      <c r="E14" s="53"/>
      <c r="F14" s="53"/>
      <c r="G14" s="51" t="str">
        <f t="shared" si="0"/>
        <v/>
      </c>
      <c r="H14" s="53"/>
      <c r="I14" s="51" t="str">
        <f t="shared" si="1"/>
        <v/>
      </c>
      <c r="J14" s="53"/>
      <c r="K14" s="51" t="str">
        <f t="shared" si="2"/>
        <v/>
      </c>
      <c r="L14" s="53"/>
      <c r="M14" s="51" t="str">
        <f t="shared" si="3"/>
        <v/>
      </c>
      <c r="N14" s="54">
        <f ca="1">IFERROR(__xludf.DUMMYFUNCTION("""COMPUTED_VALUE"""),1603)</f>
        <v>1603</v>
      </c>
      <c r="O14" s="54">
        <f ca="1">IFERROR(__xludf.DUMMYFUNCTION("""COMPUTED_VALUE"""),974)</f>
        <v>974</v>
      </c>
      <c r="P14" s="51">
        <f t="shared" ca="1" si="4"/>
        <v>0.60761072988147224</v>
      </c>
      <c r="Q14" s="54">
        <f ca="1">IFERROR(__xludf.DUMMYFUNCTION("""COMPUTED_VALUE"""),569)</f>
        <v>569</v>
      </c>
      <c r="R14" s="51">
        <f t="shared" ca="1" si="5"/>
        <v>0.35495945102932003</v>
      </c>
      <c r="S14" s="53"/>
      <c r="T14" s="53"/>
      <c r="U14" s="51" t="str">
        <f t="shared" si="6"/>
        <v/>
      </c>
      <c r="V14" s="53"/>
      <c r="W14" s="51" t="str">
        <f t="shared" si="7"/>
        <v/>
      </c>
      <c r="X14" s="53"/>
      <c r="Y14" s="51" t="str">
        <f t="shared" si="8"/>
        <v/>
      </c>
      <c r="Z14" s="2"/>
      <c r="AA14" s="2"/>
      <c r="AB14" s="2"/>
      <c r="AC14" s="2"/>
      <c r="AD14" s="2"/>
      <c r="AE14" s="2"/>
    </row>
    <row r="15" spans="1:31" ht="12.75" x14ac:dyDescent="0.2">
      <c r="A15" s="53">
        <f ca="1">IFERROR(__xludf.DUMMYFUNCTION("""COMPUTED_VALUE"""),9)</f>
        <v>9</v>
      </c>
      <c r="B15" s="53" t="str">
        <f ca="1">IFERROR(__xludf.DUMMYFUNCTION("""COMPUTED_VALUE"""),"THCS Bình Trị Đông")</f>
        <v>THCS Bình Trị Đông</v>
      </c>
      <c r="C15" s="53" t="str">
        <f ca="1">IFERROR(__xludf.DUMMYFUNCTION("""COMPUTED_VALUE"""),"THCS")</f>
        <v>THCS</v>
      </c>
      <c r="D15" s="53" t="str">
        <f ca="1">IFERROR(__xludf.DUMMYFUNCTION("""COMPUTED_VALUE"""),"Bình Tân")</f>
        <v>Bình Tân</v>
      </c>
      <c r="E15" s="53"/>
      <c r="F15" s="53"/>
      <c r="G15" s="51" t="str">
        <f t="shared" si="0"/>
        <v/>
      </c>
      <c r="H15" s="53"/>
      <c r="I15" s="51" t="str">
        <f t="shared" si="1"/>
        <v/>
      </c>
      <c r="J15" s="53"/>
      <c r="K15" s="51" t="str">
        <f t="shared" si="2"/>
        <v/>
      </c>
      <c r="L15" s="53"/>
      <c r="M15" s="51" t="str">
        <f t="shared" si="3"/>
        <v/>
      </c>
      <c r="N15" s="54">
        <f ca="1">IFERROR(__xludf.DUMMYFUNCTION("""COMPUTED_VALUE"""),712)</f>
        <v>712</v>
      </c>
      <c r="O15" s="54">
        <f ca="1">IFERROR(__xludf.DUMMYFUNCTION("""COMPUTED_VALUE"""),545)</f>
        <v>545</v>
      </c>
      <c r="P15" s="51">
        <f t="shared" ca="1" si="4"/>
        <v>0.7654494382022472</v>
      </c>
      <c r="Q15" s="54">
        <f ca="1">IFERROR(__xludf.DUMMYFUNCTION("""COMPUTED_VALUE"""),350)</f>
        <v>350</v>
      </c>
      <c r="R15" s="51">
        <f t="shared" ca="1" si="5"/>
        <v>0.49157303370786515</v>
      </c>
      <c r="S15" s="53"/>
      <c r="T15" s="53"/>
      <c r="U15" s="51" t="str">
        <f t="shared" si="6"/>
        <v/>
      </c>
      <c r="V15" s="53"/>
      <c r="W15" s="51" t="str">
        <f t="shared" si="7"/>
        <v/>
      </c>
      <c r="X15" s="53"/>
      <c r="Y15" s="51" t="str">
        <f t="shared" si="8"/>
        <v/>
      </c>
      <c r="Z15" s="2"/>
      <c r="AA15" s="2"/>
      <c r="AB15" s="2"/>
      <c r="AC15" s="2"/>
      <c r="AD15" s="2"/>
      <c r="AE15" s="2"/>
    </row>
    <row r="16" spans="1:31" ht="12.75" x14ac:dyDescent="0.2">
      <c r="A16" s="53">
        <f ca="1">IFERROR(__xludf.DUMMYFUNCTION("""COMPUTED_VALUE"""),10)</f>
        <v>10</v>
      </c>
      <c r="B16" s="53" t="str">
        <f ca="1">IFERROR(__xludf.DUMMYFUNCTION("""COMPUTED_VALUE"""),"THCS Lý Thường Kiệt")</f>
        <v>THCS Lý Thường Kiệt</v>
      </c>
      <c r="C16" s="53" t="str">
        <f ca="1">IFERROR(__xludf.DUMMYFUNCTION("""COMPUTED_VALUE"""),"THCS")</f>
        <v>THCS</v>
      </c>
      <c r="D16" s="53" t="str">
        <f ca="1">IFERROR(__xludf.DUMMYFUNCTION("""COMPUTED_VALUE"""),"Bình Tân")</f>
        <v>Bình Tân</v>
      </c>
      <c r="E16" s="53"/>
      <c r="F16" s="53"/>
      <c r="G16" s="51" t="str">
        <f t="shared" si="0"/>
        <v/>
      </c>
      <c r="H16" s="53"/>
      <c r="I16" s="51" t="str">
        <f t="shared" si="1"/>
        <v/>
      </c>
      <c r="J16" s="53"/>
      <c r="K16" s="51" t="str">
        <f t="shared" si="2"/>
        <v/>
      </c>
      <c r="L16" s="53"/>
      <c r="M16" s="51" t="str">
        <f t="shared" si="3"/>
        <v/>
      </c>
      <c r="N16" s="54">
        <f ca="1">IFERROR(__xludf.DUMMYFUNCTION("""COMPUTED_VALUE"""),378)</f>
        <v>378</v>
      </c>
      <c r="O16" s="54">
        <f ca="1">IFERROR(__xludf.DUMMYFUNCTION("""COMPUTED_VALUE"""),229)</f>
        <v>229</v>
      </c>
      <c r="P16" s="51">
        <f t="shared" ca="1" si="4"/>
        <v>0.60582010582010581</v>
      </c>
      <c r="Q16" s="54">
        <f ca="1">IFERROR(__xludf.DUMMYFUNCTION("""COMPUTED_VALUE"""),139)</f>
        <v>139</v>
      </c>
      <c r="R16" s="51">
        <f t="shared" ca="1" si="5"/>
        <v>0.36772486772486773</v>
      </c>
      <c r="S16" s="53"/>
      <c r="T16" s="53"/>
      <c r="U16" s="51" t="str">
        <f t="shared" si="6"/>
        <v/>
      </c>
      <c r="V16" s="53"/>
      <c r="W16" s="51" t="str">
        <f t="shared" si="7"/>
        <v/>
      </c>
      <c r="X16" s="53"/>
      <c r="Y16" s="51" t="str">
        <f t="shared" si="8"/>
        <v/>
      </c>
      <c r="Z16" s="2"/>
      <c r="AA16" s="2"/>
      <c r="AB16" s="2"/>
      <c r="AC16" s="2"/>
      <c r="AD16" s="2"/>
      <c r="AE16" s="2"/>
    </row>
    <row r="17" spans="1:31" ht="12.75" x14ac:dyDescent="0.2">
      <c r="A17" s="53">
        <f ca="1">IFERROR(__xludf.DUMMYFUNCTION("""COMPUTED_VALUE"""),11)</f>
        <v>11</v>
      </c>
      <c r="B17" s="53" t="str">
        <f ca="1">IFERROR(__xludf.DUMMYFUNCTION("""COMPUTED_VALUE"""),"THCS Bình Trị Đông A")</f>
        <v>THCS Bình Trị Đông A</v>
      </c>
      <c r="C17" s="53" t="str">
        <f ca="1">IFERROR(__xludf.DUMMYFUNCTION("""COMPUTED_VALUE"""),"THCS")</f>
        <v>THCS</v>
      </c>
      <c r="D17" s="53" t="str">
        <f ca="1">IFERROR(__xludf.DUMMYFUNCTION("""COMPUTED_VALUE"""),"Bình Tân")</f>
        <v>Bình Tân</v>
      </c>
      <c r="E17" s="53"/>
      <c r="F17" s="53"/>
      <c r="G17" s="51" t="str">
        <f t="shared" si="0"/>
        <v/>
      </c>
      <c r="H17" s="53"/>
      <c r="I17" s="51" t="str">
        <f t="shared" si="1"/>
        <v/>
      </c>
      <c r="J17" s="53"/>
      <c r="K17" s="51" t="str">
        <f t="shared" si="2"/>
        <v/>
      </c>
      <c r="L17" s="53"/>
      <c r="M17" s="51" t="str">
        <f t="shared" si="3"/>
        <v/>
      </c>
      <c r="N17" s="54">
        <f ca="1">IFERROR(__xludf.DUMMYFUNCTION("""COMPUTED_VALUE"""),706)</f>
        <v>706</v>
      </c>
      <c r="O17" s="54">
        <f ca="1">IFERROR(__xludf.DUMMYFUNCTION("""COMPUTED_VALUE"""),518)</f>
        <v>518</v>
      </c>
      <c r="P17" s="51">
        <f t="shared" ca="1" si="4"/>
        <v>0.73371104815864019</v>
      </c>
      <c r="Q17" s="54">
        <f ca="1">IFERROR(__xludf.DUMMYFUNCTION("""COMPUTED_VALUE"""),312)</f>
        <v>312</v>
      </c>
      <c r="R17" s="51">
        <f t="shared" ca="1" si="5"/>
        <v>0.44192634560906513</v>
      </c>
      <c r="S17" s="53"/>
      <c r="T17" s="53"/>
      <c r="U17" s="51" t="str">
        <f t="shared" si="6"/>
        <v/>
      </c>
      <c r="V17" s="53"/>
      <c r="W17" s="51" t="str">
        <f t="shared" si="7"/>
        <v/>
      </c>
      <c r="X17" s="53"/>
      <c r="Y17" s="51" t="str">
        <f t="shared" si="8"/>
        <v/>
      </c>
      <c r="Z17" s="2"/>
      <c r="AA17" s="2"/>
      <c r="AB17" s="2"/>
      <c r="AC17" s="2"/>
      <c r="AD17" s="2"/>
      <c r="AE17" s="2"/>
    </row>
    <row r="18" spans="1:31" ht="12.75" x14ac:dyDescent="0.2">
      <c r="A18" s="53">
        <f ca="1">IFERROR(__xludf.DUMMYFUNCTION("""COMPUTED_VALUE"""),12)</f>
        <v>12</v>
      </c>
      <c r="B18" s="53" t="str">
        <f ca="1">IFERROR(__xludf.DUMMYFUNCTION("""COMPUTED_VALUE"""),"THCS Hồ Văn Long")</f>
        <v>THCS Hồ Văn Long</v>
      </c>
      <c r="C18" s="53" t="str">
        <f ca="1">IFERROR(__xludf.DUMMYFUNCTION("""COMPUTED_VALUE"""),"THCS")</f>
        <v>THCS</v>
      </c>
      <c r="D18" s="53" t="str">
        <f ca="1">IFERROR(__xludf.DUMMYFUNCTION("""COMPUTED_VALUE"""),"Bình Tân")</f>
        <v>Bình Tân</v>
      </c>
      <c r="E18" s="53"/>
      <c r="F18" s="53"/>
      <c r="G18" s="51" t="str">
        <f t="shared" si="0"/>
        <v/>
      </c>
      <c r="H18" s="53"/>
      <c r="I18" s="51" t="str">
        <f t="shared" si="1"/>
        <v/>
      </c>
      <c r="J18" s="53"/>
      <c r="K18" s="51" t="str">
        <f t="shared" si="2"/>
        <v/>
      </c>
      <c r="L18" s="53"/>
      <c r="M18" s="51" t="str">
        <f t="shared" si="3"/>
        <v/>
      </c>
      <c r="N18" s="54">
        <f ca="1">IFERROR(__xludf.DUMMYFUNCTION("""COMPUTED_VALUE"""),828)</f>
        <v>828</v>
      </c>
      <c r="O18" s="54">
        <f ca="1">IFERROR(__xludf.DUMMYFUNCTION("""COMPUTED_VALUE"""),529)</f>
        <v>529</v>
      </c>
      <c r="P18" s="51">
        <f t="shared" ca="1" si="4"/>
        <v>0.63888888888888884</v>
      </c>
      <c r="Q18" s="54">
        <f ca="1">IFERROR(__xludf.DUMMYFUNCTION("""COMPUTED_VALUE"""),353)</f>
        <v>353</v>
      </c>
      <c r="R18" s="51">
        <f t="shared" ca="1" si="5"/>
        <v>0.42632850241545894</v>
      </c>
      <c r="S18" s="53"/>
      <c r="T18" s="53"/>
      <c r="U18" s="51" t="str">
        <f t="shared" si="6"/>
        <v/>
      </c>
      <c r="V18" s="53"/>
      <c r="W18" s="51" t="str">
        <f t="shared" si="7"/>
        <v/>
      </c>
      <c r="X18" s="53"/>
      <c r="Y18" s="51" t="str">
        <f t="shared" si="8"/>
        <v/>
      </c>
      <c r="Z18" s="2"/>
      <c r="AA18" s="2"/>
      <c r="AB18" s="2"/>
      <c r="AC18" s="2"/>
      <c r="AD18" s="2"/>
      <c r="AE18" s="2"/>
    </row>
    <row r="19" spans="1:31" ht="12.75" x14ac:dyDescent="0.2">
      <c r="A19" s="53">
        <f ca="1">IFERROR(__xludf.DUMMYFUNCTION("""COMPUTED_VALUE"""),13)</f>
        <v>13</v>
      </c>
      <c r="B19" s="53" t="str">
        <f ca="1">IFERROR(__xludf.DUMMYFUNCTION("""COMPUTED_VALUE"""),"THCS Tân Tạo")</f>
        <v>THCS Tân Tạo</v>
      </c>
      <c r="C19" s="53" t="str">
        <f ca="1">IFERROR(__xludf.DUMMYFUNCTION("""COMPUTED_VALUE"""),"THCS")</f>
        <v>THCS</v>
      </c>
      <c r="D19" s="53" t="str">
        <f ca="1">IFERROR(__xludf.DUMMYFUNCTION("""COMPUTED_VALUE"""),"Bình Tân")</f>
        <v>Bình Tân</v>
      </c>
      <c r="E19" s="53"/>
      <c r="F19" s="53"/>
      <c r="G19" s="51" t="str">
        <f t="shared" si="0"/>
        <v/>
      </c>
      <c r="H19" s="53"/>
      <c r="I19" s="51" t="str">
        <f t="shared" si="1"/>
        <v/>
      </c>
      <c r="J19" s="53"/>
      <c r="K19" s="51" t="str">
        <f t="shared" si="2"/>
        <v/>
      </c>
      <c r="L19" s="53"/>
      <c r="M19" s="51" t="str">
        <f t="shared" si="3"/>
        <v/>
      </c>
      <c r="N19" s="54">
        <f ca="1">IFERROR(__xludf.DUMMYFUNCTION("""COMPUTED_VALUE"""),307)</f>
        <v>307</v>
      </c>
      <c r="O19" s="54">
        <f ca="1">IFERROR(__xludf.DUMMYFUNCTION("""COMPUTED_VALUE"""),228)</f>
        <v>228</v>
      </c>
      <c r="P19" s="51">
        <f t="shared" ca="1" si="4"/>
        <v>0.74267100977198697</v>
      </c>
      <c r="Q19" s="54">
        <f ca="1">IFERROR(__xludf.DUMMYFUNCTION("""COMPUTED_VALUE"""),137)</f>
        <v>137</v>
      </c>
      <c r="R19" s="51">
        <f t="shared" ca="1" si="5"/>
        <v>0.44625407166123776</v>
      </c>
      <c r="S19" s="53"/>
      <c r="T19" s="53"/>
      <c r="U19" s="51" t="str">
        <f t="shared" si="6"/>
        <v/>
      </c>
      <c r="V19" s="53"/>
      <c r="W19" s="51" t="str">
        <f t="shared" si="7"/>
        <v/>
      </c>
      <c r="X19" s="53"/>
      <c r="Y19" s="51" t="str">
        <f t="shared" si="8"/>
        <v/>
      </c>
      <c r="Z19" s="2"/>
      <c r="AA19" s="2"/>
      <c r="AB19" s="2"/>
      <c r="AC19" s="2"/>
      <c r="AD19" s="2"/>
      <c r="AE19" s="2"/>
    </row>
    <row r="20" spans="1:31" ht="12.75" x14ac:dyDescent="0.2">
      <c r="A20" s="53">
        <f ca="1">IFERROR(__xludf.DUMMYFUNCTION("""COMPUTED_VALUE"""),14)</f>
        <v>14</v>
      </c>
      <c r="B20" s="53" t="str">
        <f ca="1">IFERROR(__xludf.DUMMYFUNCTION("""COMPUTED_VALUE"""),"THCS Tân Tạo A")</f>
        <v>THCS Tân Tạo A</v>
      </c>
      <c r="C20" s="53" t="str">
        <f ca="1">IFERROR(__xludf.DUMMYFUNCTION("""COMPUTED_VALUE"""),"THCS")</f>
        <v>THCS</v>
      </c>
      <c r="D20" s="53" t="str">
        <f ca="1">IFERROR(__xludf.DUMMYFUNCTION("""COMPUTED_VALUE"""),"Bình Tân")</f>
        <v>Bình Tân</v>
      </c>
      <c r="E20" s="53"/>
      <c r="F20" s="53"/>
      <c r="G20" s="51" t="str">
        <f t="shared" si="0"/>
        <v/>
      </c>
      <c r="H20" s="53"/>
      <c r="I20" s="51" t="str">
        <f t="shared" si="1"/>
        <v/>
      </c>
      <c r="J20" s="53"/>
      <c r="K20" s="51" t="str">
        <f t="shared" si="2"/>
        <v/>
      </c>
      <c r="L20" s="53"/>
      <c r="M20" s="51" t="str">
        <f t="shared" si="3"/>
        <v/>
      </c>
      <c r="N20" s="54">
        <f ca="1">IFERROR(__xludf.DUMMYFUNCTION("""COMPUTED_VALUE"""),916)</f>
        <v>916</v>
      </c>
      <c r="O20" s="54">
        <f ca="1">IFERROR(__xludf.DUMMYFUNCTION("""COMPUTED_VALUE"""),753)</f>
        <v>753</v>
      </c>
      <c r="P20" s="51">
        <f t="shared" ca="1" si="4"/>
        <v>0.82205240174672489</v>
      </c>
      <c r="Q20" s="54">
        <f ca="1">IFERROR(__xludf.DUMMYFUNCTION("""COMPUTED_VALUE"""),753)</f>
        <v>753</v>
      </c>
      <c r="R20" s="51">
        <f t="shared" ca="1" si="5"/>
        <v>0.82205240174672489</v>
      </c>
      <c r="S20" s="53"/>
      <c r="T20" s="53"/>
      <c r="U20" s="51" t="str">
        <f t="shared" si="6"/>
        <v/>
      </c>
      <c r="V20" s="53"/>
      <c r="W20" s="51" t="str">
        <f t="shared" si="7"/>
        <v/>
      </c>
      <c r="X20" s="53"/>
      <c r="Y20" s="51" t="str">
        <f t="shared" si="8"/>
        <v/>
      </c>
      <c r="Z20" s="2"/>
      <c r="AA20" s="2"/>
      <c r="AB20" s="2"/>
      <c r="AC20" s="2"/>
      <c r="AD20" s="2"/>
      <c r="AE20" s="2"/>
    </row>
    <row r="21" spans="1:31" ht="12.75" x14ac:dyDescent="0.2">
      <c r="A21" s="53">
        <f ca="1">IFERROR(__xludf.DUMMYFUNCTION("""COMPUTED_VALUE"""),15)</f>
        <v>15</v>
      </c>
      <c r="B21" s="53" t="str">
        <f ca="1">IFERROR(__xludf.DUMMYFUNCTION("""COMPUTED_VALUE"""),"TH-THCS-THPT Chu Văn An")</f>
        <v>TH-THCS-THPT Chu Văn An</v>
      </c>
      <c r="C21" s="53" t="str">
        <f ca="1">IFERROR(__xludf.DUMMYFUNCTION("""COMPUTED_VALUE"""),"THCS")</f>
        <v>THCS</v>
      </c>
      <c r="D21" s="53" t="str">
        <f ca="1">IFERROR(__xludf.DUMMYFUNCTION("""COMPUTED_VALUE"""),"Bình Tân")</f>
        <v>Bình Tân</v>
      </c>
      <c r="E21" s="53"/>
      <c r="F21" s="53"/>
      <c r="G21" s="51" t="str">
        <f t="shared" si="0"/>
        <v/>
      </c>
      <c r="H21" s="53"/>
      <c r="I21" s="51" t="str">
        <f t="shared" si="1"/>
        <v/>
      </c>
      <c r="J21" s="53"/>
      <c r="K21" s="51" t="str">
        <f t="shared" si="2"/>
        <v/>
      </c>
      <c r="L21" s="53"/>
      <c r="M21" s="51" t="str">
        <f t="shared" si="3"/>
        <v/>
      </c>
      <c r="N21" s="54">
        <f ca="1">IFERROR(__xludf.DUMMYFUNCTION("""COMPUTED_VALUE"""),23)</f>
        <v>23</v>
      </c>
      <c r="O21" s="54">
        <f ca="1">IFERROR(__xludf.DUMMYFUNCTION("""COMPUTED_VALUE"""),16)</f>
        <v>16</v>
      </c>
      <c r="P21" s="51">
        <f t="shared" ca="1" si="4"/>
        <v>0.69565217391304346</v>
      </c>
      <c r="Q21" s="54">
        <f ca="1">IFERROR(__xludf.DUMMYFUNCTION("""COMPUTED_VALUE"""),13)</f>
        <v>13</v>
      </c>
      <c r="R21" s="51">
        <f t="shared" ca="1" si="5"/>
        <v>0.56521739130434778</v>
      </c>
      <c r="S21" s="53"/>
      <c r="T21" s="53"/>
      <c r="U21" s="51" t="str">
        <f t="shared" si="6"/>
        <v/>
      </c>
      <c r="V21" s="53"/>
      <c r="W21" s="51" t="str">
        <f t="shared" si="7"/>
        <v/>
      </c>
      <c r="X21" s="53"/>
      <c r="Y21" s="51" t="str">
        <f t="shared" si="8"/>
        <v/>
      </c>
      <c r="Z21" s="2"/>
      <c r="AA21" s="2"/>
      <c r="AB21" s="2"/>
      <c r="AC21" s="2"/>
      <c r="AD21" s="2"/>
      <c r="AE21" s="2"/>
    </row>
    <row r="22" spans="1:31" ht="12.75" x14ac:dyDescent="0.2">
      <c r="A22" s="53">
        <f ca="1">IFERROR(__xludf.DUMMYFUNCTION("""COMPUTED_VALUE"""),16)</f>
        <v>16</v>
      </c>
      <c r="B22" s="53" t="str">
        <f ca="1">IFERROR(__xludf.DUMMYFUNCTION("""COMPUTED_VALUE"""),"TH-THCS-THPT Trí Tuệ Việt")</f>
        <v>TH-THCS-THPT Trí Tuệ Việt</v>
      </c>
      <c r="C22" s="53" t="str">
        <f ca="1">IFERROR(__xludf.DUMMYFUNCTION("""COMPUTED_VALUE"""),"THCS")</f>
        <v>THCS</v>
      </c>
      <c r="D22" s="53" t="str">
        <f ca="1">IFERROR(__xludf.DUMMYFUNCTION("""COMPUTED_VALUE"""),"Bình Tân")</f>
        <v>Bình Tân</v>
      </c>
      <c r="E22" s="53"/>
      <c r="F22" s="53"/>
      <c r="G22" s="51" t="str">
        <f t="shared" si="0"/>
        <v/>
      </c>
      <c r="H22" s="53"/>
      <c r="I22" s="51" t="str">
        <f t="shared" si="1"/>
        <v/>
      </c>
      <c r="J22" s="53"/>
      <c r="K22" s="51" t="str">
        <f t="shared" si="2"/>
        <v/>
      </c>
      <c r="L22" s="53"/>
      <c r="M22" s="51" t="str">
        <f t="shared" si="3"/>
        <v/>
      </c>
      <c r="N22" s="54">
        <f ca="1">IFERROR(__xludf.DUMMYFUNCTION("""COMPUTED_VALUE"""),22)</f>
        <v>22</v>
      </c>
      <c r="O22" s="54">
        <f ca="1">IFERROR(__xludf.DUMMYFUNCTION("""COMPUTED_VALUE"""),10)</f>
        <v>10</v>
      </c>
      <c r="P22" s="51">
        <f t="shared" ca="1" si="4"/>
        <v>0.45454545454545453</v>
      </c>
      <c r="Q22" s="54">
        <f ca="1">IFERROR(__xludf.DUMMYFUNCTION("""COMPUTED_VALUE"""),5)</f>
        <v>5</v>
      </c>
      <c r="R22" s="51">
        <f t="shared" ca="1" si="5"/>
        <v>0.22727272727272727</v>
      </c>
      <c r="S22" s="53"/>
      <c r="T22" s="53"/>
      <c r="U22" s="51" t="str">
        <f t="shared" si="6"/>
        <v/>
      </c>
      <c r="V22" s="53"/>
      <c r="W22" s="51" t="str">
        <f t="shared" si="7"/>
        <v/>
      </c>
      <c r="X22" s="53"/>
      <c r="Y22" s="51" t="str">
        <f t="shared" si="8"/>
        <v/>
      </c>
      <c r="Z22" s="2"/>
      <c r="AA22" s="2"/>
      <c r="AB22" s="2"/>
      <c r="AC22" s="2"/>
      <c r="AD22" s="2"/>
      <c r="AE22" s="2"/>
    </row>
    <row r="23" spans="1:31" ht="12.75" x14ac:dyDescent="0.2">
      <c r="A23" s="53">
        <f ca="1">IFERROR(__xludf.DUMMYFUNCTION("""COMPUTED_VALUE"""),17)</f>
        <v>17</v>
      </c>
      <c r="B23" s="53" t="str">
        <f ca="1">IFERROR(__xludf.DUMMYFUNCTION("""COMPUTED_VALUE"""),"THCS-THPT Phan Châu Trinh")</f>
        <v>THCS-THPT Phan Châu Trinh</v>
      </c>
      <c r="C23" s="53" t="str">
        <f ca="1">IFERROR(__xludf.DUMMYFUNCTION("""COMPUTED_VALUE"""),"THCS")</f>
        <v>THCS</v>
      </c>
      <c r="D23" s="53" t="str">
        <f ca="1">IFERROR(__xludf.DUMMYFUNCTION("""COMPUTED_VALUE"""),"Bình Tân")</f>
        <v>Bình Tân</v>
      </c>
      <c r="E23" s="53"/>
      <c r="F23" s="53"/>
      <c r="G23" s="51" t="str">
        <f t="shared" si="0"/>
        <v/>
      </c>
      <c r="H23" s="53"/>
      <c r="I23" s="51" t="str">
        <f t="shared" si="1"/>
        <v/>
      </c>
      <c r="J23" s="53"/>
      <c r="K23" s="51" t="str">
        <f t="shared" si="2"/>
        <v/>
      </c>
      <c r="L23" s="53"/>
      <c r="M23" s="51" t="str">
        <f t="shared" si="3"/>
        <v/>
      </c>
      <c r="N23" s="54">
        <f ca="1">IFERROR(__xludf.DUMMYFUNCTION("""COMPUTED_VALUE"""),32)</f>
        <v>32</v>
      </c>
      <c r="O23" s="54">
        <f ca="1">IFERROR(__xludf.DUMMYFUNCTION("""COMPUTED_VALUE"""),29)</f>
        <v>29</v>
      </c>
      <c r="P23" s="51">
        <f t="shared" ca="1" si="4"/>
        <v>0.90625</v>
      </c>
      <c r="Q23" s="54">
        <f ca="1">IFERROR(__xludf.DUMMYFUNCTION("""COMPUTED_VALUE"""),19)</f>
        <v>19</v>
      </c>
      <c r="R23" s="51">
        <f t="shared" ca="1" si="5"/>
        <v>0.59375</v>
      </c>
      <c r="S23" s="53"/>
      <c r="T23" s="53"/>
      <c r="U23" s="51" t="str">
        <f t="shared" si="6"/>
        <v/>
      </c>
      <c r="V23" s="53"/>
      <c r="W23" s="51" t="str">
        <f t="shared" si="7"/>
        <v/>
      </c>
      <c r="X23" s="53"/>
      <c r="Y23" s="51" t="str">
        <f t="shared" si="8"/>
        <v/>
      </c>
      <c r="Z23" s="2"/>
      <c r="AA23" s="2"/>
      <c r="AB23" s="2"/>
      <c r="AC23" s="2"/>
      <c r="AD23" s="2"/>
      <c r="AE23" s="2"/>
    </row>
    <row r="24" spans="1:31" ht="12.75" x14ac:dyDescent="0.2">
      <c r="A24" s="53">
        <f ca="1">IFERROR(__xludf.DUMMYFUNCTION("""COMPUTED_VALUE"""),18)</f>
        <v>18</v>
      </c>
      <c r="B24" s="53" t="str">
        <f ca="1">IFERROR(__xludf.DUMMYFUNCTION("""COMPUTED_VALUE"""),"THCS-THPT Ngôi Sao")</f>
        <v>THCS-THPT Ngôi Sao</v>
      </c>
      <c r="C24" s="53" t="str">
        <f ca="1">IFERROR(__xludf.DUMMYFUNCTION("""COMPUTED_VALUE"""),"THCS")</f>
        <v>THCS</v>
      </c>
      <c r="D24" s="53" t="str">
        <f ca="1">IFERROR(__xludf.DUMMYFUNCTION("""COMPUTED_VALUE"""),"Bình Tân")</f>
        <v>Bình Tân</v>
      </c>
      <c r="E24" s="53"/>
      <c r="F24" s="53"/>
      <c r="G24" s="51" t="str">
        <f t="shared" si="0"/>
        <v/>
      </c>
      <c r="H24" s="53"/>
      <c r="I24" s="51" t="str">
        <f t="shared" si="1"/>
        <v/>
      </c>
      <c r="J24" s="53"/>
      <c r="K24" s="51" t="str">
        <f t="shared" si="2"/>
        <v/>
      </c>
      <c r="L24" s="53"/>
      <c r="M24" s="51" t="str">
        <f t="shared" si="3"/>
        <v/>
      </c>
      <c r="N24" s="54">
        <f ca="1">IFERROR(__xludf.DUMMYFUNCTION("""COMPUTED_VALUE"""),67)</f>
        <v>67</v>
      </c>
      <c r="O24" s="54">
        <f ca="1">IFERROR(__xludf.DUMMYFUNCTION("""COMPUTED_VALUE"""),40)</f>
        <v>40</v>
      </c>
      <c r="P24" s="51">
        <f t="shared" ca="1" si="4"/>
        <v>0.59701492537313428</v>
      </c>
      <c r="Q24" s="54">
        <f ca="1">IFERROR(__xludf.DUMMYFUNCTION("""COMPUTED_VALUE"""),17)</f>
        <v>17</v>
      </c>
      <c r="R24" s="51">
        <f t="shared" ca="1" si="5"/>
        <v>0.2537313432835821</v>
      </c>
      <c r="S24" s="53"/>
      <c r="T24" s="53"/>
      <c r="U24" s="51" t="str">
        <f t="shared" si="6"/>
        <v/>
      </c>
      <c r="V24" s="53"/>
      <c r="W24" s="51" t="str">
        <f t="shared" si="7"/>
        <v/>
      </c>
      <c r="X24" s="53"/>
      <c r="Y24" s="51" t="str">
        <f t="shared" si="8"/>
        <v/>
      </c>
      <c r="Z24" s="2"/>
      <c r="AA24" s="2"/>
      <c r="AB24" s="2"/>
      <c r="AC24" s="2"/>
      <c r="AD24" s="2"/>
      <c r="AE24" s="2"/>
    </row>
    <row r="25" spans="1:31" ht="12.75" x14ac:dyDescent="0.2">
      <c r="A25" s="53" t="str">
        <f ca="1">IFERROR(__xludf.DUMMYFUNCTION("""COMPUTED_VALUE"""),"TIỂU HỌC")</f>
        <v>TIỂU HỌC</v>
      </c>
      <c r="B25" s="53"/>
      <c r="C25" s="53" t="str">
        <f ca="1">IFERROR(__xludf.DUMMYFUNCTION("""COMPUTED_VALUE"""),"THCS")</f>
        <v>THCS</v>
      </c>
      <c r="D25" s="53" t="str">
        <f ca="1">IFERROR(__xludf.DUMMYFUNCTION("""COMPUTED_VALUE"""),"Bình Tân")</f>
        <v>Bình Tân</v>
      </c>
      <c r="E25" s="53"/>
      <c r="F25" s="53"/>
      <c r="G25" s="51" t="str">
        <f t="shared" si="0"/>
        <v/>
      </c>
      <c r="H25" s="53"/>
      <c r="I25" s="51" t="str">
        <f t="shared" si="1"/>
        <v/>
      </c>
      <c r="J25" s="53"/>
      <c r="K25" s="51" t="str">
        <f t="shared" si="2"/>
        <v/>
      </c>
      <c r="L25" s="53"/>
      <c r="M25" s="51" t="str">
        <f t="shared" si="3"/>
        <v/>
      </c>
      <c r="N25" s="53"/>
      <c r="O25" s="53"/>
      <c r="P25" s="51" t="str">
        <f t="shared" si="4"/>
        <v/>
      </c>
      <c r="Q25" s="53"/>
      <c r="R25" s="51" t="str">
        <f t="shared" si="5"/>
        <v/>
      </c>
      <c r="S25" s="53"/>
      <c r="T25" s="53"/>
      <c r="U25" s="51" t="str">
        <f t="shared" si="6"/>
        <v/>
      </c>
      <c r="V25" s="53"/>
      <c r="W25" s="51" t="str">
        <f t="shared" si="7"/>
        <v/>
      </c>
      <c r="X25" s="53"/>
      <c r="Y25" s="51" t="str">
        <f t="shared" si="8"/>
        <v/>
      </c>
      <c r="Z25" s="2"/>
      <c r="AA25" s="2"/>
      <c r="AB25" s="2"/>
      <c r="AC25" s="2"/>
      <c r="AD25" s="2"/>
      <c r="AE25" s="2"/>
    </row>
    <row r="26" spans="1:31" ht="12.75" x14ac:dyDescent="0.2">
      <c r="A26" s="53">
        <f ca="1">IFERROR(__xludf.DUMMYFUNCTION("""COMPUTED_VALUE"""),1)</f>
        <v>1</v>
      </c>
      <c r="B26" s="53" t="str">
        <f ca="1">IFERROR(__xludf.DUMMYFUNCTION("""COMPUTED_VALUE"""),"THCL An Lạc 1")</f>
        <v>THCL An Lạc 1</v>
      </c>
      <c r="C26" s="53" t="str">
        <f ca="1">IFERROR(__xludf.DUMMYFUNCTION("""COMPUTED_VALUE"""),"TH")</f>
        <v>TH</v>
      </c>
      <c r="D26" s="53" t="str">
        <f ca="1">IFERROR(__xludf.DUMMYFUNCTION("""COMPUTED_VALUE"""),"Bình Tân")</f>
        <v>Bình Tân</v>
      </c>
      <c r="E26" s="53"/>
      <c r="F26" s="53"/>
      <c r="G26" s="51" t="str">
        <f t="shared" si="0"/>
        <v/>
      </c>
      <c r="H26" s="53"/>
      <c r="I26" s="51" t="str">
        <f t="shared" si="1"/>
        <v/>
      </c>
      <c r="J26" s="53"/>
      <c r="K26" s="51" t="str">
        <f t="shared" si="2"/>
        <v/>
      </c>
      <c r="L26" s="53"/>
      <c r="M26" s="51" t="str">
        <f t="shared" si="3"/>
        <v/>
      </c>
      <c r="N26" s="54">
        <f ca="1">IFERROR(__xludf.DUMMYFUNCTION("""COMPUTED_VALUE"""),2917)</f>
        <v>2917</v>
      </c>
      <c r="O26" s="54">
        <f ca="1">IFERROR(__xludf.DUMMYFUNCTION("""COMPUTED_VALUE"""),1774)</f>
        <v>1774</v>
      </c>
      <c r="P26" s="51">
        <f t="shared" ca="1" si="4"/>
        <v>0.60815906753513882</v>
      </c>
      <c r="Q26" s="54">
        <f ca="1">IFERROR(__xludf.DUMMYFUNCTION("""COMPUTED_VALUE"""),1081)</f>
        <v>1081</v>
      </c>
      <c r="R26" s="51">
        <f t="shared" ca="1" si="5"/>
        <v>0.37058621871786079</v>
      </c>
      <c r="S26" s="53"/>
      <c r="T26" s="53"/>
      <c r="U26" s="51" t="str">
        <f t="shared" si="6"/>
        <v/>
      </c>
      <c r="V26" s="53"/>
      <c r="W26" s="51" t="str">
        <f t="shared" si="7"/>
        <v/>
      </c>
      <c r="X26" s="53"/>
      <c r="Y26" s="51" t="str">
        <f t="shared" si="8"/>
        <v/>
      </c>
      <c r="Z26" s="2"/>
      <c r="AA26" s="2"/>
      <c r="AB26" s="2"/>
      <c r="AC26" s="2"/>
      <c r="AD26" s="2"/>
      <c r="AE26" s="2"/>
    </row>
    <row r="27" spans="1:31" ht="12.75" x14ac:dyDescent="0.2">
      <c r="A27" s="53">
        <f ca="1">IFERROR(__xludf.DUMMYFUNCTION("""COMPUTED_VALUE"""),2)</f>
        <v>2</v>
      </c>
      <c r="B27" s="53" t="str">
        <f ca="1">IFERROR(__xludf.DUMMYFUNCTION("""COMPUTED_VALUE"""),"THCL Lê Công Phép")</f>
        <v>THCL Lê Công Phép</v>
      </c>
      <c r="C27" s="53" t="str">
        <f ca="1">IFERROR(__xludf.DUMMYFUNCTION("""COMPUTED_VALUE"""),"TH")</f>
        <v>TH</v>
      </c>
      <c r="D27" s="53" t="str">
        <f ca="1">IFERROR(__xludf.DUMMYFUNCTION("""COMPUTED_VALUE"""),"Bình Tân")</f>
        <v>Bình Tân</v>
      </c>
      <c r="E27" s="53"/>
      <c r="F27" s="53"/>
      <c r="G27" s="51" t="str">
        <f t="shared" si="0"/>
        <v/>
      </c>
      <c r="H27" s="53"/>
      <c r="I27" s="51" t="str">
        <f t="shared" si="1"/>
        <v/>
      </c>
      <c r="J27" s="53"/>
      <c r="K27" s="51" t="str">
        <f t="shared" si="2"/>
        <v/>
      </c>
      <c r="L27" s="53"/>
      <c r="M27" s="51" t="str">
        <f t="shared" si="3"/>
        <v/>
      </c>
      <c r="N27" s="54">
        <f ca="1">IFERROR(__xludf.DUMMYFUNCTION("""COMPUTED_VALUE"""),1865)</f>
        <v>1865</v>
      </c>
      <c r="O27" s="54">
        <f ca="1">IFERROR(__xludf.DUMMYFUNCTION("""COMPUTED_VALUE"""),1046)</f>
        <v>1046</v>
      </c>
      <c r="P27" s="51">
        <f t="shared" ca="1" si="4"/>
        <v>0.560857908847185</v>
      </c>
      <c r="Q27" s="54">
        <f ca="1">IFERROR(__xludf.DUMMYFUNCTION("""COMPUTED_VALUE"""),604)</f>
        <v>604</v>
      </c>
      <c r="R27" s="51">
        <f t="shared" ca="1" si="5"/>
        <v>0.32386058981233246</v>
      </c>
      <c r="S27" s="53"/>
      <c r="T27" s="53"/>
      <c r="U27" s="51" t="str">
        <f t="shared" si="6"/>
        <v/>
      </c>
      <c r="V27" s="53"/>
      <c r="W27" s="51" t="str">
        <f t="shared" si="7"/>
        <v/>
      </c>
      <c r="X27" s="53"/>
      <c r="Y27" s="51" t="str">
        <f t="shared" si="8"/>
        <v/>
      </c>
      <c r="Z27" s="2"/>
      <c r="AA27" s="2"/>
      <c r="AB27" s="2"/>
      <c r="AC27" s="2"/>
      <c r="AD27" s="2"/>
      <c r="AE27" s="2"/>
    </row>
    <row r="28" spans="1:31" ht="12.75" x14ac:dyDescent="0.2">
      <c r="A28" s="53">
        <f ca="1">IFERROR(__xludf.DUMMYFUNCTION("""COMPUTED_VALUE"""),3)</f>
        <v>3</v>
      </c>
      <c r="B28" s="53" t="str">
        <f ca="1">IFERROR(__xludf.DUMMYFUNCTION("""COMPUTED_VALUE"""),"THCL An Lạc 2")</f>
        <v>THCL An Lạc 2</v>
      </c>
      <c r="C28" s="53" t="str">
        <f ca="1">IFERROR(__xludf.DUMMYFUNCTION("""COMPUTED_VALUE"""),"TH")</f>
        <v>TH</v>
      </c>
      <c r="D28" s="53" t="str">
        <f ca="1">IFERROR(__xludf.DUMMYFUNCTION("""COMPUTED_VALUE"""),"Bình Tân")</f>
        <v>Bình Tân</v>
      </c>
      <c r="E28" s="53"/>
      <c r="F28" s="53"/>
      <c r="G28" s="51" t="str">
        <f t="shared" si="0"/>
        <v/>
      </c>
      <c r="H28" s="53"/>
      <c r="I28" s="51" t="str">
        <f t="shared" si="1"/>
        <v/>
      </c>
      <c r="J28" s="53"/>
      <c r="K28" s="51" t="str">
        <f t="shared" si="2"/>
        <v/>
      </c>
      <c r="L28" s="53"/>
      <c r="M28" s="51" t="str">
        <f t="shared" si="3"/>
        <v/>
      </c>
      <c r="N28" s="54">
        <f ca="1">IFERROR(__xludf.DUMMYFUNCTION("""COMPUTED_VALUE"""),1327)</f>
        <v>1327</v>
      </c>
      <c r="O28" s="54">
        <f ca="1">IFERROR(__xludf.DUMMYFUNCTION("""COMPUTED_VALUE"""),919)</f>
        <v>919</v>
      </c>
      <c r="P28" s="51">
        <f t="shared" ca="1" si="4"/>
        <v>0.69253956292388852</v>
      </c>
      <c r="Q28" s="54">
        <f ca="1">IFERROR(__xludf.DUMMYFUNCTION("""COMPUTED_VALUE"""),346)</f>
        <v>346</v>
      </c>
      <c r="R28" s="51">
        <f t="shared" ca="1" si="5"/>
        <v>0.26073850791258479</v>
      </c>
      <c r="S28" s="53"/>
      <c r="T28" s="53"/>
      <c r="U28" s="51" t="str">
        <f t="shared" si="6"/>
        <v/>
      </c>
      <c r="V28" s="53"/>
      <c r="W28" s="51" t="str">
        <f t="shared" si="7"/>
        <v/>
      </c>
      <c r="X28" s="53"/>
      <c r="Y28" s="51" t="str">
        <f t="shared" si="8"/>
        <v/>
      </c>
      <c r="Z28" s="2"/>
      <c r="AA28" s="2"/>
      <c r="AB28" s="2"/>
      <c r="AC28" s="2"/>
      <c r="AD28" s="2"/>
      <c r="AE28" s="2"/>
    </row>
    <row r="29" spans="1:31" ht="12.75" x14ac:dyDescent="0.2">
      <c r="A29" s="53">
        <f ca="1">IFERROR(__xludf.DUMMYFUNCTION("""COMPUTED_VALUE"""),4)</f>
        <v>4</v>
      </c>
      <c r="B29" s="53" t="str">
        <f ca="1">IFERROR(__xludf.DUMMYFUNCTION("""COMPUTED_VALUE"""),"THCL An Lạc 3")</f>
        <v>THCL An Lạc 3</v>
      </c>
      <c r="C29" s="53" t="str">
        <f ca="1">IFERROR(__xludf.DUMMYFUNCTION("""COMPUTED_VALUE"""),"TH")</f>
        <v>TH</v>
      </c>
      <c r="D29" s="53" t="str">
        <f ca="1">IFERROR(__xludf.DUMMYFUNCTION("""COMPUTED_VALUE"""),"Bình Tân")</f>
        <v>Bình Tân</v>
      </c>
      <c r="E29" s="53"/>
      <c r="F29" s="53"/>
      <c r="G29" s="51" t="str">
        <f t="shared" si="0"/>
        <v/>
      </c>
      <c r="H29" s="53"/>
      <c r="I29" s="51" t="str">
        <f t="shared" si="1"/>
        <v/>
      </c>
      <c r="J29" s="53"/>
      <c r="K29" s="51" t="str">
        <f t="shared" si="2"/>
        <v/>
      </c>
      <c r="L29" s="53"/>
      <c r="M29" s="51" t="str">
        <f t="shared" si="3"/>
        <v/>
      </c>
      <c r="N29" s="54">
        <f ca="1">IFERROR(__xludf.DUMMYFUNCTION("""COMPUTED_VALUE"""),885)</f>
        <v>885</v>
      </c>
      <c r="O29" s="54">
        <f ca="1">IFERROR(__xludf.DUMMYFUNCTION("""COMPUTED_VALUE"""),436)</f>
        <v>436</v>
      </c>
      <c r="P29" s="51">
        <f t="shared" ca="1" si="4"/>
        <v>0.49265536723163844</v>
      </c>
      <c r="Q29" s="54">
        <f ca="1">IFERROR(__xludf.DUMMYFUNCTION("""COMPUTED_VALUE"""),161)</f>
        <v>161</v>
      </c>
      <c r="R29" s="51">
        <f t="shared" ca="1" si="5"/>
        <v>0.18192090395480226</v>
      </c>
      <c r="S29" s="53"/>
      <c r="T29" s="53"/>
      <c r="U29" s="51" t="str">
        <f t="shared" si="6"/>
        <v/>
      </c>
      <c r="V29" s="53"/>
      <c r="W29" s="51" t="str">
        <f t="shared" si="7"/>
        <v/>
      </c>
      <c r="X29" s="53"/>
      <c r="Y29" s="51" t="str">
        <f t="shared" si="8"/>
        <v/>
      </c>
      <c r="Z29" s="2"/>
      <c r="AA29" s="2"/>
      <c r="AB29" s="2"/>
      <c r="AC29" s="2"/>
      <c r="AD29" s="2"/>
      <c r="AE29" s="2"/>
    </row>
    <row r="30" spans="1:31" ht="12.75" x14ac:dyDescent="0.2">
      <c r="A30" s="53">
        <f ca="1">IFERROR(__xludf.DUMMYFUNCTION("""COMPUTED_VALUE"""),5)</f>
        <v>5</v>
      </c>
      <c r="B30" s="53" t="str">
        <f ca="1">IFERROR(__xludf.DUMMYFUNCTION("""COMPUTED_VALUE"""),"THCL Bùi Hữu Nghĩa")</f>
        <v>THCL Bùi Hữu Nghĩa</v>
      </c>
      <c r="C30" s="53" t="str">
        <f ca="1">IFERROR(__xludf.DUMMYFUNCTION("""COMPUTED_VALUE"""),"TH")</f>
        <v>TH</v>
      </c>
      <c r="D30" s="53" t="str">
        <f ca="1">IFERROR(__xludf.DUMMYFUNCTION("""COMPUTED_VALUE"""),"Bình Tân")</f>
        <v>Bình Tân</v>
      </c>
      <c r="E30" s="53"/>
      <c r="F30" s="53"/>
      <c r="G30" s="51" t="str">
        <f t="shared" si="0"/>
        <v/>
      </c>
      <c r="H30" s="53"/>
      <c r="I30" s="51" t="str">
        <f t="shared" si="1"/>
        <v/>
      </c>
      <c r="J30" s="53"/>
      <c r="K30" s="51" t="str">
        <f t="shared" si="2"/>
        <v/>
      </c>
      <c r="L30" s="53"/>
      <c r="M30" s="51" t="str">
        <f t="shared" si="3"/>
        <v/>
      </c>
      <c r="N30" s="54">
        <f ca="1">IFERROR(__xludf.DUMMYFUNCTION("""COMPUTED_VALUE"""),447)</f>
        <v>447</v>
      </c>
      <c r="O30" s="54">
        <f ca="1">IFERROR(__xludf.DUMMYFUNCTION("""COMPUTED_VALUE"""),340)</f>
        <v>340</v>
      </c>
      <c r="P30" s="51">
        <f t="shared" ca="1" si="4"/>
        <v>0.76062639821029088</v>
      </c>
      <c r="Q30" s="54">
        <f ca="1">IFERROR(__xludf.DUMMYFUNCTION("""COMPUTED_VALUE"""),145)</f>
        <v>145</v>
      </c>
      <c r="R30" s="51">
        <f t="shared" ca="1" si="5"/>
        <v>0.32438478747203581</v>
      </c>
      <c r="S30" s="53"/>
      <c r="T30" s="53"/>
      <c r="U30" s="51" t="str">
        <f t="shared" si="6"/>
        <v/>
      </c>
      <c r="V30" s="53"/>
      <c r="W30" s="51" t="str">
        <f t="shared" si="7"/>
        <v/>
      </c>
      <c r="X30" s="53"/>
      <c r="Y30" s="51" t="str">
        <f t="shared" si="8"/>
        <v/>
      </c>
      <c r="Z30" s="2"/>
      <c r="AA30" s="2"/>
      <c r="AB30" s="2"/>
      <c r="AC30" s="2"/>
      <c r="AD30" s="2"/>
      <c r="AE30" s="2"/>
    </row>
    <row r="31" spans="1:31" ht="12.75" x14ac:dyDescent="0.2">
      <c r="A31" s="53">
        <f ca="1">IFERROR(__xludf.DUMMYFUNCTION("""COMPUTED_VALUE"""),6)</f>
        <v>6</v>
      </c>
      <c r="B31" s="53" t="str">
        <f ca="1">IFERROR(__xludf.DUMMYFUNCTION("""COMPUTED_VALUE"""),"THCL Lương Thế Vinh")</f>
        <v>THCL Lương Thế Vinh</v>
      </c>
      <c r="C31" s="53" t="str">
        <f ca="1">IFERROR(__xludf.DUMMYFUNCTION("""COMPUTED_VALUE"""),"TH")</f>
        <v>TH</v>
      </c>
      <c r="D31" s="53" t="str">
        <f ca="1">IFERROR(__xludf.DUMMYFUNCTION("""COMPUTED_VALUE"""),"Bình Tân")</f>
        <v>Bình Tân</v>
      </c>
      <c r="E31" s="53"/>
      <c r="F31" s="53"/>
      <c r="G31" s="51" t="str">
        <f t="shared" si="0"/>
        <v/>
      </c>
      <c r="H31" s="53"/>
      <c r="I31" s="51" t="str">
        <f t="shared" si="1"/>
        <v/>
      </c>
      <c r="J31" s="53"/>
      <c r="K31" s="51" t="str">
        <f t="shared" si="2"/>
        <v/>
      </c>
      <c r="L31" s="53"/>
      <c r="M31" s="51" t="str">
        <f t="shared" si="3"/>
        <v/>
      </c>
      <c r="N31" s="54">
        <f ca="1">IFERROR(__xludf.DUMMYFUNCTION("""COMPUTED_VALUE"""),494)</f>
        <v>494</v>
      </c>
      <c r="O31" s="54">
        <f ca="1">IFERROR(__xludf.DUMMYFUNCTION("""COMPUTED_VALUE"""),229)</f>
        <v>229</v>
      </c>
      <c r="P31" s="51">
        <f t="shared" ca="1" si="4"/>
        <v>0.46356275303643724</v>
      </c>
      <c r="Q31" s="54">
        <f ca="1">IFERROR(__xludf.DUMMYFUNCTION("""COMPUTED_VALUE"""),120)</f>
        <v>120</v>
      </c>
      <c r="R31" s="51">
        <f t="shared" ca="1" si="5"/>
        <v>0.24291497975708501</v>
      </c>
      <c r="S31" s="53"/>
      <c r="T31" s="53"/>
      <c r="U31" s="51" t="str">
        <f t="shared" si="6"/>
        <v/>
      </c>
      <c r="V31" s="53"/>
      <c r="W31" s="51" t="str">
        <f t="shared" si="7"/>
        <v/>
      </c>
      <c r="X31" s="53"/>
      <c r="Y31" s="51" t="str">
        <f t="shared" si="8"/>
        <v/>
      </c>
      <c r="Z31" s="2"/>
      <c r="AA31" s="2"/>
      <c r="AB31" s="2"/>
      <c r="AC31" s="2"/>
      <c r="AD31" s="2"/>
      <c r="AE31" s="2"/>
    </row>
    <row r="32" spans="1:31" ht="12.75" x14ac:dyDescent="0.2">
      <c r="A32" s="53">
        <f ca="1">IFERROR(__xludf.DUMMYFUNCTION("""COMPUTED_VALUE"""),7)</f>
        <v>7</v>
      </c>
      <c r="B32" s="53" t="str">
        <f ca="1">IFERROR(__xludf.DUMMYFUNCTION("""COMPUTED_VALUE"""),"THCL Bình Hưng Hòa")</f>
        <v>THCL Bình Hưng Hòa</v>
      </c>
      <c r="C32" s="53" t="str">
        <f ca="1">IFERROR(__xludf.DUMMYFUNCTION("""COMPUTED_VALUE"""),"TH")</f>
        <v>TH</v>
      </c>
      <c r="D32" s="53" t="str">
        <f ca="1">IFERROR(__xludf.DUMMYFUNCTION("""COMPUTED_VALUE"""),"Bình Tân")</f>
        <v>Bình Tân</v>
      </c>
      <c r="E32" s="53"/>
      <c r="F32" s="53"/>
      <c r="G32" s="51" t="str">
        <f t="shared" si="0"/>
        <v/>
      </c>
      <c r="H32" s="53"/>
      <c r="I32" s="51" t="str">
        <f t="shared" si="1"/>
        <v/>
      </c>
      <c r="J32" s="53"/>
      <c r="K32" s="51" t="str">
        <f t="shared" si="2"/>
        <v/>
      </c>
      <c r="L32" s="53"/>
      <c r="M32" s="51" t="str">
        <f t="shared" si="3"/>
        <v/>
      </c>
      <c r="N32" s="54">
        <f ca="1">IFERROR(__xludf.DUMMYFUNCTION("""COMPUTED_VALUE"""),2734)</f>
        <v>2734</v>
      </c>
      <c r="O32" s="54">
        <f ca="1">IFERROR(__xludf.DUMMYFUNCTION("""COMPUTED_VALUE"""),1736)</f>
        <v>1736</v>
      </c>
      <c r="P32" s="51">
        <f t="shared" ca="1" si="4"/>
        <v>0.63496708119970735</v>
      </c>
      <c r="Q32" s="54">
        <f ca="1">IFERROR(__xludf.DUMMYFUNCTION("""COMPUTED_VALUE"""),738)</f>
        <v>738</v>
      </c>
      <c r="R32" s="51">
        <f t="shared" ca="1" si="5"/>
        <v>0.26993416239941476</v>
      </c>
      <c r="S32" s="53"/>
      <c r="T32" s="53"/>
      <c r="U32" s="51" t="str">
        <f t="shared" si="6"/>
        <v/>
      </c>
      <c r="V32" s="53"/>
      <c r="W32" s="51" t="str">
        <f t="shared" si="7"/>
        <v/>
      </c>
      <c r="X32" s="53"/>
      <c r="Y32" s="51" t="str">
        <f t="shared" si="8"/>
        <v/>
      </c>
      <c r="Z32" s="2"/>
      <c r="AA32" s="2"/>
      <c r="AB32" s="2"/>
      <c r="AC32" s="2"/>
      <c r="AD32" s="2"/>
      <c r="AE32" s="2"/>
    </row>
    <row r="33" spans="1:31" ht="12.75" x14ac:dyDescent="0.2">
      <c r="A33" s="53">
        <f ca="1">IFERROR(__xludf.DUMMYFUNCTION("""COMPUTED_VALUE"""),8)</f>
        <v>8</v>
      </c>
      <c r="B33" s="53" t="str">
        <f ca="1">IFERROR(__xludf.DUMMYFUNCTION("""COMPUTED_VALUE"""),"THCL Lê Trọng Tấn")</f>
        <v>THCL Lê Trọng Tấn</v>
      </c>
      <c r="C33" s="53" t="str">
        <f ca="1">IFERROR(__xludf.DUMMYFUNCTION("""COMPUTED_VALUE"""),"TH")</f>
        <v>TH</v>
      </c>
      <c r="D33" s="53" t="str">
        <f ca="1">IFERROR(__xludf.DUMMYFUNCTION("""COMPUTED_VALUE"""),"Bình Tân")</f>
        <v>Bình Tân</v>
      </c>
      <c r="E33" s="53"/>
      <c r="F33" s="53"/>
      <c r="G33" s="51" t="str">
        <f t="shared" si="0"/>
        <v/>
      </c>
      <c r="H33" s="53"/>
      <c r="I33" s="51" t="str">
        <f t="shared" si="1"/>
        <v/>
      </c>
      <c r="J33" s="53"/>
      <c r="K33" s="51" t="str">
        <f t="shared" si="2"/>
        <v/>
      </c>
      <c r="L33" s="53"/>
      <c r="M33" s="51" t="str">
        <f t="shared" si="3"/>
        <v/>
      </c>
      <c r="N33" s="54">
        <f ca="1">IFERROR(__xludf.DUMMYFUNCTION("""COMPUTED_VALUE"""),2684)</f>
        <v>2684</v>
      </c>
      <c r="O33" s="54">
        <f ca="1">IFERROR(__xludf.DUMMYFUNCTION("""COMPUTED_VALUE"""),1011)</f>
        <v>1011</v>
      </c>
      <c r="P33" s="51">
        <f t="shared" ca="1" si="4"/>
        <v>0.37667660208643816</v>
      </c>
      <c r="Q33" s="54">
        <f ca="1">IFERROR(__xludf.DUMMYFUNCTION("""COMPUTED_VALUE"""),347)</f>
        <v>347</v>
      </c>
      <c r="R33" s="51">
        <f t="shared" ca="1" si="5"/>
        <v>0.12928464977645304</v>
      </c>
      <c r="S33" s="53"/>
      <c r="T33" s="53"/>
      <c r="U33" s="51" t="str">
        <f t="shared" si="6"/>
        <v/>
      </c>
      <c r="V33" s="53"/>
      <c r="W33" s="51" t="str">
        <f t="shared" si="7"/>
        <v/>
      </c>
      <c r="X33" s="53"/>
      <c r="Y33" s="51" t="str">
        <f t="shared" si="8"/>
        <v/>
      </c>
      <c r="Z33" s="2"/>
      <c r="AA33" s="2"/>
      <c r="AB33" s="2"/>
      <c r="AC33" s="2"/>
      <c r="AD33" s="2"/>
      <c r="AE33" s="2"/>
    </row>
    <row r="34" spans="1:31" ht="12.75" x14ac:dyDescent="0.2">
      <c r="A34" s="53">
        <f ca="1">IFERROR(__xludf.DUMMYFUNCTION("""COMPUTED_VALUE"""),9)</f>
        <v>9</v>
      </c>
      <c r="B34" s="53" t="str">
        <f ca="1">IFERROR(__xludf.DUMMYFUNCTION("""COMPUTED_VALUE"""),"THCL Lạc Hồng")</f>
        <v>THCL Lạc Hồng</v>
      </c>
      <c r="C34" s="53" t="str">
        <f ca="1">IFERROR(__xludf.DUMMYFUNCTION("""COMPUTED_VALUE"""),"TH")</f>
        <v>TH</v>
      </c>
      <c r="D34" s="53" t="str">
        <f ca="1">IFERROR(__xludf.DUMMYFUNCTION("""COMPUTED_VALUE"""),"Bình Tân")</f>
        <v>Bình Tân</v>
      </c>
      <c r="E34" s="53"/>
      <c r="F34" s="53"/>
      <c r="G34" s="51" t="str">
        <f t="shared" si="0"/>
        <v/>
      </c>
      <c r="H34" s="53"/>
      <c r="I34" s="51" t="str">
        <f t="shared" si="1"/>
        <v/>
      </c>
      <c r="J34" s="53"/>
      <c r="K34" s="51" t="str">
        <f t="shared" si="2"/>
        <v/>
      </c>
      <c r="L34" s="53"/>
      <c r="M34" s="51" t="str">
        <f t="shared" si="3"/>
        <v/>
      </c>
      <c r="N34" s="54">
        <f ca="1">IFERROR(__xludf.DUMMYFUNCTION("""COMPUTED_VALUE"""),2331)</f>
        <v>2331</v>
      </c>
      <c r="O34" s="54">
        <f ca="1">IFERROR(__xludf.DUMMYFUNCTION("""COMPUTED_VALUE"""),1207)</f>
        <v>1207</v>
      </c>
      <c r="P34" s="51">
        <f t="shared" ca="1" si="4"/>
        <v>0.51780351780351785</v>
      </c>
      <c r="Q34" s="54">
        <f ca="1">IFERROR(__xludf.DUMMYFUNCTION("""COMPUTED_VALUE"""),677)</f>
        <v>677</v>
      </c>
      <c r="R34" s="51">
        <f t="shared" ca="1" si="5"/>
        <v>0.29043329043329041</v>
      </c>
      <c r="S34" s="53"/>
      <c r="T34" s="53"/>
      <c r="U34" s="51" t="str">
        <f t="shared" si="6"/>
        <v/>
      </c>
      <c r="V34" s="53"/>
      <c r="W34" s="51" t="str">
        <f t="shared" si="7"/>
        <v/>
      </c>
      <c r="X34" s="53"/>
      <c r="Y34" s="51" t="str">
        <f t="shared" si="8"/>
        <v/>
      </c>
      <c r="Z34" s="2"/>
      <c r="AA34" s="2"/>
      <c r="AB34" s="2"/>
      <c r="AC34" s="2"/>
      <c r="AD34" s="2"/>
      <c r="AE34" s="2"/>
    </row>
    <row r="35" spans="1:31" ht="12.75" x14ac:dyDescent="0.2">
      <c r="A35" s="53">
        <f ca="1">IFERROR(__xludf.DUMMYFUNCTION("""COMPUTED_VALUE"""),10)</f>
        <v>10</v>
      </c>
      <c r="B35" s="53" t="str">
        <f ca="1">IFERROR(__xludf.DUMMYFUNCTION("""COMPUTED_VALUE"""),"THCL Bình Thuận")</f>
        <v>THCL Bình Thuận</v>
      </c>
      <c r="C35" s="53" t="str">
        <f ca="1">IFERROR(__xludf.DUMMYFUNCTION("""COMPUTED_VALUE"""),"TH")</f>
        <v>TH</v>
      </c>
      <c r="D35" s="53" t="str">
        <f ca="1">IFERROR(__xludf.DUMMYFUNCTION("""COMPUTED_VALUE"""),"Bình Tân")</f>
        <v>Bình Tân</v>
      </c>
      <c r="E35" s="53"/>
      <c r="F35" s="53"/>
      <c r="G35" s="51" t="str">
        <f t="shared" si="0"/>
        <v/>
      </c>
      <c r="H35" s="53"/>
      <c r="I35" s="51" t="str">
        <f t="shared" si="1"/>
        <v/>
      </c>
      <c r="J35" s="53"/>
      <c r="K35" s="51" t="str">
        <f t="shared" si="2"/>
        <v/>
      </c>
      <c r="L35" s="53"/>
      <c r="M35" s="51" t="str">
        <f t="shared" si="3"/>
        <v/>
      </c>
      <c r="N35" s="54">
        <f ca="1">IFERROR(__xludf.DUMMYFUNCTION("""COMPUTED_VALUE"""),1837)</f>
        <v>1837</v>
      </c>
      <c r="O35" s="54">
        <f ca="1">IFERROR(__xludf.DUMMYFUNCTION("""COMPUTED_VALUE"""),1051)</f>
        <v>1051</v>
      </c>
      <c r="P35" s="51">
        <f t="shared" ca="1" si="4"/>
        <v>0.57212847033206315</v>
      </c>
      <c r="Q35" s="54">
        <f ca="1">IFERROR(__xludf.DUMMYFUNCTION("""COMPUTED_VALUE"""),480)</f>
        <v>480</v>
      </c>
      <c r="R35" s="51">
        <f t="shared" ca="1" si="5"/>
        <v>0.26129559063690799</v>
      </c>
      <c r="S35" s="53"/>
      <c r="T35" s="53"/>
      <c r="U35" s="51" t="str">
        <f t="shared" si="6"/>
        <v/>
      </c>
      <c r="V35" s="53"/>
      <c r="W35" s="51" t="str">
        <f t="shared" si="7"/>
        <v/>
      </c>
      <c r="X35" s="53"/>
      <c r="Y35" s="51" t="str">
        <f t="shared" si="8"/>
        <v/>
      </c>
      <c r="Z35" s="2"/>
      <c r="AA35" s="2"/>
      <c r="AB35" s="2"/>
      <c r="AC35" s="2"/>
      <c r="AD35" s="2"/>
      <c r="AE35" s="2"/>
    </row>
    <row r="36" spans="1:31" ht="12.75" x14ac:dyDescent="0.2">
      <c r="A36" s="53">
        <f ca="1">IFERROR(__xludf.DUMMYFUNCTION("""COMPUTED_VALUE"""),11)</f>
        <v>11</v>
      </c>
      <c r="B36" s="53"/>
      <c r="C36" s="53"/>
      <c r="D36" s="53" t="str">
        <f ca="1">IFERROR(__xludf.DUMMYFUNCTION("""COMPUTED_VALUE"""),"Bình Tân")</f>
        <v>Bình Tân</v>
      </c>
      <c r="E36" s="53"/>
      <c r="F36" s="53"/>
      <c r="G36" s="51" t="str">
        <f t="shared" si="0"/>
        <v/>
      </c>
      <c r="H36" s="53"/>
      <c r="I36" s="51" t="str">
        <f t="shared" si="1"/>
        <v/>
      </c>
      <c r="J36" s="53"/>
      <c r="K36" s="51" t="str">
        <f t="shared" si="2"/>
        <v/>
      </c>
      <c r="L36" s="53"/>
      <c r="M36" s="51" t="str">
        <f t="shared" si="3"/>
        <v/>
      </c>
      <c r="N36" s="54">
        <f ca="1">IFERROR(__xludf.DUMMYFUNCTION("""COMPUTED_VALUE"""),1470)</f>
        <v>1470</v>
      </c>
      <c r="O36" s="54">
        <f ca="1">IFERROR(__xludf.DUMMYFUNCTION("""COMPUTED_VALUE"""),829)</f>
        <v>829</v>
      </c>
      <c r="P36" s="51">
        <f t="shared" ca="1" si="4"/>
        <v>0.56394557823129254</v>
      </c>
      <c r="Q36" s="54">
        <f ca="1">IFERROR(__xludf.DUMMYFUNCTION("""COMPUTED_VALUE"""),349)</f>
        <v>349</v>
      </c>
      <c r="R36" s="51">
        <f t="shared" ca="1" si="5"/>
        <v>0.23741496598639455</v>
      </c>
      <c r="S36" s="53"/>
      <c r="T36" s="53"/>
      <c r="U36" s="51" t="str">
        <f t="shared" si="6"/>
        <v/>
      </c>
      <c r="V36" s="53"/>
      <c r="W36" s="51" t="str">
        <f t="shared" si="7"/>
        <v/>
      </c>
      <c r="X36" s="53"/>
      <c r="Y36" s="51" t="str">
        <f t="shared" si="8"/>
        <v/>
      </c>
      <c r="Z36" s="2"/>
      <c r="AA36" s="2"/>
      <c r="AB36" s="2"/>
      <c r="AC36" s="2"/>
      <c r="AD36" s="2"/>
      <c r="AE36" s="2"/>
    </row>
    <row r="37" spans="1:31" ht="12.75" x14ac:dyDescent="0.2">
      <c r="A37" s="53">
        <f ca="1">IFERROR(__xludf.DUMMYFUNCTION("""COMPUTED_VALUE"""),12)</f>
        <v>12</v>
      </c>
      <c r="B37" s="53" t="str">
        <f ca="1">IFERROR(__xludf.DUMMYFUNCTION("""COMPUTED_VALUE"""),"THCL Phù Đổng")</f>
        <v>THCL Phù Đổng</v>
      </c>
      <c r="C37" s="53" t="str">
        <f ca="1">IFERROR(__xludf.DUMMYFUNCTION("""COMPUTED_VALUE"""),"TH")</f>
        <v>TH</v>
      </c>
      <c r="D37" s="53" t="str">
        <f ca="1">IFERROR(__xludf.DUMMYFUNCTION("""COMPUTED_VALUE"""),"Bình Tân")</f>
        <v>Bình Tân</v>
      </c>
      <c r="E37" s="53"/>
      <c r="F37" s="53"/>
      <c r="G37" s="51" t="str">
        <f t="shared" si="0"/>
        <v/>
      </c>
      <c r="H37" s="53"/>
      <c r="I37" s="51" t="str">
        <f t="shared" si="1"/>
        <v/>
      </c>
      <c r="J37" s="53"/>
      <c r="K37" s="51" t="str">
        <f t="shared" si="2"/>
        <v/>
      </c>
      <c r="L37" s="53"/>
      <c r="M37" s="51" t="str">
        <f t="shared" si="3"/>
        <v/>
      </c>
      <c r="N37" s="54">
        <f ca="1">IFERROR(__xludf.DUMMYFUNCTION("""COMPUTED_VALUE"""),2779)</f>
        <v>2779</v>
      </c>
      <c r="O37" s="54">
        <f ca="1">IFERROR(__xludf.DUMMYFUNCTION("""COMPUTED_VALUE"""),1647)</f>
        <v>1647</v>
      </c>
      <c r="P37" s="51">
        <f t="shared" ca="1" si="4"/>
        <v>0.59265922993882691</v>
      </c>
      <c r="Q37" s="54">
        <f ca="1">IFERROR(__xludf.DUMMYFUNCTION("""COMPUTED_VALUE"""),698)</f>
        <v>698</v>
      </c>
      <c r="R37" s="51">
        <f t="shared" ca="1" si="5"/>
        <v>0.25116948542641238</v>
      </c>
      <c r="S37" s="53"/>
      <c r="T37" s="53"/>
      <c r="U37" s="51" t="str">
        <f t="shared" si="6"/>
        <v/>
      </c>
      <c r="V37" s="53"/>
      <c r="W37" s="51" t="str">
        <f t="shared" si="7"/>
        <v/>
      </c>
      <c r="X37" s="53"/>
      <c r="Y37" s="51" t="str">
        <f t="shared" si="8"/>
        <v/>
      </c>
      <c r="Z37" s="2"/>
      <c r="AA37" s="2"/>
      <c r="AB37" s="2"/>
      <c r="AC37" s="2"/>
      <c r="AD37" s="2"/>
      <c r="AE37" s="2"/>
    </row>
    <row r="38" spans="1:31" ht="12.75" x14ac:dyDescent="0.2">
      <c r="A38" s="53">
        <f ca="1">IFERROR(__xludf.DUMMYFUNCTION("""COMPUTED_VALUE"""),13)</f>
        <v>13</v>
      </c>
      <c r="B38" s="53" t="str">
        <f ca="1">IFERROR(__xludf.DUMMYFUNCTION("""COMPUTED_VALUE"""),"THCL Bình Hưng Hòa 1")</f>
        <v>THCL Bình Hưng Hòa 1</v>
      </c>
      <c r="C38" s="53" t="str">
        <f ca="1">IFERROR(__xludf.DUMMYFUNCTION("""COMPUTED_VALUE"""),"TH")</f>
        <v>TH</v>
      </c>
      <c r="D38" s="53" t="str">
        <f ca="1">IFERROR(__xludf.DUMMYFUNCTION("""COMPUTED_VALUE"""),"Bình Tân")</f>
        <v>Bình Tân</v>
      </c>
      <c r="E38" s="53"/>
      <c r="F38" s="53"/>
      <c r="G38" s="51" t="str">
        <f t="shared" si="0"/>
        <v/>
      </c>
      <c r="H38" s="53"/>
      <c r="I38" s="51" t="str">
        <f t="shared" si="1"/>
        <v/>
      </c>
      <c r="J38" s="53"/>
      <c r="K38" s="51" t="str">
        <f t="shared" si="2"/>
        <v/>
      </c>
      <c r="L38" s="53"/>
      <c r="M38" s="51" t="str">
        <f t="shared" si="3"/>
        <v/>
      </c>
      <c r="N38" s="54">
        <f ca="1">IFERROR(__xludf.DUMMYFUNCTION("""COMPUTED_VALUE"""),820)</f>
        <v>820</v>
      </c>
      <c r="O38" s="54">
        <f ca="1">IFERROR(__xludf.DUMMYFUNCTION("""COMPUTED_VALUE"""),430)</f>
        <v>430</v>
      </c>
      <c r="P38" s="51">
        <f t="shared" ca="1" si="4"/>
        <v>0.52439024390243905</v>
      </c>
      <c r="Q38" s="54">
        <f ca="1">IFERROR(__xludf.DUMMYFUNCTION("""COMPUTED_VALUE"""),191)</f>
        <v>191</v>
      </c>
      <c r="R38" s="51">
        <f t="shared" ca="1" si="5"/>
        <v>0.2329268292682927</v>
      </c>
      <c r="S38" s="53"/>
      <c r="T38" s="53"/>
      <c r="U38" s="51" t="str">
        <f t="shared" si="6"/>
        <v/>
      </c>
      <c r="V38" s="53"/>
      <c r="W38" s="51" t="str">
        <f t="shared" si="7"/>
        <v/>
      </c>
      <c r="X38" s="53"/>
      <c r="Y38" s="51" t="str">
        <f t="shared" si="8"/>
        <v/>
      </c>
      <c r="Z38" s="2"/>
      <c r="AA38" s="2"/>
      <c r="AB38" s="2"/>
      <c r="AC38" s="2"/>
      <c r="AD38" s="2"/>
      <c r="AE38" s="2"/>
    </row>
    <row r="39" spans="1:31" ht="12.75" x14ac:dyDescent="0.2">
      <c r="A39" s="53">
        <f ca="1">IFERROR(__xludf.DUMMYFUNCTION("""COMPUTED_VALUE"""),14)</f>
        <v>14</v>
      </c>
      <c r="B39" s="53" t="str">
        <f ca="1">IFERROR(__xludf.DUMMYFUNCTION("""COMPUTED_VALUE"""),"THCL Kim Đồng")</f>
        <v>THCL Kim Đồng</v>
      </c>
      <c r="C39" s="53" t="str">
        <f ca="1">IFERROR(__xludf.DUMMYFUNCTION("""COMPUTED_VALUE"""),"TH")</f>
        <v>TH</v>
      </c>
      <c r="D39" s="53" t="str">
        <f ca="1">IFERROR(__xludf.DUMMYFUNCTION("""COMPUTED_VALUE"""),"Bình Tân")</f>
        <v>Bình Tân</v>
      </c>
      <c r="E39" s="53"/>
      <c r="F39" s="53"/>
      <c r="G39" s="51" t="str">
        <f t="shared" si="0"/>
        <v/>
      </c>
      <c r="H39" s="53"/>
      <c r="I39" s="51" t="str">
        <f t="shared" si="1"/>
        <v/>
      </c>
      <c r="J39" s="53"/>
      <c r="K39" s="51" t="str">
        <f t="shared" si="2"/>
        <v/>
      </c>
      <c r="L39" s="53"/>
      <c r="M39" s="51" t="str">
        <f t="shared" si="3"/>
        <v/>
      </c>
      <c r="N39" s="54">
        <f ca="1">IFERROR(__xludf.DUMMYFUNCTION("""COMPUTED_VALUE"""),3571)</f>
        <v>3571</v>
      </c>
      <c r="O39" s="54">
        <f ca="1">IFERROR(__xludf.DUMMYFUNCTION("""COMPUTED_VALUE"""),2433)</f>
        <v>2433</v>
      </c>
      <c r="P39" s="51">
        <f t="shared" ca="1" si="4"/>
        <v>0.68132175861103328</v>
      </c>
      <c r="Q39" s="54">
        <f ca="1">IFERROR(__xludf.DUMMYFUNCTION("""COMPUTED_VALUE"""),1216)</f>
        <v>1216</v>
      </c>
      <c r="R39" s="51">
        <f t="shared" ca="1" si="5"/>
        <v>0.34052086250350044</v>
      </c>
      <c r="S39" s="53"/>
      <c r="T39" s="53"/>
      <c r="U39" s="51" t="str">
        <f t="shared" si="6"/>
        <v/>
      </c>
      <c r="V39" s="53"/>
      <c r="W39" s="51" t="str">
        <f t="shared" si="7"/>
        <v/>
      </c>
      <c r="X39" s="53"/>
      <c r="Y39" s="51" t="str">
        <f t="shared" si="8"/>
        <v/>
      </c>
      <c r="Z39" s="2"/>
      <c r="AA39" s="2"/>
      <c r="AB39" s="2"/>
      <c r="AC39" s="2"/>
      <c r="AD39" s="2"/>
      <c r="AE39" s="2"/>
    </row>
    <row r="40" spans="1:31" ht="12.75" x14ac:dyDescent="0.2">
      <c r="A40" s="53">
        <f ca="1">IFERROR(__xludf.DUMMYFUNCTION("""COMPUTED_VALUE"""),15)</f>
        <v>15</v>
      </c>
      <c r="B40" s="53" t="str">
        <f ca="1">IFERROR(__xludf.DUMMYFUNCTION("""COMPUTED_VALUE"""),"THCL Ngô Quyền")</f>
        <v>THCL Ngô Quyền</v>
      </c>
      <c r="C40" s="53" t="str">
        <f ca="1">IFERROR(__xludf.DUMMYFUNCTION("""COMPUTED_VALUE"""),"TH")</f>
        <v>TH</v>
      </c>
      <c r="D40" s="53" t="str">
        <f ca="1">IFERROR(__xludf.DUMMYFUNCTION("""COMPUTED_VALUE"""),"Bình Tân")</f>
        <v>Bình Tân</v>
      </c>
      <c r="E40" s="53"/>
      <c r="F40" s="53"/>
      <c r="G40" s="51" t="str">
        <f t="shared" si="0"/>
        <v/>
      </c>
      <c r="H40" s="53"/>
      <c r="I40" s="51" t="str">
        <f t="shared" si="1"/>
        <v/>
      </c>
      <c r="J40" s="53"/>
      <c r="K40" s="51" t="str">
        <f t="shared" si="2"/>
        <v/>
      </c>
      <c r="L40" s="53"/>
      <c r="M40" s="51" t="str">
        <f t="shared" si="3"/>
        <v/>
      </c>
      <c r="N40" s="54">
        <f ca="1">IFERROR(__xludf.DUMMYFUNCTION("""COMPUTED_VALUE"""),5232)</f>
        <v>5232</v>
      </c>
      <c r="O40" s="54">
        <f ca="1">IFERROR(__xludf.DUMMYFUNCTION("""COMPUTED_VALUE"""),2293)</f>
        <v>2293</v>
      </c>
      <c r="P40" s="51">
        <f t="shared" ca="1" si="4"/>
        <v>0.43826452599388377</v>
      </c>
      <c r="Q40" s="54">
        <f ca="1">IFERROR(__xludf.DUMMYFUNCTION("""COMPUTED_VALUE"""),896)</f>
        <v>896</v>
      </c>
      <c r="R40" s="51">
        <f t="shared" ca="1" si="5"/>
        <v>0.17125382262996941</v>
      </c>
      <c r="S40" s="53"/>
      <c r="T40" s="53"/>
      <c r="U40" s="51" t="str">
        <f t="shared" si="6"/>
        <v/>
      </c>
      <c r="V40" s="53"/>
      <c r="W40" s="51" t="str">
        <f t="shared" si="7"/>
        <v/>
      </c>
      <c r="X40" s="53"/>
      <c r="Y40" s="51" t="str">
        <f t="shared" si="8"/>
        <v/>
      </c>
      <c r="Z40" s="2"/>
      <c r="AA40" s="2"/>
      <c r="AB40" s="2"/>
      <c r="AC40" s="2"/>
      <c r="AD40" s="2"/>
      <c r="AE40" s="2"/>
    </row>
    <row r="41" spans="1:31" ht="12.75" x14ac:dyDescent="0.2">
      <c r="A41" s="53">
        <f ca="1">IFERROR(__xludf.DUMMYFUNCTION("""COMPUTED_VALUE"""),16)</f>
        <v>16</v>
      </c>
      <c r="B41" s="53" t="str">
        <f ca="1">IFERROR(__xludf.DUMMYFUNCTION("""COMPUTED_VALUE"""),"THCL Trần Văn Ơn")</f>
        <v>THCL Trần Văn Ơn</v>
      </c>
      <c r="C41" s="53" t="str">
        <f ca="1">IFERROR(__xludf.DUMMYFUNCTION("""COMPUTED_VALUE"""),"TH")</f>
        <v>TH</v>
      </c>
      <c r="D41" s="53" t="str">
        <f ca="1">IFERROR(__xludf.DUMMYFUNCTION("""COMPUTED_VALUE"""),"Bình Tân")</f>
        <v>Bình Tân</v>
      </c>
      <c r="E41" s="53"/>
      <c r="F41" s="53"/>
      <c r="G41" s="51" t="str">
        <f t="shared" si="0"/>
        <v/>
      </c>
      <c r="H41" s="53"/>
      <c r="I41" s="51" t="str">
        <f t="shared" si="1"/>
        <v/>
      </c>
      <c r="J41" s="53"/>
      <c r="K41" s="51" t="str">
        <f t="shared" si="2"/>
        <v/>
      </c>
      <c r="L41" s="53"/>
      <c r="M41" s="51" t="str">
        <f t="shared" si="3"/>
        <v/>
      </c>
      <c r="N41" s="54">
        <f ca="1">IFERROR(__xludf.DUMMYFUNCTION("""COMPUTED_VALUE"""),2286)</f>
        <v>2286</v>
      </c>
      <c r="O41" s="54">
        <f ca="1">IFERROR(__xludf.DUMMYFUNCTION("""COMPUTED_VALUE"""),1109)</f>
        <v>1109</v>
      </c>
      <c r="P41" s="51">
        <f t="shared" ca="1" si="4"/>
        <v>0.48512685914260717</v>
      </c>
      <c r="Q41" s="54">
        <f ca="1">IFERROR(__xludf.DUMMYFUNCTION("""COMPUTED_VALUE"""),554)</f>
        <v>554</v>
      </c>
      <c r="R41" s="51">
        <f t="shared" ca="1" si="5"/>
        <v>0.24234470691163604</v>
      </c>
      <c r="S41" s="53"/>
      <c r="T41" s="53"/>
      <c r="U41" s="51" t="str">
        <f t="shared" si="6"/>
        <v/>
      </c>
      <c r="V41" s="53"/>
      <c r="W41" s="51" t="str">
        <f t="shared" si="7"/>
        <v/>
      </c>
      <c r="X41" s="53"/>
      <c r="Y41" s="51" t="str">
        <f t="shared" si="8"/>
        <v/>
      </c>
      <c r="Z41" s="2"/>
      <c r="AA41" s="2"/>
      <c r="AB41" s="2"/>
      <c r="AC41" s="2"/>
      <c r="AD41" s="2"/>
      <c r="AE41" s="2"/>
    </row>
    <row r="42" spans="1:31" ht="12.75" x14ac:dyDescent="0.2">
      <c r="A42" s="53">
        <f ca="1">IFERROR(__xludf.DUMMYFUNCTION("""COMPUTED_VALUE"""),17)</f>
        <v>17</v>
      </c>
      <c r="B42" s="53" t="str">
        <f ca="1">IFERROR(__xludf.DUMMYFUNCTION("""COMPUTED_VALUE"""),"THCL Bình Trị 1")</f>
        <v>THCL Bình Trị 1</v>
      </c>
      <c r="C42" s="53" t="str">
        <f ca="1">IFERROR(__xludf.DUMMYFUNCTION("""COMPUTED_VALUE"""),"TH")</f>
        <v>TH</v>
      </c>
      <c r="D42" s="53" t="str">
        <f ca="1">IFERROR(__xludf.DUMMYFUNCTION("""COMPUTED_VALUE"""),"Bình Tân")</f>
        <v>Bình Tân</v>
      </c>
      <c r="E42" s="53"/>
      <c r="F42" s="53"/>
      <c r="G42" s="51" t="str">
        <f t="shared" si="0"/>
        <v/>
      </c>
      <c r="H42" s="53"/>
      <c r="I42" s="51" t="str">
        <f t="shared" si="1"/>
        <v/>
      </c>
      <c r="J42" s="53"/>
      <c r="K42" s="51" t="str">
        <f t="shared" si="2"/>
        <v/>
      </c>
      <c r="L42" s="53"/>
      <c r="M42" s="51" t="str">
        <f t="shared" si="3"/>
        <v/>
      </c>
      <c r="N42" s="54">
        <f ca="1">IFERROR(__xludf.DUMMYFUNCTION("""COMPUTED_VALUE"""),3918)</f>
        <v>3918</v>
      </c>
      <c r="O42" s="54">
        <f ca="1">IFERROR(__xludf.DUMMYFUNCTION("""COMPUTED_VALUE"""),2204)</f>
        <v>2204</v>
      </c>
      <c r="P42" s="51">
        <f t="shared" ca="1" si="4"/>
        <v>0.56253190403266973</v>
      </c>
      <c r="Q42" s="54">
        <f ca="1">IFERROR(__xludf.DUMMYFUNCTION("""COMPUTED_VALUE"""),1296)</f>
        <v>1296</v>
      </c>
      <c r="R42" s="51">
        <f t="shared" ca="1" si="5"/>
        <v>0.33078101071975496</v>
      </c>
      <c r="S42" s="53"/>
      <c r="T42" s="53"/>
      <c r="U42" s="51" t="str">
        <f t="shared" si="6"/>
        <v/>
      </c>
      <c r="V42" s="53"/>
      <c r="W42" s="51" t="str">
        <f t="shared" si="7"/>
        <v/>
      </c>
      <c r="X42" s="53"/>
      <c r="Y42" s="51" t="str">
        <f t="shared" si="8"/>
        <v/>
      </c>
      <c r="Z42" s="2"/>
      <c r="AA42" s="2"/>
      <c r="AB42" s="2"/>
      <c r="AC42" s="2"/>
      <c r="AD42" s="2"/>
      <c r="AE42" s="2"/>
    </row>
    <row r="43" spans="1:31" ht="12.75" x14ac:dyDescent="0.2">
      <c r="A43" s="53">
        <f ca="1">IFERROR(__xludf.DUMMYFUNCTION("""COMPUTED_VALUE"""),18)</f>
        <v>18</v>
      </c>
      <c r="B43" s="53" t="str">
        <f ca="1">IFERROR(__xludf.DUMMYFUNCTION("""COMPUTED_VALUE"""),"THCL Bình Trị Đông")</f>
        <v>THCL Bình Trị Đông</v>
      </c>
      <c r="C43" s="53" t="str">
        <f ca="1">IFERROR(__xludf.DUMMYFUNCTION("""COMPUTED_VALUE"""),"TH")</f>
        <v>TH</v>
      </c>
      <c r="D43" s="53" t="str">
        <f ca="1">IFERROR(__xludf.DUMMYFUNCTION("""COMPUTED_VALUE"""),"Bình Tân")</f>
        <v>Bình Tân</v>
      </c>
      <c r="E43" s="53"/>
      <c r="F43" s="53"/>
      <c r="G43" s="51" t="str">
        <f t="shared" si="0"/>
        <v/>
      </c>
      <c r="H43" s="53"/>
      <c r="I43" s="51" t="str">
        <f t="shared" si="1"/>
        <v/>
      </c>
      <c r="J43" s="53"/>
      <c r="K43" s="51" t="str">
        <f t="shared" si="2"/>
        <v/>
      </c>
      <c r="L43" s="53"/>
      <c r="M43" s="51" t="str">
        <f t="shared" si="3"/>
        <v/>
      </c>
      <c r="N43" s="54">
        <f ca="1">IFERROR(__xludf.DUMMYFUNCTION("""COMPUTED_VALUE"""),2478)</f>
        <v>2478</v>
      </c>
      <c r="O43" s="54">
        <f ca="1">IFERROR(__xludf.DUMMYFUNCTION("""COMPUTED_VALUE"""),1359)</f>
        <v>1359</v>
      </c>
      <c r="P43" s="51">
        <f t="shared" ca="1" si="4"/>
        <v>0.54842615012106533</v>
      </c>
      <c r="Q43" s="54">
        <f ca="1">IFERROR(__xludf.DUMMYFUNCTION("""COMPUTED_VALUE"""),566)</f>
        <v>566</v>
      </c>
      <c r="R43" s="51">
        <f t="shared" ca="1" si="5"/>
        <v>0.22841000807102502</v>
      </c>
      <c r="S43" s="53"/>
      <c r="T43" s="53"/>
      <c r="U43" s="51" t="str">
        <f t="shared" si="6"/>
        <v/>
      </c>
      <c r="V43" s="53"/>
      <c r="W43" s="51" t="str">
        <f t="shared" si="7"/>
        <v/>
      </c>
      <c r="X43" s="53"/>
      <c r="Y43" s="51" t="str">
        <f t="shared" si="8"/>
        <v/>
      </c>
      <c r="Z43" s="2"/>
      <c r="AA43" s="2"/>
      <c r="AB43" s="2"/>
      <c r="AC43" s="2"/>
      <c r="AD43" s="2"/>
      <c r="AE43" s="2"/>
    </row>
    <row r="44" spans="1:31" ht="12.75" x14ac:dyDescent="0.2">
      <c r="A44" s="53">
        <f ca="1">IFERROR(__xludf.DUMMYFUNCTION("""COMPUTED_VALUE"""),19)</f>
        <v>19</v>
      </c>
      <c r="B44" s="53" t="str">
        <f ca="1">IFERROR(__xludf.DUMMYFUNCTION("""COMPUTED_VALUE"""),"THCL Bình Trị Đông A")</f>
        <v>THCL Bình Trị Đông A</v>
      </c>
      <c r="C44" s="53" t="str">
        <f ca="1">IFERROR(__xludf.DUMMYFUNCTION("""COMPUTED_VALUE"""),"TH")</f>
        <v>TH</v>
      </c>
      <c r="D44" s="53" t="str">
        <f ca="1">IFERROR(__xludf.DUMMYFUNCTION("""COMPUTED_VALUE"""),"Bình Tân")</f>
        <v>Bình Tân</v>
      </c>
      <c r="E44" s="53"/>
      <c r="F44" s="53"/>
      <c r="G44" s="51" t="str">
        <f t="shared" si="0"/>
        <v/>
      </c>
      <c r="H44" s="53"/>
      <c r="I44" s="51" t="str">
        <f t="shared" si="1"/>
        <v/>
      </c>
      <c r="J44" s="53"/>
      <c r="K44" s="51" t="str">
        <f t="shared" si="2"/>
        <v/>
      </c>
      <c r="L44" s="53"/>
      <c r="M44" s="51" t="str">
        <f t="shared" si="3"/>
        <v/>
      </c>
      <c r="N44" s="54">
        <f ca="1">IFERROR(__xludf.DUMMYFUNCTION("""COMPUTED_VALUE"""),1128)</f>
        <v>1128</v>
      </c>
      <c r="O44" s="54">
        <f ca="1">IFERROR(__xludf.DUMMYFUNCTION("""COMPUTED_VALUE"""),818)</f>
        <v>818</v>
      </c>
      <c r="P44" s="51">
        <f t="shared" ca="1" si="4"/>
        <v>0.72517730496453903</v>
      </c>
      <c r="Q44" s="54">
        <f ca="1">IFERROR(__xludf.DUMMYFUNCTION("""COMPUTED_VALUE"""),445)</f>
        <v>445</v>
      </c>
      <c r="R44" s="51">
        <f t="shared" ca="1" si="5"/>
        <v>0.39450354609929078</v>
      </c>
      <c r="S44" s="53"/>
      <c r="T44" s="53"/>
      <c r="U44" s="51" t="str">
        <f t="shared" si="6"/>
        <v/>
      </c>
      <c r="V44" s="53"/>
      <c r="W44" s="51" t="str">
        <f t="shared" si="7"/>
        <v/>
      </c>
      <c r="X44" s="53"/>
      <c r="Y44" s="51" t="str">
        <f t="shared" si="8"/>
        <v/>
      </c>
      <c r="Z44" s="2"/>
      <c r="AA44" s="2"/>
      <c r="AB44" s="2"/>
      <c r="AC44" s="2"/>
      <c r="AD44" s="2"/>
      <c r="AE44" s="2"/>
    </row>
    <row r="45" spans="1:31" ht="12.75" x14ac:dyDescent="0.2">
      <c r="A45" s="53">
        <f ca="1">IFERROR(__xludf.DUMMYFUNCTION("""COMPUTED_VALUE"""),20)</f>
        <v>20</v>
      </c>
      <c r="B45" s="53" t="str">
        <f ca="1">IFERROR(__xludf.DUMMYFUNCTION("""COMPUTED_VALUE"""),"THCL Bình Trị 2")</f>
        <v>THCL Bình Trị 2</v>
      </c>
      <c r="C45" s="53" t="str">
        <f ca="1">IFERROR(__xludf.DUMMYFUNCTION("""COMPUTED_VALUE"""),"TH")</f>
        <v>TH</v>
      </c>
      <c r="D45" s="53" t="str">
        <f ca="1">IFERROR(__xludf.DUMMYFUNCTION("""COMPUTED_VALUE"""),"Bình Tân")</f>
        <v>Bình Tân</v>
      </c>
      <c r="E45" s="53"/>
      <c r="F45" s="53"/>
      <c r="G45" s="51" t="str">
        <f t="shared" si="0"/>
        <v/>
      </c>
      <c r="H45" s="53"/>
      <c r="I45" s="51" t="str">
        <f t="shared" si="1"/>
        <v/>
      </c>
      <c r="J45" s="53"/>
      <c r="K45" s="51" t="str">
        <f t="shared" si="2"/>
        <v/>
      </c>
      <c r="L45" s="53"/>
      <c r="M45" s="51" t="str">
        <f t="shared" si="3"/>
        <v/>
      </c>
      <c r="N45" s="54">
        <f ca="1">IFERROR(__xludf.DUMMYFUNCTION("""COMPUTED_VALUE"""),3150)</f>
        <v>3150</v>
      </c>
      <c r="O45" s="54">
        <f ca="1">IFERROR(__xludf.DUMMYFUNCTION("""COMPUTED_VALUE"""),2020)</f>
        <v>2020</v>
      </c>
      <c r="P45" s="51">
        <f t="shared" ca="1" si="4"/>
        <v>0.64126984126984132</v>
      </c>
      <c r="Q45" s="54">
        <f ca="1">IFERROR(__xludf.DUMMYFUNCTION("""COMPUTED_VALUE"""),1042)</f>
        <v>1042</v>
      </c>
      <c r="R45" s="51">
        <f t="shared" ca="1" si="5"/>
        <v>0.33079365079365081</v>
      </c>
      <c r="S45" s="53"/>
      <c r="T45" s="53"/>
      <c r="U45" s="51" t="str">
        <f t="shared" si="6"/>
        <v/>
      </c>
      <c r="V45" s="53"/>
      <c r="W45" s="51" t="str">
        <f t="shared" si="7"/>
        <v/>
      </c>
      <c r="X45" s="53"/>
      <c r="Y45" s="51" t="str">
        <f t="shared" si="8"/>
        <v/>
      </c>
      <c r="Z45" s="2"/>
      <c r="AA45" s="2"/>
      <c r="AB45" s="2"/>
      <c r="AC45" s="2"/>
      <c r="AD45" s="2"/>
      <c r="AE45" s="2"/>
    </row>
    <row r="46" spans="1:31" ht="12.75" x14ac:dyDescent="0.2">
      <c r="A46" s="53">
        <f ca="1">IFERROR(__xludf.DUMMYFUNCTION("""COMPUTED_VALUE"""),21)</f>
        <v>21</v>
      </c>
      <c r="B46" s="53" t="str">
        <f ca="1">IFERROR(__xludf.DUMMYFUNCTION("""COMPUTED_VALUE"""),"THCL Bình Tân")</f>
        <v>THCL Bình Tân</v>
      </c>
      <c r="C46" s="53" t="str">
        <f ca="1">IFERROR(__xludf.DUMMYFUNCTION("""COMPUTED_VALUE"""),"TH")</f>
        <v>TH</v>
      </c>
      <c r="D46" s="53" t="str">
        <f ca="1">IFERROR(__xludf.DUMMYFUNCTION("""COMPUTED_VALUE"""),"Bình Tân")</f>
        <v>Bình Tân</v>
      </c>
      <c r="E46" s="53"/>
      <c r="F46" s="53"/>
      <c r="G46" s="51" t="str">
        <f t="shared" si="0"/>
        <v/>
      </c>
      <c r="H46" s="53"/>
      <c r="I46" s="51" t="str">
        <f t="shared" si="1"/>
        <v/>
      </c>
      <c r="J46" s="53"/>
      <c r="K46" s="51" t="str">
        <f t="shared" si="2"/>
        <v/>
      </c>
      <c r="L46" s="53"/>
      <c r="M46" s="51" t="str">
        <f t="shared" si="3"/>
        <v/>
      </c>
      <c r="N46" s="54">
        <f ca="1">IFERROR(__xludf.DUMMYFUNCTION("""COMPUTED_VALUE"""),3211)</f>
        <v>3211</v>
      </c>
      <c r="O46" s="54">
        <f ca="1">IFERROR(__xludf.DUMMYFUNCTION("""COMPUTED_VALUE"""),2149)</f>
        <v>2149</v>
      </c>
      <c r="P46" s="51">
        <f t="shared" ca="1" si="4"/>
        <v>0.6692619121768919</v>
      </c>
      <c r="Q46" s="54">
        <f ca="1">IFERROR(__xludf.DUMMYFUNCTION("""COMPUTED_VALUE"""),1098)</f>
        <v>1098</v>
      </c>
      <c r="R46" s="51">
        <f t="shared" ca="1" si="5"/>
        <v>0.3419495484272812</v>
      </c>
      <c r="S46" s="53"/>
      <c r="T46" s="53"/>
      <c r="U46" s="51" t="str">
        <f t="shared" si="6"/>
        <v/>
      </c>
      <c r="V46" s="53"/>
      <c r="W46" s="51" t="str">
        <f t="shared" si="7"/>
        <v/>
      </c>
      <c r="X46" s="53"/>
      <c r="Y46" s="51" t="str">
        <f t="shared" si="8"/>
        <v/>
      </c>
      <c r="Z46" s="2"/>
      <c r="AA46" s="2"/>
      <c r="AB46" s="2"/>
      <c r="AC46" s="2"/>
      <c r="AD46" s="2"/>
      <c r="AE46" s="2"/>
    </row>
    <row r="47" spans="1:31" ht="12.75" x14ac:dyDescent="0.2">
      <c r="A47" s="53">
        <f ca="1">IFERROR(__xludf.DUMMYFUNCTION("""COMPUTED_VALUE"""),22)</f>
        <v>22</v>
      </c>
      <c r="B47" s="53" t="str">
        <f ca="1">IFERROR(__xludf.DUMMYFUNCTION("""COMPUTED_VALUE"""),"THCL Tân Tạo")</f>
        <v>THCL Tân Tạo</v>
      </c>
      <c r="C47" s="53" t="str">
        <f ca="1">IFERROR(__xludf.DUMMYFUNCTION("""COMPUTED_VALUE"""),"TH")</f>
        <v>TH</v>
      </c>
      <c r="D47" s="53" t="str">
        <f ca="1">IFERROR(__xludf.DUMMYFUNCTION("""COMPUTED_VALUE"""),"Bình Tân")</f>
        <v>Bình Tân</v>
      </c>
      <c r="E47" s="53"/>
      <c r="F47" s="53"/>
      <c r="G47" s="51" t="str">
        <f t="shared" si="0"/>
        <v/>
      </c>
      <c r="H47" s="53"/>
      <c r="I47" s="51" t="str">
        <f t="shared" si="1"/>
        <v/>
      </c>
      <c r="J47" s="53"/>
      <c r="K47" s="51" t="str">
        <f t="shared" si="2"/>
        <v/>
      </c>
      <c r="L47" s="53"/>
      <c r="M47" s="51" t="str">
        <f t="shared" si="3"/>
        <v/>
      </c>
      <c r="N47" s="54">
        <f ca="1">IFERROR(__xludf.DUMMYFUNCTION("""COMPUTED_VALUE"""),3220)</f>
        <v>3220</v>
      </c>
      <c r="O47" s="54">
        <f ca="1">IFERROR(__xludf.DUMMYFUNCTION("""COMPUTED_VALUE"""),2287)</f>
        <v>2287</v>
      </c>
      <c r="P47" s="51">
        <f t="shared" ca="1" si="4"/>
        <v>0.71024844720496894</v>
      </c>
      <c r="Q47" s="54">
        <f ca="1">IFERROR(__xludf.DUMMYFUNCTION("""COMPUTED_VALUE"""),1886)</f>
        <v>1886</v>
      </c>
      <c r="R47" s="51">
        <f t="shared" ca="1" si="5"/>
        <v>0.58571428571428574</v>
      </c>
      <c r="S47" s="53"/>
      <c r="T47" s="53"/>
      <c r="U47" s="51" t="str">
        <f t="shared" si="6"/>
        <v/>
      </c>
      <c r="V47" s="53"/>
      <c r="W47" s="51" t="str">
        <f t="shared" si="7"/>
        <v/>
      </c>
      <c r="X47" s="53"/>
      <c r="Y47" s="51" t="str">
        <f t="shared" si="8"/>
        <v/>
      </c>
      <c r="Z47" s="2"/>
      <c r="AA47" s="2"/>
      <c r="AB47" s="2"/>
      <c r="AC47" s="2"/>
      <c r="AD47" s="2"/>
      <c r="AE47" s="2"/>
    </row>
    <row r="48" spans="1:31" ht="12.75" x14ac:dyDescent="0.2">
      <c r="A48" s="53">
        <f ca="1">IFERROR(__xludf.DUMMYFUNCTION("""COMPUTED_VALUE"""),23)</f>
        <v>23</v>
      </c>
      <c r="B48" s="53" t="str">
        <f ca="1">IFERROR(__xludf.DUMMYFUNCTION("""COMPUTED_VALUE"""),"THCL Lê Quý Đôn")</f>
        <v>THCL Lê Quý Đôn</v>
      </c>
      <c r="C48" s="53" t="str">
        <f ca="1">IFERROR(__xludf.DUMMYFUNCTION("""COMPUTED_VALUE"""),"TH")</f>
        <v>TH</v>
      </c>
      <c r="D48" s="53" t="str">
        <f ca="1">IFERROR(__xludf.DUMMYFUNCTION("""COMPUTED_VALUE"""),"Bình Tân")</f>
        <v>Bình Tân</v>
      </c>
      <c r="E48" s="53"/>
      <c r="F48" s="53"/>
      <c r="G48" s="51" t="str">
        <f t="shared" si="0"/>
        <v/>
      </c>
      <c r="H48" s="53"/>
      <c r="I48" s="51" t="str">
        <f t="shared" si="1"/>
        <v/>
      </c>
      <c r="J48" s="53"/>
      <c r="K48" s="51" t="str">
        <f t="shared" si="2"/>
        <v/>
      </c>
      <c r="L48" s="53"/>
      <c r="M48" s="51" t="str">
        <f t="shared" si="3"/>
        <v/>
      </c>
      <c r="N48" s="54">
        <f ca="1">IFERROR(__xludf.DUMMYFUNCTION("""COMPUTED_VALUE"""),2591)</f>
        <v>2591</v>
      </c>
      <c r="O48" s="54">
        <f ca="1">IFERROR(__xludf.DUMMYFUNCTION("""COMPUTED_VALUE"""),1735)</f>
        <v>1735</v>
      </c>
      <c r="P48" s="51">
        <f t="shared" ca="1" si="4"/>
        <v>0.66962562717097651</v>
      </c>
      <c r="Q48" s="54">
        <f ca="1">IFERROR(__xludf.DUMMYFUNCTION("""COMPUTED_VALUE"""),1016)</f>
        <v>1016</v>
      </c>
      <c r="R48" s="51">
        <f t="shared" ca="1" si="5"/>
        <v>0.39212659204940176</v>
      </c>
      <c r="S48" s="53"/>
      <c r="T48" s="53"/>
      <c r="U48" s="51" t="str">
        <f t="shared" si="6"/>
        <v/>
      </c>
      <c r="V48" s="53"/>
      <c r="W48" s="51" t="str">
        <f t="shared" si="7"/>
        <v/>
      </c>
      <c r="X48" s="53"/>
      <c r="Y48" s="51" t="str">
        <f t="shared" si="8"/>
        <v/>
      </c>
      <c r="Z48" s="2"/>
      <c r="AA48" s="2"/>
      <c r="AB48" s="2"/>
      <c r="AC48" s="2"/>
      <c r="AD48" s="2"/>
      <c r="AE48" s="2"/>
    </row>
    <row r="49" spans="1:31" ht="12.75" x14ac:dyDescent="0.2">
      <c r="A49" s="53">
        <f ca="1">IFERROR(__xludf.DUMMYFUNCTION("""COMPUTED_VALUE"""),24)</f>
        <v>24</v>
      </c>
      <c r="B49" s="53" t="str">
        <f ca="1">IFERROR(__xludf.DUMMYFUNCTION("""COMPUTED_VALUE"""),"THCL Tân Tạo A")</f>
        <v>THCL Tân Tạo A</v>
      </c>
      <c r="C49" s="53" t="str">
        <f ca="1">IFERROR(__xludf.DUMMYFUNCTION("""COMPUTED_VALUE"""),"TH")</f>
        <v>TH</v>
      </c>
      <c r="D49" s="53" t="str">
        <f ca="1">IFERROR(__xludf.DUMMYFUNCTION("""COMPUTED_VALUE"""),"Bình Tân")</f>
        <v>Bình Tân</v>
      </c>
      <c r="E49" s="53"/>
      <c r="F49" s="53"/>
      <c r="G49" s="51" t="str">
        <f t="shared" si="0"/>
        <v/>
      </c>
      <c r="H49" s="53"/>
      <c r="I49" s="51" t="str">
        <f t="shared" si="1"/>
        <v/>
      </c>
      <c r="J49" s="53"/>
      <c r="K49" s="51" t="str">
        <f t="shared" si="2"/>
        <v/>
      </c>
      <c r="L49" s="53"/>
      <c r="M49" s="51" t="str">
        <f t="shared" si="3"/>
        <v/>
      </c>
      <c r="N49" s="54">
        <f ca="1">IFERROR(__xludf.DUMMYFUNCTION("""COMPUTED_VALUE"""),2297)</f>
        <v>2297</v>
      </c>
      <c r="O49" s="54">
        <f ca="1">IFERROR(__xludf.DUMMYFUNCTION("""COMPUTED_VALUE"""),1804)</f>
        <v>1804</v>
      </c>
      <c r="P49" s="51">
        <f t="shared" ca="1" si="4"/>
        <v>0.78537222464083589</v>
      </c>
      <c r="Q49" s="54">
        <f ca="1">IFERROR(__xludf.DUMMYFUNCTION("""COMPUTED_VALUE"""),1087)</f>
        <v>1087</v>
      </c>
      <c r="R49" s="51">
        <f t="shared" ca="1" si="5"/>
        <v>0.47322594688724423</v>
      </c>
      <c r="S49" s="53"/>
      <c r="T49" s="53"/>
      <c r="U49" s="51" t="str">
        <f t="shared" si="6"/>
        <v/>
      </c>
      <c r="V49" s="53"/>
      <c r="W49" s="51" t="str">
        <f t="shared" si="7"/>
        <v/>
      </c>
      <c r="X49" s="53"/>
      <c r="Y49" s="51" t="str">
        <f t="shared" si="8"/>
        <v/>
      </c>
      <c r="Z49" s="2"/>
      <c r="AA49" s="2"/>
      <c r="AB49" s="2"/>
      <c r="AC49" s="2"/>
      <c r="AD49" s="2"/>
      <c r="AE49" s="2"/>
    </row>
    <row r="50" spans="1:31" ht="12.75" x14ac:dyDescent="0.2">
      <c r="A50" s="53">
        <f ca="1">IFERROR(__xludf.DUMMYFUNCTION("""COMPUTED_VALUE"""),25)</f>
        <v>25</v>
      </c>
      <c r="B50" s="53" t="str">
        <f ca="1">IFERROR(__xludf.DUMMYFUNCTION("""COMPUTED_VALUE"""),"TH-THCS-THPT Chu Văn An")</f>
        <v>TH-THCS-THPT Chu Văn An</v>
      </c>
      <c r="C50" s="53" t="str">
        <f ca="1">IFERROR(__xludf.DUMMYFUNCTION("""COMPUTED_VALUE"""),"TH")</f>
        <v>TH</v>
      </c>
      <c r="D50" s="53" t="str">
        <f ca="1">IFERROR(__xludf.DUMMYFUNCTION("""COMPUTED_VALUE"""),"Bình Tân")</f>
        <v>Bình Tân</v>
      </c>
      <c r="E50" s="53"/>
      <c r="F50" s="53"/>
      <c r="G50" s="51" t="str">
        <f t="shared" si="0"/>
        <v/>
      </c>
      <c r="H50" s="53"/>
      <c r="I50" s="51" t="str">
        <f t="shared" si="1"/>
        <v/>
      </c>
      <c r="J50" s="53"/>
      <c r="K50" s="51" t="str">
        <f t="shared" si="2"/>
        <v/>
      </c>
      <c r="L50" s="53"/>
      <c r="M50" s="51" t="str">
        <f t="shared" si="3"/>
        <v/>
      </c>
      <c r="N50" s="54">
        <f ca="1">IFERROR(__xludf.DUMMYFUNCTION("""COMPUTED_VALUE"""),189)</f>
        <v>189</v>
      </c>
      <c r="O50" s="54">
        <f ca="1">IFERROR(__xludf.DUMMYFUNCTION("""COMPUTED_VALUE"""),47)</f>
        <v>47</v>
      </c>
      <c r="P50" s="51">
        <f t="shared" ca="1" si="4"/>
        <v>0.24867724867724866</v>
      </c>
      <c r="Q50" s="54">
        <f ca="1">IFERROR(__xludf.DUMMYFUNCTION("""COMPUTED_VALUE"""),20)</f>
        <v>20</v>
      </c>
      <c r="R50" s="51">
        <f t="shared" ca="1" si="5"/>
        <v>0.10582010582010581</v>
      </c>
      <c r="S50" s="53"/>
      <c r="T50" s="53"/>
      <c r="U50" s="51" t="str">
        <f t="shared" si="6"/>
        <v/>
      </c>
      <c r="V50" s="53"/>
      <c r="W50" s="51" t="str">
        <f t="shared" si="7"/>
        <v/>
      </c>
      <c r="X50" s="53"/>
      <c r="Y50" s="51" t="str">
        <f t="shared" si="8"/>
        <v/>
      </c>
      <c r="Z50" s="2"/>
      <c r="AA50" s="2"/>
      <c r="AB50" s="2"/>
      <c r="AC50" s="2"/>
      <c r="AD50" s="2"/>
      <c r="AE50" s="2"/>
    </row>
    <row r="51" spans="1:31" ht="12.75" x14ac:dyDescent="0.2">
      <c r="A51" s="53">
        <f ca="1">IFERROR(__xludf.DUMMYFUNCTION("""COMPUTED_VALUE"""),26)</f>
        <v>26</v>
      </c>
      <c r="B51" s="53" t="str">
        <f ca="1">IFERROR(__xludf.DUMMYFUNCTION("""COMPUTED_VALUE"""),"TH-THCS-THPT Trí Tuệ Việt")</f>
        <v>TH-THCS-THPT Trí Tuệ Việt</v>
      </c>
      <c r="C51" s="53" t="str">
        <f ca="1">IFERROR(__xludf.DUMMYFUNCTION("""COMPUTED_VALUE"""),"TH")</f>
        <v>TH</v>
      </c>
      <c r="D51" s="53" t="str">
        <f ca="1">IFERROR(__xludf.DUMMYFUNCTION("""COMPUTED_VALUE"""),"Bình Tân")</f>
        <v>Bình Tân</v>
      </c>
      <c r="E51" s="53"/>
      <c r="F51" s="53"/>
      <c r="G51" s="51" t="str">
        <f t="shared" si="0"/>
        <v/>
      </c>
      <c r="H51" s="53"/>
      <c r="I51" s="51" t="str">
        <f t="shared" si="1"/>
        <v/>
      </c>
      <c r="J51" s="53"/>
      <c r="K51" s="51" t="str">
        <f t="shared" si="2"/>
        <v/>
      </c>
      <c r="L51" s="53"/>
      <c r="M51" s="51" t="str">
        <f t="shared" si="3"/>
        <v/>
      </c>
      <c r="N51" s="54">
        <f ca="1">IFERROR(__xludf.DUMMYFUNCTION("""COMPUTED_VALUE"""),254)</f>
        <v>254</v>
      </c>
      <c r="O51" s="54">
        <f ca="1">IFERROR(__xludf.DUMMYFUNCTION("""COMPUTED_VALUE"""),76)</f>
        <v>76</v>
      </c>
      <c r="P51" s="51">
        <f t="shared" ca="1" si="4"/>
        <v>0.29921259842519687</v>
      </c>
      <c r="Q51" s="54">
        <f ca="1">IFERROR(__xludf.DUMMYFUNCTION("""COMPUTED_VALUE"""),6)</f>
        <v>6</v>
      </c>
      <c r="R51" s="51">
        <f t="shared" ca="1" si="5"/>
        <v>2.3622047244094488E-2</v>
      </c>
      <c r="S51" s="53"/>
      <c r="T51" s="53"/>
      <c r="U51" s="51" t="str">
        <f t="shared" si="6"/>
        <v/>
      </c>
      <c r="V51" s="53"/>
      <c r="W51" s="51" t="str">
        <f t="shared" si="7"/>
        <v/>
      </c>
      <c r="X51" s="53"/>
      <c r="Y51" s="51" t="str">
        <f t="shared" si="8"/>
        <v/>
      </c>
      <c r="Z51" s="2"/>
      <c r="AA51" s="2"/>
      <c r="AB51" s="2"/>
      <c r="AC51" s="2"/>
      <c r="AD51" s="2"/>
      <c r="AE51" s="2"/>
    </row>
    <row r="52" spans="1:31" ht="12.75" x14ac:dyDescent="0.2">
      <c r="A52" s="53">
        <f ca="1">IFERROR(__xludf.DUMMYFUNCTION("""COMPUTED_VALUE"""),27)</f>
        <v>27</v>
      </c>
      <c r="B52" s="53" t="str">
        <f ca="1">IFERROR(__xludf.DUMMYFUNCTION("""COMPUTED_VALUE"""),"TH-THCS Ngôi Sao Nhỏ")</f>
        <v>TH-THCS Ngôi Sao Nhỏ</v>
      </c>
      <c r="C52" s="53" t="str">
        <f ca="1">IFERROR(__xludf.DUMMYFUNCTION("""COMPUTED_VALUE"""),"TH")</f>
        <v>TH</v>
      </c>
      <c r="D52" s="53" t="str">
        <f ca="1">IFERROR(__xludf.DUMMYFUNCTION("""COMPUTED_VALUE"""),"Bình Tân")</f>
        <v>Bình Tân</v>
      </c>
      <c r="E52" s="53"/>
      <c r="F52" s="53"/>
      <c r="G52" s="51" t="str">
        <f t="shared" si="0"/>
        <v/>
      </c>
      <c r="H52" s="53"/>
      <c r="I52" s="51" t="str">
        <f t="shared" si="1"/>
        <v/>
      </c>
      <c r="J52" s="53"/>
      <c r="K52" s="51" t="str">
        <f t="shared" si="2"/>
        <v/>
      </c>
      <c r="L52" s="53"/>
      <c r="M52" s="51" t="str">
        <f t="shared" si="3"/>
        <v/>
      </c>
      <c r="N52" s="54">
        <f ca="1">IFERROR(__xludf.DUMMYFUNCTION("""COMPUTED_VALUE"""),90)</f>
        <v>90</v>
      </c>
      <c r="O52" s="54">
        <f ca="1">IFERROR(__xludf.DUMMYFUNCTION("""COMPUTED_VALUE"""),34)</f>
        <v>34</v>
      </c>
      <c r="P52" s="51">
        <f t="shared" ca="1" si="4"/>
        <v>0.37777777777777777</v>
      </c>
      <c r="Q52" s="54">
        <f ca="1">IFERROR(__xludf.DUMMYFUNCTION("""COMPUTED_VALUE"""),12)</f>
        <v>12</v>
      </c>
      <c r="R52" s="51">
        <f t="shared" ca="1" si="5"/>
        <v>0.13333333333333333</v>
      </c>
      <c r="S52" s="53"/>
      <c r="T52" s="53"/>
      <c r="U52" s="51" t="str">
        <f t="shared" si="6"/>
        <v/>
      </c>
      <c r="V52" s="53"/>
      <c r="W52" s="51" t="str">
        <f t="shared" si="7"/>
        <v/>
      </c>
      <c r="X52" s="53"/>
      <c r="Y52" s="51" t="str">
        <f t="shared" si="8"/>
        <v/>
      </c>
      <c r="Z52" s="2"/>
      <c r="AA52" s="2"/>
      <c r="AB52" s="2"/>
      <c r="AC52" s="2"/>
      <c r="AD52" s="2"/>
      <c r="AE52" s="2"/>
    </row>
    <row r="53" spans="1:31" ht="12.75" x14ac:dyDescent="0.2">
      <c r="A53" s="53">
        <f ca="1">IFERROR(__xludf.DUMMYFUNCTION("""COMPUTED_VALUE"""),28)</f>
        <v>28</v>
      </c>
      <c r="B53" s="53" t="str">
        <f ca="1">IFERROR(__xludf.DUMMYFUNCTION("""COMPUTED_VALUE"""),"THNCL Lá Xanh")</f>
        <v>THNCL Lá Xanh</v>
      </c>
      <c r="C53" s="53" t="str">
        <f ca="1">IFERROR(__xludf.DUMMYFUNCTION("""COMPUTED_VALUE"""),"TH")</f>
        <v>TH</v>
      </c>
      <c r="D53" s="53" t="str">
        <f ca="1">IFERROR(__xludf.DUMMYFUNCTION("""COMPUTED_VALUE"""),"Bình Tân")</f>
        <v>Bình Tân</v>
      </c>
      <c r="E53" s="53"/>
      <c r="F53" s="53"/>
      <c r="G53" s="51" t="str">
        <f t="shared" si="0"/>
        <v/>
      </c>
      <c r="H53" s="53"/>
      <c r="I53" s="51" t="str">
        <f t="shared" si="1"/>
        <v/>
      </c>
      <c r="J53" s="53"/>
      <c r="K53" s="51" t="str">
        <f t="shared" si="2"/>
        <v/>
      </c>
      <c r="L53" s="53"/>
      <c r="M53" s="51" t="str">
        <f t="shared" si="3"/>
        <v/>
      </c>
      <c r="N53" s="54">
        <f ca="1">IFERROR(__xludf.DUMMYFUNCTION("""COMPUTED_VALUE"""),39)</f>
        <v>39</v>
      </c>
      <c r="O53" s="54">
        <f ca="1">IFERROR(__xludf.DUMMYFUNCTION("""COMPUTED_VALUE"""),13)</f>
        <v>13</v>
      </c>
      <c r="P53" s="51">
        <f t="shared" ca="1" si="4"/>
        <v>0.33333333333333331</v>
      </c>
      <c r="Q53" s="54">
        <f ca="1">IFERROR(__xludf.DUMMYFUNCTION("""COMPUTED_VALUE"""),7)</f>
        <v>7</v>
      </c>
      <c r="R53" s="51">
        <f t="shared" ca="1" si="5"/>
        <v>0.17948717948717949</v>
      </c>
      <c r="S53" s="53"/>
      <c r="T53" s="53"/>
      <c r="U53" s="51" t="str">
        <f t="shared" si="6"/>
        <v/>
      </c>
      <c r="V53" s="53"/>
      <c r="W53" s="51" t="str">
        <f t="shared" si="7"/>
        <v/>
      </c>
      <c r="X53" s="53"/>
      <c r="Y53" s="51" t="str">
        <f t="shared" si="8"/>
        <v/>
      </c>
      <c r="Z53" s="2"/>
      <c r="AA53" s="2"/>
      <c r="AB53" s="2"/>
      <c r="AC53" s="2"/>
      <c r="AD53" s="2"/>
      <c r="AE53" s="2"/>
    </row>
    <row r="54" spans="1:31" ht="12.75" x14ac:dyDescent="0.2">
      <c r="A54" s="53">
        <f ca="1">IFERROR(__xludf.DUMMYFUNCTION("""COMPUTED_VALUE"""),1)</f>
        <v>1</v>
      </c>
      <c r="B54" s="53"/>
      <c r="C54" s="53"/>
      <c r="D54" s="53" t="str">
        <f ca="1">IFERROR(__xludf.DUMMYFUNCTION("""COMPUTED_VALUE"""),"Bình Tân")</f>
        <v>Bình Tân</v>
      </c>
      <c r="E54" s="53"/>
      <c r="F54" s="53"/>
      <c r="G54" s="51" t="str">
        <f t="shared" si="0"/>
        <v/>
      </c>
      <c r="H54" s="53"/>
      <c r="I54" s="51" t="str">
        <f t="shared" si="1"/>
        <v/>
      </c>
      <c r="J54" s="53"/>
      <c r="K54" s="51" t="str">
        <f t="shared" si="2"/>
        <v/>
      </c>
      <c r="L54" s="53"/>
      <c r="M54" s="51" t="str">
        <f t="shared" si="3"/>
        <v/>
      </c>
      <c r="N54" s="54">
        <f ca="1">IFERROR(__xludf.DUMMYFUNCTION("""COMPUTED_VALUE"""),86)</f>
        <v>86</v>
      </c>
      <c r="O54" s="54">
        <f ca="1">IFERROR(__xludf.DUMMYFUNCTION("""COMPUTED_VALUE"""),25)</f>
        <v>25</v>
      </c>
      <c r="P54" s="51">
        <f t="shared" ca="1" si="4"/>
        <v>0.29069767441860467</v>
      </c>
      <c r="Q54" s="54">
        <f ca="1">IFERROR(__xludf.DUMMYFUNCTION("""COMPUTED_VALUE"""),15)</f>
        <v>15</v>
      </c>
      <c r="R54" s="51">
        <f t="shared" ca="1" si="5"/>
        <v>0.1744186046511628</v>
      </c>
      <c r="S54" s="53"/>
      <c r="T54" s="53"/>
      <c r="U54" s="51" t="str">
        <f t="shared" si="6"/>
        <v/>
      </c>
      <c r="V54" s="53"/>
      <c r="W54" s="51" t="str">
        <f t="shared" si="7"/>
        <v/>
      </c>
      <c r="X54" s="53"/>
      <c r="Y54" s="51" t="str">
        <f t="shared" si="8"/>
        <v/>
      </c>
      <c r="Z54" s="2"/>
      <c r="AA54" s="2"/>
      <c r="AB54" s="2"/>
      <c r="AC54" s="2"/>
      <c r="AD54" s="2"/>
      <c r="AE54" s="2"/>
    </row>
    <row r="55" spans="1:31" ht="12.75" x14ac:dyDescent="0.2">
      <c r="A55" s="53">
        <f ca="1">IFERROR(__xludf.DUMMYFUNCTION("""COMPUTED_VALUE"""),2)</f>
        <v>2</v>
      </c>
      <c r="B55" s="53" t="str">
        <f ca="1">IFERROR(__xludf.DUMMYFUNCTION("""COMPUTED_VALUE"""),"MNCL Hoàng Anh")</f>
        <v>MNCL Hoàng Anh</v>
      </c>
      <c r="C55" s="53" t="str">
        <f ca="1">IFERROR(__xludf.DUMMYFUNCTION("""COMPUTED_VALUE"""),"MN")</f>
        <v>MN</v>
      </c>
      <c r="D55" s="53" t="str">
        <f ca="1">IFERROR(__xludf.DUMMYFUNCTION("""COMPUTED_VALUE"""),"Bình Tân")</f>
        <v>Bình Tân</v>
      </c>
      <c r="E55" s="53"/>
      <c r="F55" s="53"/>
      <c r="G55" s="51" t="str">
        <f t="shared" si="0"/>
        <v/>
      </c>
      <c r="H55" s="53"/>
      <c r="I55" s="51" t="str">
        <f t="shared" si="1"/>
        <v/>
      </c>
      <c r="J55" s="53"/>
      <c r="K55" s="51" t="str">
        <f t="shared" si="2"/>
        <v/>
      </c>
      <c r="L55" s="53"/>
      <c r="M55" s="51" t="str">
        <f t="shared" si="3"/>
        <v/>
      </c>
      <c r="N55" s="54">
        <f ca="1">IFERROR(__xludf.DUMMYFUNCTION("""COMPUTED_VALUE"""),122)</f>
        <v>122</v>
      </c>
      <c r="O55" s="54">
        <f ca="1">IFERROR(__xludf.DUMMYFUNCTION("""COMPUTED_VALUE"""),7)</f>
        <v>7</v>
      </c>
      <c r="P55" s="51">
        <f t="shared" ca="1" si="4"/>
        <v>5.737704918032787E-2</v>
      </c>
      <c r="Q55" s="54">
        <f ca="1">IFERROR(__xludf.DUMMYFUNCTION("""COMPUTED_VALUE"""),2)</f>
        <v>2</v>
      </c>
      <c r="R55" s="51">
        <f t="shared" ca="1" si="5"/>
        <v>1.6393442622950821E-2</v>
      </c>
      <c r="S55" s="53"/>
      <c r="T55" s="53"/>
      <c r="U55" s="51" t="str">
        <f t="shared" si="6"/>
        <v/>
      </c>
      <c r="V55" s="53"/>
      <c r="W55" s="51" t="str">
        <f t="shared" si="7"/>
        <v/>
      </c>
      <c r="X55" s="53"/>
      <c r="Y55" s="51" t="str">
        <f t="shared" si="8"/>
        <v/>
      </c>
      <c r="Z55" s="2"/>
      <c r="AA55" s="2"/>
      <c r="AB55" s="2"/>
      <c r="AC55" s="2"/>
      <c r="AD55" s="2"/>
      <c r="AE55" s="2"/>
    </row>
    <row r="56" spans="1:31" ht="12.75" x14ac:dyDescent="0.2">
      <c r="A56" s="53">
        <f ca="1">IFERROR(__xludf.DUMMYFUNCTION("""COMPUTED_VALUE"""),3)</f>
        <v>3</v>
      </c>
      <c r="B56" s="53" t="str">
        <f ca="1">IFERROR(__xludf.DUMMYFUNCTION("""COMPUTED_VALUE"""),"MNCL Hoa Hồng")</f>
        <v>MNCL Hoa Hồng</v>
      </c>
      <c r="C56" s="53" t="str">
        <f ca="1">IFERROR(__xludf.DUMMYFUNCTION("""COMPUTED_VALUE"""),"MN")</f>
        <v>MN</v>
      </c>
      <c r="D56" s="53" t="str">
        <f ca="1">IFERROR(__xludf.DUMMYFUNCTION("""COMPUTED_VALUE"""),"Bình Tân")</f>
        <v>Bình Tân</v>
      </c>
      <c r="E56" s="53"/>
      <c r="F56" s="53"/>
      <c r="G56" s="51" t="str">
        <f t="shared" si="0"/>
        <v/>
      </c>
      <c r="H56" s="53"/>
      <c r="I56" s="51" t="str">
        <f t="shared" si="1"/>
        <v/>
      </c>
      <c r="J56" s="53"/>
      <c r="K56" s="51" t="str">
        <f t="shared" si="2"/>
        <v/>
      </c>
      <c r="L56" s="53"/>
      <c r="M56" s="51" t="str">
        <f t="shared" si="3"/>
        <v/>
      </c>
      <c r="N56" s="54">
        <f ca="1">IFERROR(__xludf.DUMMYFUNCTION("""COMPUTED_VALUE"""),78)</f>
        <v>78</v>
      </c>
      <c r="O56" s="54">
        <f ca="1">IFERROR(__xludf.DUMMYFUNCTION("""COMPUTED_VALUE"""),15)</f>
        <v>15</v>
      </c>
      <c r="P56" s="51">
        <f t="shared" ca="1" si="4"/>
        <v>0.19230769230769232</v>
      </c>
      <c r="Q56" s="54">
        <f ca="1">IFERROR(__xludf.DUMMYFUNCTION("""COMPUTED_VALUE"""),0)</f>
        <v>0</v>
      </c>
      <c r="R56" s="51">
        <f t="shared" ca="1" si="5"/>
        <v>0</v>
      </c>
      <c r="S56" s="53"/>
      <c r="T56" s="53"/>
      <c r="U56" s="51" t="str">
        <f t="shared" si="6"/>
        <v/>
      </c>
      <c r="V56" s="53"/>
      <c r="W56" s="51" t="str">
        <f t="shared" si="7"/>
        <v/>
      </c>
      <c r="X56" s="53"/>
      <c r="Y56" s="51" t="str">
        <f t="shared" si="8"/>
        <v/>
      </c>
      <c r="Z56" s="2"/>
      <c r="AA56" s="2"/>
      <c r="AB56" s="2"/>
      <c r="AC56" s="2"/>
      <c r="AD56" s="2"/>
      <c r="AE56" s="2"/>
    </row>
    <row r="57" spans="1:31" ht="12.75" x14ac:dyDescent="0.2">
      <c r="A57" s="53">
        <f ca="1">IFERROR(__xludf.DUMMYFUNCTION("""COMPUTED_VALUE"""),4)</f>
        <v>4</v>
      </c>
      <c r="B57" s="53" t="str">
        <f ca="1">IFERROR(__xludf.DUMMYFUNCTION("""COMPUTED_VALUE"""),"MNCL 19/5")</f>
        <v>MNCL 19/5</v>
      </c>
      <c r="C57" s="53" t="str">
        <f ca="1">IFERROR(__xludf.DUMMYFUNCTION("""COMPUTED_VALUE"""),"MN")</f>
        <v>MN</v>
      </c>
      <c r="D57" s="53" t="str">
        <f ca="1">IFERROR(__xludf.DUMMYFUNCTION("""COMPUTED_VALUE"""),"Bình Tân")</f>
        <v>Bình Tân</v>
      </c>
      <c r="E57" s="53"/>
      <c r="F57" s="53"/>
      <c r="G57" s="51" t="str">
        <f t="shared" si="0"/>
        <v/>
      </c>
      <c r="H57" s="53"/>
      <c r="I57" s="51" t="str">
        <f t="shared" si="1"/>
        <v/>
      </c>
      <c r="J57" s="53"/>
      <c r="K57" s="51" t="str">
        <f t="shared" si="2"/>
        <v/>
      </c>
      <c r="L57" s="53"/>
      <c r="M57" s="51" t="str">
        <f t="shared" si="3"/>
        <v/>
      </c>
      <c r="N57" s="54">
        <f ca="1">IFERROR(__xludf.DUMMYFUNCTION("""COMPUTED_VALUE"""),42)</f>
        <v>42</v>
      </c>
      <c r="O57" s="54">
        <f ca="1">IFERROR(__xludf.DUMMYFUNCTION("""COMPUTED_VALUE"""),12)</f>
        <v>12</v>
      </c>
      <c r="P57" s="51">
        <f t="shared" ca="1" si="4"/>
        <v>0.2857142857142857</v>
      </c>
      <c r="Q57" s="54">
        <f ca="1">IFERROR(__xludf.DUMMYFUNCTION("""COMPUTED_VALUE"""),6)</f>
        <v>6</v>
      </c>
      <c r="R57" s="51">
        <f t="shared" ca="1" si="5"/>
        <v>0.14285714285714285</v>
      </c>
      <c r="S57" s="53"/>
      <c r="T57" s="53"/>
      <c r="U57" s="51" t="str">
        <f t="shared" si="6"/>
        <v/>
      </c>
      <c r="V57" s="53"/>
      <c r="W57" s="51" t="str">
        <f t="shared" si="7"/>
        <v/>
      </c>
      <c r="X57" s="53"/>
      <c r="Y57" s="51" t="str">
        <f t="shared" si="8"/>
        <v/>
      </c>
      <c r="Z57" s="2"/>
      <c r="AA57" s="2"/>
      <c r="AB57" s="2"/>
      <c r="AC57" s="2"/>
      <c r="AD57" s="2"/>
      <c r="AE57" s="2"/>
    </row>
    <row r="58" spans="1:31" ht="12.75" x14ac:dyDescent="0.2">
      <c r="A58" s="53">
        <f ca="1">IFERROR(__xludf.DUMMYFUNCTION("""COMPUTED_VALUE"""),5)</f>
        <v>5</v>
      </c>
      <c r="B58" s="53" t="str">
        <f ca="1">IFERROR(__xludf.DUMMYFUNCTION("""COMPUTED_VALUE"""),"MNCL Thiết Mộc Lan")</f>
        <v>MNCL Thiết Mộc Lan</v>
      </c>
      <c r="C58" s="53" t="str">
        <f ca="1">IFERROR(__xludf.DUMMYFUNCTION("""COMPUTED_VALUE"""),"MN")</f>
        <v>MN</v>
      </c>
      <c r="D58" s="53" t="str">
        <f ca="1">IFERROR(__xludf.DUMMYFUNCTION("""COMPUTED_VALUE"""),"Bình Tân")</f>
        <v>Bình Tân</v>
      </c>
      <c r="E58" s="53"/>
      <c r="F58" s="53"/>
      <c r="G58" s="51" t="str">
        <f t="shared" si="0"/>
        <v/>
      </c>
      <c r="H58" s="53"/>
      <c r="I58" s="51" t="str">
        <f t="shared" si="1"/>
        <v/>
      </c>
      <c r="J58" s="53"/>
      <c r="K58" s="51" t="str">
        <f t="shared" si="2"/>
        <v/>
      </c>
      <c r="L58" s="53"/>
      <c r="M58" s="51" t="str">
        <f t="shared" si="3"/>
        <v/>
      </c>
      <c r="N58" s="54">
        <f ca="1">IFERROR(__xludf.DUMMYFUNCTION("""COMPUTED_VALUE"""),82)</f>
        <v>82</v>
      </c>
      <c r="O58" s="54">
        <f ca="1">IFERROR(__xludf.DUMMYFUNCTION("""COMPUTED_VALUE"""),24)</f>
        <v>24</v>
      </c>
      <c r="P58" s="51">
        <f t="shared" ca="1" si="4"/>
        <v>0.29268292682926828</v>
      </c>
      <c r="Q58" s="54">
        <f ca="1">IFERROR(__xludf.DUMMYFUNCTION("""COMPUTED_VALUE"""),17)</f>
        <v>17</v>
      </c>
      <c r="R58" s="51">
        <f t="shared" ca="1" si="5"/>
        <v>0.2073170731707317</v>
      </c>
      <c r="S58" s="53"/>
      <c r="T58" s="53"/>
      <c r="U58" s="51" t="str">
        <f t="shared" si="6"/>
        <v/>
      </c>
      <c r="V58" s="53"/>
      <c r="W58" s="51" t="str">
        <f t="shared" si="7"/>
        <v/>
      </c>
      <c r="X58" s="53"/>
      <c r="Y58" s="51" t="str">
        <f t="shared" si="8"/>
        <v/>
      </c>
      <c r="Z58" s="2"/>
      <c r="AA58" s="2"/>
      <c r="AB58" s="2"/>
      <c r="AC58" s="2"/>
      <c r="AD58" s="2"/>
      <c r="AE58" s="2"/>
    </row>
    <row r="59" spans="1:31" ht="12.75" x14ac:dyDescent="0.2">
      <c r="A59" s="53">
        <f ca="1">IFERROR(__xludf.DUMMYFUNCTION("""COMPUTED_VALUE"""),6)</f>
        <v>6</v>
      </c>
      <c r="B59" s="53" t="str">
        <f ca="1">IFERROR(__xludf.DUMMYFUNCTION("""COMPUTED_VALUE"""),"MNCL 20/10")</f>
        <v>MNCL 20/10</v>
      </c>
      <c r="C59" s="53" t="str">
        <f ca="1">IFERROR(__xludf.DUMMYFUNCTION("""COMPUTED_VALUE"""),"MN")</f>
        <v>MN</v>
      </c>
      <c r="D59" s="53" t="str">
        <f ca="1">IFERROR(__xludf.DUMMYFUNCTION("""COMPUTED_VALUE"""),"Bình Tân")</f>
        <v>Bình Tân</v>
      </c>
      <c r="E59" s="53"/>
      <c r="F59" s="53"/>
      <c r="G59" s="51" t="str">
        <f t="shared" si="0"/>
        <v/>
      </c>
      <c r="H59" s="53"/>
      <c r="I59" s="51" t="str">
        <f t="shared" si="1"/>
        <v/>
      </c>
      <c r="J59" s="53"/>
      <c r="K59" s="51" t="str">
        <f t="shared" si="2"/>
        <v/>
      </c>
      <c r="L59" s="53"/>
      <c r="M59" s="51" t="str">
        <f t="shared" si="3"/>
        <v/>
      </c>
      <c r="N59" s="54">
        <f ca="1">IFERROR(__xludf.DUMMYFUNCTION("""COMPUTED_VALUE"""),54)</f>
        <v>54</v>
      </c>
      <c r="O59" s="54">
        <f ca="1">IFERROR(__xludf.DUMMYFUNCTION("""COMPUTED_VALUE"""),22)</f>
        <v>22</v>
      </c>
      <c r="P59" s="51">
        <f t="shared" ca="1" si="4"/>
        <v>0.40740740740740738</v>
      </c>
      <c r="Q59" s="54">
        <f ca="1">IFERROR(__xludf.DUMMYFUNCTION("""COMPUTED_VALUE"""),19)</f>
        <v>19</v>
      </c>
      <c r="R59" s="51">
        <f t="shared" ca="1" si="5"/>
        <v>0.35185185185185186</v>
      </c>
      <c r="S59" s="53"/>
      <c r="T59" s="53"/>
      <c r="U59" s="51" t="str">
        <f t="shared" si="6"/>
        <v/>
      </c>
      <c r="V59" s="53"/>
      <c r="W59" s="51" t="str">
        <f t="shared" si="7"/>
        <v/>
      </c>
      <c r="X59" s="53"/>
      <c r="Y59" s="51" t="str">
        <f t="shared" si="8"/>
        <v/>
      </c>
      <c r="Z59" s="2"/>
      <c r="AA59" s="2"/>
      <c r="AB59" s="2"/>
      <c r="AC59" s="2"/>
      <c r="AD59" s="2"/>
      <c r="AE59" s="2"/>
    </row>
    <row r="60" spans="1:31" ht="12.75" x14ac:dyDescent="0.2">
      <c r="A60" s="53">
        <f ca="1">IFERROR(__xludf.DUMMYFUNCTION("""COMPUTED_VALUE"""),7)</f>
        <v>7</v>
      </c>
      <c r="B60" s="53" t="str">
        <f ca="1">IFERROR(__xludf.DUMMYFUNCTION("""COMPUTED_VALUE"""),"MNCL Đỗ Quyên")</f>
        <v>MNCL Đỗ Quyên</v>
      </c>
      <c r="C60" s="53" t="str">
        <f ca="1">IFERROR(__xludf.DUMMYFUNCTION("""COMPUTED_VALUE"""),"MN")</f>
        <v>MN</v>
      </c>
      <c r="D60" s="53" t="str">
        <f ca="1">IFERROR(__xludf.DUMMYFUNCTION("""COMPUTED_VALUE"""),"Bình Tân")</f>
        <v>Bình Tân</v>
      </c>
      <c r="E60" s="53"/>
      <c r="F60" s="53"/>
      <c r="G60" s="51" t="str">
        <f t="shared" si="0"/>
        <v/>
      </c>
      <c r="H60" s="53"/>
      <c r="I60" s="51" t="str">
        <f t="shared" si="1"/>
        <v/>
      </c>
      <c r="J60" s="53"/>
      <c r="K60" s="51" t="str">
        <f t="shared" si="2"/>
        <v/>
      </c>
      <c r="L60" s="53"/>
      <c r="M60" s="51" t="str">
        <f t="shared" si="3"/>
        <v/>
      </c>
      <c r="N60" s="54">
        <f ca="1">IFERROR(__xludf.DUMMYFUNCTION("""COMPUTED_VALUE"""),164)</f>
        <v>164</v>
      </c>
      <c r="O60" s="54">
        <f ca="1">IFERROR(__xludf.DUMMYFUNCTION("""COMPUTED_VALUE"""),4)</f>
        <v>4</v>
      </c>
      <c r="P60" s="51">
        <f t="shared" ca="1" si="4"/>
        <v>2.4390243902439025E-2</v>
      </c>
      <c r="Q60" s="54">
        <f ca="1">IFERROR(__xludf.DUMMYFUNCTION("""COMPUTED_VALUE"""),0)</f>
        <v>0</v>
      </c>
      <c r="R60" s="51">
        <f t="shared" ca="1" si="5"/>
        <v>0</v>
      </c>
      <c r="S60" s="53"/>
      <c r="T60" s="53"/>
      <c r="U60" s="51" t="str">
        <f t="shared" si="6"/>
        <v/>
      </c>
      <c r="V60" s="53"/>
      <c r="W60" s="51" t="str">
        <f t="shared" si="7"/>
        <v/>
      </c>
      <c r="X60" s="53"/>
      <c r="Y60" s="51" t="str">
        <f t="shared" si="8"/>
        <v/>
      </c>
      <c r="Z60" s="2"/>
      <c r="AA60" s="2"/>
      <c r="AB60" s="2"/>
      <c r="AC60" s="2"/>
      <c r="AD60" s="2"/>
      <c r="AE60" s="2"/>
    </row>
    <row r="61" spans="1:31" ht="12.75" x14ac:dyDescent="0.2">
      <c r="A61" s="53">
        <f ca="1">IFERROR(__xludf.DUMMYFUNCTION("""COMPUTED_VALUE"""),8)</f>
        <v>8</v>
      </c>
      <c r="B61" s="53" t="str">
        <f ca="1">IFERROR(__xludf.DUMMYFUNCTION("""COMPUTED_VALUE"""),"MNCL Trúc Đào")</f>
        <v>MNCL Trúc Đào</v>
      </c>
      <c r="C61" s="53" t="str">
        <f ca="1">IFERROR(__xludf.DUMMYFUNCTION("""COMPUTED_VALUE"""),"MN")</f>
        <v>MN</v>
      </c>
      <c r="D61" s="53" t="str">
        <f ca="1">IFERROR(__xludf.DUMMYFUNCTION("""COMPUTED_VALUE"""),"Bình Tân")</f>
        <v>Bình Tân</v>
      </c>
      <c r="E61" s="53"/>
      <c r="F61" s="53"/>
      <c r="G61" s="51" t="str">
        <f t="shared" si="0"/>
        <v/>
      </c>
      <c r="H61" s="53"/>
      <c r="I61" s="51" t="str">
        <f t="shared" si="1"/>
        <v/>
      </c>
      <c r="J61" s="53"/>
      <c r="K61" s="51" t="str">
        <f t="shared" si="2"/>
        <v/>
      </c>
      <c r="L61" s="53"/>
      <c r="M61" s="51" t="str">
        <f t="shared" si="3"/>
        <v/>
      </c>
      <c r="N61" s="54">
        <f ca="1">IFERROR(__xludf.DUMMYFUNCTION("""COMPUTED_VALUE"""),90)</f>
        <v>90</v>
      </c>
      <c r="O61" s="54">
        <f ca="1">IFERROR(__xludf.DUMMYFUNCTION("""COMPUTED_VALUE"""),17)</f>
        <v>17</v>
      </c>
      <c r="P61" s="51">
        <f t="shared" ca="1" si="4"/>
        <v>0.18888888888888888</v>
      </c>
      <c r="Q61" s="54">
        <f ca="1">IFERROR(__xludf.DUMMYFUNCTION("""COMPUTED_VALUE"""),0)</f>
        <v>0</v>
      </c>
      <c r="R61" s="51">
        <f t="shared" ca="1" si="5"/>
        <v>0</v>
      </c>
      <c r="S61" s="53"/>
      <c r="T61" s="53"/>
      <c r="U61" s="51" t="str">
        <f t="shared" si="6"/>
        <v/>
      </c>
      <c r="V61" s="53"/>
      <c r="W61" s="51" t="str">
        <f t="shared" si="7"/>
        <v/>
      </c>
      <c r="X61" s="53"/>
      <c r="Y61" s="51" t="str">
        <f t="shared" si="8"/>
        <v/>
      </c>
      <c r="Z61" s="2"/>
      <c r="AA61" s="2"/>
      <c r="AB61" s="2"/>
      <c r="AC61" s="2"/>
      <c r="AD61" s="2"/>
      <c r="AE61" s="2"/>
    </row>
    <row r="62" spans="1:31" ht="12.75" x14ac:dyDescent="0.2">
      <c r="A62" s="53">
        <f ca="1">IFERROR(__xludf.DUMMYFUNCTION("""COMPUTED_VALUE"""),9)</f>
        <v>9</v>
      </c>
      <c r="B62" s="53" t="str">
        <f ca="1">IFERROR(__xludf.DUMMYFUNCTION("""COMPUTED_VALUE"""),"MNCL Ánh Mai")</f>
        <v>MNCL Ánh Mai</v>
      </c>
      <c r="C62" s="53" t="str">
        <f ca="1">IFERROR(__xludf.DUMMYFUNCTION("""COMPUTED_VALUE"""),"MN")</f>
        <v>MN</v>
      </c>
      <c r="D62" s="53" t="str">
        <f ca="1">IFERROR(__xludf.DUMMYFUNCTION("""COMPUTED_VALUE"""),"Bình Tân")</f>
        <v>Bình Tân</v>
      </c>
      <c r="E62" s="53"/>
      <c r="F62" s="53"/>
      <c r="G62" s="51" t="str">
        <f t="shared" si="0"/>
        <v/>
      </c>
      <c r="H62" s="53"/>
      <c r="I62" s="51" t="str">
        <f t="shared" si="1"/>
        <v/>
      </c>
      <c r="J62" s="53"/>
      <c r="K62" s="51" t="str">
        <f t="shared" si="2"/>
        <v/>
      </c>
      <c r="L62" s="53"/>
      <c r="M62" s="51" t="str">
        <f t="shared" si="3"/>
        <v/>
      </c>
      <c r="N62" s="54">
        <f ca="1">IFERROR(__xludf.DUMMYFUNCTION("""COMPUTED_VALUE"""),64)</f>
        <v>64</v>
      </c>
      <c r="O62" s="54">
        <f ca="1">IFERROR(__xludf.DUMMYFUNCTION("""COMPUTED_VALUE"""),9)</f>
        <v>9</v>
      </c>
      <c r="P62" s="51">
        <f t="shared" ca="1" si="4"/>
        <v>0.140625</v>
      </c>
      <c r="Q62" s="54">
        <f ca="1">IFERROR(__xludf.DUMMYFUNCTION("""COMPUTED_VALUE"""),0)</f>
        <v>0</v>
      </c>
      <c r="R62" s="51">
        <f t="shared" ca="1" si="5"/>
        <v>0</v>
      </c>
      <c r="S62" s="53"/>
      <c r="T62" s="53"/>
      <c r="U62" s="51" t="str">
        <f t="shared" si="6"/>
        <v/>
      </c>
      <c r="V62" s="53"/>
      <c r="W62" s="51" t="str">
        <f t="shared" si="7"/>
        <v/>
      </c>
      <c r="X62" s="53"/>
      <c r="Y62" s="51" t="str">
        <f t="shared" si="8"/>
        <v/>
      </c>
      <c r="Z62" s="2"/>
      <c r="AA62" s="2"/>
      <c r="AB62" s="2"/>
      <c r="AC62" s="2"/>
      <c r="AD62" s="2"/>
      <c r="AE62" s="2"/>
    </row>
    <row r="63" spans="1:31" ht="12.75" x14ac:dyDescent="0.2">
      <c r="A63" s="53">
        <f ca="1">IFERROR(__xludf.DUMMYFUNCTION("""COMPUTED_VALUE"""),10)</f>
        <v>10</v>
      </c>
      <c r="B63" s="53" t="str">
        <f ca="1">IFERROR(__xludf.DUMMYFUNCTION("""COMPUTED_VALUE"""),"MNCL Hoa Phượng Vỹ")</f>
        <v>MNCL Hoa Phượng Vỹ</v>
      </c>
      <c r="C63" s="53" t="str">
        <f ca="1">IFERROR(__xludf.DUMMYFUNCTION("""COMPUTED_VALUE"""),"MN")</f>
        <v>MN</v>
      </c>
      <c r="D63" s="53" t="str">
        <f ca="1">IFERROR(__xludf.DUMMYFUNCTION("""COMPUTED_VALUE"""),"Bình Tân")</f>
        <v>Bình Tân</v>
      </c>
      <c r="E63" s="53"/>
      <c r="F63" s="53"/>
      <c r="G63" s="51" t="str">
        <f t="shared" si="0"/>
        <v/>
      </c>
      <c r="H63" s="53"/>
      <c r="I63" s="51" t="str">
        <f t="shared" si="1"/>
        <v/>
      </c>
      <c r="J63" s="53"/>
      <c r="K63" s="51" t="str">
        <f t="shared" si="2"/>
        <v/>
      </c>
      <c r="L63" s="53"/>
      <c r="M63" s="51" t="str">
        <f t="shared" si="3"/>
        <v/>
      </c>
      <c r="N63" s="54">
        <f ca="1">IFERROR(__xludf.DUMMYFUNCTION("""COMPUTED_VALUE"""),86)</f>
        <v>86</v>
      </c>
      <c r="O63" s="54">
        <f ca="1">IFERROR(__xludf.DUMMYFUNCTION("""COMPUTED_VALUE"""),13)</f>
        <v>13</v>
      </c>
      <c r="P63" s="51">
        <f t="shared" ca="1" si="4"/>
        <v>0.15116279069767441</v>
      </c>
      <c r="Q63" s="54">
        <f ca="1">IFERROR(__xludf.DUMMYFUNCTION("""COMPUTED_VALUE"""),1)</f>
        <v>1</v>
      </c>
      <c r="R63" s="51">
        <f t="shared" ca="1" si="5"/>
        <v>1.1627906976744186E-2</v>
      </c>
      <c r="S63" s="53"/>
      <c r="T63" s="53"/>
      <c r="U63" s="51" t="str">
        <f t="shared" si="6"/>
        <v/>
      </c>
      <c r="V63" s="53"/>
      <c r="W63" s="51" t="str">
        <f t="shared" si="7"/>
        <v/>
      </c>
      <c r="X63" s="53"/>
      <c r="Y63" s="51" t="str">
        <f t="shared" si="8"/>
        <v/>
      </c>
      <c r="Z63" s="2"/>
      <c r="AA63" s="2"/>
      <c r="AB63" s="2"/>
      <c r="AC63" s="2"/>
      <c r="AD63" s="2"/>
      <c r="AE63" s="2"/>
    </row>
    <row r="64" spans="1:31" ht="12.75" x14ac:dyDescent="0.2">
      <c r="A64" s="53">
        <f ca="1">IFERROR(__xludf.DUMMYFUNCTION("""COMPUTED_VALUE"""),11)</f>
        <v>11</v>
      </c>
      <c r="B64" s="53" t="str">
        <f ca="1">IFERROR(__xludf.DUMMYFUNCTION("""COMPUTED_VALUE"""),"MNCL Hoa Phượng")</f>
        <v>MNCL Hoa Phượng</v>
      </c>
      <c r="C64" s="53" t="str">
        <f ca="1">IFERROR(__xludf.DUMMYFUNCTION("""COMPUTED_VALUE"""),"MN")</f>
        <v>MN</v>
      </c>
      <c r="D64" s="53" t="str">
        <f ca="1">IFERROR(__xludf.DUMMYFUNCTION("""COMPUTED_VALUE"""),"Bình Tân")</f>
        <v>Bình Tân</v>
      </c>
      <c r="E64" s="53"/>
      <c r="F64" s="53"/>
      <c r="G64" s="51" t="str">
        <f t="shared" si="0"/>
        <v/>
      </c>
      <c r="H64" s="53"/>
      <c r="I64" s="51" t="str">
        <f t="shared" si="1"/>
        <v/>
      </c>
      <c r="J64" s="53"/>
      <c r="K64" s="51" t="str">
        <f t="shared" si="2"/>
        <v/>
      </c>
      <c r="L64" s="53"/>
      <c r="M64" s="51" t="str">
        <f t="shared" si="3"/>
        <v/>
      </c>
      <c r="N64" s="54">
        <f ca="1">IFERROR(__xludf.DUMMYFUNCTION("""COMPUTED_VALUE"""),109)</f>
        <v>109</v>
      </c>
      <c r="O64" s="54">
        <f ca="1">IFERROR(__xludf.DUMMYFUNCTION("""COMPUTED_VALUE"""),68)</f>
        <v>68</v>
      </c>
      <c r="P64" s="51">
        <f t="shared" ca="1" si="4"/>
        <v>0.62385321100917435</v>
      </c>
      <c r="Q64" s="54">
        <f ca="1">IFERROR(__xludf.DUMMYFUNCTION("""COMPUTED_VALUE"""),36)</f>
        <v>36</v>
      </c>
      <c r="R64" s="51">
        <f t="shared" ca="1" si="5"/>
        <v>0.33027522935779818</v>
      </c>
      <c r="S64" s="53"/>
      <c r="T64" s="53"/>
      <c r="U64" s="51" t="str">
        <f t="shared" si="6"/>
        <v/>
      </c>
      <c r="V64" s="53"/>
      <c r="W64" s="51" t="str">
        <f t="shared" si="7"/>
        <v/>
      </c>
      <c r="X64" s="53"/>
      <c r="Y64" s="51" t="str">
        <f t="shared" si="8"/>
        <v/>
      </c>
      <c r="Z64" s="2"/>
      <c r="AA64" s="2"/>
      <c r="AB64" s="2"/>
      <c r="AC64" s="2"/>
      <c r="AD64" s="2"/>
      <c r="AE64" s="2"/>
    </row>
    <row r="65" spans="1:31" ht="12.75" x14ac:dyDescent="0.2">
      <c r="A65" s="53">
        <f ca="1">IFERROR(__xludf.DUMMYFUNCTION("""COMPUTED_VALUE"""),12)</f>
        <v>12</v>
      </c>
      <c r="B65" s="53" t="str">
        <f ca="1">IFERROR(__xludf.DUMMYFUNCTION("""COMPUTED_VALUE"""),"MNCL 30/4")</f>
        <v>MNCL 30/4</v>
      </c>
      <c r="C65" s="53" t="str">
        <f ca="1">IFERROR(__xludf.DUMMYFUNCTION("""COMPUTED_VALUE"""),"MN")</f>
        <v>MN</v>
      </c>
      <c r="D65" s="53" t="str">
        <f ca="1">IFERROR(__xludf.DUMMYFUNCTION("""COMPUTED_VALUE"""),"Bình Tân")</f>
        <v>Bình Tân</v>
      </c>
      <c r="E65" s="53"/>
      <c r="F65" s="53"/>
      <c r="G65" s="51" t="str">
        <f t="shared" si="0"/>
        <v/>
      </c>
      <c r="H65" s="53"/>
      <c r="I65" s="51" t="str">
        <f t="shared" si="1"/>
        <v/>
      </c>
      <c r="J65" s="53"/>
      <c r="K65" s="51" t="str">
        <f t="shared" si="2"/>
        <v/>
      </c>
      <c r="L65" s="53"/>
      <c r="M65" s="51" t="str">
        <f t="shared" si="3"/>
        <v/>
      </c>
      <c r="N65" s="54">
        <f ca="1">IFERROR(__xludf.DUMMYFUNCTION("""COMPUTED_VALUE"""),88)</f>
        <v>88</v>
      </c>
      <c r="O65" s="54">
        <f ca="1">IFERROR(__xludf.DUMMYFUNCTION("""COMPUTED_VALUE"""),17)</f>
        <v>17</v>
      </c>
      <c r="P65" s="51">
        <f t="shared" ca="1" si="4"/>
        <v>0.19318181818181818</v>
      </c>
      <c r="Q65" s="54">
        <f ca="1">IFERROR(__xludf.DUMMYFUNCTION("""COMPUTED_VALUE"""),4)</f>
        <v>4</v>
      </c>
      <c r="R65" s="51">
        <f t="shared" ca="1" si="5"/>
        <v>4.5454545454545456E-2</v>
      </c>
      <c r="S65" s="53"/>
      <c r="T65" s="53"/>
      <c r="U65" s="51" t="str">
        <f t="shared" si="6"/>
        <v/>
      </c>
      <c r="V65" s="53"/>
      <c r="W65" s="51" t="str">
        <f t="shared" si="7"/>
        <v/>
      </c>
      <c r="X65" s="53"/>
      <c r="Y65" s="51" t="str">
        <f t="shared" si="8"/>
        <v/>
      </c>
      <c r="Z65" s="2"/>
      <c r="AA65" s="2"/>
      <c r="AB65" s="2"/>
      <c r="AC65" s="2"/>
      <c r="AD65" s="2"/>
      <c r="AE65" s="2"/>
    </row>
    <row r="66" spans="1:31" ht="12.75" x14ac:dyDescent="0.2">
      <c r="A66" s="53">
        <f ca="1">IFERROR(__xludf.DUMMYFUNCTION("""COMPUTED_VALUE"""),13)</f>
        <v>13</v>
      </c>
      <c r="B66" s="53"/>
      <c r="C66" s="53"/>
      <c r="D66" s="53" t="str">
        <f ca="1">IFERROR(__xludf.DUMMYFUNCTION("""COMPUTED_VALUE"""),"Bình Tân")</f>
        <v>Bình Tân</v>
      </c>
      <c r="E66" s="53"/>
      <c r="F66" s="53"/>
      <c r="G66" s="51" t="str">
        <f t="shared" si="0"/>
        <v/>
      </c>
      <c r="H66" s="53"/>
      <c r="I66" s="51" t="str">
        <f t="shared" si="1"/>
        <v/>
      </c>
      <c r="J66" s="53"/>
      <c r="K66" s="51" t="str">
        <f t="shared" si="2"/>
        <v/>
      </c>
      <c r="L66" s="53"/>
      <c r="M66" s="51" t="str">
        <f t="shared" si="3"/>
        <v/>
      </c>
      <c r="N66" s="54">
        <f ca="1">IFERROR(__xludf.DUMMYFUNCTION("""COMPUTED_VALUE"""),137)</f>
        <v>137</v>
      </c>
      <c r="O66" s="54">
        <f ca="1">IFERROR(__xludf.DUMMYFUNCTION("""COMPUTED_VALUE"""),12)</f>
        <v>12</v>
      </c>
      <c r="P66" s="51">
        <f t="shared" ca="1" si="4"/>
        <v>8.7591240875912413E-2</v>
      </c>
      <c r="Q66" s="54">
        <f ca="1">IFERROR(__xludf.DUMMYFUNCTION("""COMPUTED_VALUE"""),1)</f>
        <v>1</v>
      </c>
      <c r="R66" s="51">
        <f t="shared" ca="1" si="5"/>
        <v>7.2992700729927005E-3</v>
      </c>
      <c r="S66" s="53"/>
      <c r="T66" s="53"/>
      <c r="U66" s="51" t="str">
        <f t="shared" si="6"/>
        <v/>
      </c>
      <c r="V66" s="53"/>
      <c r="W66" s="51" t="str">
        <f t="shared" si="7"/>
        <v/>
      </c>
      <c r="X66" s="53"/>
      <c r="Y66" s="51" t="str">
        <f t="shared" si="8"/>
        <v/>
      </c>
      <c r="Z66" s="2"/>
      <c r="AA66" s="2"/>
      <c r="AB66" s="2"/>
      <c r="AC66" s="2"/>
      <c r="AD66" s="2"/>
      <c r="AE66" s="2"/>
    </row>
    <row r="67" spans="1:31" ht="12.75" x14ac:dyDescent="0.2">
      <c r="A67" s="53">
        <f ca="1">IFERROR(__xludf.DUMMYFUNCTION("""COMPUTED_VALUE"""),14)</f>
        <v>14</v>
      </c>
      <c r="B67" s="53" t="str">
        <f ca="1">IFERROR(__xludf.DUMMYFUNCTION("""COMPUTED_VALUE"""),"MNCL Cẩm Tú")</f>
        <v>MNCL Cẩm Tú</v>
      </c>
      <c r="C67" s="53" t="str">
        <f ca="1">IFERROR(__xludf.DUMMYFUNCTION("""COMPUTED_VALUE"""),"MN")</f>
        <v>MN</v>
      </c>
      <c r="D67" s="53" t="str">
        <f ca="1">IFERROR(__xludf.DUMMYFUNCTION("""COMPUTED_VALUE"""),"Bình Tân")</f>
        <v>Bình Tân</v>
      </c>
      <c r="E67" s="53"/>
      <c r="F67" s="53"/>
      <c r="G67" s="51" t="str">
        <f t="shared" si="0"/>
        <v/>
      </c>
      <c r="H67" s="53"/>
      <c r="I67" s="51" t="str">
        <f t="shared" si="1"/>
        <v/>
      </c>
      <c r="J67" s="53"/>
      <c r="K67" s="51" t="str">
        <f t="shared" si="2"/>
        <v/>
      </c>
      <c r="L67" s="53"/>
      <c r="M67" s="51" t="str">
        <f t="shared" si="3"/>
        <v/>
      </c>
      <c r="N67" s="54">
        <f ca="1">IFERROR(__xludf.DUMMYFUNCTION("""COMPUTED_VALUE"""),157)</f>
        <v>157</v>
      </c>
      <c r="O67" s="54">
        <f ca="1">IFERROR(__xludf.DUMMYFUNCTION("""COMPUTED_VALUE"""),29)</f>
        <v>29</v>
      </c>
      <c r="P67" s="51">
        <f t="shared" ca="1" si="4"/>
        <v>0.18471337579617833</v>
      </c>
      <c r="Q67" s="54">
        <f ca="1">IFERROR(__xludf.DUMMYFUNCTION("""COMPUTED_VALUE"""),25)</f>
        <v>25</v>
      </c>
      <c r="R67" s="51">
        <f t="shared" ca="1" si="5"/>
        <v>0.15923566878980891</v>
      </c>
      <c r="S67" s="53"/>
      <c r="T67" s="53"/>
      <c r="U67" s="51" t="str">
        <f t="shared" si="6"/>
        <v/>
      </c>
      <c r="V67" s="53"/>
      <c r="W67" s="51" t="str">
        <f t="shared" si="7"/>
        <v/>
      </c>
      <c r="X67" s="53"/>
      <c r="Y67" s="51" t="str">
        <f t="shared" si="8"/>
        <v/>
      </c>
      <c r="Z67" s="2"/>
      <c r="AA67" s="2"/>
      <c r="AB67" s="2"/>
      <c r="AC67" s="2"/>
      <c r="AD67" s="2"/>
      <c r="AE67" s="2"/>
    </row>
    <row r="68" spans="1:31" ht="12.75" x14ac:dyDescent="0.2">
      <c r="A68" s="53">
        <f ca="1">IFERROR(__xludf.DUMMYFUNCTION("""COMPUTED_VALUE"""),15)</f>
        <v>15</v>
      </c>
      <c r="B68" s="53" t="str">
        <f ca="1">IFERROR(__xludf.DUMMYFUNCTION("""COMPUTED_VALUE"""),"MNCL Hương Sen")</f>
        <v>MNCL Hương Sen</v>
      </c>
      <c r="C68" s="53" t="str">
        <f ca="1">IFERROR(__xludf.DUMMYFUNCTION("""COMPUTED_VALUE"""),"MN")</f>
        <v>MN</v>
      </c>
      <c r="D68" s="53" t="str">
        <f ca="1">IFERROR(__xludf.DUMMYFUNCTION("""COMPUTED_VALUE"""),"Bình Tân")</f>
        <v>Bình Tân</v>
      </c>
      <c r="E68" s="53"/>
      <c r="F68" s="53"/>
      <c r="G68" s="51" t="str">
        <f t="shared" si="0"/>
        <v/>
      </c>
      <c r="H68" s="53"/>
      <c r="I68" s="51" t="str">
        <f t="shared" si="1"/>
        <v/>
      </c>
      <c r="J68" s="53"/>
      <c r="K68" s="51" t="str">
        <f t="shared" si="2"/>
        <v/>
      </c>
      <c r="L68" s="53"/>
      <c r="M68" s="51" t="str">
        <f t="shared" si="3"/>
        <v/>
      </c>
      <c r="N68" s="54">
        <f ca="1">IFERROR(__xludf.DUMMYFUNCTION("""COMPUTED_VALUE"""),131)</f>
        <v>131</v>
      </c>
      <c r="O68" s="54">
        <f ca="1">IFERROR(__xludf.DUMMYFUNCTION("""COMPUTED_VALUE"""),35)</f>
        <v>35</v>
      </c>
      <c r="P68" s="51">
        <f t="shared" ca="1" si="4"/>
        <v>0.26717557251908397</v>
      </c>
      <c r="Q68" s="54">
        <f ca="1">IFERROR(__xludf.DUMMYFUNCTION("""COMPUTED_VALUE"""),6)</f>
        <v>6</v>
      </c>
      <c r="R68" s="51">
        <f t="shared" ca="1" si="5"/>
        <v>4.5801526717557252E-2</v>
      </c>
      <c r="S68" s="53"/>
      <c r="T68" s="53"/>
      <c r="U68" s="51" t="str">
        <f t="shared" si="6"/>
        <v/>
      </c>
      <c r="V68" s="53"/>
      <c r="W68" s="51" t="str">
        <f t="shared" si="7"/>
        <v/>
      </c>
      <c r="X68" s="53"/>
      <c r="Y68" s="51" t="str">
        <f t="shared" si="8"/>
        <v/>
      </c>
      <c r="Z68" s="2"/>
      <c r="AA68" s="2"/>
      <c r="AB68" s="2"/>
      <c r="AC68" s="2"/>
      <c r="AD68" s="2"/>
      <c r="AE68" s="2"/>
    </row>
    <row r="69" spans="1:31" ht="12.75" x14ac:dyDescent="0.2">
      <c r="A69" s="53">
        <f ca="1">IFERROR(__xludf.DUMMYFUNCTION("""COMPUTED_VALUE"""),16)</f>
        <v>16</v>
      </c>
      <c r="B69" s="53" t="str">
        <f ca="1">IFERROR(__xludf.DUMMYFUNCTION("""COMPUTED_VALUE"""),"MNCL Bình Trị Đông B")</f>
        <v>MNCL Bình Trị Đông B</v>
      </c>
      <c r="C69" s="53" t="str">
        <f ca="1">IFERROR(__xludf.DUMMYFUNCTION("""COMPUTED_VALUE"""),"MN")</f>
        <v>MN</v>
      </c>
      <c r="D69" s="53" t="str">
        <f ca="1">IFERROR(__xludf.DUMMYFUNCTION("""COMPUTED_VALUE"""),"Bình Tân")</f>
        <v>Bình Tân</v>
      </c>
      <c r="E69" s="53"/>
      <c r="F69" s="53"/>
      <c r="G69" s="51" t="str">
        <f t="shared" si="0"/>
        <v/>
      </c>
      <c r="H69" s="53"/>
      <c r="I69" s="51" t="str">
        <f t="shared" si="1"/>
        <v/>
      </c>
      <c r="J69" s="53"/>
      <c r="K69" s="51" t="str">
        <f t="shared" si="2"/>
        <v/>
      </c>
      <c r="L69" s="53"/>
      <c r="M69" s="51" t="str">
        <f t="shared" si="3"/>
        <v/>
      </c>
      <c r="N69" s="54">
        <f ca="1">IFERROR(__xludf.DUMMYFUNCTION("""COMPUTED_VALUE"""),113)</f>
        <v>113</v>
      </c>
      <c r="O69" s="54">
        <f ca="1">IFERROR(__xludf.DUMMYFUNCTION("""COMPUTED_VALUE"""),19)</f>
        <v>19</v>
      </c>
      <c r="P69" s="51">
        <f t="shared" ca="1" si="4"/>
        <v>0.16814159292035399</v>
      </c>
      <c r="Q69" s="54">
        <f ca="1">IFERROR(__xludf.DUMMYFUNCTION("""COMPUTED_VALUE"""),9)</f>
        <v>9</v>
      </c>
      <c r="R69" s="51">
        <f t="shared" ca="1" si="5"/>
        <v>7.9646017699115043E-2</v>
      </c>
      <c r="S69" s="53"/>
      <c r="T69" s="53"/>
      <c r="U69" s="51" t="str">
        <f t="shared" si="6"/>
        <v/>
      </c>
      <c r="V69" s="53"/>
      <c r="W69" s="51" t="str">
        <f t="shared" si="7"/>
        <v/>
      </c>
      <c r="X69" s="53"/>
      <c r="Y69" s="51" t="str">
        <f t="shared" si="8"/>
        <v/>
      </c>
      <c r="Z69" s="2"/>
      <c r="AA69" s="2"/>
      <c r="AB69" s="2"/>
      <c r="AC69" s="2"/>
      <c r="AD69" s="2"/>
      <c r="AE69" s="2"/>
    </row>
    <row r="70" spans="1:31" ht="12.75" x14ac:dyDescent="0.2">
      <c r="A70" s="53">
        <f ca="1">IFERROR(__xludf.DUMMYFUNCTION("""COMPUTED_VALUE"""),17)</f>
        <v>17</v>
      </c>
      <c r="B70" s="53" t="str">
        <f ca="1">IFERROR(__xludf.DUMMYFUNCTION("""COMPUTED_VALUE"""),"MNCL Dạ Lý Hương")</f>
        <v>MNCL Dạ Lý Hương</v>
      </c>
      <c r="C70" s="53" t="str">
        <f ca="1">IFERROR(__xludf.DUMMYFUNCTION("""COMPUTED_VALUE"""),"MN")</f>
        <v>MN</v>
      </c>
      <c r="D70" s="53" t="str">
        <f ca="1">IFERROR(__xludf.DUMMYFUNCTION("""COMPUTED_VALUE"""),"Bình Tân")</f>
        <v>Bình Tân</v>
      </c>
      <c r="E70" s="53"/>
      <c r="F70" s="53"/>
      <c r="G70" s="51" t="str">
        <f t="shared" ref="G70:G78" si="9">IFERROR(F70/E70,"")</f>
        <v/>
      </c>
      <c r="H70" s="53"/>
      <c r="I70" s="51" t="str">
        <f t="shared" ref="I70:I78" si="10">IFERROR(H70/E70,"")</f>
        <v/>
      </c>
      <c r="J70" s="53"/>
      <c r="K70" s="51" t="str">
        <f t="shared" ref="K70:K78" si="11">IFERROR(J70/E70,"")</f>
        <v/>
      </c>
      <c r="L70" s="53"/>
      <c r="M70" s="51" t="str">
        <f t="shared" ref="M70:M78" si="12">IFERROR(L70/E70,"")</f>
        <v/>
      </c>
      <c r="N70" s="54">
        <f ca="1">IFERROR(__xludf.DUMMYFUNCTION("""COMPUTED_VALUE"""),36)</f>
        <v>36</v>
      </c>
      <c r="O70" s="54">
        <f ca="1">IFERROR(__xludf.DUMMYFUNCTION("""COMPUTED_VALUE"""),6)</f>
        <v>6</v>
      </c>
      <c r="P70" s="51">
        <f t="shared" ref="P70:P78" ca="1" si="13">IFERROR(O70/N70,"")</f>
        <v>0.16666666666666666</v>
      </c>
      <c r="Q70" s="54">
        <f ca="1">IFERROR(__xludf.DUMMYFUNCTION("""COMPUTED_VALUE"""),4)</f>
        <v>4</v>
      </c>
      <c r="R70" s="51">
        <f t="shared" ref="R70:R78" ca="1" si="14">IFERROR(Q70/N70,"")</f>
        <v>0.1111111111111111</v>
      </c>
      <c r="S70" s="53"/>
      <c r="T70" s="53"/>
      <c r="U70" s="51" t="str">
        <f t="shared" ref="U70:U78" si="15">IFERROR(T70/S70,"")</f>
        <v/>
      </c>
      <c r="V70" s="53"/>
      <c r="W70" s="51" t="str">
        <f t="shared" ref="W70:W78" si="16">IFERROR(V70/S70,"")</f>
        <v/>
      </c>
      <c r="X70" s="53"/>
      <c r="Y70" s="51" t="str">
        <f t="shared" ref="Y70:Y78" si="17">IFERROR(X70/S70,"")</f>
        <v/>
      </c>
      <c r="Z70" s="2"/>
      <c r="AA70" s="2"/>
      <c r="AB70" s="2"/>
      <c r="AC70" s="2"/>
      <c r="AD70" s="2"/>
      <c r="AE70" s="2"/>
    </row>
    <row r="71" spans="1:31" ht="12.75" x14ac:dyDescent="0.2">
      <c r="A71" s="53">
        <f ca="1">IFERROR(__xludf.DUMMYFUNCTION("""COMPUTED_VALUE"""),18)</f>
        <v>18</v>
      </c>
      <c r="B71" s="53" t="str">
        <f ca="1">IFERROR(__xludf.DUMMYFUNCTION("""COMPUTED_VALUE"""),"MNCL Sen Hồng")</f>
        <v>MNCL Sen Hồng</v>
      </c>
      <c r="C71" s="53" t="str">
        <f ca="1">IFERROR(__xludf.DUMMYFUNCTION("""COMPUTED_VALUE"""),"MN")</f>
        <v>MN</v>
      </c>
      <c r="D71" s="53" t="str">
        <f ca="1">IFERROR(__xludf.DUMMYFUNCTION("""COMPUTED_VALUE"""),"Bình Tân")</f>
        <v>Bình Tân</v>
      </c>
      <c r="E71" s="53"/>
      <c r="F71" s="53"/>
      <c r="G71" s="51" t="str">
        <f t="shared" si="9"/>
        <v/>
      </c>
      <c r="H71" s="53"/>
      <c r="I71" s="51" t="str">
        <f t="shared" si="10"/>
        <v/>
      </c>
      <c r="J71" s="53"/>
      <c r="K71" s="51" t="str">
        <f t="shared" si="11"/>
        <v/>
      </c>
      <c r="L71" s="53"/>
      <c r="M71" s="51" t="str">
        <f t="shared" si="12"/>
        <v/>
      </c>
      <c r="N71" s="54">
        <f ca="1">IFERROR(__xludf.DUMMYFUNCTION("""COMPUTED_VALUE"""),151)</f>
        <v>151</v>
      </c>
      <c r="O71" s="54">
        <f ca="1">IFERROR(__xludf.DUMMYFUNCTION("""COMPUTED_VALUE"""),21)</f>
        <v>21</v>
      </c>
      <c r="P71" s="51">
        <f t="shared" ca="1" si="13"/>
        <v>0.13907284768211919</v>
      </c>
      <c r="Q71" s="54">
        <f ca="1">IFERROR(__xludf.DUMMYFUNCTION("""COMPUTED_VALUE"""),8)</f>
        <v>8</v>
      </c>
      <c r="R71" s="51">
        <f t="shared" ca="1" si="14"/>
        <v>5.2980132450331126E-2</v>
      </c>
      <c r="S71" s="53"/>
      <c r="T71" s="53"/>
      <c r="U71" s="51" t="str">
        <f t="shared" si="15"/>
        <v/>
      </c>
      <c r="V71" s="53"/>
      <c r="W71" s="51" t="str">
        <f t="shared" si="16"/>
        <v/>
      </c>
      <c r="X71" s="53"/>
      <c r="Y71" s="51" t="str">
        <f t="shared" si="17"/>
        <v/>
      </c>
      <c r="Z71" s="2"/>
      <c r="AA71" s="2"/>
      <c r="AB71" s="2"/>
      <c r="AC71" s="2"/>
      <c r="AD71" s="2"/>
      <c r="AE71" s="2"/>
    </row>
    <row r="72" spans="1:31" ht="12.75" x14ac:dyDescent="0.2">
      <c r="A72" s="53">
        <f ca="1">IFERROR(__xludf.DUMMYFUNCTION("""COMPUTED_VALUE"""),19)</f>
        <v>19</v>
      </c>
      <c r="B72" s="53" t="str">
        <f ca="1">IFERROR(__xludf.DUMMYFUNCTION("""COMPUTED_VALUE"""),"MNCL Hồng Ngọc")</f>
        <v>MNCL Hồng Ngọc</v>
      </c>
      <c r="C72" s="53" t="str">
        <f ca="1">IFERROR(__xludf.DUMMYFUNCTION("""COMPUTED_VALUE"""),"MN")</f>
        <v>MN</v>
      </c>
      <c r="D72" s="53" t="str">
        <f ca="1">IFERROR(__xludf.DUMMYFUNCTION("""COMPUTED_VALUE"""),"Bình Tân")</f>
        <v>Bình Tân</v>
      </c>
      <c r="E72" s="53"/>
      <c r="F72" s="53"/>
      <c r="G72" s="51" t="str">
        <f t="shared" si="9"/>
        <v/>
      </c>
      <c r="H72" s="53"/>
      <c r="I72" s="51" t="str">
        <f t="shared" si="10"/>
        <v/>
      </c>
      <c r="J72" s="53"/>
      <c r="K72" s="51" t="str">
        <f t="shared" si="11"/>
        <v/>
      </c>
      <c r="L72" s="53"/>
      <c r="M72" s="51" t="str">
        <f t="shared" si="12"/>
        <v/>
      </c>
      <c r="N72" s="54">
        <f ca="1">IFERROR(__xludf.DUMMYFUNCTION("""COMPUTED_VALUE"""),79)</f>
        <v>79</v>
      </c>
      <c r="O72" s="54">
        <f ca="1">IFERROR(__xludf.DUMMYFUNCTION("""COMPUTED_VALUE"""),11)</f>
        <v>11</v>
      </c>
      <c r="P72" s="51">
        <f t="shared" ca="1" si="13"/>
        <v>0.13924050632911392</v>
      </c>
      <c r="Q72" s="54">
        <f ca="1">IFERROR(__xludf.DUMMYFUNCTION("""COMPUTED_VALUE"""),0)</f>
        <v>0</v>
      </c>
      <c r="R72" s="51">
        <f t="shared" ca="1" si="14"/>
        <v>0</v>
      </c>
      <c r="S72" s="53"/>
      <c r="T72" s="53"/>
      <c r="U72" s="51" t="str">
        <f t="shared" si="15"/>
        <v/>
      </c>
      <c r="V72" s="53"/>
      <c r="W72" s="51" t="str">
        <f t="shared" si="16"/>
        <v/>
      </c>
      <c r="X72" s="53"/>
      <c r="Y72" s="51" t="str">
        <f t="shared" si="17"/>
        <v/>
      </c>
      <c r="Z72" s="2"/>
      <c r="AA72" s="2"/>
      <c r="AB72" s="2"/>
      <c r="AC72" s="2"/>
      <c r="AD72" s="2"/>
      <c r="AE72" s="2"/>
    </row>
    <row r="73" spans="1:31" ht="12.75" x14ac:dyDescent="0.2">
      <c r="A73" s="53">
        <f ca="1">IFERROR(__xludf.DUMMYFUNCTION("""COMPUTED_VALUE"""),20)</f>
        <v>20</v>
      </c>
      <c r="B73" s="53" t="str">
        <f ca="1">IFERROR(__xludf.DUMMYFUNCTION("""COMPUTED_VALUE"""),"MNCL Cát Đằng")</f>
        <v>MNCL Cát Đằng</v>
      </c>
      <c r="C73" s="53" t="str">
        <f ca="1">IFERROR(__xludf.DUMMYFUNCTION("""COMPUTED_VALUE"""),"MN")</f>
        <v>MN</v>
      </c>
      <c r="D73" s="53" t="str">
        <f ca="1">IFERROR(__xludf.DUMMYFUNCTION("""COMPUTED_VALUE"""),"Bình Tân")</f>
        <v>Bình Tân</v>
      </c>
      <c r="E73" s="53"/>
      <c r="F73" s="53"/>
      <c r="G73" s="51" t="str">
        <f t="shared" si="9"/>
        <v/>
      </c>
      <c r="H73" s="53"/>
      <c r="I73" s="51" t="str">
        <f t="shared" si="10"/>
        <v/>
      </c>
      <c r="J73" s="53"/>
      <c r="K73" s="51" t="str">
        <f t="shared" si="11"/>
        <v/>
      </c>
      <c r="L73" s="53"/>
      <c r="M73" s="51" t="str">
        <f t="shared" si="12"/>
        <v/>
      </c>
      <c r="N73" s="54">
        <f ca="1">IFERROR(__xludf.DUMMYFUNCTION("""COMPUTED_VALUE"""),51)</f>
        <v>51</v>
      </c>
      <c r="O73" s="54">
        <f ca="1">IFERROR(__xludf.DUMMYFUNCTION("""COMPUTED_VALUE"""),11)</f>
        <v>11</v>
      </c>
      <c r="P73" s="51">
        <f t="shared" ca="1" si="13"/>
        <v>0.21568627450980393</v>
      </c>
      <c r="Q73" s="54">
        <f ca="1">IFERROR(__xludf.DUMMYFUNCTION("""COMPUTED_VALUE"""),4)</f>
        <v>4</v>
      </c>
      <c r="R73" s="51">
        <f t="shared" ca="1" si="14"/>
        <v>7.8431372549019607E-2</v>
      </c>
      <c r="S73" s="53"/>
      <c r="T73" s="53"/>
      <c r="U73" s="51" t="str">
        <f t="shared" si="15"/>
        <v/>
      </c>
      <c r="V73" s="53"/>
      <c r="W73" s="51" t="str">
        <f t="shared" si="16"/>
        <v/>
      </c>
      <c r="X73" s="53"/>
      <c r="Y73" s="51" t="str">
        <f t="shared" si="17"/>
        <v/>
      </c>
      <c r="Z73" s="2"/>
      <c r="AA73" s="2"/>
      <c r="AB73" s="2"/>
      <c r="AC73" s="2"/>
      <c r="AD73" s="2"/>
      <c r="AE73" s="2"/>
    </row>
    <row r="74" spans="1:31" ht="12.75" x14ac:dyDescent="0.2">
      <c r="A74" s="53">
        <f ca="1">IFERROR(__xludf.DUMMYFUNCTION("""COMPUTED_VALUE"""),21)</f>
        <v>21</v>
      </c>
      <c r="B74" s="53"/>
      <c r="C74" s="53"/>
      <c r="D74" s="53" t="str">
        <f ca="1">IFERROR(__xludf.DUMMYFUNCTION("""COMPUTED_VALUE"""),"Bình Tân")</f>
        <v>Bình Tân</v>
      </c>
      <c r="E74" s="53"/>
      <c r="F74" s="53"/>
      <c r="G74" s="51" t="str">
        <f t="shared" si="9"/>
        <v/>
      </c>
      <c r="H74" s="53"/>
      <c r="I74" s="51" t="str">
        <f t="shared" si="10"/>
        <v/>
      </c>
      <c r="J74" s="53"/>
      <c r="K74" s="51" t="str">
        <f t="shared" si="11"/>
        <v/>
      </c>
      <c r="L74" s="53"/>
      <c r="M74" s="51" t="str">
        <f t="shared" si="12"/>
        <v/>
      </c>
      <c r="N74" s="54">
        <f ca="1">IFERROR(__xludf.DUMMYFUNCTION("""COMPUTED_VALUE"""),46)</f>
        <v>46</v>
      </c>
      <c r="O74" s="54">
        <f ca="1">IFERROR(__xludf.DUMMYFUNCTION("""COMPUTED_VALUE"""),7)</f>
        <v>7</v>
      </c>
      <c r="P74" s="51">
        <f t="shared" ca="1" si="13"/>
        <v>0.15217391304347827</v>
      </c>
      <c r="Q74" s="54">
        <f ca="1">IFERROR(__xludf.DUMMYFUNCTION("""COMPUTED_VALUE"""),1)</f>
        <v>1</v>
      </c>
      <c r="R74" s="51">
        <f t="shared" ca="1" si="14"/>
        <v>2.1739130434782608E-2</v>
      </c>
      <c r="S74" s="53"/>
      <c r="T74" s="53"/>
      <c r="U74" s="51" t="str">
        <f t="shared" si="15"/>
        <v/>
      </c>
      <c r="V74" s="53"/>
      <c r="W74" s="51" t="str">
        <f t="shared" si="16"/>
        <v/>
      </c>
      <c r="X74" s="53"/>
      <c r="Y74" s="51" t="str">
        <f t="shared" si="17"/>
        <v/>
      </c>
      <c r="Z74" s="2"/>
      <c r="AA74" s="2"/>
      <c r="AB74" s="2"/>
      <c r="AC74" s="2"/>
      <c r="AD74" s="2"/>
      <c r="AE74" s="2"/>
    </row>
    <row r="75" spans="1:31" ht="12.75" x14ac:dyDescent="0.2">
      <c r="A75" s="53">
        <f ca="1">IFERROR(__xludf.DUMMYFUNCTION("""COMPUTED_VALUE"""),22)</f>
        <v>22</v>
      </c>
      <c r="B75" s="53" t="str">
        <f ca="1">IFERROR(__xludf.DUMMYFUNCTION("""COMPUTED_VALUE"""),"MNCL Tân Tạo")</f>
        <v>MNCL Tân Tạo</v>
      </c>
      <c r="C75" s="53" t="str">
        <f ca="1">IFERROR(__xludf.DUMMYFUNCTION("""COMPUTED_VALUE"""),"MN")</f>
        <v>MN</v>
      </c>
      <c r="D75" s="53" t="str">
        <f ca="1">IFERROR(__xludf.DUMMYFUNCTION("""COMPUTED_VALUE"""),"Bình Tân")</f>
        <v>Bình Tân</v>
      </c>
      <c r="E75" s="53"/>
      <c r="F75" s="53"/>
      <c r="G75" s="51" t="str">
        <f t="shared" si="9"/>
        <v/>
      </c>
      <c r="H75" s="53"/>
      <c r="I75" s="51" t="str">
        <f t="shared" si="10"/>
        <v/>
      </c>
      <c r="J75" s="53"/>
      <c r="K75" s="51" t="str">
        <f t="shared" si="11"/>
        <v/>
      </c>
      <c r="L75" s="53"/>
      <c r="M75" s="51" t="str">
        <f t="shared" si="12"/>
        <v/>
      </c>
      <c r="N75" s="54">
        <f ca="1">IFERROR(__xludf.DUMMYFUNCTION("""COMPUTED_VALUE"""),61)</f>
        <v>61</v>
      </c>
      <c r="O75" s="54">
        <f ca="1">IFERROR(__xludf.DUMMYFUNCTION("""COMPUTED_VALUE"""),12)</f>
        <v>12</v>
      </c>
      <c r="P75" s="51">
        <f t="shared" ca="1" si="13"/>
        <v>0.19672131147540983</v>
      </c>
      <c r="Q75" s="54">
        <f ca="1">IFERROR(__xludf.DUMMYFUNCTION("""COMPUTED_VALUE"""),6)</f>
        <v>6</v>
      </c>
      <c r="R75" s="51">
        <f t="shared" ca="1" si="14"/>
        <v>9.8360655737704916E-2</v>
      </c>
      <c r="S75" s="53"/>
      <c r="T75" s="53"/>
      <c r="U75" s="51" t="str">
        <f t="shared" si="15"/>
        <v/>
      </c>
      <c r="V75" s="53"/>
      <c r="W75" s="51" t="str">
        <f t="shared" si="16"/>
        <v/>
      </c>
      <c r="X75" s="53"/>
      <c r="Y75" s="51" t="str">
        <f t="shared" si="17"/>
        <v/>
      </c>
      <c r="Z75" s="2"/>
      <c r="AA75" s="2"/>
      <c r="AB75" s="2"/>
      <c r="AC75" s="2"/>
      <c r="AD75" s="2"/>
      <c r="AE75" s="2"/>
    </row>
    <row r="76" spans="1:31" ht="12.75" x14ac:dyDescent="0.2">
      <c r="A76" s="53">
        <f ca="1">IFERROR(__xludf.DUMMYFUNCTION("""COMPUTED_VALUE"""),23)</f>
        <v>23</v>
      </c>
      <c r="B76" s="53"/>
      <c r="C76" s="53"/>
      <c r="D76" s="53" t="str">
        <f ca="1">IFERROR(__xludf.DUMMYFUNCTION("""COMPUTED_VALUE"""),"Bình Tân")</f>
        <v>Bình Tân</v>
      </c>
      <c r="E76" s="53"/>
      <c r="F76" s="53"/>
      <c r="G76" s="51" t="str">
        <f t="shared" si="9"/>
        <v/>
      </c>
      <c r="H76" s="53"/>
      <c r="I76" s="51" t="str">
        <f t="shared" si="10"/>
        <v/>
      </c>
      <c r="J76" s="53"/>
      <c r="K76" s="51" t="str">
        <f t="shared" si="11"/>
        <v/>
      </c>
      <c r="L76" s="53"/>
      <c r="M76" s="51" t="str">
        <f t="shared" si="12"/>
        <v/>
      </c>
      <c r="N76" s="54">
        <f ca="1">IFERROR(__xludf.DUMMYFUNCTION("""COMPUTED_VALUE"""),17)</f>
        <v>17</v>
      </c>
      <c r="O76" s="54">
        <f ca="1">IFERROR(__xludf.DUMMYFUNCTION("""COMPUTED_VALUE"""),6)</f>
        <v>6</v>
      </c>
      <c r="P76" s="51">
        <f t="shared" ca="1" si="13"/>
        <v>0.35294117647058826</v>
      </c>
      <c r="Q76" s="54">
        <f ca="1">IFERROR(__xludf.DUMMYFUNCTION("""COMPUTED_VALUE"""),3)</f>
        <v>3</v>
      </c>
      <c r="R76" s="51">
        <f t="shared" ca="1" si="14"/>
        <v>0.17647058823529413</v>
      </c>
      <c r="S76" s="53"/>
      <c r="T76" s="53"/>
      <c r="U76" s="51" t="str">
        <f t="shared" si="15"/>
        <v/>
      </c>
      <c r="V76" s="53"/>
      <c r="W76" s="51" t="str">
        <f t="shared" si="16"/>
        <v/>
      </c>
      <c r="X76" s="53"/>
      <c r="Y76" s="51" t="str">
        <f t="shared" si="17"/>
        <v/>
      </c>
      <c r="Z76" s="2"/>
      <c r="AA76" s="2"/>
      <c r="AB76" s="2"/>
      <c r="AC76" s="2"/>
      <c r="AD76" s="2"/>
      <c r="AE76" s="2"/>
    </row>
    <row r="77" spans="1:31" ht="12.75" x14ac:dyDescent="0.2">
      <c r="A77" s="53">
        <f ca="1">IFERROR(__xludf.DUMMYFUNCTION("""COMPUTED_VALUE"""),24)</f>
        <v>24</v>
      </c>
      <c r="B77" s="53" t="str">
        <f ca="1">IFERROR(__xludf.DUMMYFUNCTION("""COMPUTED_VALUE"""),"MNCL Tân Tạo A")</f>
        <v>MNCL Tân Tạo A</v>
      </c>
      <c r="C77" s="53" t="str">
        <f ca="1">IFERROR(__xludf.DUMMYFUNCTION("""COMPUTED_VALUE"""),"MN")</f>
        <v>MN</v>
      </c>
      <c r="D77" s="53" t="str">
        <f ca="1">IFERROR(__xludf.DUMMYFUNCTION("""COMPUTED_VALUE"""),"Bình Tân")</f>
        <v>Bình Tân</v>
      </c>
      <c r="E77" s="53"/>
      <c r="F77" s="53"/>
      <c r="G77" s="51" t="str">
        <f t="shared" si="9"/>
        <v/>
      </c>
      <c r="H77" s="53"/>
      <c r="I77" s="51" t="str">
        <f t="shared" si="10"/>
        <v/>
      </c>
      <c r="J77" s="53"/>
      <c r="K77" s="51" t="str">
        <f t="shared" si="11"/>
        <v/>
      </c>
      <c r="L77" s="53"/>
      <c r="M77" s="51" t="str">
        <f t="shared" si="12"/>
        <v/>
      </c>
      <c r="N77" s="54">
        <f ca="1">IFERROR(__xludf.DUMMYFUNCTION("""COMPUTED_VALUE"""),88)</f>
        <v>88</v>
      </c>
      <c r="O77" s="54">
        <f ca="1">IFERROR(__xludf.DUMMYFUNCTION("""COMPUTED_VALUE"""),11)</f>
        <v>11</v>
      </c>
      <c r="P77" s="51">
        <f t="shared" ca="1" si="13"/>
        <v>0.125</v>
      </c>
      <c r="Q77" s="54">
        <f ca="1">IFERROR(__xludf.DUMMYFUNCTION("""COMPUTED_VALUE"""),8)</f>
        <v>8</v>
      </c>
      <c r="R77" s="51">
        <f t="shared" ca="1" si="14"/>
        <v>9.0909090909090912E-2</v>
      </c>
      <c r="S77" s="53"/>
      <c r="T77" s="53"/>
      <c r="U77" s="51" t="str">
        <f t="shared" si="15"/>
        <v/>
      </c>
      <c r="V77" s="53"/>
      <c r="W77" s="51" t="str">
        <f t="shared" si="16"/>
        <v/>
      </c>
      <c r="X77" s="53"/>
      <c r="Y77" s="51" t="str">
        <f t="shared" si="17"/>
        <v/>
      </c>
      <c r="Z77" s="2"/>
      <c r="AA77" s="2"/>
      <c r="AB77" s="2"/>
      <c r="AC77" s="2"/>
      <c r="AD77" s="2"/>
      <c r="AE77" s="2"/>
    </row>
    <row r="78" spans="1:31" ht="12.75" x14ac:dyDescent="0.2">
      <c r="A78" s="55" t="str">
        <f ca="1">IFERROR(__xludf.DUMMYFUNCTION("""COMPUTED_VALUE"""),"MẦM NON NGOÀI CÔNG LẬP")</f>
        <v>MẦM NON NGOÀI CÔNG LẬP</v>
      </c>
      <c r="B78" s="53"/>
      <c r="C78" s="53" t="str">
        <f ca="1">IFERROR(__xludf.DUMMYFUNCTION("""COMPUTED_VALUE"""),"MN")</f>
        <v>MN</v>
      </c>
      <c r="D78" s="53" t="str">
        <f ca="1">IFERROR(__xludf.DUMMYFUNCTION("""COMPUTED_VALUE"""),"Bình Tân")</f>
        <v>Bình Tân</v>
      </c>
      <c r="E78" s="53"/>
      <c r="F78" s="53"/>
      <c r="G78" s="51" t="str">
        <f t="shared" si="9"/>
        <v/>
      </c>
      <c r="H78" s="53"/>
      <c r="I78" s="51" t="str">
        <f t="shared" si="10"/>
        <v/>
      </c>
      <c r="J78" s="53"/>
      <c r="K78" s="51" t="str">
        <f t="shared" si="11"/>
        <v/>
      </c>
      <c r="L78" s="53"/>
      <c r="M78" s="51" t="str">
        <f t="shared" si="12"/>
        <v/>
      </c>
      <c r="N78" s="53"/>
      <c r="O78" s="53"/>
      <c r="P78" s="51" t="str">
        <f t="shared" si="13"/>
        <v/>
      </c>
      <c r="Q78" s="53"/>
      <c r="R78" s="51" t="str">
        <f t="shared" si="14"/>
        <v/>
      </c>
      <c r="S78" s="53"/>
      <c r="T78" s="53"/>
      <c r="U78" s="51" t="str">
        <f t="shared" si="15"/>
        <v/>
      </c>
      <c r="V78" s="53"/>
      <c r="W78" s="51" t="str">
        <f t="shared" si="16"/>
        <v/>
      </c>
      <c r="X78" s="53"/>
      <c r="Y78" s="51" t="str">
        <f t="shared" si="17"/>
        <v/>
      </c>
      <c r="Z78" s="2"/>
      <c r="AA78" s="2"/>
      <c r="AB78" s="2"/>
      <c r="AC78" s="2"/>
      <c r="AD78" s="2"/>
      <c r="AE78" s="2"/>
    </row>
    <row r="79" spans="1:31" ht="12.75" x14ac:dyDescent="0.2">
      <c r="A79" s="53"/>
      <c r="B79" s="53" t="str">
        <f ca="1">IFERROR(__xludf.DUMMYFUNCTION("""COMPUTED_VALUE"""),"1. Phường An Lạc")</f>
        <v>1. Phường An Lạc</v>
      </c>
      <c r="C79" s="53" t="str">
        <f ca="1">IFERROR(__xludf.DUMMYFUNCTION("""COMPUTED_VALUE"""),"MN")</f>
        <v>MN</v>
      </c>
      <c r="D79" s="53" t="str">
        <f ca="1">IFERROR(__xludf.DUMMYFUNCTION("""COMPUTED_VALUE"""),"Bình Tân")</f>
        <v>Bình Tân</v>
      </c>
      <c r="E79" s="53"/>
      <c r="F79" s="53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3"/>
      <c r="R79" s="53"/>
      <c r="S79" s="53"/>
      <c r="T79" s="53"/>
      <c r="U79" s="53"/>
      <c r="V79" s="53"/>
      <c r="W79" s="53"/>
      <c r="X79" s="53"/>
      <c r="Y79" s="53"/>
      <c r="Z79" s="2"/>
      <c r="AA79" s="2"/>
      <c r="AB79" s="2"/>
      <c r="AC79" s="2"/>
      <c r="AD79" s="2"/>
      <c r="AE79" s="2"/>
    </row>
    <row r="80" spans="1:31" ht="12.75" x14ac:dyDescent="0.2">
      <c r="A80" s="53">
        <f ca="1">IFERROR(__xludf.DUMMYFUNCTION("""COMPUTED_VALUE"""),1)</f>
        <v>1</v>
      </c>
      <c r="B80" s="53" t="str">
        <f ca="1">IFERROR(__xludf.DUMMYFUNCTION("""COMPUTED_VALUE"""),"MNTT Hoa Thiên Lý")</f>
        <v>MNTT Hoa Thiên Lý</v>
      </c>
      <c r="C80" s="53" t="str">
        <f ca="1">IFERROR(__xludf.DUMMYFUNCTION("""COMPUTED_VALUE"""),"MN")</f>
        <v>MN</v>
      </c>
      <c r="D80" s="53" t="str">
        <f ca="1">IFERROR(__xludf.DUMMYFUNCTION("""COMPUTED_VALUE"""),"Bình Tân")</f>
        <v>Bình Tân</v>
      </c>
      <c r="E80" s="53"/>
      <c r="F80" s="53"/>
      <c r="G80" s="53"/>
      <c r="H80" s="53"/>
      <c r="I80" s="53"/>
      <c r="J80" s="53"/>
      <c r="K80" s="53"/>
      <c r="L80" s="53"/>
      <c r="M80" s="53"/>
      <c r="N80" s="54">
        <f ca="1">IFERROR(__xludf.DUMMYFUNCTION("""COMPUTED_VALUE"""),18)</f>
        <v>18</v>
      </c>
      <c r="O80" s="54">
        <f ca="1">IFERROR(__xludf.DUMMYFUNCTION("""COMPUTED_VALUE"""),0)</f>
        <v>0</v>
      </c>
      <c r="P80" s="54"/>
      <c r="Q80" s="54">
        <f ca="1">IFERROR(__xludf.DUMMYFUNCTION("""COMPUTED_VALUE"""),0)</f>
        <v>0</v>
      </c>
      <c r="R80" s="54"/>
      <c r="S80" s="53"/>
      <c r="T80" s="53"/>
      <c r="U80" s="53"/>
      <c r="V80" s="53"/>
      <c r="W80" s="53"/>
      <c r="X80" s="53"/>
      <c r="Y80" s="53"/>
      <c r="Z80" s="2"/>
      <c r="AA80" s="2"/>
      <c r="AB80" s="2"/>
      <c r="AC80" s="2"/>
      <c r="AD80" s="2"/>
      <c r="AE80" s="2"/>
    </row>
    <row r="81" spans="1:31" ht="12.75" x14ac:dyDescent="0.2">
      <c r="A81" s="53">
        <f ca="1">IFERROR(__xludf.DUMMYFUNCTION("""COMPUTED_VALUE"""),2)</f>
        <v>2</v>
      </c>
      <c r="B81" s="53" t="str">
        <f ca="1">IFERROR(__xludf.DUMMYFUNCTION("""COMPUTED_VALUE"""),"MNTT Lê Thành")</f>
        <v>MNTT Lê Thành</v>
      </c>
      <c r="C81" s="53" t="str">
        <f ca="1">IFERROR(__xludf.DUMMYFUNCTION("""COMPUTED_VALUE"""),"MN")</f>
        <v>MN</v>
      </c>
      <c r="D81" s="53" t="str">
        <f ca="1">IFERROR(__xludf.DUMMYFUNCTION("""COMPUTED_VALUE"""),"Bình Tân")</f>
        <v>Bình Tân</v>
      </c>
      <c r="E81" s="53"/>
      <c r="F81" s="53"/>
      <c r="G81" s="53"/>
      <c r="H81" s="53"/>
      <c r="I81" s="53"/>
      <c r="J81" s="53"/>
      <c r="K81" s="53"/>
      <c r="L81" s="53"/>
      <c r="M81" s="53"/>
      <c r="N81" s="54">
        <f ca="1">IFERROR(__xludf.DUMMYFUNCTION("""COMPUTED_VALUE"""),15)</f>
        <v>15</v>
      </c>
      <c r="O81" s="54">
        <f ca="1">IFERROR(__xludf.DUMMYFUNCTION("""COMPUTED_VALUE"""),0)</f>
        <v>0</v>
      </c>
      <c r="P81" s="54"/>
      <c r="Q81" s="54">
        <f ca="1">IFERROR(__xludf.DUMMYFUNCTION("""COMPUTED_VALUE"""),0)</f>
        <v>0</v>
      </c>
      <c r="R81" s="54"/>
      <c r="S81" s="53"/>
      <c r="T81" s="53"/>
      <c r="U81" s="53"/>
      <c r="V81" s="53"/>
      <c r="W81" s="53"/>
      <c r="X81" s="53"/>
      <c r="Y81" s="53"/>
      <c r="Z81" s="2"/>
      <c r="AA81" s="2"/>
      <c r="AB81" s="2"/>
      <c r="AC81" s="2"/>
      <c r="AD81" s="2"/>
      <c r="AE81" s="2"/>
    </row>
    <row r="82" spans="1:31" ht="12.75" x14ac:dyDescent="0.2">
      <c r="A82" s="53">
        <f ca="1">IFERROR(__xludf.DUMMYFUNCTION("""COMPUTED_VALUE"""),3)</f>
        <v>3</v>
      </c>
      <c r="B82" s="53" t="str">
        <f ca="1">IFERROR(__xludf.DUMMYFUNCTION("""COMPUTED_VALUE"""),"MNTT Hoa Hướng Dương- Ehome 3")</f>
        <v>MNTT Hoa Hướng Dương- Ehome 3</v>
      </c>
      <c r="C82" s="53" t="str">
        <f ca="1">IFERROR(__xludf.DUMMYFUNCTION("""COMPUTED_VALUE"""),"MN")</f>
        <v>MN</v>
      </c>
      <c r="D82" s="53" t="str">
        <f ca="1">IFERROR(__xludf.DUMMYFUNCTION("""COMPUTED_VALUE"""),"Bình Tân")</f>
        <v>Bình Tân</v>
      </c>
      <c r="E82" s="53"/>
      <c r="F82" s="53"/>
      <c r="G82" s="53"/>
      <c r="H82" s="53"/>
      <c r="I82" s="53"/>
      <c r="J82" s="53"/>
      <c r="K82" s="53"/>
      <c r="L82" s="53"/>
      <c r="M82" s="53"/>
      <c r="N82" s="54">
        <f ca="1">IFERROR(__xludf.DUMMYFUNCTION("""COMPUTED_VALUE"""),28)</f>
        <v>28</v>
      </c>
      <c r="O82" s="54">
        <f ca="1">IFERROR(__xludf.DUMMYFUNCTION("""COMPUTED_VALUE"""),0)</f>
        <v>0</v>
      </c>
      <c r="P82" s="54"/>
      <c r="Q82" s="54">
        <f ca="1">IFERROR(__xludf.DUMMYFUNCTION("""COMPUTED_VALUE"""),0)</f>
        <v>0</v>
      </c>
      <c r="R82" s="54"/>
      <c r="S82" s="53"/>
      <c r="T82" s="53"/>
      <c r="U82" s="53"/>
      <c r="V82" s="53"/>
      <c r="W82" s="53"/>
      <c r="X82" s="53"/>
      <c r="Y82" s="53"/>
      <c r="Z82" s="2"/>
      <c r="AA82" s="2"/>
      <c r="AB82" s="2"/>
      <c r="AC82" s="2"/>
      <c r="AD82" s="2"/>
      <c r="AE82" s="2"/>
    </row>
    <row r="83" spans="1:31" ht="12.75" x14ac:dyDescent="0.2">
      <c r="A83" s="53">
        <f ca="1">IFERROR(__xludf.DUMMYFUNCTION("""COMPUTED_VALUE"""),4)</f>
        <v>4</v>
      </c>
      <c r="B83" s="53" t="str">
        <f ca="1">IFERROR(__xludf.DUMMYFUNCTION("""COMPUTED_VALUE"""),"MNTT Tinh Tú")</f>
        <v>MNTT Tinh Tú</v>
      </c>
      <c r="C83" s="53" t="str">
        <f ca="1">IFERROR(__xludf.DUMMYFUNCTION("""COMPUTED_VALUE"""),"MN")</f>
        <v>MN</v>
      </c>
      <c r="D83" s="53" t="str">
        <f ca="1">IFERROR(__xludf.DUMMYFUNCTION("""COMPUTED_VALUE"""),"Bình Tân")</f>
        <v>Bình Tân</v>
      </c>
      <c r="E83" s="53"/>
      <c r="F83" s="53"/>
      <c r="G83" s="53"/>
      <c r="H83" s="53"/>
      <c r="I83" s="53"/>
      <c r="J83" s="53"/>
      <c r="K83" s="53"/>
      <c r="L83" s="53"/>
      <c r="M83" s="53"/>
      <c r="N83" s="54">
        <f ca="1">IFERROR(__xludf.DUMMYFUNCTION("""COMPUTED_VALUE"""),12)</f>
        <v>12</v>
      </c>
      <c r="O83" s="54">
        <f ca="1">IFERROR(__xludf.DUMMYFUNCTION("""COMPUTED_VALUE"""),0)</f>
        <v>0</v>
      </c>
      <c r="P83" s="54"/>
      <c r="Q83" s="54">
        <f ca="1">IFERROR(__xludf.DUMMYFUNCTION("""COMPUTED_VALUE"""),0)</f>
        <v>0</v>
      </c>
      <c r="R83" s="54"/>
      <c r="S83" s="53"/>
      <c r="T83" s="53"/>
      <c r="U83" s="53"/>
      <c r="V83" s="53"/>
      <c r="W83" s="53"/>
      <c r="X83" s="53"/>
      <c r="Y83" s="53"/>
      <c r="Z83" s="2"/>
      <c r="AA83" s="2"/>
      <c r="AB83" s="2"/>
      <c r="AC83" s="2"/>
      <c r="AD83" s="2"/>
      <c r="AE83" s="2"/>
    </row>
    <row r="84" spans="1:31" ht="12.75" x14ac:dyDescent="0.2">
      <c r="A84" s="53">
        <f ca="1">IFERROR(__xludf.DUMMYFUNCTION("""COMPUTED_VALUE"""),5)</f>
        <v>5</v>
      </c>
      <c r="B84" s="53" t="str">
        <f ca="1">IFERROR(__xludf.DUMMYFUNCTION("""COMPUTED_VALUE"""),"MNTT Sao Vàng")</f>
        <v>MNTT Sao Vàng</v>
      </c>
      <c r="C84" s="53" t="str">
        <f ca="1">IFERROR(__xludf.DUMMYFUNCTION("""COMPUTED_VALUE"""),"MN")</f>
        <v>MN</v>
      </c>
      <c r="D84" s="53" t="str">
        <f ca="1">IFERROR(__xludf.DUMMYFUNCTION("""COMPUTED_VALUE"""),"Bình Tân")</f>
        <v>Bình Tân</v>
      </c>
      <c r="E84" s="53"/>
      <c r="F84" s="53"/>
      <c r="G84" s="53"/>
      <c r="H84" s="53"/>
      <c r="I84" s="53"/>
      <c r="J84" s="53"/>
      <c r="K84" s="53"/>
      <c r="L84" s="53"/>
      <c r="M84" s="53"/>
      <c r="N84" s="54">
        <f ca="1">IFERROR(__xludf.DUMMYFUNCTION("""COMPUTED_VALUE"""),5)</f>
        <v>5</v>
      </c>
      <c r="O84" s="54">
        <f ca="1">IFERROR(__xludf.DUMMYFUNCTION("""COMPUTED_VALUE"""),0)</f>
        <v>0</v>
      </c>
      <c r="P84" s="54"/>
      <c r="Q84" s="54">
        <f ca="1">IFERROR(__xludf.DUMMYFUNCTION("""COMPUTED_VALUE"""),0)</f>
        <v>0</v>
      </c>
      <c r="R84" s="54"/>
      <c r="S84" s="53"/>
      <c r="T84" s="53"/>
      <c r="U84" s="53"/>
      <c r="V84" s="53"/>
      <c r="W84" s="53"/>
      <c r="X84" s="53"/>
      <c r="Y84" s="53"/>
      <c r="Z84" s="2"/>
      <c r="AA84" s="2"/>
      <c r="AB84" s="2"/>
      <c r="AC84" s="2"/>
      <c r="AD84" s="2"/>
      <c r="AE84" s="2"/>
    </row>
    <row r="85" spans="1:31" ht="12.75" x14ac:dyDescent="0.2">
      <c r="A85" s="53">
        <f ca="1">IFERROR(__xludf.DUMMYFUNCTION("""COMPUTED_VALUE"""),6)</f>
        <v>6</v>
      </c>
      <c r="B85" s="53" t="str">
        <f ca="1">IFERROR(__xludf.DUMMYFUNCTION("""COMPUTED_VALUE"""),"MNTT Nam Hùng Vương")</f>
        <v>MNTT Nam Hùng Vương</v>
      </c>
      <c r="C85" s="53" t="str">
        <f ca="1">IFERROR(__xludf.DUMMYFUNCTION("""COMPUTED_VALUE"""),"MN")</f>
        <v>MN</v>
      </c>
      <c r="D85" s="53" t="str">
        <f ca="1">IFERROR(__xludf.DUMMYFUNCTION("""COMPUTED_VALUE"""),"Bình Tân")</f>
        <v>Bình Tân</v>
      </c>
      <c r="E85" s="53"/>
      <c r="F85" s="53"/>
      <c r="G85" s="53"/>
      <c r="H85" s="53"/>
      <c r="I85" s="53"/>
      <c r="J85" s="53"/>
      <c r="K85" s="53"/>
      <c r="L85" s="53"/>
      <c r="M85" s="53"/>
      <c r="N85" s="54">
        <f ca="1">IFERROR(__xludf.DUMMYFUNCTION("""COMPUTED_VALUE"""),14)</f>
        <v>14</v>
      </c>
      <c r="O85" s="54">
        <f ca="1">IFERROR(__xludf.DUMMYFUNCTION("""COMPUTED_VALUE"""),4)</f>
        <v>4</v>
      </c>
      <c r="P85" s="54"/>
      <c r="Q85" s="54">
        <f ca="1">IFERROR(__xludf.DUMMYFUNCTION("""COMPUTED_VALUE"""),0)</f>
        <v>0</v>
      </c>
      <c r="R85" s="54"/>
      <c r="S85" s="53"/>
      <c r="T85" s="53"/>
      <c r="U85" s="53"/>
      <c r="V85" s="53"/>
      <c r="W85" s="53"/>
      <c r="X85" s="53"/>
      <c r="Y85" s="53"/>
      <c r="Z85" s="2"/>
      <c r="AA85" s="2"/>
      <c r="AB85" s="2"/>
      <c r="AC85" s="2"/>
      <c r="AD85" s="2"/>
      <c r="AE85" s="2"/>
    </row>
    <row r="86" spans="1:31" ht="12.75" x14ac:dyDescent="0.2">
      <c r="A86" s="53">
        <f ca="1">IFERROR(__xludf.DUMMYFUNCTION("""COMPUTED_VALUE"""),7)</f>
        <v>7</v>
      </c>
      <c r="B86" s="53" t="str">
        <f ca="1">IFERROR(__xludf.DUMMYFUNCTION("""COMPUTED_VALUE"""),"LMG Bút Chì Màu")</f>
        <v>LMG Bút Chì Màu</v>
      </c>
      <c r="C86" s="53" t="str">
        <f ca="1">IFERROR(__xludf.DUMMYFUNCTION("""COMPUTED_VALUE"""),"MN")</f>
        <v>MN</v>
      </c>
      <c r="D86" s="53" t="str">
        <f ca="1">IFERROR(__xludf.DUMMYFUNCTION("""COMPUTED_VALUE"""),"Bình Tân")</f>
        <v>Bình Tân</v>
      </c>
      <c r="E86" s="53"/>
      <c r="F86" s="53"/>
      <c r="G86" s="53"/>
      <c r="H86" s="53"/>
      <c r="I86" s="53"/>
      <c r="J86" s="53"/>
      <c r="K86" s="53"/>
      <c r="L86" s="53"/>
      <c r="M86" s="53"/>
      <c r="N86" s="54">
        <f ca="1">IFERROR(__xludf.DUMMYFUNCTION("""COMPUTED_VALUE"""),16)</f>
        <v>16</v>
      </c>
      <c r="O86" s="54">
        <f ca="1">IFERROR(__xludf.DUMMYFUNCTION("""COMPUTED_VALUE"""),0)</f>
        <v>0</v>
      </c>
      <c r="P86" s="54"/>
      <c r="Q86" s="54">
        <f ca="1">IFERROR(__xludf.DUMMYFUNCTION("""COMPUTED_VALUE"""),0)</f>
        <v>0</v>
      </c>
      <c r="R86" s="54"/>
      <c r="S86" s="53"/>
      <c r="T86" s="53"/>
      <c r="U86" s="53"/>
      <c r="V86" s="53"/>
      <c r="W86" s="53"/>
      <c r="X86" s="53"/>
      <c r="Y86" s="53"/>
      <c r="Z86" s="2"/>
      <c r="AA86" s="2"/>
      <c r="AB86" s="2"/>
      <c r="AC86" s="2"/>
      <c r="AD86" s="2"/>
      <c r="AE86" s="2"/>
    </row>
    <row r="87" spans="1:31" ht="12.75" x14ac:dyDescent="0.2">
      <c r="A87" s="53">
        <f ca="1">IFERROR(__xludf.DUMMYFUNCTION("""COMPUTED_VALUE"""),8)</f>
        <v>8</v>
      </c>
      <c r="B87" s="53" t="str">
        <f ca="1">IFERROR(__xludf.DUMMYFUNCTION("""COMPUTED_VALUE"""),"LMG Đô Rê Mon")</f>
        <v>LMG Đô Rê Mon</v>
      </c>
      <c r="C87" s="53" t="str">
        <f ca="1">IFERROR(__xludf.DUMMYFUNCTION("""COMPUTED_VALUE"""),"MN")</f>
        <v>MN</v>
      </c>
      <c r="D87" s="53" t="str">
        <f ca="1">IFERROR(__xludf.DUMMYFUNCTION("""COMPUTED_VALUE"""),"Bình Tân")</f>
        <v>Bình Tân</v>
      </c>
      <c r="E87" s="53"/>
      <c r="F87" s="53"/>
      <c r="G87" s="53"/>
      <c r="H87" s="53"/>
      <c r="I87" s="53"/>
      <c r="J87" s="53"/>
      <c r="K87" s="53"/>
      <c r="L87" s="53"/>
      <c r="M87" s="53"/>
      <c r="N87" s="54">
        <f ca="1">IFERROR(__xludf.DUMMYFUNCTION("""COMPUTED_VALUE"""),0)</f>
        <v>0</v>
      </c>
      <c r="O87" s="54">
        <f ca="1">IFERROR(__xludf.DUMMYFUNCTION("""COMPUTED_VALUE"""),0)</f>
        <v>0</v>
      </c>
      <c r="P87" s="54"/>
      <c r="Q87" s="54">
        <f ca="1">IFERROR(__xludf.DUMMYFUNCTION("""COMPUTED_VALUE"""),0)</f>
        <v>0</v>
      </c>
      <c r="R87" s="54"/>
      <c r="S87" s="53"/>
      <c r="T87" s="53"/>
      <c r="U87" s="53"/>
      <c r="V87" s="53"/>
      <c r="W87" s="53"/>
      <c r="X87" s="53"/>
      <c r="Y87" s="53"/>
      <c r="Z87" s="2"/>
      <c r="AA87" s="2"/>
      <c r="AB87" s="2"/>
      <c r="AC87" s="2"/>
      <c r="AD87" s="2"/>
      <c r="AE87" s="2"/>
    </row>
    <row r="88" spans="1:31" ht="12.75" x14ac:dyDescent="0.2">
      <c r="A88" s="53">
        <f ca="1">IFERROR(__xludf.DUMMYFUNCTION("""COMPUTED_VALUE"""),9)</f>
        <v>9</v>
      </c>
      <c r="B88" s="53" t="str">
        <f ca="1">IFERROR(__xludf.DUMMYFUNCTION("""COMPUTED_VALUE"""),"LMG Hướng Dương")</f>
        <v>LMG Hướng Dương</v>
      </c>
      <c r="C88" s="53" t="str">
        <f ca="1">IFERROR(__xludf.DUMMYFUNCTION("""COMPUTED_VALUE"""),"MN")</f>
        <v>MN</v>
      </c>
      <c r="D88" s="53" t="str">
        <f ca="1">IFERROR(__xludf.DUMMYFUNCTION("""COMPUTED_VALUE"""),"Bình Tân")</f>
        <v>Bình Tân</v>
      </c>
      <c r="E88" s="53"/>
      <c r="F88" s="53"/>
      <c r="G88" s="53"/>
      <c r="H88" s="53"/>
      <c r="I88" s="53"/>
      <c r="J88" s="53"/>
      <c r="K88" s="53"/>
      <c r="L88" s="53"/>
      <c r="M88" s="53"/>
      <c r="N88" s="54">
        <f ca="1">IFERROR(__xludf.DUMMYFUNCTION("""COMPUTED_VALUE"""),9)</f>
        <v>9</v>
      </c>
      <c r="O88" s="54">
        <f ca="1">IFERROR(__xludf.DUMMYFUNCTION("""COMPUTED_VALUE"""),4)</f>
        <v>4</v>
      </c>
      <c r="P88" s="54"/>
      <c r="Q88" s="54">
        <f ca="1">IFERROR(__xludf.DUMMYFUNCTION("""COMPUTED_VALUE"""),1)</f>
        <v>1</v>
      </c>
      <c r="R88" s="54"/>
      <c r="S88" s="53"/>
      <c r="T88" s="53"/>
      <c r="U88" s="53"/>
      <c r="V88" s="53"/>
      <c r="W88" s="53"/>
      <c r="X88" s="53"/>
      <c r="Y88" s="53"/>
      <c r="Z88" s="2"/>
      <c r="AA88" s="2"/>
      <c r="AB88" s="2"/>
      <c r="AC88" s="2"/>
      <c r="AD88" s="2"/>
      <c r="AE88" s="2"/>
    </row>
    <row r="89" spans="1:31" ht="12.75" x14ac:dyDescent="0.2">
      <c r="A89" s="53">
        <f ca="1">IFERROR(__xludf.DUMMYFUNCTION("""COMPUTED_VALUE"""),10)</f>
        <v>10</v>
      </c>
      <c r="B89" s="53" t="str">
        <f ca="1">IFERROR(__xludf.DUMMYFUNCTION("""COMPUTED_VALUE"""),"LMG Măng Non")</f>
        <v>LMG Măng Non</v>
      </c>
      <c r="C89" s="53" t="str">
        <f ca="1">IFERROR(__xludf.DUMMYFUNCTION("""COMPUTED_VALUE"""),"MN")</f>
        <v>MN</v>
      </c>
      <c r="D89" s="53" t="str">
        <f ca="1">IFERROR(__xludf.DUMMYFUNCTION("""COMPUTED_VALUE"""),"Bình Tân")</f>
        <v>Bình Tân</v>
      </c>
      <c r="E89" s="53"/>
      <c r="F89" s="53"/>
      <c r="G89" s="53"/>
      <c r="H89" s="53"/>
      <c r="I89" s="53"/>
      <c r="J89" s="53"/>
      <c r="K89" s="53"/>
      <c r="L89" s="53"/>
      <c r="M89" s="53"/>
      <c r="N89" s="54">
        <f ca="1">IFERROR(__xludf.DUMMYFUNCTION("""COMPUTED_VALUE"""),0)</f>
        <v>0</v>
      </c>
      <c r="O89" s="54">
        <f ca="1">IFERROR(__xludf.DUMMYFUNCTION("""COMPUTED_VALUE"""),0)</f>
        <v>0</v>
      </c>
      <c r="P89" s="54"/>
      <c r="Q89" s="54">
        <f ca="1">IFERROR(__xludf.DUMMYFUNCTION("""COMPUTED_VALUE"""),0)</f>
        <v>0</v>
      </c>
      <c r="R89" s="54"/>
      <c r="S89" s="53"/>
      <c r="T89" s="53"/>
      <c r="U89" s="53"/>
      <c r="V89" s="53"/>
      <c r="W89" s="53"/>
      <c r="X89" s="53"/>
      <c r="Y89" s="53"/>
      <c r="Z89" s="2"/>
      <c r="AA89" s="2"/>
      <c r="AB89" s="2"/>
      <c r="AC89" s="2"/>
      <c r="AD89" s="2"/>
      <c r="AE89" s="2"/>
    </row>
    <row r="90" spans="1:31" ht="12.75" x14ac:dyDescent="0.2">
      <c r="A90" s="53">
        <f ca="1">IFERROR(__xludf.DUMMYFUNCTION("""COMPUTED_VALUE"""),11)</f>
        <v>11</v>
      </c>
      <c r="B90" s="53" t="str">
        <f ca="1">IFERROR(__xludf.DUMMYFUNCTION("""COMPUTED_VALUE"""),"NT Minh Anh")</f>
        <v>NT Minh Anh</v>
      </c>
      <c r="C90" s="53" t="str">
        <f ca="1">IFERROR(__xludf.DUMMYFUNCTION("""COMPUTED_VALUE"""),"MN")</f>
        <v>MN</v>
      </c>
      <c r="D90" s="53" t="str">
        <f ca="1">IFERROR(__xludf.DUMMYFUNCTION("""COMPUTED_VALUE"""),"Bình Tân")</f>
        <v>Bình Tân</v>
      </c>
      <c r="E90" s="53"/>
      <c r="F90" s="53"/>
      <c r="G90" s="53"/>
      <c r="H90" s="53"/>
      <c r="I90" s="53"/>
      <c r="J90" s="53"/>
      <c r="K90" s="53"/>
      <c r="L90" s="53"/>
      <c r="M90" s="53"/>
      <c r="N90" s="54">
        <f ca="1">IFERROR(__xludf.DUMMYFUNCTION("""COMPUTED_VALUE"""),0)</f>
        <v>0</v>
      </c>
      <c r="O90" s="54">
        <f ca="1">IFERROR(__xludf.DUMMYFUNCTION("""COMPUTED_VALUE"""),0)</f>
        <v>0</v>
      </c>
      <c r="P90" s="54"/>
      <c r="Q90" s="54">
        <f ca="1">IFERROR(__xludf.DUMMYFUNCTION("""COMPUTED_VALUE"""),0)</f>
        <v>0</v>
      </c>
      <c r="R90" s="54"/>
      <c r="S90" s="53"/>
      <c r="T90" s="53"/>
      <c r="U90" s="53"/>
      <c r="V90" s="53"/>
      <c r="W90" s="53"/>
      <c r="X90" s="53"/>
      <c r="Y90" s="53"/>
      <c r="Z90" s="2"/>
      <c r="AA90" s="2"/>
      <c r="AB90" s="2"/>
      <c r="AC90" s="2"/>
      <c r="AD90" s="2"/>
      <c r="AE90" s="2"/>
    </row>
    <row r="91" spans="1:31" ht="12.75" x14ac:dyDescent="0.2">
      <c r="A91" s="53">
        <f ca="1">IFERROR(__xludf.DUMMYFUNCTION("""COMPUTED_VALUE"""),12)</f>
        <v>12</v>
      </c>
      <c r="B91" s="53" t="str">
        <f ca="1">IFERROR(__xludf.DUMMYFUNCTION("""COMPUTED_VALUE"""),"LMG Nắng Vàng")</f>
        <v>LMG Nắng Vàng</v>
      </c>
      <c r="C91" s="53" t="str">
        <f ca="1">IFERROR(__xludf.DUMMYFUNCTION("""COMPUTED_VALUE"""),"MN")</f>
        <v>MN</v>
      </c>
      <c r="D91" s="53" t="str">
        <f ca="1">IFERROR(__xludf.DUMMYFUNCTION("""COMPUTED_VALUE"""),"Bình Tân")</f>
        <v>Bình Tân</v>
      </c>
      <c r="E91" s="53"/>
      <c r="F91" s="53"/>
      <c r="G91" s="53"/>
      <c r="H91" s="53"/>
      <c r="I91" s="53"/>
      <c r="J91" s="53"/>
      <c r="K91" s="53"/>
      <c r="L91" s="53"/>
      <c r="M91" s="53"/>
      <c r="N91" s="54">
        <f ca="1">IFERROR(__xludf.DUMMYFUNCTION("""COMPUTED_VALUE"""),11)</f>
        <v>11</v>
      </c>
      <c r="O91" s="54">
        <f ca="1">IFERROR(__xludf.DUMMYFUNCTION("""COMPUTED_VALUE"""),0)</f>
        <v>0</v>
      </c>
      <c r="P91" s="54"/>
      <c r="Q91" s="54">
        <f ca="1">IFERROR(__xludf.DUMMYFUNCTION("""COMPUTED_VALUE"""),0)</f>
        <v>0</v>
      </c>
      <c r="R91" s="54"/>
      <c r="S91" s="53"/>
      <c r="T91" s="53"/>
      <c r="U91" s="53"/>
      <c r="V91" s="53"/>
      <c r="W91" s="53"/>
      <c r="X91" s="53"/>
      <c r="Y91" s="53"/>
      <c r="Z91" s="2"/>
      <c r="AA91" s="2"/>
      <c r="AB91" s="2"/>
      <c r="AC91" s="2"/>
      <c r="AD91" s="2"/>
      <c r="AE91" s="2"/>
    </row>
    <row r="92" spans="1:31" ht="12.75" x14ac:dyDescent="0.2">
      <c r="A92" s="53">
        <f ca="1">IFERROR(__xludf.DUMMYFUNCTION("""COMPUTED_VALUE"""),13)</f>
        <v>13</v>
      </c>
      <c r="B92" s="53" t="str">
        <f ca="1">IFERROR(__xludf.DUMMYFUNCTION("""COMPUTED_VALUE"""),"LMG Tương Lai Xanh")</f>
        <v>LMG Tương Lai Xanh</v>
      </c>
      <c r="C92" s="53" t="str">
        <f ca="1">IFERROR(__xludf.DUMMYFUNCTION("""COMPUTED_VALUE"""),"MN")</f>
        <v>MN</v>
      </c>
      <c r="D92" s="53" t="str">
        <f ca="1">IFERROR(__xludf.DUMMYFUNCTION("""COMPUTED_VALUE"""),"Bình Tân")</f>
        <v>Bình Tân</v>
      </c>
      <c r="E92" s="53"/>
      <c r="F92" s="53"/>
      <c r="G92" s="53"/>
      <c r="H92" s="53"/>
      <c r="I92" s="53"/>
      <c r="J92" s="53"/>
      <c r="K92" s="53"/>
      <c r="L92" s="53"/>
      <c r="M92" s="53"/>
      <c r="N92" s="54">
        <f ca="1">IFERROR(__xludf.DUMMYFUNCTION("""COMPUTED_VALUE"""),0)</f>
        <v>0</v>
      </c>
      <c r="O92" s="54">
        <f ca="1">IFERROR(__xludf.DUMMYFUNCTION("""COMPUTED_VALUE"""),0)</f>
        <v>0</v>
      </c>
      <c r="P92" s="54"/>
      <c r="Q92" s="54">
        <f ca="1">IFERROR(__xludf.DUMMYFUNCTION("""COMPUTED_VALUE"""),0)</f>
        <v>0</v>
      </c>
      <c r="R92" s="54"/>
      <c r="S92" s="53"/>
      <c r="T92" s="53"/>
      <c r="U92" s="53"/>
      <c r="V92" s="53"/>
      <c r="W92" s="53"/>
      <c r="X92" s="53"/>
      <c r="Y92" s="53"/>
      <c r="Z92" s="2"/>
      <c r="AA92" s="2"/>
      <c r="AB92" s="2"/>
      <c r="AC92" s="2"/>
      <c r="AD92" s="2"/>
      <c r="AE92" s="2"/>
    </row>
    <row r="93" spans="1:31" ht="12.75" x14ac:dyDescent="0.2">
      <c r="A93" s="53">
        <f ca="1">IFERROR(__xludf.DUMMYFUNCTION("""COMPUTED_VALUE"""),14)</f>
        <v>14</v>
      </c>
      <c r="B93" s="53" t="str">
        <f ca="1">IFERROR(__xludf.DUMMYFUNCTION("""COMPUTED_VALUE"""),"LMGThiên Ngọc")</f>
        <v>LMGThiên Ngọc</v>
      </c>
      <c r="C93" s="53" t="str">
        <f ca="1">IFERROR(__xludf.DUMMYFUNCTION("""COMPUTED_VALUE"""),"MN")</f>
        <v>MN</v>
      </c>
      <c r="D93" s="53" t="str">
        <f ca="1">IFERROR(__xludf.DUMMYFUNCTION("""COMPUTED_VALUE"""),"Bình Tân")</f>
        <v>Bình Tân</v>
      </c>
      <c r="E93" s="53"/>
      <c r="F93" s="53"/>
      <c r="G93" s="53"/>
      <c r="H93" s="53"/>
      <c r="I93" s="53"/>
      <c r="J93" s="53"/>
      <c r="K93" s="53"/>
      <c r="L93" s="53"/>
      <c r="M93" s="53"/>
      <c r="N93" s="54">
        <f ca="1">IFERROR(__xludf.DUMMYFUNCTION("""COMPUTED_VALUE"""),7)</f>
        <v>7</v>
      </c>
      <c r="O93" s="54">
        <f ca="1">IFERROR(__xludf.DUMMYFUNCTION("""COMPUTED_VALUE"""),2)</f>
        <v>2</v>
      </c>
      <c r="P93" s="54"/>
      <c r="Q93" s="54">
        <f ca="1">IFERROR(__xludf.DUMMYFUNCTION("""COMPUTED_VALUE"""),2)</f>
        <v>2</v>
      </c>
      <c r="R93" s="54"/>
      <c r="S93" s="53"/>
      <c r="T93" s="53"/>
      <c r="U93" s="53"/>
      <c r="V93" s="53"/>
      <c r="W93" s="53"/>
      <c r="X93" s="53"/>
      <c r="Y93" s="53"/>
      <c r="Z93" s="2"/>
      <c r="AA93" s="2"/>
      <c r="AB93" s="2"/>
      <c r="AC93" s="2"/>
      <c r="AD93" s="2"/>
      <c r="AE93" s="2"/>
    </row>
    <row r="94" spans="1:31" ht="12.75" x14ac:dyDescent="0.2">
      <c r="A94" s="53">
        <f ca="1">IFERROR(__xludf.DUMMYFUNCTION("""COMPUTED_VALUE"""),15)</f>
        <v>15</v>
      </c>
      <c r="B94" s="53" t="str">
        <f ca="1">IFERROR(__xludf.DUMMYFUNCTION("""COMPUTED_VALUE"""),"LMG Vườn Tài Năng")</f>
        <v>LMG Vườn Tài Năng</v>
      </c>
      <c r="C94" s="53" t="str">
        <f ca="1">IFERROR(__xludf.DUMMYFUNCTION("""COMPUTED_VALUE"""),"MN")</f>
        <v>MN</v>
      </c>
      <c r="D94" s="53" t="str">
        <f ca="1">IFERROR(__xludf.DUMMYFUNCTION("""COMPUTED_VALUE"""),"Bình Tân")</f>
        <v>Bình Tân</v>
      </c>
      <c r="E94" s="53"/>
      <c r="F94" s="53"/>
      <c r="G94" s="53"/>
      <c r="H94" s="53"/>
      <c r="I94" s="53"/>
      <c r="J94" s="53"/>
      <c r="K94" s="53"/>
      <c r="L94" s="53"/>
      <c r="M94" s="53"/>
      <c r="N94" s="54">
        <f ca="1">IFERROR(__xludf.DUMMYFUNCTION("""COMPUTED_VALUE"""),0)</f>
        <v>0</v>
      </c>
      <c r="O94" s="54">
        <f ca="1">IFERROR(__xludf.DUMMYFUNCTION("""COMPUTED_VALUE"""),0)</f>
        <v>0</v>
      </c>
      <c r="P94" s="54"/>
      <c r="Q94" s="54">
        <f ca="1">IFERROR(__xludf.DUMMYFUNCTION("""COMPUTED_VALUE"""),0)</f>
        <v>0</v>
      </c>
      <c r="R94" s="54"/>
      <c r="S94" s="53"/>
      <c r="T94" s="53"/>
      <c r="U94" s="53"/>
      <c r="V94" s="53"/>
      <c r="W94" s="53"/>
      <c r="X94" s="53"/>
      <c r="Y94" s="53"/>
      <c r="Z94" s="2"/>
      <c r="AA94" s="2"/>
      <c r="AB94" s="2"/>
      <c r="AC94" s="2"/>
      <c r="AD94" s="2"/>
      <c r="AE94" s="2"/>
    </row>
    <row r="95" spans="1:31" ht="12.75" x14ac:dyDescent="0.2">
      <c r="A95" s="53">
        <f ca="1">IFERROR(__xludf.DUMMYFUNCTION("""COMPUTED_VALUE"""),16)</f>
        <v>16</v>
      </c>
      <c r="B95" s="53" t="str">
        <f ca="1">IFERROR(__xludf.DUMMYFUNCTION("""COMPUTED_VALUE"""),"LMG Bé Trăng")</f>
        <v>LMG Bé Trăng</v>
      </c>
      <c r="C95" s="53" t="str">
        <f ca="1">IFERROR(__xludf.DUMMYFUNCTION("""COMPUTED_VALUE"""),"MN")</f>
        <v>MN</v>
      </c>
      <c r="D95" s="53" t="str">
        <f ca="1">IFERROR(__xludf.DUMMYFUNCTION("""COMPUTED_VALUE"""),"Bình Tân")</f>
        <v>Bình Tân</v>
      </c>
      <c r="E95" s="53"/>
      <c r="F95" s="53"/>
      <c r="G95" s="53"/>
      <c r="H95" s="53"/>
      <c r="I95" s="53"/>
      <c r="J95" s="53"/>
      <c r="K95" s="53"/>
      <c r="L95" s="53"/>
      <c r="M95" s="53"/>
      <c r="N95" s="54">
        <f ca="1">IFERROR(__xludf.DUMMYFUNCTION("""COMPUTED_VALUE"""),11)</f>
        <v>11</v>
      </c>
      <c r="O95" s="54">
        <f ca="1">IFERROR(__xludf.DUMMYFUNCTION("""COMPUTED_VALUE"""),0)</f>
        <v>0</v>
      </c>
      <c r="P95" s="54"/>
      <c r="Q95" s="54">
        <f ca="1">IFERROR(__xludf.DUMMYFUNCTION("""COMPUTED_VALUE"""),0)</f>
        <v>0</v>
      </c>
      <c r="R95" s="54"/>
      <c r="S95" s="53"/>
      <c r="T95" s="53"/>
      <c r="U95" s="53"/>
      <c r="V95" s="53"/>
      <c r="W95" s="53"/>
      <c r="X95" s="53"/>
      <c r="Y95" s="53"/>
      <c r="Z95" s="2"/>
      <c r="AA95" s="2"/>
      <c r="AB95" s="2"/>
      <c r="AC95" s="2"/>
      <c r="AD95" s="2"/>
      <c r="AE95" s="2"/>
    </row>
    <row r="96" spans="1:31" ht="12.75" x14ac:dyDescent="0.2">
      <c r="A96" s="53">
        <f ca="1">IFERROR(__xludf.DUMMYFUNCTION("""COMPUTED_VALUE"""),17)</f>
        <v>17</v>
      </c>
      <c r="B96" s="53" t="str">
        <f ca="1">IFERROR(__xludf.DUMMYFUNCTION("""COMPUTED_VALUE"""),"LMG Mùa Xuân(mới)")</f>
        <v>LMG Mùa Xuân(mới)</v>
      </c>
      <c r="C96" s="53" t="str">
        <f ca="1">IFERROR(__xludf.DUMMYFUNCTION("""COMPUTED_VALUE"""),"MN")</f>
        <v>MN</v>
      </c>
      <c r="D96" s="53" t="str">
        <f ca="1">IFERROR(__xludf.DUMMYFUNCTION("""COMPUTED_VALUE"""),"Bình Tân")</f>
        <v>Bình Tân</v>
      </c>
      <c r="E96" s="53"/>
      <c r="F96" s="53"/>
      <c r="G96" s="53"/>
      <c r="H96" s="53"/>
      <c r="I96" s="53"/>
      <c r="J96" s="53"/>
      <c r="K96" s="53"/>
      <c r="L96" s="53"/>
      <c r="M96" s="53"/>
      <c r="N96" s="54">
        <f ca="1">IFERROR(__xludf.DUMMYFUNCTION("""COMPUTED_VALUE"""),0)</f>
        <v>0</v>
      </c>
      <c r="O96" s="54">
        <f ca="1">IFERROR(__xludf.DUMMYFUNCTION("""COMPUTED_VALUE"""),0)</f>
        <v>0</v>
      </c>
      <c r="P96" s="54"/>
      <c r="Q96" s="54">
        <f ca="1">IFERROR(__xludf.DUMMYFUNCTION("""COMPUTED_VALUE"""),0)</f>
        <v>0</v>
      </c>
      <c r="R96" s="54"/>
      <c r="S96" s="53"/>
      <c r="T96" s="53"/>
      <c r="U96" s="53"/>
      <c r="V96" s="53"/>
      <c r="W96" s="53"/>
      <c r="X96" s="53"/>
      <c r="Y96" s="53"/>
      <c r="Z96" s="2"/>
      <c r="AA96" s="2"/>
      <c r="AB96" s="2"/>
      <c r="AC96" s="2"/>
      <c r="AD96" s="2"/>
      <c r="AE96" s="2"/>
    </row>
    <row r="97" spans="1:31" ht="12.75" x14ac:dyDescent="0.2">
      <c r="A97" s="53">
        <f ca="1">IFERROR(__xludf.DUMMYFUNCTION("""COMPUTED_VALUE"""),18)</f>
        <v>18</v>
      </c>
      <c r="B97" s="53" t="str">
        <f ca="1">IFERROR(__xludf.DUMMYFUNCTION("""COMPUTED_VALUE"""),"Hoàng Gia Phú Lâm (Mới)")</f>
        <v>Hoàng Gia Phú Lâm (Mới)</v>
      </c>
      <c r="C97" s="53" t="str">
        <f ca="1">IFERROR(__xludf.DUMMYFUNCTION("""COMPUTED_VALUE"""),"MN")</f>
        <v>MN</v>
      </c>
      <c r="D97" s="53" t="str">
        <f ca="1">IFERROR(__xludf.DUMMYFUNCTION("""COMPUTED_VALUE"""),"Bình Tân")</f>
        <v>Bình Tân</v>
      </c>
      <c r="E97" s="53"/>
      <c r="F97" s="53"/>
      <c r="G97" s="53"/>
      <c r="H97" s="53"/>
      <c r="I97" s="53"/>
      <c r="J97" s="53"/>
      <c r="K97" s="53"/>
      <c r="L97" s="53"/>
      <c r="M97" s="53"/>
      <c r="N97" s="54">
        <f ca="1">IFERROR(__xludf.DUMMYFUNCTION("""COMPUTED_VALUE"""),11)</f>
        <v>11</v>
      </c>
      <c r="O97" s="54">
        <f ca="1">IFERROR(__xludf.DUMMYFUNCTION("""COMPUTED_VALUE"""),0)</f>
        <v>0</v>
      </c>
      <c r="P97" s="54"/>
      <c r="Q97" s="54">
        <f ca="1">IFERROR(__xludf.DUMMYFUNCTION("""COMPUTED_VALUE"""),0)</f>
        <v>0</v>
      </c>
      <c r="R97" s="54"/>
      <c r="S97" s="53"/>
      <c r="T97" s="53"/>
      <c r="U97" s="53"/>
      <c r="V97" s="53"/>
      <c r="W97" s="53"/>
      <c r="X97" s="53"/>
      <c r="Y97" s="53"/>
      <c r="Z97" s="2"/>
      <c r="AA97" s="2"/>
      <c r="AB97" s="2"/>
      <c r="AC97" s="2"/>
      <c r="AD97" s="2"/>
      <c r="AE97" s="2"/>
    </row>
    <row r="98" spans="1:31" ht="12.75" x14ac:dyDescent="0.2">
      <c r="A98" s="53">
        <f ca="1">IFERROR(__xludf.DUMMYFUNCTION("""COMPUTED_VALUE"""),19)</f>
        <v>19</v>
      </c>
      <c r="B98" s="53" t="str">
        <f ca="1">IFERROR(__xludf.DUMMYFUNCTION("""COMPUTED_VALUE"""),"MNTT Vàng Anh")</f>
        <v>MNTT Vàng Anh</v>
      </c>
      <c r="C98" s="53" t="str">
        <f ca="1">IFERROR(__xludf.DUMMYFUNCTION("""COMPUTED_VALUE"""),"MN")</f>
        <v>MN</v>
      </c>
      <c r="D98" s="53" t="str">
        <f ca="1">IFERROR(__xludf.DUMMYFUNCTION("""COMPUTED_VALUE"""),"Bình Tân")</f>
        <v>Bình Tân</v>
      </c>
      <c r="E98" s="53"/>
      <c r="F98" s="53"/>
      <c r="G98" s="53"/>
      <c r="H98" s="53"/>
      <c r="I98" s="53"/>
      <c r="J98" s="53"/>
      <c r="K98" s="53"/>
      <c r="L98" s="53"/>
      <c r="M98" s="53"/>
      <c r="N98" s="54">
        <f ca="1">IFERROR(__xludf.DUMMYFUNCTION("""COMPUTED_VALUE"""),10)</f>
        <v>10</v>
      </c>
      <c r="O98" s="54">
        <f ca="1">IFERROR(__xludf.DUMMYFUNCTION("""COMPUTED_VALUE"""),0)</f>
        <v>0</v>
      </c>
      <c r="P98" s="54"/>
      <c r="Q98" s="54">
        <f ca="1">IFERROR(__xludf.DUMMYFUNCTION("""COMPUTED_VALUE"""),0)</f>
        <v>0</v>
      </c>
      <c r="R98" s="54"/>
      <c r="S98" s="53"/>
      <c r="T98" s="53"/>
      <c r="U98" s="53"/>
      <c r="V98" s="53"/>
      <c r="W98" s="53"/>
      <c r="X98" s="53"/>
      <c r="Y98" s="53"/>
      <c r="Z98" s="2"/>
      <c r="AA98" s="2"/>
      <c r="AB98" s="2"/>
      <c r="AC98" s="2"/>
      <c r="AD98" s="2"/>
      <c r="AE98" s="2"/>
    </row>
    <row r="99" spans="1:31" ht="12.75" x14ac:dyDescent="0.2">
      <c r="A99" s="57" t="str">
        <f ca="1">IFERROR(__xludf.DUMMYFUNCTION("""COMPUTED_VALUE"""),"2. Phường An Lạc A")</f>
        <v>2. Phường An Lạc A</v>
      </c>
      <c r="B99" s="53"/>
      <c r="C99" s="53" t="str">
        <f ca="1">IFERROR(__xludf.DUMMYFUNCTION("""COMPUTED_VALUE"""),"MN")</f>
        <v>MN</v>
      </c>
      <c r="D99" s="53" t="str">
        <f ca="1">IFERROR(__xludf.DUMMYFUNCTION("""COMPUTED_VALUE"""),"Bình Tân")</f>
        <v>Bình Tân</v>
      </c>
      <c r="E99" s="53"/>
      <c r="F99" s="53"/>
      <c r="G99" s="53"/>
      <c r="H99" s="53"/>
      <c r="I99" s="53"/>
      <c r="J99" s="53"/>
      <c r="K99" s="53"/>
      <c r="L99" s="53"/>
      <c r="M99" s="53"/>
      <c r="N99" s="53"/>
      <c r="O99" s="53"/>
      <c r="P99" s="53"/>
      <c r="Q99" s="53"/>
      <c r="R99" s="53"/>
      <c r="S99" s="53"/>
      <c r="T99" s="53"/>
      <c r="U99" s="53"/>
      <c r="V99" s="53"/>
      <c r="W99" s="53"/>
      <c r="X99" s="53"/>
      <c r="Y99" s="53"/>
      <c r="Z99" s="2"/>
      <c r="AA99" s="2"/>
      <c r="AB99" s="2"/>
      <c r="AC99" s="2"/>
      <c r="AD99" s="2"/>
      <c r="AE99" s="2"/>
    </row>
    <row r="100" spans="1:31" ht="12.75" x14ac:dyDescent="0.2">
      <c r="A100" s="53">
        <f ca="1">IFERROR(__xludf.DUMMYFUNCTION("""COMPUTED_VALUE"""),1)</f>
        <v>1</v>
      </c>
      <c r="B100" s="53" t="str">
        <f ca="1">IFERROR(__xludf.DUMMYFUNCTION("""COMPUTED_VALUE"""),"MNTT MN Anh Việt")</f>
        <v>MNTT MN Anh Việt</v>
      </c>
      <c r="C100" s="53" t="str">
        <f ca="1">IFERROR(__xludf.DUMMYFUNCTION("""COMPUTED_VALUE"""),"MN")</f>
        <v>MN</v>
      </c>
      <c r="D100" s="53" t="str">
        <f ca="1">IFERROR(__xludf.DUMMYFUNCTION("""COMPUTED_VALUE"""),"Bình Tân")</f>
        <v>Bình Tân</v>
      </c>
      <c r="E100" s="53"/>
      <c r="F100" s="53"/>
      <c r="G100" s="53"/>
      <c r="H100" s="53"/>
      <c r="I100" s="53"/>
      <c r="J100" s="53"/>
      <c r="K100" s="53"/>
      <c r="L100" s="53"/>
      <c r="M100" s="53"/>
      <c r="N100" s="54">
        <f ca="1">IFERROR(__xludf.DUMMYFUNCTION("""COMPUTED_VALUE"""),19)</f>
        <v>19</v>
      </c>
      <c r="O100" s="54">
        <f ca="1">IFERROR(__xludf.DUMMYFUNCTION("""COMPUTED_VALUE"""),12)</f>
        <v>12</v>
      </c>
      <c r="P100" s="54"/>
      <c r="Q100" s="54">
        <f ca="1">IFERROR(__xludf.DUMMYFUNCTION("""COMPUTED_VALUE"""),6)</f>
        <v>6</v>
      </c>
      <c r="R100" s="54"/>
      <c r="S100" s="53"/>
      <c r="T100" s="53"/>
      <c r="U100" s="53"/>
      <c r="V100" s="53"/>
      <c r="W100" s="53"/>
      <c r="X100" s="53"/>
      <c r="Y100" s="53"/>
      <c r="Z100" s="2"/>
      <c r="AA100" s="2"/>
      <c r="AB100" s="2"/>
      <c r="AC100" s="2"/>
      <c r="AD100" s="2"/>
      <c r="AE100" s="2"/>
    </row>
    <row r="101" spans="1:31" ht="12.75" x14ac:dyDescent="0.2">
      <c r="A101" s="53"/>
      <c r="B101" s="53" t="str">
        <f ca="1">IFERROR(__xludf.DUMMYFUNCTION("""COMPUTED_VALUE"""),"3. Phường Bình Hưng Hòa")</f>
        <v>3. Phường Bình Hưng Hòa</v>
      </c>
      <c r="C101" s="53" t="str">
        <f ca="1">IFERROR(__xludf.DUMMYFUNCTION("""COMPUTED_VALUE"""),"MN")</f>
        <v>MN</v>
      </c>
      <c r="D101" s="53" t="str">
        <f ca="1">IFERROR(__xludf.DUMMYFUNCTION("""COMPUTED_VALUE"""),"Bình Tân")</f>
        <v>Bình Tân</v>
      </c>
      <c r="E101" s="53"/>
      <c r="F101" s="53"/>
      <c r="G101" s="53"/>
      <c r="H101" s="53"/>
      <c r="I101" s="53"/>
      <c r="J101" s="53"/>
      <c r="K101" s="53"/>
      <c r="L101" s="53"/>
      <c r="M101" s="53"/>
      <c r="N101" s="53"/>
      <c r="O101" s="53"/>
      <c r="P101" s="53"/>
      <c r="Q101" s="53"/>
      <c r="R101" s="53"/>
      <c r="S101" s="53"/>
      <c r="T101" s="53"/>
      <c r="U101" s="53"/>
      <c r="V101" s="53"/>
      <c r="W101" s="53"/>
      <c r="X101" s="53"/>
      <c r="Y101" s="53"/>
      <c r="Z101" s="2"/>
      <c r="AA101" s="2"/>
      <c r="AB101" s="2"/>
      <c r="AC101" s="2"/>
      <c r="AD101" s="2"/>
      <c r="AE101" s="2"/>
    </row>
    <row r="102" spans="1:31" ht="12.75" x14ac:dyDescent="0.2">
      <c r="A102" s="53">
        <f ca="1">IFERROR(__xludf.DUMMYFUNCTION("""COMPUTED_VALUE"""),1)</f>
        <v>1</v>
      </c>
      <c r="B102" s="53" t="str">
        <f ca="1">IFERROR(__xludf.DUMMYFUNCTION("""COMPUTED_VALUE"""),"MNTT Thần Đồng")</f>
        <v>MNTT Thần Đồng</v>
      </c>
      <c r="C102" s="53" t="str">
        <f ca="1">IFERROR(__xludf.DUMMYFUNCTION("""COMPUTED_VALUE"""),"MN")</f>
        <v>MN</v>
      </c>
      <c r="D102" s="53" t="str">
        <f ca="1">IFERROR(__xludf.DUMMYFUNCTION("""COMPUTED_VALUE"""),"Bình Tân")</f>
        <v>Bình Tân</v>
      </c>
      <c r="E102" s="53"/>
      <c r="F102" s="53"/>
      <c r="G102" s="53"/>
      <c r="H102" s="53"/>
      <c r="I102" s="53"/>
      <c r="J102" s="53"/>
      <c r="K102" s="53"/>
      <c r="L102" s="53"/>
      <c r="M102" s="53"/>
      <c r="N102" s="54">
        <f ca="1">IFERROR(__xludf.DUMMYFUNCTION("""COMPUTED_VALUE"""),32)</f>
        <v>32</v>
      </c>
      <c r="O102" s="54">
        <f ca="1">IFERROR(__xludf.DUMMYFUNCTION("""COMPUTED_VALUE"""),2)</f>
        <v>2</v>
      </c>
      <c r="P102" s="54"/>
      <c r="Q102" s="54">
        <f ca="1">IFERROR(__xludf.DUMMYFUNCTION("""COMPUTED_VALUE"""),1)</f>
        <v>1</v>
      </c>
      <c r="R102" s="54"/>
      <c r="S102" s="53"/>
      <c r="T102" s="53"/>
      <c r="U102" s="53"/>
      <c r="V102" s="53"/>
      <c r="W102" s="53"/>
      <c r="X102" s="53"/>
      <c r="Y102" s="53"/>
      <c r="Z102" s="2"/>
      <c r="AA102" s="2"/>
      <c r="AB102" s="2"/>
      <c r="AC102" s="2"/>
      <c r="AD102" s="2"/>
      <c r="AE102" s="2"/>
    </row>
    <row r="103" spans="1:31" ht="12.75" x14ac:dyDescent="0.2">
      <c r="A103" s="53">
        <f ca="1">IFERROR(__xludf.DUMMYFUNCTION("""COMPUTED_VALUE"""),2)</f>
        <v>2</v>
      </c>
      <c r="B103" s="53" t="str">
        <f ca="1">IFERROR(__xludf.DUMMYFUNCTION("""COMPUTED_VALUE"""),"MNTT Ánh Hồng")</f>
        <v>MNTT Ánh Hồng</v>
      </c>
      <c r="C103" s="53" t="str">
        <f ca="1">IFERROR(__xludf.DUMMYFUNCTION("""COMPUTED_VALUE"""),"MN")</f>
        <v>MN</v>
      </c>
      <c r="D103" s="53" t="str">
        <f ca="1">IFERROR(__xludf.DUMMYFUNCTION("""COMPUTED_VALUE"""),"Bình Tân")</f>
        <v>Bình Tân</v>
      </c>
      <c r="E103" s="53"/>
      <c r="F103" s="53"/>
      <c r="G103" s="53"/>
      <c r="H103" s="53"/>
      <c r="I103" s="53"/>
      <c r="J103" s="53"/>
      <c r="K103" s="53"/>
      <c r="L103" s="53"/>
      <c r="M103" s="53"/>
      <c r="N103" s="54">
        <f ca="1">IFERROR(__xludf.DUMMYFUNCTION("""COMPUTED_VALUE"""),36)</f>
        <v>36</v>
      </c>
      <c r="O103" s="54">
        <f ca="1">IFERROR(__xludf.DUMMYFUNCTION("""COMPUTED_VALUE"""),6)</f>
        <v>6</v>
      </c>
      <c r="P103" s="54"/>
      <c r="Q103" s="54">
        <f ca="1">IFERROR(__xludf.DUMMYFUNCTION("""COMPUTED_VALUE"""),2)</f>
        <v>2</v>
      </c>
      <c r="R103" s="54"/>
      <c r="S103" s="53"/>
      <c r="T103" s="53"/>
      <c r="U103" s="53"/>
      <c r="V103" s="53"/>
      <c r="W103" s="53"/>
      <c r="X103" s="53"/>
      <c r="Y103" s="53"/>
      <c r="Z103" s="2"/>
      <c r="AA103" s="2"/>
      <c r="AB103" s="2"/>
      <c r="AC103" s="2"/>
      <c r="AD103" s="2"/>
      <c r="AE103" s="2"/>
    </row>
    <row r="104" spans="1:31" ht="12.75" x14ac:dyDescent="0.2">
      <c r="A104" s="53">
        <f ca="1">IFERROR(__xludf.DUMMYFUNCTION("""COMPUTED_VALUE"""),3)</f>
        <v>3</v>
      </c>
      <c r="B104" s="53" t="str">
        <f ca="1">IFERROR(__xludf.DUMMYFUNCTION("""COMPUTED_VALUE"""),"MNTT Thế Giới Trẻ Thơ")</f>
        <v>MNTT Thế Giới Trẻ Thơ</v>
      </c>
      <c r="C104" s="53" t="str">
        <f ca="1">IFERROR(__xludf.DUMMYFUNCTION("""COMPUTED_VALUE"""),"MN")</f>
        <v>MN</v>
      </c>
      <c r="D104" s="53" t="str">
        <f ca="1">IFERROR(__xludf.DUMMYFUNCTION("""COMPUTED_VALUE"""),"Bình Tân")</f>
        <v>Bình Tân</v>
      </c>
      <c r="E104" s="53"/>
      <c r="F104" s="53"/>
      <c r="G104" s="53"/>
      <c r="H104" s="53"/>
      <c r="I104" s="53"/>
      <c r="J104" s="53"/>
      <c r="K104" s="53"/>
      <c r="L104" s="53"/>
      <c r="M104" s="53"/>
      <c r="N104" s="54">
        <f ca="1">IFERROR(__xludf.DUMMYFUNCTION("""COMPUTED_VALUE"""),26)</f>
        <v>26</v>
      </c>
      <c r="O104" s="54">
        <f ca="1">IFERROR(__xludf.DUMMYFUNCTION("""COMPUTED_VALUE"""),3)</f>
        <v>3</v>
      </c>
      <c r="P104" s="54"/>
      <c r="Q104" s="54">
        <f ca="1">IFERROR(__xludf.DUMMYFUNCTION("""COMPUTED_VALUE"""),1)</f>
        <v>1</v>
      </c>
      <c r="R104" s="54"/>
      <c r="S104" s="53"/>
      <c r="T104" s="53"/>
      <c r="U104" s="53"/>
      <c r="V104" s="53"/>
      <c r="W104" s="53"/>
      <c r="X104" s="53"/>
      <c r="Y104" s="53"/>
      <c r="Z104" s="2"/>
      <c r="AA104" s="2"/>
      <c r="AB104" s="2"/>
      <c r="AC104" s="2"/>
      <c r="AD104" s="2"/>
      <c r="AE104" s="2"/>
    </row>
    <row r="105" spans="1:31" ht="12.75" x14ac:dyDescent="0.2">
      <c r="A105" s="53">
        <f ca="1">IFERROR(__xludf.DUMMYFUNCTION("""COMPUTED_VALUE"""),4)</f>
        <v>4</v>
      </c>
      <c r="B105" s="53" t="str">
        <f ca="1">IFERROR(__xludf.DUMMYFUNCTION("""COMPUTED_VALUE"""),"MNTT Tân Việt Mỹ")</f>
        <v>MNTT Tân Việt Mỹ</v>
      </c>
      <c r="C105" s="53" t="str">
        <f ca="1">IFERROR(__xludf.DUMMYFUNCTION("""COMPUTED_VALUE"""),"MN")</f>
        <v>MN</v>
      </c>
      <c r="D105" s="53" t="str">
        <f ca="1">IFERROR(__xludf.DUMMYFUNCTION("""COMPUTED_VALUE"""),"Bình Tân")</f>
        <v>Bình Tân</v>
      </c>
      <c r="E105" s="53"/>
      <c r="F105" s="53"/>
      <c r="G105" s="53"/>
      <c r="H105" s="53"/>
      <c r="I105" s="53"/>
      <c r="J105" s="53"/>
      <c r="K105" s="53"/>
      <c r="L105" s="53"/>
      <c r="M105" s="53"/>
      <c r="N105" s="54">
        <f ca="1">IFERROR(__xludf.DUMMYFUNCTION("""COMPUTED_VALUE"""),82)</f>
        <v>82</v>
      </c>
      <c r="O105" s="54">
        <f ca="1">IFERROR(__xludf.DUMMYFUNCTION("""COMPUTED_VALUE"""),1)</f>
        <v>1</v>
      </c>
      <c r="P105" s="54"/>
      <c r="Q105" s="54">
        <f ca="1">IFERROR(__xludf.DUMMYFUNCTION("""COMPUTED_VALUE"""),0)</f>
        <v>0</v>
      </c>
      <c r="R105" s="54"/>
      <c r="S105" s="53"/>
      <c r="T105" s="53"/>
      <c r="U105" s="53"/>
      <c r="V105" s="53"/>
      <c r="W105" s="53"/>
      <c r="X105" s="53"/>
      <c r="Y105" s="53"/>
      <c r="Z105" s="2"/>
      <c r="AA105" s="2"/>
      <c r="AB105" s="2"/>
      <c r="AC105" s="2"/>
      <c r="AD105" s="2"/>
      <c r="AE105" s="2"/>
    </row>
    <row r="106" spans="1:31" ht="12.75" x14ac:dyDescent="0.2">
      <c r="A106" s="53">
        <f ca="1">IFERROR(__xludf.DUMMYFUNCTION("""COMPUTED_VALUE"""),5)</f>
        <v>5</v>
      </c>
      <c r="B106" s="53" t="str">
        <f ca="1">IFERROR(__xludf.DUMMYFUNCTION("""COMPUTED_VALUE"""),"MNTT Hoa Nắng")</f>
        <v>MNTT Hoa Nắng</v>
      </c>
      <c r="C106" s="53" t="str">
        <f ca="1">IFERROR(__xludf.DUMMYFUNCTION("""COMPUTED_VALUE"""),"MN")</f>
        <v>MN</v>
      </c>
      <c r="D106" s="53" t="str">
        <f ca="1">IFERROR(__xludf.DUMMYFUNCTION("""COMPUTED_VALUE"""),"Bình Tân")</f>
        <v>Bình Tân</v>
      </c>
      <c r="E106" s="53"/>
      <c r="F106" s="53"/>
      <c r="G106" s="53"/>
      <c r="H106" s="53"/>
      <c r="I106" s="53"/>
      <c r="J106" s="53"/>
      <c r="K106" s="53"/>
      <c r="L106" s="53"/>
      <c r="M106" s="53"/>
      <c r="N106" s="54">
        <f ca="1">IFERROR(__xludf.DUMMYFUNCTION("""COMPUTED_VALUE"""),23)</f>
        <v>23</v>
      </c>
      <c r="O106" s="54">
        <f ca="1">IFERROR(__xludf.DUMMYFUNCTION("""COMPUTED_VALUE"""),4)</f>
        <v>4</v>
      </c>
      <c r="P106" s="54"/>
      <c r="Q106" s="54">
        <f ca="1">IFERROR(__xludf.DUMMYFUNCTION("""COMPUTED_VALUE"""),1)</f>
        <v>1</v>
      </c>
      <c r="R106" s="54"/>
      <c r="S106" s="53"/>
      <c r="T106" s="53"/>
      <c r="U106" s="53"/>
      <c r="V106" s="53"/>
      <c r="W106" s="53"/>
      <c r="X106" s="53"/>
      <c r="Y106" s="53"/>
      <c r="Z106" s="2"/>
      <c r="AA106" s="2"/>
      <c r="AB106" s="2"/>
      <c r="AC106" s="2"/>
      <c r="AD106" s="2"/>
      <c r="AE106" s="2"/>
    </row>
    <row r="107" spans="1:31" ht="12.75" x14ac:dyDescent="0.2">
      <c r="A107" s="53">
        <f ca="1">IFERROR(__xludf.DUMMYFUNCTION("""COMPUTED_VALUE"""),6)</f>
        <v>6</v>
      </c>
      <c r="B107" s="53" t="str">
        <f ca="1">IFERROR(__xludf.DUMMYFUNCTION("""COMPUTED_VALUE"""),"LMG Ái Nhi")</f>
        <v>LMG Ái Nhi</v>
      </c>
      <c r="C107" s="53" t="str">
        <f ca="1">IFERROR(__xludf.DUMMYFUNCTION("""COMPUTED_VALUE"""),"MN")</f>
        <v>MN</v>
      </c>
      <c r="D107" s="53" t="str">
        <f ca="1">IFERROR(__xludf.DUMMYFUNCTION("""COMPUTED_VALUE"""),"Bình Tân")</f>
        <v>Bình Tân</v>
      </c>
      <c r="E107" s="53"/>
      <c r="F107" s="53"/>
      <c r="G107" s="53"/>
      <c r="H107" s="53"/>
      <c r="I107" s="53"/>
      <c r="J107" s="53"/>
      <c r="K107" s="53"/>
      <c r="L107" s="53"/>
      <c r="M107" s="53"/>
      <c r="N107" s="54">
        <f ca="1">IFERROR(__xludf.DUMMYFUNCTION("""COMPUTED_VALUE"""),17)</f>
        <v>17</v>
      </c>
      <c r="O107" s="54">
        <f ca="1">IFERROR(__xludf.DUMMYFUNCTION("""COMPUTED_VALUE"""),3)</f>
        <v>3</v>
      </c>
      <c r="P107" s="54"/>
      <c r="Q107" s="54">
        <f ca="1">IFERROR(__xludf.DUMMYFUNCTION("""COMPUTED_VALUE"""),2)</f>
        <v>2</v>
      </c>
      <c r="R107" s="54"/>
      <c r="S107" s="53"/>
      <c r="T107" s="53"/>
      <c r="U107" s="53"/>
      <c r="V107" s="53"/>
      <c r="W107" s="53"/>
      <c r="X107" s="53"/>
      <c r="Y107" s="53"/>
      <c r="Z107" s="2"/>
      <c r="AA107" s="2"/>
      <c r="AB107" s="2"/>
      <c r="AC107" s="2"/>
      <c r="AD107" s="2"/>
      <c r="AE107" s="2"/>
    </row>
    <row r="108" spans="1:31" ht="12.75" x14ac:dyDescent="0.2">
      <c r="A108" s="53">
        <f ca="1">IFERROR(__xludf.DUMMYFUNCTION("""COMPUTED_VALUE"""),7)</f>
        <v>7</v>
      </c>
      <c r="B108" s="53" t="str">
        <f ca="1">IFERROR(__xludf.DUMMYFUNCTION("""COMPUTED_VALUE"""),"LMG Du Dương")</f>
        <v>LMG Du Dương</v>
      </c>
      <c r="C108" s="53" t="str">
        <f ca="1">IFERROR(__xludf.DUMMYFUNCTION("""COMPUTED_VALUE"""),"MN")</f>
        <v>MN</v>
      </c>
      <c r="D108" s="53" t="str">
        <f ca="1">IFERROR(__xludf.DUMMYFUNCTION("""COMPUTED_VALUE"""),"Bình Tân")</f>
        <v>Bình Tân</v>
      </c>
      <c r="E108" s="53"/>
      <c r="F108" s="53"/>
      <c r="G108" s="53"/>
      <c r="H108" s="53"/>
      <c r="I108" s="53"/>
      <c r="J108" s="53"/>
      <c r="K108" s="53"/>
      <c r="L108" s="53"/>
      <c r="M108" s="53"/>
      <c r="N108" s="54">
        <f ca="1">IFERROR(__xludf.DUMMYFUNCTION("""COMPUTED_VALUE"""),27)</f>
        <v>27</v>
      </c>
      <c r="O108" s="54">
        <f ca="1">IFERROR(__xludf.DUMMYFUNCTION("""COMPUTED_VALUE"""),8)</f>
        <v>8</v>
      </c>
      <c r="P108" s="54"/>
      <c r="Q108" s="54">
        <f ca="1">IFERROR(__xludf.DUMMYFUNCTION("""COMPUTED_VALUE"""),5)</f>
        <v>5</v>
      </c>
      <c r="R108" s="54"/>
      <c r="S108" s="53"/>
      <c r="T108" s="53"/>
      <c r="U108" s="53"/>
      <c r="V108" s="53"/>
      <c r="W108" s="53"/>
      <c r="X108" s="53"/>
      <c r="Y108" s="53"/>
      <c r="Z108" s="2"/>
      <c r="AA108" s="2"/>
      <c r="AB108" s="2"/>
      <c r="AC108" s="2"/>
      <c r="AD108" s="2"/>
      <c r="AE108" s="2"/>
    </row>
    <row r="109" spans="1:31" ht="12.75" x14ac:dyDescent="0.2">
      <c r="A109" s="53">
        <f ca="1">IFERROR(__xludf.DUMMYFUNCTION("""COMPUTED_VALUE"""),8)</f>
        <v>8</v>
      </c>
      <c r="B109" s="53" t="str">
        <f ca="1">IFERROR(__xludf.DUMMYFUNCTION("""COMPUTED_VALUE"""),"LMG Hai Ngôi Sao Nhỏ")</f>
        <v>LMG Hai Ngôi Sao Nhỏ</v>
      </c>
      <c r="C109" s="53" t="str">
        <f ca="1">IFERROR(__xludf.DUMMYFUNCTION("""COMPUTED_VALUE"""),"MN")</f>
        <v>MN</v>
      </c>
      <c r="D109" s="53" t="str">
        <f ca="1">IFERROR(__xludf.DUMMYFUNCTION("""COMPUTED_VALUE"""),"Bình Tân")</f>
        <v>Bình Tân</v>
      </c>
      <c r="E109" s="53"/>
      <c r="F109" s="53"/>
      <c r="G109" s="53"/>
      <c r="H109" s="53"/>
      <c r="I109" s="53"/>
      <c r="J109" s="53"/>
      <c r="K109" s="53"/>
      <c r="L109" s="53"/>
      <c r="M109" s="53"/>
      <c r="N109" s="54">
        <f ca="1">IFERROR(__xludf.DUMMYFUNCTION("""COMPUTED_VALUE"""),28)</f>
        <v>28</v>
      </c>
      <c r="O109" s="54">
        <f ca="1">IFERROR(__xludf.DUMMYFUNCTION("""COMPUTED_VALUE"""),10)</f>
        <v>10</v>
      </c>
      <c r="P109" s="54"/>
      <c r="Q109" s="54">
        <f ca="1">IFERROR(__xludf.DUMMYFUNCTION("""COMPUTED_VALUE"""),8)</f>
        <v>8</v>
      </c>
      <c r="R109" s="54"/>
      <c r="S109" s="53"/>
      <c r="T109" s="53"/>
      <c r="U109" s="53"/>
      <c r="V109" s="53"/>
      <c r="W109" s="53"/>
      <c r="X109" s="53"/>
      <c r="Y109" s="53"/>
      <c r="Z109" s="2"/>
      <c r="AA109" s="2"/>
      <c r="AB109" s="2"/>
      <c r="AC109" s="2"/>
      <c r="AD109" s="2"/>
      <c r="AE109" s="2"/>
    </row>
    <row r="110" spans="1:31" ht="12.75" x14ac:dyDescent="0.2">
      <c r="A110" s="53">
        <f ca="1">IFERROR(__xludf.DUMMYFUNCTION("""COMPUTED_VALUE"""),9)</f>
        <v>9</v>
      </c>
      <c r="B110" s="53" t="str">
        <f ca="1">IFERROR(__xludf.DUMMYFUNCTION("""COMPUTED_VALUE"""),"LMN Hoa Thủy")</f>
        <v>LMN Hoa Thủy</v>
      </c>
      <c r="C110" s="53" t="str">
        <f ca="1">IFERROR(__xludf.DUMMYFUNCTION("""COMPUTED_VALUE"""),"MN")</f>
        <v>MN</v>
      </c>
      <c r="D110" s="53" t="str">
        <f ca="1">IFERROR(__xludf.DUMMYFUNCTION("""COMPUTED_VALUE"""),"Bình Tân")</f>
        <v>Bình Tân</v>
      </c>
      <c r="E110" s="53"/>
      <c r="F110" s="53"/>
      <c r="G110" s="53"/>
      <c r="H110" s="53"/>
      <c r="I110" s="53"/>
      <c r="J110" s="53"/>
      <c r="K110" s="53"/>
      <c r="L110" s="53"/>
      <c r="M110" s="53"/>
      <c r="N110" s="54">
        <f ca="1">IFERROR(__xludf.DUMMYFUNCTION("""COMPUTED_VALUE"""),44)</f>
        <v>44</v>
      </c>
      <c r="O110" s="54">
        <f ca="1">IFERROR(__xludf.DUMMYFUNCTION("""COMPUTED_VALUE"""),3)</f>
        <v>3</v>
      </c>
      <c r="P110" s="54"/>
      <c r="Q110" s="54">
        <f ca="1">IFERROR(__xludf.DUMMYFUNCTION("""COMPUTED_VALUE"""),0)</f>
        <v>0</v>
      </c>
      <c r="R110" s="54"/>
      <c r="S110" s="53"/>
      <c r="T110" s="53"/>
      <c r="U110" s="53"/>
      <c r="V110" s="53"/>
      <c r="W110" s="53"/>
      <c r="X110" s="53"/>
      <c r="Y110" s="53"/>
      <c r="Z110" s="2"/>
      <c r="AA110" s="2"/>
      <c r="AB110" s="2"/>
      <c r="AC110" s="2"/>
      <c r="AD110" s="2"/>
      <c r="AE110" s="2"/>
    </row>
    <row r="111" spans="1:31" ht="12.75" x14ac:dyDescent="0.2">
      <c r="A111" s="53">
        <f ca="1">IFERROR(__xludf.DUMMYFUNCTION("""COMPUTED_VALUE"""),10)</f>
        <v>10</v>
      </c>
      <c r="B111" s="53" t="str">
        <f ca="1">IFERROR(__xludf.DUMMYFUNCTION("""COMPUTED_VALUE"""),"LMN Hoàng Hạc")</f>
        <v>LMN Hoàng Hạc</v>
      </c>
      <c r="C111" s="53" t="str">
        <f ca="1">IFERROR(__xludf.DUMMYFUNCTION("""COMPUTED_VALUE"""),"MN")</f>
        <v>MN</v>
      </c>
      <c r="D111" s="53" t="str">
        <f ca="1">IFERROR(__xludf.DUMMYFUNCTION("""COMPUTED_VALUE"""),"Bình Tân")</f>
        <v>Bình Tân</v>
      </c>
      <c r="E111" s="53"/>
      <c r="F111" s="53"/>
      <c r="G111" s="53"/>
      <c r="H111" s="53"/>
      <c r="I111" s="53"/>
      <c r="J111" s="53"/>
      <c r="K111" s="53"/>
      <c r="L111" s="53"/>
      <c r="M111" s="53"/>
      <c r="N111" s="54">
        <f ca="1">IFERROR(__xludf.DUMMYFUNCTION("""COMPUTED_VALUE"""),7)</f>
        <v>7</v>
      </c>
      <c r="O111" s="54">
        <f ca="1">IFERROR(__xludf.DUMMYFUNCTION("""COMPUTED_VALUE"""),2)</f>
        <v>2</v>
      </c>
      <c r="P111" s="54"/>
      <c r="Q111" s="54">
        <f ca="1">IFERROR(__xludf.DUMMYFUNCTION("""COMPUTED_VALUE"""),2)</f>
        <v>2</v>
      </c>
      <c r="R111" s="54"/>
      <c r="S111" s="53"/>
      <c r="T111" s="53"/>
      <c r="U111" s="53"/>
      <c r="V111" s="53"/>
      <c r="W111" s="53"/>
      <c r="X111" s="53"/>
      <c r="Y111" s="53"/>
      <c r="Z111" s="2"/>
      <c r="AA111" s="2"/>
      <c r="AB111" s="2"/>
      <c r="AC111" s="2"/>
      <c r="AD111" s="2"/>
      <c r="AE111" s="2"/>
    </row>
    <row r="112" spans="1:31" ht="12.75" x14ac:dyDescent="0.2">
      <c r="A112" s="53">
        <f ca="1">IFERROR(__xludf.DUMMYFUNCTION("""COMPUTED_VALUE"""),11)</f>
        <v>11</v>
      </c>
      <c r="B112" s="53" t="str">
        <f ca="1">IFERROR(__xludf.DUMMYFUNCTION("""COMPUTED_VALUE"""),"LMG Khai Trí")</f>
        <v>LMG Khai Trí</v>
      </c>
      <c r="C112" s="53" t="str">
        <f ca="1">IFERROR(__xludf.DUMMYFUNCTION("""COMPUTED_VALUE"""),"MN")</f>
        <v>MN</v>
      </c>
      <c r="D112" s="53" t="str">
        <f ca="1">IFERROR(__xludf.DUMMYFUNCTION("""COMPUTED_VALUE"""),"Bình Tân")</f>
        <v>Bình Tân</v>
      </c>
      <c r="E112" s="53"/>
      <c r="F112" s="53"/>
      <c r="G112" s="53"/>
      <c r="H112" s="53"/>
      <c r="I112" s="53"/>
      <c r="J112" s="53"/>
      <c r="K112" s="53"/>
      <c r="L112" s="53"/>
      <c r="M112" s="53"/>
      <c r="N112" s="54">
        <f ca="1">IFERROR(__xludf.DUMMYFUNCTION("""COMPUTED_VALUE"""),10)</f>
        <v>10</v>
      </c>
      <c r="O112" s="54">
        <f ca="1">IFERROR(__xludf.DUMMYFUNCTION("""COMPUTED_VALUE"""),1)</f>
        <v>1</v>
      </c>
      <c r="P112" s="54"/>
      <c r="Q112" s="54">
        <f ca="1">IFERROR(__xludf.DUMMYFUNCTION("""COMPUTED_VALUE"""),1)</f>
        <v>1</v>
      </c>
      <c r="R112" s="54"/>
      <c r="S112" s="53"/>
      <c r="T112" s="53"/>
      <c r="U112" s="53"/>
      <c r="V112" s="53"/>
      <c r="W112" s="53"/>
      <c r="X112" s="53"/>
      <c r="Y112" s="53"/>
      <c r="Z112" s="2"/>
      <c r="AA112" s="2"/>
      <c r="AB112" s="2"/>
      <c r="AC112" s="2"/>
      <c r="AD112" s="2"/>
      <c r="AE112" s="2"/>
    </row>
    <row r="113" spans="1:31" ht="12.75" x14ac:dyDescent="0.2">
      <c r="A113" s="53">
        <f ca="1">IFERROR(__xludf.DUMMYFUNCTION("""COMPUTED_VALUE"""),12)</f>
        <v>12</v>
      </c>
      <c r="B113" s="53" t="str">
        <f ca="1">IFERROR(__xludf.DUMMYFUNCTION("""COMPUTED_VALUE"""),"LMN Mimi")</f>
        <v>LMN Mimi</v>
      </c>
      <c r="C113" s="53" t="str">
        <f ca="1">IFERROR(__xludf.DUMMYFUNCTION("""COMPUTED_VALUE"""),"MN")</f>
        <v>MN</v>
      </c>
      <c r="D113" s="53" t="str">
        <f ca="1">IFERROR(__xludf.DUMMYFUNCTION("""COMPUTED_VALUE"""),"Bình Tân")</f>
        <v>Bình Tân</v>
      </c>
      <c r="E113" s="53"/>
      <c r="F113" s="53"/>
      <c r="G113" s="53"/>
      <c r="H113" s="53"/>
      <c r="I113" s="53"/>
      <c r="J113" s="53"/>
      <c r="K113" s="53"/>
      <c r="L113" s="53"/>
      <c r="M113" s="53"/>
      <c r="N113" s="54">
        <f ca="1">IFERROR(__xludf.DUMMYFUNCTION("""COMPUTED_VALUE"""),7)</f>
        <v>7</v>
      </c>
      <c r="O113" s="54">
        <f ca="1">IFERROR(__xludf.DUMMYFUNCTION("""COMPUTED_VALUE"""),0)</f>
        <v>0</v>
      </c>
      <c r="P113" s="54"/>
      <c r="Q113" s="54">
        <f ca="1">IFERROR(__xludf.DUMMYFUNCTION("""COMPUTED_VALUE"""),0)</f>
        <v>0</v>
      </c>
      <c r="R113" s="54"/>
      <c r="S113" s="53"/>
      <c r="T113" s="53"/>
      <c r="U113" s="53"/>
      <c r="V113" s="53"/>
      <c r="W113" s="53"/>
      <c r="X113" s="53"/>
      <c r="Y113" s="53"/>
      <c r="Z113" s="2"/>
      <c r="AA113" s="2"/>
      <c r="AB113" s="2"/>
      <c r="AC113" s="2"/>
      <c r="AD113" s="2"/>
      <c r="AE113" s="2"/>
    </row>
    <row r="114" spans="1:31" ht="12.75" x14ac:dyDescent="0.2">
      <c r="A114" s="53">
        <f ca="1">IFERROR(__xludf.DUMMYFUNCTION("""COMPUTED_VALUE"""),13)</f>
        <v>13</v>
      </c>
      <c r="B114" s="53" t="str">
        <f ca="1">IFERROR(__xludf.DUMMYFUNCTION("""COMPUTED_VALUE"""),"LMG MISA")</f>
        <v>LMG MISA</v>
      </c>
      <c r="C114" s="53" t="str">
        <f ca="1">IFERROR(__xludf.DUMMYFUNCTION("""COMPUTED_VALUE"""),"MN")</f>
        <v>MN</v>
      </c>
      <c r="D114" s="53" t="str">
        <f ca="1">IFERROR(__xludf.DUMMYFUNCTION("""COMPUTED_VALUE"""),"Bình Tân")</f>
        <v>Bình Tân</v>
      </c>
      <c r="E114" s="53"/>
      <c r="F114" s="53"/>
      <c r="G114" s="53"/>
      <c r="H114" s="53"/>
      <c r="I114" s="53"/>
      <c r="J114" s="53"/>
      <c r="K114" s="53"/>
      <c r="L114" s="53"/>
      <c r="M114" s="53"/>
      <c r="N114" s="54">
        <f ca="1">IFERROR(__xludf.DUMMYFUNCTION("""COMPUTED_VALUE"""),8)</f>
        <v>8</v>
      </c>
      <c r="O114" s="54">
        <f ca="1">IFERROR(__xludf.DUMMYFUNCTION("""COMPUTED_VALUE"""),0)</f>
        <v>0</v>
      </c>
      <c r="P114" s="54"/>
      <c r="Q114" s="54">
        <f ca="1">IFERROR(__xludf.DUMMYFUNCTION("""COMPUTED_VALUE"""),0)</f>
        <v>0</v>
      </c>
      <c r="R114" s="54"/>
      <c r="S114" s="53"/>
      <c r="T114" s="53"/>
      <c r="U114" s="53"/>
      <c r="V114" s="53"/>
      <c r="W114" s="53"/>
      <c r="X114" s="53"/>
      <c r="Y114" s="53"/>
      <c r="Z114" s="2"/>
      <c r="AA114" s="2"/>
      <c r="AB114" s="2"/>
      <c r="AC114" s="2"/>
      <c r="AD114" s="2"/>
      <c r="AE114" s="2"/>
    </row>
    <row r="115" spans="1:31" ht="12.75" x14ac:dyDescent="0.2">
      <c r="A115" s="53">
        <f ca="1">IFERROR(__xludf.DUMMYFUNCTION("""COMPUTED_VALUE"""),14)</f>
        <v>14</v>
      </c>
      <c r="B115" s="53" t="str">
        <f ca="1">IFERROR(__xludf.DUMMYFUNCTION("""COMPUTED_VALUE"""),"LMG Mỹ Tiên")</f>
        <v>LMG Mỹ Tiên</v>
      </c>
      <c r="C115" s="53" t="str">
        <f ca="1">IFERROR(__xludf.DUMMYFUNCTION("""COMPUTED_VALUE"""),"MN")</f>
        <v>MN</v>
      </c>
      <c r="D115" s="53" t="str">
        <f ca="1">IFERROR(__xludf.DUMMYFUNCTION("""COMPUTED_VALUE"""),"Bình Tân")</f>
        <v>Bình Tân</v>
      </c>
      <c r="E115" s="53"/>
      <c r="F115" s="53"/>
      <c r="G115" s="53"/>
      <c r="H115" s="53"/>
      <c r="I115" s="53"/>
      <c r="J115" s="53"/>
      <c r="K115" s="53"/>
      <c r="L115" s="53"/>
      <c r="M115" s="53"/>
      <c r="N115" s="54">
        <f ca="1">IFERROR(__xludf.DUMMYFUNCTION("""COMPUTED_VALUE"""),12)</f>
        <v>12</v>
      </c>
      <c r="O115" s="54">
        <f ca="1">IFERROR(__xludf.DUMMYFUNCTION("""COMPUTED_VALUE"""),0)</f>
        <v>0</v>
      </c>
      <c r="P115" s="54"/>
      <c r="Q115" s="54">
        <f ca="1">IFERROR(__xludf.DUMMYFUNCTION("""COMPUTED_VALUE"""),0)</f>
        <v>0</v>
      </c>
      <c r="R115" s="54"/>
      <c r="S115" s="53"/>
      <c r="T115" s="53"/>
      <c r="U115" s="53"/>
      <c r="V115" s="53"/>
      <c r="W115" s="53"/>
      <c r="X115" s="53"/>
      <c r="Y115" s="53"/>
      <c r="Z115" s="2"/>
      <c r="AA115" s="2"/>
      <c r="AB115" s="2"/>
      <c r="AC115" s="2"/>
      <c r="AD115" s="2"/>
      <c r="AE115" s="2"/>
    </row>
    <row r="116" spans="1:31" ht="12.75" x14ac:dyDescent="0.2">
      <c r="A116" s="53">
        <f ca="1">IFERROR(__xludf.DUMMYFUNCTION("""COMPUTED_VALUE"""),15)</f>
        <v>15</v>
      </c>
      <c r="B116" s="53" t="str">
        <f ca="1">IFERROR(__xludf.DUMMYFUNCTION("""COMPUTED_VALUE"""),"LMN Nắng Mai")</f>
        <v>LMN Nắng Mai</v>
      </c>
      <c r="C116" s="53" t="str">
        <f ca="1">IFERROR(__xludf.DUMMYFUNCTION("""COMPUTED_VALUE"""),"MN")</f>
        <v>MN</v>
      </c>
      <c r="D116" s="53" t="str">
        <f ca="1">IFERROR(__xludf.DUMMYFUNCTION("""COMPUTED_VALUE"""),"Bình Tân")</f>
        <v>Bình Tân</v>
      </c>
      <c r="E116" s="53"/>
      <c r="F116" s="53"/>
      <c r="G116" s="53"/>
      <c r="H116" s="53"/>
      <c r="I116" s="53"/>
      <c r="J116" s="53"/>
      <c r="K116" s="53"/>
      <c r="L116" s="53"/>
      <c r="M116" s="53"/>
      <c r="N116" s="54">
        <f ca="1">IFERROR(__xludf.DUMMYFUNCTION("""COMPUTED_VALUE"""),24)</f>
        <v>24</v>
      </c>
      <c r="O116" s="54">
        <f ca="1">IFERROR(__xludf.DUMMYFUNCTION("""COMPUTED_VALUE"""),0)</f>
        <v>0</v>
      </c>
      <c r="P116" s="54"/>
      <c r="Q116" s="54">
        <f ca="1">IFERROR(__xludf.DUMMYFUNCTION("""COMPUTED_VALUE"""),0)</f>
        <v>0</v>
      </c>
      <c r="R116" s="54"/>
      <c r="S116" s="53"/>
      <c r="T116" s="53"/>
      <c r="U116" s="53"/>
      <c r="V116" s="53"/>
      <c r="W116" s="53"/>
      <c r="X116" s="53"/>
      <c r="Y116" s="53"/>
      <c r="Z116" s="2"/>
      <c r="AA116" s="2"/>
      <c r="AB116" s="2"/>
      <c r="AC116" s="2"/>
      <c r="AD116" s="2"/>
      <c r="AE116" s="2"/>
    </row>
    <row r="117" spans="1:31" ht="12.75" x14ac:dyDescent="0.2">
      <c r="A117" s="53">
        <f ca="1">IFERROR(__xludf.DUMMYFUNCTION("""COMPUTED_VALUE"""),16)</f>
        <v>16</v>
      </c>
      <c r="B117" s="53" t="str">
        <f ca="1">IFERROR(__xludf.DUMMYFUNCTION("""COMPUTED_VALUE"""),"LMG Sao Sáng")</f>
        <v>LMG Sao Sáng</v>
      </c>
      <c r="C117" s="53" t="str">
        <f ca="1">IFERROR(__xludf.DUMMYFUNCTION("""COMPUTED_VALUE"""),"MN")</f>
        <v>MN</v>
      </c>
      <c r="D117" s="53" t="str">
        <f ca="1">IFERROR(__xludf.DUMMYFUNCTION("""COMPUTED_VALUE"""),"Bình Tân")</f>
        <v>Bình Tân</v>
      </c>
      <c r="E117" s="53"/>
      <c r="F117" s="53"/>
      <c r="G117" s="53"/>
      <c r="H117" s="53"/>
      <c r="I117" s="53"/>
      <c r="J117" s="53"/>
      <c r="K117" s="53"/>
      <c r="L117" s="53"/>
      <c r="M117" s="53"/>
      <c r="N117" s="54">
        <f ca="1">IFERROR(__xludf.DUMMYFUNCTION("""COMPUTED_VALUE"""),15)</f>
        <v>15</v>
      </c>
      <c r="O117" s="54">
        <f ca="1">IFERROR(__xludf.DUMMYFUNCTION("""COMPUTED_VALUE"""),4)</f>
        <v>4</v>
      </c>
      <c r="P117" s="54"/>
      <c r="Q117" s="54">
        <f ca="1">IFERROR(__xludf.DUMMYFUNCTION("""COMPUTED_VALUE"""),0)</f>
        <v>0</v>
      </c>
      <c r="R117" s="54"/>
      <c r="S117" s="53"/>
      <c r="T117" s="53"/>
      <c r="U117" s="53"/>
      <c r="V117" s="53"/>
      <c r="W117" s="53"/>
      <c r="X117" s="53"/>
      <c r="Y117" s="53"/>
      <c r="Z117" s="2"/>
      <c r="AA117" s="2"/>
      <c r="AB117" s="2"/>
      <c r="AC117" s="2"/>
      <c r="AD117" s="2"/>
      <c r="AE117" s="2"/>
    </row>
    <row r="118" spans="1:31" ht="12.75" x14ac:dyDescent="0.2">
      <c r="A118" s="53">
        <f ca="1">IFERROR(__xludf.DUMMYFUNCTION("""COMPUTED_VALUE"""),17)</f>
        <v>17</v>
      </c>
      <c r="B118" s="53" t="str">
        <f ca="1">IFERROR(__xludf.DUMMYFUNCTION("""COMPUTED_VALUE"""),"LMN Su Su")</f>
        <v>LMN Su Su</v>
      </c>
      <c r="C118" s="53" t="str">
        <f ca="1">IFERROR(__xludf.DUMMYFUNCTION("""COMPUTED_VALUE"""),"MN")</f>
        <v>MN</v>
      </c>
      <c r="D118" s="53" t="str">
        <f ca="1">IFERROR(__xludf.DUMMYFUNCTION("""COMPUTED_VALUE"""),"Bình Tân")</f>
        <v>Bình Tân</v>
      </c>
      <c r="E118" s="53"/>
      <c r="F118" s="53"/>
      <c r="G118" s="53"/>
      <c r="H118" s="53"/>
      <c r="I118" s="53"/>
      <c r="J118" s="53"/>
      <c r="K118" s="53"/>
      <c r="L118" s="53"/>
      <c r="M118" s="53"/>
      <c r="N118" s="54">
        <f ca="1">IFERROR(__xludf.DUMMYFUNCTION("""COMPUTED_VALUE"""),22)</f>
        <v>22</v>
      </c>
      <c r="O118" s="54">
        <f ca="1">IFERROR(__xludf.DUMMYFUNCTION("""COMPUTED_VALUE"""),1)</f>
        <v>1</v>
      </c>
      <c r="P118" s="54"/>
      <c r="Q118" s="54">
        <f ca="1">IFERROR(__xludf.DUMMYFUNCTION("""COMPUTED_VALUE"""),0)</f>
        <v>0</v>
      </c>
      <c r="R118" s="54"/>
      <c r="S118" s="53"/>
      <c r="T118" s="53"/>
      <c r="U118" s="53"/>
      <c r="V118" s="53"/>
      <c r="W118" s="53"/>
      <c r="X118" s="53"/>
      <c r="Y118" s="53"/>
      <c r="Z118" s="2"/>
      <c r="AA118" s="2"/>
      <c r="AB118" s="2"/>
      <c r="AC118" s="2"/>
      <c r="AD118" s="2"/>
      <c r="AE118" s="2"/>
    </row>
    <row r="119" spans="1:31" ht="12.75" x14ac:dyDescent="0.2">
      <c r="A119" s="53">
        <f ca="1">IFERROR(__xludf.DUMMYFUNCTION("""COMPUTED_VALUE"""),18)</f>
        <v>18</v>
      </c>
      <c r="B119" s="53" t="str">
        <f ca="1">IFERROR(__xludf.DUMMYFUNCTION("""COMPUTED_VALUE"""),"LMG Tâm Tâm Đức")</f>
        <v>LMG Tâm Tâm Đức</v>
      </c>
      <c r="C119" s="53" t="str">
        <f ca="1">IFERROR(__xludf.DUMMYFUNCTION("""COMPUTED_VALUE"""),"MN")</f>
        <v>MN</v>
      </c>
      <c r="D119" s="53" t="str">
        <f ca="1">IFERROR(__xludf.DUMMYFUNCTION("""COMPUTED_VALUE"""),"Bình Tân")</f>
        <v>Bình Tân</v>
      </c>
      <c r="E119" s="53"/>
      <c r="F119" s="53"/>
      <c r="G119" s="53"/>
      <c r="H119" s="53"/>
      <c r="I119" s="53"/>
      <c r="J119" s="53"/>
      <c r="K119" s="53"/>
      <c r="L119" s="53"/>
      <c r="M119" s="53"/>
      <c r="N119" s="54">
        <f ca="1">IFERROR(__xludf.DUMMYFUNCTION("""COMPUTED_VALUE"""),27)</f>
        <v>27</v>
      </c>
      <c r="O119" s="54">
        <f ca="1">IFERROR(__xludf.DUMMYFUNCTION("""COMPUTED_VALUE"""),9)</f>
        <v>9</v>
      </c>
      <c r="P119" s="54"/>
      <c r="Q119" s="54">
        <f ca="1">IFERROR(__xludf.DUMMYFUNCTION("""COMPUTED_VALUE"""),5)</f>
        <v>5</v>
      </c>
      <c r="R119" s="54"/>
      <c r="S119" s="53"/>
      <c r="T119" s="53"/>
      <c r="U119" s="53"/>
      <c r="V119" s="53"/>
      <c r="W119" s="53"/>
      <c r="X119" s="53"/>
      <c r="Y119" s="53"/>
      <c r="Z119" s="2"/>
      <c r="AA119" s="2"/>
      <c r="AB119" s="2"/>
      <c r="AC119" s="2"/>
      <c r="AD119" s="2"/>
      <c r="AE119" s="2"/>
    </row>
    <row r="120" spans="1:31" ht="12.75" x14ac:dyDescent="0.2">
      <c r="A120" s="53">
        <f ca="1">IFERROR(__xludf.DUMMYFUNCTION("""COMPUTED_VALUE"""),19)</f>
        <v>19</v>
      </c>
      <c r="B120" s="53" t="str">
        <f ca="1">IFERROR(__xludf.DUMMYFUNCTION("""COMPUTED_VALUE"""),"LMN Tuổi Xanh")</f>
        <v>LMN Tuổi Xanh</v>
      </c>
      <c r="C120" s="53" t="str">
        <f ca="1">IFERROR(__xludf.DUMMYFUNCTION("""COMPUTED_VALUE"""),"MN")</f>
        <v>MN</v>
      </c>
      <c r="D120" s="53" t="str">
        <f ca="1">IFERROR(__xludf.DUMMYFUNCTION("""COMPUTED_VALUE"""),"Bình Tân")</f>
        <v>Bình Tân</v>
      </c>
      <c r="E120" s="53"/>
      <c r="F120" s="53"/>
      <c r="G120" s="53"/>
      <c r="H120" s="53"/>
      <c r="I120" s="53"/>
      <c r="J120" s="53"/>
      <c r="K120" s="53"/>
      <c r="L120" s="53"/>
      <c r="M120" s="53"/>
      <c r="N120" s="54">
        <f ca="1">IFERROR(__xludf.DUMMYFUNCTION("""COMPUTED_VALUE"""),14)</f>
        <v>14</v>
      </c>
      <c r="O120" s="54">
        <f ca="1">IFERROR(__xludf.DUMMYFUNCTION("""COMPUTED_VALUE"""),2)</f>
        <v>2</v>
      </c>
      <c r="P120" s="54"/>
      <c r="Q120" s="54">
        <f ca="1">IFERROR(__xludf.DUMMYFUNCTION("""COMPUTED_VALUE"""),2)</f>
        <v>2</v>
      </c>
      <c r="R120" s="54"/>
      <c r="S120" s="53"/>
      <c r="T120" s="53"/>
      <c r="U120" s="53"/>
      <c r="V120" s="53"/>
      <c r="W120" s="53"/>
      <c r="X120" s="53"/>
      <c r="Y120" s="53"/>
      <c r="Z120" s="2"/>
      <c r="AA120" s="2"/>
      <c r="AB120" s="2"/>
      <c r="AC120" s="2"/>
      <c r="AD120" s="2"/>
      <c r="AE120" s="2"/>
    </row>
    <row r="121" spans="1:31" ht="12.75" x14ac:dyDescent="0.2">
      <c r="A121" s="53">
        <f ca="1">IFERROR(__xludf.DUMMYFUNCTION("""COMPUTED_VALUE"""),20)</f>
        <v>20</v>
      </c>
      <c r="B121" s="53" t="str">
        <f ca="1">IFERROR(__xludf.DUMMYFUNCTION("""COMPUTED_VALUE"""),"LMN Thiên Thiên Phúc")</f>
        <v>LMN Thiên Thiên Phúc</v>
      </c>
      <c r="C121" s="53" t="str">
        <f ca="1">IFERROR(__xludf.DUMMYFUNCTION("""COMPUTED_VALUE"""),"MN")</f>
        <v>MN</v>
      </c>
      <c r="D121" s="53" t="str">
        <f ca="1">IFERROR(__xludf.DUMMYFUNCTION("""COMPUTED_VALUE"""),"Bình Tân")</f>
        <v>Bình Tân</v>
      </c>
      <c r="E121" s="53"/>
      <c r="F121" s="53"/>
      <c r="G121" s="53"/>
      <c r="H121" s="53"/>
      <c r="I121" s="53"/>
      <c r="J121" s="53"/>
      <c r="K121" s="53"/>
      <c r="L121" s="53"/>
      <c r="M121" s="53"/>
      <c r="N121" s="54">
        <f ca="1">IFERROR(__xludf.DUMMYFUNCTION("""COMPUTED_VALUE"""),3)</f>
        <v>3</v>
      </c>
      <c r="O121" s="54">
        <f ca="1">IFERROR(__xludf.DUMMYFUNCTION("""COMPUTED_VALUE"""),3)</f>
        <v>3</v>
      </c>
      <c r="P121" s="54"/>
      <c r="Q121" s="54">
        <f ca="1">IFERROR(__xludf.DUMMYFUNCTION("""COMPUTED_VALUE"""),2)</f>
        <v>2</v>
      </c>
      <c r="R121" s="54"/>
      <c r="S121" s="53"/>
      <c r="T121" s="53"/>
      <c r="U121" s="53"/>
      <c r="V121" s="53"/>
      <c r="W121" s="53"/>
      <c r="X121" s="53"/>
      <c r="Y121" s="53"/>
      <c r="Z121" s="2"/>
      <c r="AA121" s="2"/>
      <c r="AB121" s="2"/>
      <c r="AC121" s="2"/>
      <c r="AD121" s="2"/>
      <c r="AE121" s="2"/>
    </row>
    <row r="122" spans="1:31" ht="12.75" x14ac:dyDescent="0.2">
      <c r="A122" s="53">
        <f ca="1">IFERROR(__xludf.DUMMYFUNCTION("""COMPUTED_VALUE"""),21)</f>
        <v>21</v>
      </c>
      <c r="B122" s="53" t="str">
        <f ca="1">IFERROR(__xludf.DUMMYFUNCTION("""COMPUTED_VALUE"""),"LMG Thiện Nhân")</f>
        <v>LMG Thiện Nhân</v>
      </c>
      <c r="C122" s="53" t="str">
        <f ca="1">IFERROR(__xludf.DUMMYFUNCTION("""COMPUTED_VALUE"""),"MN")</f>
        <v>MN</v>
      </c>
      <c r="D122" s="53" t="str">
        <f ca="1">IFERROR(__xludf.DUMMYFUNCTION("""COMPUTED_VALUE"""),"Bình Tân")</f>
        <v>Bình Tân</v>
      </c>
      <c r="E122" s="53"/>
      <c r="F122" s="53"/>
      <c r="G122" s="53"/>
      <c r="H122" s="53"/>
      <c r="I122" s="53"/>
      <c r="J122" s="53"/>
      <c r="K122" s="53"/>
      <c r="L122" s="53"/>
      <c r="M122" s="53"/>
      <c r="N122" s="54">
        <f ca="1">IFERROR(__xludf.DUMMYFUNCTION("""COMPUTED_VALUE"""),4)</f>
        <v>4</v>
      </c>
      <c r="O122" s="54">
        <f ca="1">IFERROR(__xludf.DUMMYFUNCTION("""COMPUTED_VALUE"""),0)</f>
        <v>0</v>
      </c>
      <c r="P122" s="54"/>
      <c r="Q122" s="54">
        <f ca="1">IFERROR(__xludf.DUMMYFUNCTION("""COMPUTED_VALUE"""),0)</f>
        <v>0</v>
      </c>
      <c r="R122" s="54"/>
      <c r="S122" s="53"/>
      <c r="T122" s="53"/>
      <c r="U122" s="53"/>
      <c r="V122" s="53"/>
      <c r="W122" s="53"/>
      <c r="X122" s="53"/>
      <c r="Y122" s="53"/>
      <c r="Z122" s="2"/>
      <c r="AA122" s="2"/>
      <c r="AB122" s="2"/>
      <c r="AC122" s="2"/>
      <c r="AD122" s="2"/>
      <c r="AE122" s="2"/>
    </row>
    <row r="123" spans="1:31" ht="12.75" x14ac:dyDescent="0.2">
      <c r="A123" s="53">
        <f ca="1">IFERROR(__xludf.DUMMYFUNCTION("""COMPUTED_VALUE"""),22)</f>
        <v>22</v>
      </c>
      <c r="B123" s="53" t="str">
        <f ca="1">IFERROR(__xludf.DUMMYFUNCTION("""COMPUTED_VALUE"""),"LMG Nhân Hà")</f>
        <v>LMG Nhân Hà</v>
      </c>
      <c r="C123" s="53" t="str">
        <f ca="1">IFERROR(__xludf.DUMMYFUNCTION("""COMPUTED_VALUE"""),"MN")</f>
        <v>MN</v>
      </c>
      <c r="D123" s="53" t="str">
        <f ca="1">IFERROR(__xludf.DUMMYFUNCTION("""COMPUTED_VALUE"""),"Bình Tân")</f>
        <v>Bình Tân</v>
      </c>
      <c r="E123" s="53"/>
      <c r="F123" s="53"/>
      <c r="G123" s="53"/>
      <c r="H123" s="53"/>
      <c r="I123" s="53"/>
      <c r="J123" s="53"/>
      <c r="K123" s="53"/>
      <c r="L123" s="53"/>
      <c r="M123" s="53"/>
      <c r="N123" s="54">
        <f ca="1">IFERROR(__xludf.DUMMYFUNCTION("""COMPUTED_VALUE"""),5)</f>
        <v>5</v>
      </c>
      <c r="O123" s="54">
        <f ca="1">IFERROR(__xludf.DUMMYFUNCTION("""COMPUTED_VALUE"""),4)</f>
        <v>4</v>
      </c>
      <c r="P123" s="54"/>
      <c r="Q123" s="54">
        <f ca="1">IFERROR(__xludf.DUMMYFUNCTION("""COMPUTED_VALUE"""),4)</f>
        <v>4</v>
      </c>
      <c r="R123" s="54"/>
      <c r="S123" s="53"/>
      <c r="T123" s="53"/>
      <c r="U123" s="53"/>
      <c r="V123" s="53"/>
      <c r="W123" s="53"/>
      <c r="X123" s="53"/>
      <c r="Y123" s="53"/>
      <c r="Z123" s="2"/>
      <c r="AA123" s="2"/>
      <c r="AB123" s="2"/>
      <c r="AC123" s="2"/>
      <c r="AD123" s="2"/>
      <c r="AE123" s="2"/>
    </row>
    <row r="124" spans="1:31" ht="12.75" x14ac:dyDescent="0.2">
      <c r="A124" s="53">
        <f ca="1">IFERROR(__xludf.DUMMYFUNCTION("""COMPUTED_VALUE"""),23)</f>
        <v>23</v>
      </c>
      <c r="B124" s="53" t="str">
        <f ca="1">IFERROR(__xludf.DUMMYFUNCTION("""COMPUTED_VALUE"""),"LMG Bầu Trời Xanh")</f>
        <v>LMG Bầu Trời Xanh</v>
      </c>
      <c r="C124" s="53" t="str">
        <f ca="1">IFERROR(__xludf.DUMMYFUNCTION("""COMPUTED_VALUE"""),"MN")</f>
        <v>MN</v>
      </c>
      <c r="D124" s="53" t="str">
        <f ca="1">IFERROR(__xludf.DUMMYFUNCTION("""COMPUTED_VALUE"""),"Bình Tân")</f>
        <v>Bình Tân</v>
      </c>
      <c r="E124" s="53"/>
      <c r="F124" s="53"/>
      <c r="G124" s="53"/>
      <c r="H124" s="53"/>
      <c r="I124" s="53"/>
      <c r="J124" s="53"/>
      <c r="K124" s="53"/>
      <c r="L124" s="53"/>
      <c r="M124" s="53"/>
      <c r="N124" s="54">
        <f ca="1">IFERROR(__xludf.DUMMYFUNCTION("""COMPUTED_VALUE"""),6)</f>
        <v>6</v>
      </c>
      <c r="O124" s="54">
        <f ca="1">IFERROR(__xludf.DUMMYFUNCTION("""COMPUTED_VALUE"""),1)</f>
        <v>1</v>
      </c>
      <c r="P124" s="54"/>
      <c r="Q124" s="54">
        <f ca="1">IFERROR(__xludf.DUMMYFUNCTION("""COMPUTED_VALUE"""),1)</f>
        <v>1</v>
      </c>
      <c r="R124" s="54"/>
      <c r="S124" s="53"/>
      <c r="T124" s="53"/>
      <c r="U124" s="53"/>
      <c r="V124" s="53"/>
      <c r="W124" s="53"/>
      <c r="X124" s="53"/>
      <c r="Y124" s="53"/>
      <c r="Z124" s="2"/>
      <c r="AA124" s="2"/>
      <c r="AB124" s="2"/>
      <c r="AC124" s="2"/>
      <c r="AD124" s="2"/>
      <c r="AE124" s="2"/>
    </row>
    <row r="125" spans="1:31" ht="12.75" x14ac:dyDescent="0.2">
      <c r="A125" s="53">
        <f ca="1">IFERROR(__xludf.DUMMYFUNCTION("""COMPUTED_VALUE"""),24)</f>
        <v>24</v>
      </c>
      <c r="B125" s="53" t="str">
        <f ca="1">IFERROR(__xludf.DUMMYFUNCTION("""COMPUTED_VALUE"""),"MNTT RuBy")</f>
        <v>MNTT RuBy</v>
      </c>
      <c r="C125" s="53" t="str">
        <f ca="1">IFERROR(__xludf.DUMMYFUNCTION("""COMPUTED_VALUE"""),"MN")</f>
        <v>MN</v>
      </c>
      <c r="D125" s="53" t="str">
        <f ca="1">IFERROR(__xludf.DUMMYFUNCTION("""COMPUTED_VALUE"""),"Bình Tân")</f>
        <v>Bình Tân</v>
      </c>
      <c r="E125" s="53"/>
      <c r="F125" s="53"/>
      <c r="G125" s="53"/>
      <c r="H125" s="53"/>
      <c r="I125" s="53"/>
      <c r="J125" s="53"/>
      <c r="K125" s="53"/>
      <c r="L125" s="53"/>
      <c r="M125" s="53"/>
      <c r="N125" s="54">
        <f ca="1">IFERROR(__xludf.DUMMYFUNCTION("""COMPUTED_VALUE"""),24)</f>
        <v>24</v>
      </c>
      <c r="O125" s="54">
        <f ca="1">IFERROR(__xludf.DUMMYFUNCTION("""COMPUTED_VALUE"""),8)</f>
        <v>8</v>
      </c>
      <c r="P125" s="54"/>
      <c r="Q125" s="54">
        <f ca="1">IFERROR(__xludf.DUMMYFUNCTION("""COMPUTED_VALUE"""),3)</f>
        <v>3</v>
      </c>
      <c r="R125" s="54"/>
      <c r="S125" s="53"/>
      <c r="T125" s="53"/>
      <c r="U125" s="53"/>
      <c r="V125" s="53"/>
      <c r="W125" s="53"/>
      <c r="X125" s="53"/>
      <c r="Y125" s="53"/>
      <c r="Z125" s="2"/>
      <c r="AA125" s="2"/>
      <c r="AB125" s="2"/>
      <c r="AC125" s="2"/>
      <c r="AD125" s="2"/>
      <c r="AE125" s="2"/>
    </row>
    <row r="126" spans="1:31" ht="12.75" x14ac:dyDescent="0.2">
      <c r="A126" s="53">
        <f ca="1">IFERROR(__xludf.DUMMYFUNCTION("""COMPUTED_VALUE"""),25)</f>
        <v>25</v>
      </c>
      <c r="B126" s="53" t="str">
        <f ca="1">IFERROR(__xludf.DUMMYFUNCTION("""COMPUTED_VALUE"""),"MNTT Gấu Panda")</f>
        <v>MNTT Gấu Panda</v>
      </c>
      <c r="C126" s="53" t="str">
        <f ca="1">IFERROR(__xludf.DUMMYFUNCTION("""COMPUTED_VALUE"""),"MN")</f>
        <v>MN</v>
      </c>
      <c r="D126" s="53" t="str">
        <f ca="1">IFERROR(__xludf.DUMMYFUNCTION("""COMPUTED_VALUE"""),"Bình Tân")</f>
        <v>Bình Tân</v>
      </c>
      <c r="E126" s="53"/>
      <c r="F126" s="53"/>
      <c r="G126" s="53"/>
      <c r="H126" s="53"/>
      <c r="I126" s="53"/>
      <c r="J126" s="53"/>
      <c r="K126" s="53"/>
      <c r="L126" s="53"/>
      <c r="M126" s="53"/>
      <c r="N126" s="54">
        <f ca="1">IFERROR(__xludf.DUMMYFUNCTION("""COMPUTED_VALUE"""),32)</f>
        <v>32</v>
      </c>
      <c r="O126" s="54">
        <f ca="1">IFERROR(__xludf.DUMMYFUNCTION("""COMPUTED_VALUE"""),1)</f>
        <v>1</v>
      </c>
      <c r="P126" s="54"/>
      <c r="Q126" s="54">
        <f ca="1">IFERROR(__xludf.DUMMYFUNCTION("""COMPUTED_VALUE"""),1)</f>
        <v>1</v>
      </c>
      <c r="R126" s="54"/>
      <c r="S126" s="53"/>
      <c r="T126" s="53"/>
      <c r="U126" s="53"/>
      <c r="V126" s="53"/>
      <c r="W126" s="53"/>
      <c r="X126" s="53"/>
      <c r="Y126" s="53"/>
      <c r="Z126" s="2"/>
      <c r="AA126" s="2"/>
      <c r="AB126" s="2"/>
      <c r="AC126" s="2"/>
      <c r="AD126" s="2"/>
      <c r="AE126" s="2"/>
    </row>
    <row r="127" spans="1:31" ht="12.75" x14ac:dyDescent="0.2">
      <c r="A127" s="53">
        <f ca="1">IFERROR(__xludf.DUMMYFUNCTION("""COMPUTED_VALUE"""),26)</f>
        <v>26</v>
      </c>
      <c r="B127" s="53" t="str">
        <f ca="1">IFERROR(__xludf.DUMMYFUNCTION("""COMPUTED_VALUE"""),"LMN Cỏ Non")</f>
        <v>LMN Cỏ Non</v>
      </c>
      <c r="C127" s="53" t="str">
        <f ca="1">IFERROR(__xludf.DUMMYFUNCTION("""COMPUTED_VALUE"""),"MN")</f>
        <v>MN</v>
      </c>
      <c r="D127" s="53" t="str">
        <f ca="1">IFERROR(__xludf.DUMMYFUNCTION("""COMPUTED_VALUE"""),"Bình Tân")</f>
        <v>Bình Tân</v>
      </c>
      <c r="E127" s="53"/>
      <c r="F127" s="53"/>
      <c r="G127" s="53"/>
      <c r="H127" s="53"/>
      <c r="I127" s="53"/>
      <c r="J127" s="53"/>
      <c r="K127" s="53"/>
      <c r="L127" s="53"/>
      <c r="M127" s="53"/>
      <c r="N127" s="54">
        <f ca="1">IFERROR(__xludf.DUMMYFUNCTION("""COMPUTED_VALUE"""),15)</f>
        <v>15</v>
      </c>
      <c r="O127" s="54">
        <f ca="1">IFERROR(__xludf.DUMMYFUNCTION("""COMPUTED_VALUE"""),0)</f>
        <v>0</v>
      </c>
      <c r="P127" s="54"/>
      <c r="Q127" s="54">
        <f ca="1">IFERROR(__xludf.DUMMYFUNCTION("""COMPUTED_VALUE"""),0)</f>
        <v>0</v>
      </c>
      <c r="R127" s="54"/>
      <c r="S127" s="53"/>
      <c r="T127" s="53"/>
      <c r="U127" s="53"/>
      <c r="V127" s="53"/>
      <c r="W127" s="53"/>
      <c r="X127" s="53"/>
      <c r="Y127" s="53"/>
      <c r="Z127" s="2"/>
      <c r="AA127" s="2"/>
      <c r="AB127" s="2"/>
      <c r="AC127" s="2"/>
      <c r="AD127" s="2"/>
      <c r="AE127" s="2"/>
    </row>
    <row r="128" spans="1:31" ht="12.75" x14ac:dyDescent="0.2">
      <c r="A128" s="53"/>
      <c r="B128" s="53" t="str">
        <f ca="1">IFERROR(__xludf.DUMMYFUNCTION("""COMPUTED_VALUE"""),"4. Bình Hưng Hòa A")</f>
        <v>4. Bình Hưng Hòa A</v>
      </c>
      <c r="C128" s="53" t="str">
        <f ca="1">IFERROR(__xludf.DUMMYFUNCTION("""COMPUTED_VALUE"""),"MN")</f>
        <v>MN</v>
      </c>
      <c r="D128" s="53" t="str">
        <f ca="1">IFERROR(__xludf.DUMMYFUNCTION("""COMPUTED_VALUE"""),"Bình Tân")</f>
        <v>Bình Tân</v>
      </c>
      <c r="E128" s="53"/>
      <c r="F128" s="53"/>
      <c r="G128" s="53"/>
      <c r="H128" s="53"/>
      <c r="I128" s="53"/>
      <c r="J128" s="53"/>
      <c r="K128" s="53"/>
      <c r="L128" s="53"/>
      <c r="M128" s="53"/>
      <c r="N128" s="53"/>
      <c r="O128" s="53"/>
      <c r="P128" s="53"/>
      <c r="Q128" s="53"/>
      <c r="R128" s="53"/>
      <c r="S128" s="53"/>
      <c r="T128" s="53"/>
      <c r="U128" s="53"/>
      <c r="V128" s="53"/>
      <c r="W128" s="53"/>
      <c r="X128" s="53"/>
      <c r="Y128" s="53"/>
      <c r="Z128" s="2"/>
      <c r="AA128" s="2"/>
      <c r="AB128" s="2"/>
      <c r="AC128" s="2"/>
      <c r="AD128" s="2"/>
      <c r="AE128" s="2"/>
    </row>
    <row r="129" spans="1:31" ht="12.75" x14ac:dyDescent="0.2">
      <c r="A129" s="53">
        <f ca="1">IFERROR(__xludf.DUMMYFUNCTION("""COMPUTED_VALUE"""),1)</f>
        <v>1</v>
      </c>
      <c r="B129" s="53" t="str">
        <f ca="1">IFERROR(__xludf.DUMMYFUNCTION("""COMPUTED_VALUE"""),"MN Ánh Dương")</f>
        <v>MN Ánh Dương</v>
      </c>
      <c r="C129" s="53" t="str">
        <f ca="1">IFERROR(__xludf.DUMMYFUNCTION("""COMPUTED_VALUE"""),"MN")</f>
        <v>MN</v>
      </c>
      <c r="D129" s="53" t="str">
        <f ca="1">IFERROR(__xludf.DUMMYFUNCTION("""COMPUTED_VALUE"""),"Bình Tân")</f>
        <v>Bình Tân</v>
      </c>
      <c r="E129" s="53"/>
      <c r="F129" s="53"/>
      <c r="G129" s="53"/>
      <c r="H129" s="53"/>
      <c r="I129" s="53"/>
      <c r="J129" s="53"/>
      <c r="K129" s="53"/>
      <c r="L129" s="53"/>
      <c r="M129" s="53"/>
      <c r="N129" s="54">
        <f ca="1">IFERROR(__xludf.DUMMYFUNCTION("""COMPUTED_VALUE"""),37)</f>
        <v>37</v>
      </c>
      <c r="O129" s="54">
        <f ca="1">IFERROR(__xludf.DUMMYFUNCTION("""COMPUTED_VALUE"""),6)</f>
        <v>6</v>
      </c>
      <c r="P129" s="54"/>
      <c r="Q129" s="54">
        <f ca="1">IFERROR(__xludf.DUMMYFUNCTION("""COMPUTED_VALUE"""),4)</f>
        <v>4</v>
      </c>
      <c r="R129" s="54"/>
      <c r="S129" s="53"/>
      <c r="T129" s="53"/>
      <c r="U129" s="53"/>
      <c r="V129" s="53"/>
      <c r="W129" s="53"/>
      <c r="X129" s="53"/>
      <c r="Y129" s="53"/>
      <c r="Z129" s="2"/>
      <c r="AA129" s="2"/>
      <c r="AB129" s="2"/>
      <c r="AC129" s="2"/>
      <c r="AD129" s="2"/>
      <c r="AE129" s="2"/>
    </row>
    <row r="130" spans="1:31" ht="12.75" x14ac:dyDescent="0.2">
      <c r="A130" s="53">
        <f ca="1">IFERROR(__xludf.DUMMYFUNCTION("""COMPUTED_VALUE"""),2)</f>
        <v>2</v>
      </c>
      <c r="B130" s="53" t="str">
        <f ca="1">IFERROR(__xludf.DUMMYFUNCTION("""COMPUTED_VALUE"""),"MN Hoa Sen")</f>
        <v>MN Hoa Sen</v>
      </c>
      <c r="C130" s="53" t="str">
        <f ca="1">IFERROR(__xludf.DUMMYFUNCTION("""COMPUTED_VALUE"""),"MN")</f>
        <v>MN</v>
      </c>
      <c r="D130" s="53" t="str">
        <f ca="1">IFERROR(__xludf.DUMMYFUNCTION("""COMPUTED_VALUE"""),"Bình Tân")</f>
        <v>Bình Tân</v>
      </c>
      <c r="E130" s="53"/>
      <c r="F130" s="53"/>
      <c r="G130" s="53"/>
      <c r="H130" s="53"/>
      <c r="I130" s="53"/>
      <c r="J130" s="53"/>
      <c r="K130" s="53"/>
      <c r="L130" s="53"/>
      <c r="M130" s="53"/>
      <c r="N130" s="54">
        <f ca="1">IFERROR(__xludf.DUMMYFUNCTION("""COMPUTED_VALUE"""),39)</f>
        <v>39</v>
      </c>
      <c r="O130" s="54">
        <f ca="1">IFERROR(__xludf.DUMMYFUNCTION("""COMPUTED_VALUE"""),0)</f>
        <v>0</v>
      </c>
      <c r="P130" s="54"/>
      <c r="Q130" s="54">
        <f ca="1">IFERROR(__xludf.DUMMYFUNCTION("""COMPUTED_VALUE"""),0)</f>
        <v>0</v>
      </c>
      <c r="R130" s="54"/>
      <c r="S130" s="53"/>
      <c r="T130" s="53"/>
      <c r="U130" s="53"/>
      <c r="V130" s="53"/>
      <c r="W130" s="53"/>
      <c r="X130" s="53"/>
      <c r="Y130" s="53"/>
      <c r="Z130" s="2"/>
      <c r="AA130" s="2"/>
      <c r="AB130" s="2"/>
      <c r="AC130" s="2"/>
      <c r="AD130" s="2"/>
      <c r="AE130" s="2"/>
    </row>
    <row r="131" spans="1:31" ht="12.75" x14ac:dyDescent="0.2">
      <c r="A131" s="53">
        <f ca="1">IFERROR(__xludf.DUMMYFUNCTION("""COMPUTED_VALUE"""),3)</f>
        <v>3</v>
      </c>
      <c r="B131" s="53" t="str">
        <f ca="1">IFERROR(__xludf.DUMMYFUNCTION("""COMPUTED_VALUE"""),"MN Khai Minh")</f>
        <v>MN Khai Minh</v>
      </c>
      <c r="C131" s="53" t="str">
        <f ca="1">IFERROR(__xludf.DUMMYFUNCTION("""COMPUTED_VALUE"""),"MN")</f>
        <v>MN</v>
      </c>
      <c r="D131" s="53" t="str">
        <f ca="1">IFERROR(__xludf.DUMMYFUNCTION("""COMPUTED_VALUE"""),"Bình Tân")</f>
        <v>Bình Tân</v>
      </c>
      <c r="E131" s="53"/>
      <c r="F131" s="53"/>
      <c r="G131" s="53"/>
      <c r="H131" s="53"/>
      <c r="I131" s="53"/>
      <c r="J131" s="53"/>
      <c r="K131" s="53"/>
      <c r="L131" s="53"/>
      <c r="M131" s="53"/>
      <c r="N131" s="54">
        <f ca="1">IFERROR(__xludf.DUMMYFUNCTION("""COMPUTED_VALUE"""),32)</f>
        <v>32</v>
      </c>
      <c r="O131" s="54">
        <f ca="1">IFERROR(__xludf.DUMMYFUNCTION("""COMPUTED_VALUE"""),8)</f>
        <v>8</v>
      </c>
      <c r="P131" s="54"/>
      <c r="Q131" s="54">
        <f ca="1">IFERROR(__xludf.DUMMYFUNCTION("""COMPUTED_VALUE"""),6)</f>
        <v>6</v>
      </c>
      <c r="R131" s="54"/>
      <c r="S131" s="53"/>
      <c r="T131" s="53"/>
      <c r="U131" s="53"/>
      <c r="V131" s="53"/>
      <c r="W131" s="53"/>
      <c r="X131" s="53"/>
      <c r="Y131" s="53"/>
      <c r="Z131" s="2"/>
      <c r="AA131" s="2"/>
      <c r="AB131" s="2"/>
      <c r="AC131" s="2"/>
      <c r="AD131" s="2"/>
      <c r="AE131" s="2"/>
    </row>
    <row r="132" spans="1:31" ht="12.75" x14ac:dyDescent="0.2">
      <c r="A132" s="53">
        <f ca="1">IFERROR(__xludf.DUMMYFUNCTION("""COMPUTED_VALUE"""),4)</f>
        <v>4</v>
      </c>
      <c r="B132" s="53" t="str">
        <f ca="1">IFERROR(__xludf.DUMMYFUNCTION("""COMPUTED_VALUE"""),"MN Mai Anh")</f>
        <v>MN Mai Anh</v>
      </c>
      <c r="C132" s="53" t="str">
        <f ca="1">IFERROR(__xludf.DUMMYFUNCTION("""COMPUTED_VALUE"""),"MN")</f>
        <v>MN</v>
      </c>
      <c r="D132" s="53" t="str">
        <f ca="1">IFERROR(__xludf.DUMMYFUNCTION("""COMPUTED_VALUE"""),"Bình Tân")</f>
        <v>Bình Tân</v>
      </c>
      <c r="E132" s="53"/>
      <c r="F132" s="53"/>
      <c r="G132" s="53"/>
      <c r="H132" s="53"/>
      <c r="I132" s="53"/>
      <c r="J132" s="53"/>
      <c r="K132" s="53"/>
      <c r="L132" s="53"/>
      <c r="M132" s="53"/>
      <c r="N132" s="54">
        <f ca="1">IFERROR(__xludf.DUMMYFUNCTION("""COMPUTED_VALUE"""),35)</f>
        <v>35</v>
      </c>
      <c r="O132" s="54">
        <f ca="1">IFERROR(__xludf.DUMMYFUNCTION("""COMPUTED_VALUE"""),0)</f>
        <v>0</v>
      </c>
      <c r="P132" s="54"/>
      <c r="Q132" s="54">
        <f ca="1">IFERROR(__xludf.DUMMYFUNCTION("""COMPUTED_VALUE"""),0)</f>
        <v>0</v>
      </c>
      <c r="R132" s="54"/>
      <c r="S132" s="53"/>
      <c r="T132" s="53"/>
      <c r="U132" s="53"/>
      <c r="V132" s="53"/>
      <c r="W132" s="53"/>
      <c r="X132" s="53"/>
      <c r="Y132" s="53"/>
      <c r="Z132" s="2"/>
      <c r="AA132" s="2"/>
      <c r="AB132" s="2"/>
      <c r="AC132" s="2"/>
      <c r="AD132" s="2"/>
      <c r="AE132" s="2"/>
    </row>
    <row r="133" spans="1:31" ht="12.75" x14ac:dyDescent="0.2">
      <c r="A133" s="53">
        <f ca="1">IFERROR(__xludf.DUMMYFUNCTION("""COMPUTED_VALUE"""),5)</f>
        <v>5</v>
      </c>
      <c r="B133" s="53" t="str">
        <f ca="1">IFERROR(__xludf.DUMMYFUNCTION("""COMPUTED_VALUE"""),"MN Tuổi Hoa")</f>
        <v>MN Tuổi Hoa</v>
      </c>
      <c r="C133" s="53" t="str">
        <f ca="1">IFERROR(__xludf.DUMMYFUNCTION("""COMPUTED_VALUE"""),"MN")</f>
        <v>MN</v>
      </c>
      <c r="D133" s="53" t="str">
        <f ca="1">IFERROR(__xludf.DUMMYFUNCTION("""COMPUTED_VALUE"""),"Bình Tân")</f>
        <v>Bình Tân</v>
      </c>
      <c r="E133" s="53"/>
      <c r="F133" s="53"/>
      <c r="G133" s="53"/>
      <c r="H133" s="53"/>
      <c r="I133" s="53"/>
      <c r="J133" s="53"/>
      <c r="K133" s="53"/>
      <c r="L133" s="53"/>
      <c r="M133" s="53"/>
      <c r="N133" s="54">
        <f ca="1">IFERROR(__xludf.DUMMYFUNCTION("""COMPUTED_VALUE"""),8)</f>
        <v>8</v>
      </c>
      <c r="O133" s="54">
        <f ca="1">IFERROR(__xludf.DUMMYFUNCTION("""COMPUTED_VALUE"""),0)</f>
        <v>0</v>
      </c>
      <c r="P133" s="54"/>
      <c r="Q133" s="54">
        <f ca="1">IFERROR(__xludf.DUMMYFUNCTION("""COMPUTED_VALUE"""),0)</f>
        <v>0</v>
      </c>
      <c r="R133" s="54"/>
      <c r="S133" s="53"/>
      <c r="T133" s="53"/>
      <c r="U133" s="53"/>
      <c r="V133" s="53"/>
      <c r="W133" s="53"/>
      <c r="X133" s="53"/>
      <c r="Y133" s="53"/>
      <c r="Z133" s="2"/>
      <c r="AA133" s="2"/>
      <c r="AB133" s="2"/>
      <c r="AC133" s="2"/>
      <c r="AD133" s="2"/>
      <c r="AE133" s="2"/>
    </row>
    <row r="134" spans="1:31" ht="12.75" x14ac:dyDescent="0.2">
      <c r="A134" s="53">
        <f ca="1">IFERROR(__xludf.DUMMYFUNCTION("""COMPUTED_VALUE"""),6)</f>
        <v>6</v>
      </c>
      <c r="B134" s="53" t="str">
        <f ca="1">IFERROR(__xludf.DUMMYFUNCTION("""COMPUTED_VALUE"""),"MN Vườn Tuổi Thơ")</f>
        <v>MN Vườn Tuổi Thơ</v>
      </c>
      <c r="C134" s="53" t="str">
        <f ca="1">IFERROR(__xludf.DUMMYFUNCTION("""COMPUTED_VALUE"""),"MN")</f>
        <v>MN</v>
      </c>
      <c r="D134" s="53" t="str">
        <f ca="1">IFERROR(__xludf.DUMMYFUNCTION("""COMPUTED_VALUE"""),"Bình Tân")</f>
        <v>Bình Tân</v>
      </c>
      <c r="E134" s="53"/>
      <c r="F134" s="53"/>
      <c r="G134" s="53"/>
      <c r="H134" s="53"/>
      <c r="I134" s="53"/>
      <c r="J134" s="53"/>
      <c r="K134" s="53"/>
      <c r="L134" s="53"/>
      <c r="M134" s="53"/>
      <c r="N134" s="54">
        <f ca="1">IFERROR(__xludf.DUMMYFUNCTION("""COMPUTED_VALUE"""),35)</f>
        <v>35</v>
      </c>
      <c r="O134" s="54">
        <f ca="1">IFERROR(__xludf.DUMMYFUNCTION("""COMPUTED_VALUE"""),0)</f>
        <v>0</v>
      </c>
      <c r="P134" s="54"/>
      <c r="Q134" s="54">
        <f ca="1">IFERROR(__xludf.DUMMYFUNCTION("""COMPUTED_VALUE"""),0)</f>
        <v>0</v>
      </c>
      <c r="R134" s="54"/>
      <c r="S134" s="53"/>
      <c r="T134" s="53"/>
      <c r="U134" s="53"/>
      <c r="V134" s="53"/>
      <c r="W134" s="53"/>
      <c r="X134" s="53"/>
      <c r="Y134" s="53"/>
      <c r="Z134" s="2"/>
      <c r="AA134" s="2"/>
      <c r="AB134" s="2"/>
      <c r="AC134" s="2"/>
      <c r="AD134" s="2"/>
      <c r="AE134" s="2"/>
    </row>
    <row r="135" spans="1:31" ht="12.75" x14ac:dyDescent="0.2">
      <c r="A135" s="53">
        <f ca="1">IFERROR(__xludf.DUMMYFUNCTION("""COMPUTED_VALUE"""),7)</f>
        <v>7</v>
      </c>
      <c r="B135" s="53" t="str">
        <f ca="1">IFERROR(__xludf.DUMMYFUNCTION("""COMPUTED_VALUE"""),"LMG An Bình")</f>
        <v>LMG An Bình</v>
      </c>
      <c r="C135" s="53" t="str">
        <f ca="1">IFERROR(__xludf.DUMMYFUNCTION("""COMPUTED_VALUE"""),"MN")</f>
        <v>MN</v>
      </c>
      <c r="D135" s="53" t="str">
        <f ca="1">IFERROR(__xludf.DUMMYFUNCTION("""COMPUTED_VALUE"""),"Bình Tân")</f>
        <v>Bình Tân</v>
      </c>
      <c r="E135" s="53"/>
      <c r="F135" s="53"/>
      <c r="G135" s="53"/>
      <c r="H135" s="53"/>
      <c r="I135" s="53"/>
      <c r="J135" s="53"/>
      <c r="K135" s="53"/>
      <c r="L135" s="53"/>
      <c r="M135" s="53"/>
      <c r="N135" s="54">
        <f ca="1">IFERROR(__xludf.DUMMYFUNCTION("""COMPUTED_VALUE"""),12)</f>
        <v>12</v>
      </c>
      <c r="O135" s="54">
        <f ca="1">IFERROR(__xludf.DUMMYFUNCTION("""COMPUTED_VALUE"""),0)</f>
        <v>0</v>
      </c>
      <c r="P135" s="54"/>
      <c r="Q135" s="54">
        <f ca="1">IFERROR(__xludf.DUMMYFUNCTION("""COMPUTED_VALUE"""),0)</f>
        <v>0</v>
      </c>
      <c r="R135" s="54"/>
      <c r="S135" s="53"/>
      <c r="T135" s="53"/>
      <c r="U135" s="53"/>
      <c r="V135" s="53"/>
      <c r="W135" s="53"/>
      <c r="X135" s="53"/>
      <c r="Y135" s="53"/>
      <c r="Z135" s="2"/>
      <c r="AA135" s="2"/>
      <c r="AB135" s="2"/>
      <c r="AC135" s="2"/>
      <c r="AD135" s="2"/>
      <c r="AE135" s="2"/>
    </row>
    <row r="136" spans="1:31" ht="12.75" x14ac:dyDescent="0.2">
      <c r="A136" s="53">
        <f ca="1">IFERROR(__xludf.DUMMYFUNCTION("""COMPUTED_VALUE"""),8)</f>
        <v>8</v>
      </c>
      <c r="B136" s="53" t="str">
        <f ca="1">IFERROR(__xludf.DUMMYFUNCTION("""COMPUTED_VALUE"""),"LMN Ban Mai(chủ lớp mới)")</f>
        <v>LMN Ban Mai(chủ lớp mới)</v>
      </c>
      <c r="C136" s="53" t="str">
        <f ca="1">IFERROR(__xludf.DUMMYFUNCTION("""COMPUTED_VALUE"""),"MN")</f>
        <v>MN</v>
      </c>
      <c r="D136" s="53" t="str">
        <f ca="1">IFERROR(__xludf.DUMMYFUNCTION("""COMPUTED_VALUE"""),"Bình Tân")</f>
        <v>Bình Tân</v>
      </c>
      <c r="E136" s="53"/>
      <c r="F136" s="53"/>
      <c r="G136" s="53"/>
      <c r="H136" s="53"/>
      <c r="I136" s="53"/>
      <c r="J136" s="53"/>
      <c r="K136" s="53"/>
      <c r="L136" s="53"/>
      <c r="M136" s="53"/>
      <c r="N136" s="54">
        <f ca="1">IFERROR(__xludf.DUMMYFUNCTION("""COMPUTED_VALUE"""),2)</f>
        <v>2</v>
      </c>
      <c r="O136" s="54">
        <f ca="1">IFERROR(__xludf.DUMMYFUNCTION("""COMPUTED_VALUE"""),0)</f>
        <v>0</v>
      </c>
      <c r="P136" s="54"/>
      <c r="Q136" s="54">
        <f ca="1">IFERROR(__xludf.DUMMYFUNCTION("""COMPUTED_VALUE"""),0)</f>
        <v>0</v>
      </c>
      <c r="R136" s="54"/>
      <c r="S136" s="53"/>
      <c r="T136" s="53"/>
      <c r="U136" s="53"/>
      <c r="V136" s="53"/>
      <c r="W136" s="53"/>
      <c r="X136" s="53"/>
      <c r="Y136" s="53"/>
      <c r="Z136" s="2"/>
      <c r="AA136" s="2"/>
      <c r="AB136" s="2"/>
      <c r="AC136" s="2"/>
      <c r="AD136" s="2"/>
      <c r="AE136" s="2"/>
    </row>
    <row r="137" spans="1:31" ht="12.75" x14ac:dyDescent="0.2">
      <c r="A137" s="53">
        <f ca="1">IFERROR(__xludf.DUMMYFUNCTION("""COMPUTED_VALUE"""),9)</f>
        <v>9</v>
      </c>
      <c r="B137" s="53" t="str">
        <f ca="1">IFERROR(__xludf.DUMMYFUNCTION("""COMPUTED_VALUE"""),"LMN Hải Yến")</f>
        <v>LMN Hải Yến</v>
      </c>
      <c r="C137" s="53" t="str">
        <f ca="1">IFERROR(__xludf.DUMMYFUNCTION("""COMPUTED_VALUE"""),"MN")</f>
        <v>MN</v>
      </c>
      <c r="D137" s="53" t="str">
        <f ca="1">IFERROR(__xludf.DUMMYFUNCTION("""COMPUTED_VALUE"""),"Bình Tân")</f>
        <v>Bình Tân</v>
      </c>
      <c r="E137" s="53"/>
      <c r="F137" s="53"/>
      <c r="G137" s="53"/>
      <c r="H137" s="53"/>
      <c r="I137" s="53"/>
      <c r="J137" s="53"/>
      <c r="K137" s="53"/>
      <c r="L137" s="53"/>
      <c r="M137" s="53"/>
      <c r="N137" s="54">
        <f ca="1">IFERROR(__xludf.DUMMYFUNCTION("""COMPUTED_VALUE"""),22)</f>
        <v>22</v>
      </c>
      <c r="O137" s="54">
        <f ca="1">IFERROR(__xludf.DUMMYFUNCTION("""COMPUTED_VALUE"""),8)</f>
        <v>8</v>
      </c>
      <c r="P137" s="54"/>
      <c r="Q137" s="54">
        <f ca="1">IFERROR(__xludf.DUMMYFUNCTION("""COMPUTED_VALUE"""),4)</f>
        <v>4</v>
      </c>
      <c r="R137" s="54"/>
      <c r="S137" s="53"/>
      <c r="T137" s="53"/>
      <c r="U137" s="53"/>
      <c r="V137" s="53"/>
      <c r="W137" s="53"/>
      <c r="X137" s="53"/>
      <c r="Y137" s="53"/>
      <c r="Z137" s="2"/>
      <c r="AA137" s="2"/>
      <c r="AB137" s="2"/>
      <c r="AC137" s="2"/>
      <c r="AD137" s="2"/>
      <c r="AE137" s="2"/>
    </row>
    <row r="138" spans="1:31" ht="12.75" x14ac:dyDescent="0.2">
      <c r="A138" s="53">
        <f ca="1">IFERROR(__xludf.DUMMYFUNCTION("""COMPUTED_VALUE"""),10)</f>
        <v>10</v>
      </c>
      <c r="B138" s="53" t="str">
        <f ca="1">IFERROR(__xludf.DUMMYFUNCTION("""COMPUTED_VALUE"""),"LMN Hoa Sữa")</f>
        <v>LMN Hoa Sữa</v>
      </c>
      <c r="C138" s="53" t="str">
        <f ca="1">IFERROR(__xludf.DUMMYFUNCTION("""COMPUTED_VALUE"""),"MN")</f>
        <v>MN</v>
      </c>
      <c r="D138" s="53" t="str">
        <f ca="1">IFERROR(__xludf.DUMMYFUNCTION("""COMPUTED_VALUE"""),"Bình Tân")</f>
        <v>Bình Tân</v>
      </c>
      <c r="E138" s="53"/>
      <c r="F138" s="53"/>
      <c r="G138" s="53"/>
      <c r="H138" s="53"/>
      <c r="I138" s="53"/>
      <c r="J138" s="53"/>
      <c r="K138" s="53"/>
      <c r="L138" s="53"/>
      <c r="M138" s="53"/>
      <c r="N138" s="54">
        <f ca="1">IFERROR(__xludf.DUMMYFUNCTION("""COMPUTED_VALUE"""),2)</f>
        <v>2</v>
      </c>
      <c r="O138" s="54">
        <f ca="1">IFERROR(__xludf.DUMMYFUNCTION("""COMPUTED_VALUE"""),0)</f>
        <v>0</v>
      </c>
      <c r="P138" s="54"/>
      <c r="Q138" s="54">
        <f ca="1">IFERROR(__xludf.DUMMYFUNCTION("""COMPUTED_VALUE"""),0)</f>
        <v>0</v>
      </c>
      <c r="R138" s="54"/>
      <c r="S138" s="53"/>
      <c r="T138" s="53"/>
      <c r="U138" s="53"/>
      <c r="V138" s="53"/>
      <c r="W138" s="53"/>
      <c r="X138" s="53"/>
      <c r="Y138" s="53"/>
      <c r="Z138" s="2"/>
      <c r="AA138" s="2"/>
      <c r="AB138" s="2"/>
      <c r="AC138" s="2"/>
      <c r="AD138" s="2"/>
      <c r="AE138" s="2"/>
    </row>
    <row r="139" spans="1:31" ht="12.75" x14ac:dyDescent="0.2">
      <c r="A139" s="53">
        <f ca="1">IFERROR(__xludf.DUMMYFUNCTION("""COMPUTED_VALUE"""),11)</f>
        <v>11</v>
      </c>
      <c r="B139" s="53" t="str">
        <f ca="1">IFERROR(__xludf.DUMMYFUNCTION("""COMPUTED_VALUE"""),"LMN Hoàng An")</f>
        <v>LMN Hoàng An</v>
      </c>
      <c r="C139" s="53" t="str">
        <f ca="1">IFERROR(__xludf.DUMMYFUNCTION("""COMPUTED_VALUE"""),"MN")</f>
        <v>MN</v>
      </c>
      <c r="D139" s="53" t="str">
        <f ca="1">IFERROR(__xludf.DUMMYFUNCTION("""COMPUTED_VALUE"""),"Bình Tân")</f>
        <v>Bình Tân</v>
      </c>
      <c r="E139" s="53"/>
      <c r="F139" s="53"/>
      <c r="G139" s="53"/>
      <c r="H139" s="53"/>
      <c r="I139" s="53"/>
      <c r="J139" s="53"/>
      <c r="K139" s="53"/>
      <c r="L139" s="53"/>
      <c r="M139" s="53"/>
      <c r="N139" s="54">
        <f ca="1">IFERROR(__xludf.DUMMYFUNCTION("""COMPUTED_VALUE"""),13)</f>
        <v>13</v>
      </c>
      <c r="O139" s="54">
        <f ca="1">IFERROR(__xludf.DUMMYFUNCTION("""COMPUTED_VALUE"""),2)</f>
        <v>2</v>
      </c>
      <c r="P139" s="54"/>
      <c r="Q139" s="54">
        <f ca="1">IFERROR(__xludf.DUMMYFUNCTION("""COMPUTED_VALUE"""),2)</f>
        <v>2</v>
      </c>
      <c r="R139" s="54"/>
      <c r="S139" s="53"/>
      <c r="T139" s="53"/>
      <c r="U139" s="53"/>
      <c r="V139" s="53"/>
      <c r="W139" s="53"/>
      <c r="X139" s="53"/>
      <c r="Y139" s="53"/>
      <c r="Z139" s="2"/>
      <c r="AA139" s="2"/>
      <c r="AB139" s="2"/>
      <c r="AC139" s="2"/>
      <c r="AD139" s="2"/>
      <c r="AE139" s="2"/>
    </row>
    <row r="140" spans="1:31" ht="12.75" x14ac:dyDescent="0.2">
      <c r="A140" s="53">
        <f ca="1">IFERROR(__xludf.DUMMYFUNCTION("""COMPUTED_VALUE"""),12)</f>
        <v>12</v>
      </c>
      <c r="B140" s="53" t="str">
        <f ca="1">IFERROR(__xludf.DUMMYFUNCTION("""COMPUTED_VALUE"""),"LMN Thục Nguyên")</f>
        <v>LMN Thục Nguyên</v>
      </c>
      <c r="C140" s="53" t="str">
        <f ca="1">IFERROR(__xludf.DUMMYFUNCTION("""COMPUTED_VALUE"""),"MN")</f>
        <v>MN</v>
      </c>
      <c r="D140" s="53" t="str">
        <f ca="1">IFERROR(__xludf.DUMMYFUNCTION("""COMPUTED_VALUE"""),"Bình Tân")</f>
        <v>Bình Tân</v>
      </c>
      <c r="E140" s="53"/>
      <c r="F140" s="53"/>
      <c r="G140" s="53"/>
      <c r="H140" s="53"/>
      <c r="I140" s="53"/>
      <c r="J140" s="53"/>
      <c r="K140" s="53"/>
      <c r="L140" s="53"/>
      <c r="M140" s="53"/>
      <c r="N140" s="54">
        <f ca="1">IFERROR(__xludf.DUMMYFUNCTION("""COMPUTED_VALUE"""),12)</f>
        <v>12</v>
      </c>
      <c r="O140" s="54">
        <f ca="1">IFERROR(__xludf.DUMMYFUNCTION("""COMPUTED_VALUE"""),0)</f>
        <v>0</v>
      </c>
      <c r="P140" s="54"/>
      <c r="Q140" s="54">
        <f ca="1">IFERROR(__xludf.DUMMYFUNCTION("""COMPUTED_VALUE"""),0)</f>
        <v>0</v>
      </c>
      <c r="R140" s="54"/>
      <c r="S140" s="53"/>
      <c r="T140" s="53"/>
      <c r="U140" s="53"/>
      <c r="V140" s="53"/>
      <c r="W140" s="53"/>
      <c r="X140" s="53"/>
      <c r="Y140" s="53"/>
      <c r="Z140" s="2"/>
      <c r="AA140" s="2"/>
      <c r="AB140" s="2"/>
      <c r="AC140" s="2"/>
      <c r="AD140" s="2"/>
      <c r="AE140" s="2"/>
    </row>
    <row r="141" spans="1:31" ht="12.75" x14ac:dyDescent="0.2">
      <c r="A141" s="53">
        <f ca="1">IFERROR(__xludf.DUMMYFUNCTION("""COMPUTED_VALUE"""),13)</f>
        <v>13</v>
      </c>
      <c r="B141" s="53" t="str">
        <f ca="1">IFERROR(__xludf.DUMMYFUNCTION("""COMPUTED_VALUE"""),"LMN Sen Việt")</f>
        <v>LMN Sen Việt</v>
      </c>
      <c r="C141" s="53" t="str">
        <f ca="1">IFERROR(__xludf.DUMMYFUNCTION("""COMPUTED_VALUE"""),"MN")</f>
        <v>MN</v>
      </c>
      <c r="D141" s="53" t="str">
        <f ca="1">IFERROR(__xludf.DUMMYFUNCTION("""COMPUTED_VALUE"""),"Bình Tân")</f>
        <v>Bình Tân</v>
      </c>
      <c r="E141" s="53"/>
      <c r="F141" s="53"/>
      <c r="G141" s="53"/>
      <c r="H141" s="53"/>
      <c r="I141" s="53"/>
      <c r="J141" s="53"/>
      <c r="K141" s="53"/>
      <c r="L141" s="53"/>
      <c r="M141" s="53"/>
      <c r="N141" s="54">
        <f ca="1">IFERROR(__xludf.DUMMYFUNCTION("""COMPUTED_VALUE"""),25)</f>
        <v>25</v>
      </c>
      <c r="O141" s="54">
        <f ca="1">IFERROR(__xludf.DUMMYFUNCTION("""COMPUTED_VALUE"""),0)</f>
        <v>0</v>
      </c>
      <c r="P141" s="54"/>
      <c r="Q141" s="54">
        <f ca="1">IFERROR(__xludf.DUMMYFUNCTION("""COMPUTED_VALUE"""),0)</f>
        <v>0</v>
      </c>
      <c r="R141" s="54"/>
      <c r="S141" s="53"/>
      <c r="T141" s="53"/>
      <c r="U141" s="53"/>
      <c r="V141" s="53"/>
      <c r="W141" s="53"/>
      <c r="X141" s="53"/>
      <c r="Y141" s="53"/>
      <c r="Z141" s="2"/>
      <c r="AA141" s="2"/>
      <c r="AB141" s="2"/>
      <c r="AC141" s="2"/>
      <c r="AD141" s="2"/>
      <c r="AE141" s="2"/>
    </row>
    <row r="142" spans="1:31" ht="12.75" x14ac:dyDescent="0.2">
      <c r="A142" s="53">
        <f ca="1">IFERROR(__xludf.DUMMYFUNCTION("""COMPUTED_VALUE"""),14)</f>
        <v>14</v>
      </c>
      <c r="B142" s="53" t="str">
        <f ca="1">IFERROR(__xludf.DUMMYFUNCTION("""COMPUTED_VALUE"""),"LMN Hồng Nhung")</f>
        <v>LMN Hồng Nhung</v>
      </c>
      <c r="C142" s="53" t="str">
        <f ca="1">IFERROR(__xludf.DUMMYFUNCTION("""COMPUTED_VALUE"""),"MN")</f>
        <v>MN</v>
      </c>
      <c r="D142" s="53" t="str">
        <f ca="1">IFERROR(__xludf.DUMMYFUNCTION("""COMPUTED_VALUE"""),"Bình Tân")</f>
        <v>Bình Tân</v>
      </c>
      <c r="E142" s="53"/>
      <c r="F142" s="53"/>
      <c r="G142" s="53"/>
      <c r="H142" s="53"/>
      <c r="I142" s="53"/>
      <c r="J142" s="53"/>
      <c r="K142" s="53"/>
      <c r="L142" s="53"/>
      <c r="M142" s="53"/>
      <c r="N142" s="54">
        <f ca="1">IFERROR(__xludf.DUMMYFUNCTION("""COMPUTED_VALUE"""),15)</f>
        <v>15</v>
      </c>
      <c r="O142" s="54">
        <f ca="1">IFERROR(__xludf.DUMMYFUNCTION("""COMPUTED_VALUE"""),0)</f>
        <v>0</v>
      </c>
      <c r="P142" s="54"/>
      <c r="Q142" s="54">
        <f ca="1">IFERROR(__xludf.DUMMYFUNCTION("""COMPUTED_VALUE"""),0)</f>
        <v>0</v>
      </c>
      <c r="R142" s="54"/>
      <c r="S142" s="53"/>
      <c r="T142" s="53"/>
      <c r="U142" s="53"/>
      <c r="V142" s="53"/>
      <c r="W142" s="53"/>
      <c r="X142" s="53"/>
      <c r="Y142" s="53"/>
      <c r="Z142" s="2"/>
      <c r="AA142" s="2"/>
      <c r="AB142" s="2"/>
      <c r="AC142" s="2"/>
      <c r="AD142" s="2"/>
      <c r="AE142" s="2"/>
    </row>
    <row r="143" spans="1:31" ht="12.75" x14ac:dyDescent="0.2">
      <c r="A143" s="53">
        <f ca="1">IFERROR(__xludf.DUMMYFUNCTION("""COMPUTED_VALUE"""),15)</f>
        <v>15</v>
      </c>
      <c r="B143" s="53" t="str">
        <f ca="1">IFERROR(__xludf.DUMMYFUNCTION("""COMPUTED_VALUE"""),"LMG Lạc Quang")</f>
        <v>LMG Lạc Quang</v>
      </c>
      <c r="C143" s="53" t="str">
        <f ca="1">IFERROR(__xludf.DUMMYFUNCTION("""COMPUTED_VALUE"""),"MN")</f>
        <v>MN</v>
      </c>
      <c r="D143" s="53" t="str">
        <f ca="1">IFERROR(__xludf.DUMMYFUNCTION("""COMPUTED_VALUE"""),"Bình Tân")</f>
        <v>Bình Tân</v>
      </c>
      <c r="E143" s="53"/>
      <c r="F143" s="53"/>
      <c r="G143" s="53"/>
      <c r="H143" s="53"/>
      <c r="I143" s="53"/>
      <c r="J143" s="53"/>
      <c r="K143" s="53"/>
      <c r="L143" s="53"/>
      <c r="M143" s="53"/>
      <c r="N143" s="54">
        <f ca="1">IFERROR(__xludf.DUMMYFUNCTION("""COMPUTED_VALUE"""),3)</f>
        <v>3</v>
      </c>
      <c r="O143" s="54">
        <f ca="1">IFERROR(__xludf.DUMMYFUNCTION("""COMPUTED_VALUE"""),0)</f>
        <v>0</v>
      </c>
      <c r="P143" s="54"/>
      <c r="Q143" s="54">
        <f ca="1">IFERROR(__xludf.DUMMYFUNCTION("""COMPUTED_VALUE"""),0)</f>
        <v>0</v>
      </c>
      <c r="R143" s="54"/>
      <c r="S143" s="53"/>
      <c r="T143" s="53"/>
      <c r="U143" s="53"/>
      <c r="V143" s="53"/>
      <c r="W143" s="53"/>
      <c r="X143" s="53"/>
      <c r="Y143" s="53"/>
      <c r="Z143" s="2"/>
      <c r="AA143" s="2"/>
      <c r="AB143" s="2"/>
      <c r="AC143" s="2"/>
      <c r="AD143" s="2"/>
      <c r="AE143" s="2"/>
    </row>
    <row r="144" spans="1:31" ht="12.75" x14ac:dyDescent="0.2">
      <c r="A144" s="53">
        <f ca="1">IFERROR(__xludf.DUMMYFUNCTION("""COMPUTED_VALUE"""),16)</f>
        <v>16</v>
      </c>
      <c r="B144" s="53" t="str">
        <f ca="1">IFERROR(__xludf.DUMMYFUNCTION("""COMPUTED_VALUE"""),"LMN Mai Quỳnh")</f>
        <v>LMN Mai Quỳnh</v>
      </c>
      <c r="C144" s="53" t="str">
        <f ca="1">IFERROR(__xludf.DUMMYFUNCTION("""COMPUTED_VALUE"""),"MN")</f>
        <v>MN</v>
      </c>
      <c r="D144" s="53" t="str">
        <f ca="1">IFERROR(__xludf.DUMMYFUNCTION("""COMPUTED_VALUE"""),"Bình Tân")</f>
        <v>Bình Tân</v>
      </c>
      <c r="E144" s="53"/>
      <c r="F144" s="53"/>
      <c r="G144" s="53"/>
      <c r="H144" s="53"/>
      <c r="I144" s="53"/>
      <c r="J144" s="53"/>
      <c r="K144" s="53"/>
      <c r="L144" s="53"/>
      <c r="M144" s="53"/>
      <c r="N144" s="54">
        <f ca="1">IFERROR(__xludf.DUMMYFUNCTION("""COMPUTED_VALUE"""),6)</f>
        <v>6</v>
      </c>
      <c r="O144" s="54">
        <f ca="1">IFERROR(__xludf.DUMMYFUNCTION("""COMPUTED_VALUE"""),0)</f>
        <v>0</v>
      </c>
      <c r="P144" s="54"/>
      <c r="Q144" s="54">
        <f ca="1">IFERROR(__xludf.DUMMYFUNCTION("""COMPUTED_VALUE"""),0)</f>
        <v>0</v>
      </c>
      <c r="R144" s="54"/>
      <c r="S144" s="53"/>
      <c r="T144" s="53"/>
      <c r="U144" s="53"/>
      <c r="V144" s="53"/>
      <c r="W144" s="53"/>
      <c r="X144" s="53"/>
      <c r="Y144" s="53"/>
      <c r="Z144" s="2"/>
      <c r="AA144" s="2"/>
      <c r="AB144" s="2"/>
      <c r="AC144" s="2"/>
      <c r="AD144" s="2"/>
      <c r="AE144" s="2"/>
    </row>
    <row r="145" spans="1:31" ht="12.75" x14ac:dyDescent="0.2">
      <c r="A145" s="53">
        <f ca="1">IFERROR(__xludf.DUMMYFUNCTION("""COMPUTED_VALUE"""),17)</f>
        <v>17</v>
      </c>
      <c r="B145" s="53" t="str">
        <f ca="1">IFERROR(__xludf.DUMMYFUNCTION("""COMPUTED_VALUE"""),"LMN Sao Mai")</f>
        <v>LMN Sao Mai</v>
      </c>
      <c r="C145" s="53" t="str">
        <f ca="1">IFERROR(__xludf.DUMMYFUNCTION("""COMPUTED_VALUE"""),"MN")</f>
        <v>MN</v>
      </c>
      <c r="D145" s="53" t="str">
        <f ca="1">IFERROR(__xludf.DUMMYFUNCTION("""COMPUTED_VALUE"""),"Bình Tân")</f>
        <v>Bình Tân</v>
      </c>
      <c r="E145" s="53"/>
      <c r="F145" s="53"/>
      <c r="G145" s="53"/>
      <c r="H145" s="53"/>
      <c r="I145" s="53"/>
      <c r="J145" s="53"/>
      <c r="K145" s="53"/>
      <c r="L145" s="53"/>
      <c r="M145" s="53"/>
      <c r="N145" s="54">
        <f ca="1">IFERROR(__xludf.DUMMYFUNCTION("""COMPUTED_VALUE"""),3)</f>
        <v>3</v>
      </c>
      <c r="O145" s="54">
        <f ca="1">IFERROR(__xludf.DUMMYFUNCTION("""COMPUTED_VALUE"""),0)</f>
        <v>0</v>
      </c>
      <c r="P145" s="54"/>
      <c r="Q145" s="54">
        <f ca="1">IFERROR(__xludf.DUMMYFUNCTION("""COMPUTED_VALUE"""),0)</f>
        <v>0</v>
      </c>
      <c r="R145" s="54"/>
      <c r="S145" s="53"/>
      <c r="T145" s="53"/>
      <c r="U145" s="53"/>
      <c r="V145" s="53"/>
      <c r="W145" s="53"/>
      <c r="X145" s="53"/>
      <c r="Y145" s="53"/>
      <c r="Z145" s="2"/>
      <c r="AA145" s="2"/>
      <c r="AB145" s="2"/>
      <c r="AC145" s="2"/>
      <c r="AD145" s="2"/>
      <c r="AE145" s="2"/>
    </row>
    <row r="146" spans="1:31" ht="12.75" x14ac:dyDescent="0.2">
      <c r="A146" s="53">
        <f ca="1">IFERROR(__xludf.DUMMYFUNCTION("""COMPUTED_VALUE"""),18)</f>
        <v>18</v>
      </c>
      <c r="B146" s="53" t="str">
        <f ca="1">IFERROR(__xludf.DUMMYFUNCTION("""COMPUTED_VALUE"""),"LMG Song Hương")</f>
        <v>LMG Song Hương</v>
      </c>
      <c r="C146" s="53" t="str">
        <f ca="1">IFERROR(__xludf.DUMMYFUNCTION("""COMPUTED_VALUE"""),"MN")</f>
        <v>MN</v>
      </c>
      <c r="D146" s="53" t="str">
        <f ca="1">IFERROR(__xludf.DUMMYFUNCTION("""COMPUTED_VALUE"""),"Bình Tân")</f>
        <v>Bình Tân</v>
      </c>
      <c r="E146" s="53"/>
      <c r="F146" s="53"/>
      <c r="G146" s="53"/>
      <c r="H146" s="53"/>
      <c r="I146" s="53"/>
      <c r="J146" s="53"/>
      <c r="K146" s="53"/>
      <c r="L146" s="53"/>
      <c r="M146" s="53"/>
      <c r="N146" s="54">
        <f ca="1">IFERROR(__xludf.DUMMYFUNCTION("""COMPUTED_VALUE"""),7)</f>
        <v>7</v>
      </c>
      <c r="O146" s="54">
        <f ca="1">IFERROR(__xludf.DUMMYFUNCTION("""COMPUTED_VALUE"""),7)</f>
        <v>7</v>
      </c>
      <c r="P146" s="54"/>
      <c r="Q146" s="54">
        <f ca="1">IFERROR(__xludf.DUMMYFUNCTION("""COMPUTED_VALUE"""),6)</f>
        <v>6</v>
      </c>
      <c r="R146" s="54"/>
      <c r="S146" s="53"/>
      <c r="T146" s="53"/>
      <c r="U146" s="53"/>
      <c r="V146" s="53"/>
      <c r="W146" s="53"/>
      <c r="X146" s="53"/>
      <c r="Y146" s="53"/>
      <c r="Z146" s="2"/>
      <c r="AA146" s="2"/>
      <c r="AB146" s="2"/>
      <c r="AC146" s="2"/>
      <c r="AD146" s="2"/>
      <c r="AE146" s="2"/>
    </row>
    <row r="147" spans="1:31" ht="12.75" x14ac:dyDescent="0.2">
      <c r="A147" s="53">
        <f ca="1">IFERROR(__xludf.DUMMYFUNCTION("""COMPUTED_VALUE"""),19)</f>
        <v>19</v>
      </c>
      <c r="B147" s="53" t="str">
        <f ca="1">IFERROR(__xludf.DUMMYFUNCTION("""COMPUTED_VALUE"""),"LMN Thảo Vy")</f>
        <v>LMN Thảo Vy</v>
      </c>
      <c r="C147" s="53" t="str">
        <f ca="1">IFERROR(__xludf.DUMMYFUNCTION("""COMPUTED_VALUE"""),"MN")</f>
        <v>MN</v>
      </c>
      <c r="D147" s="53" t="str">
        <f ca="1">IFERROR(__xludf.DUMMYFUNCTION("""COMPUTED_VALUE"""),"Bình Tân")</f>
        <v>Bình Tân</v>
      </c>
      <c r="E147" s="53"/>
      <c r="F147" s="53"/>
      <c r="G147" s="53"/>
      <c r="H147" s="53"/>
      <c r="I147" s="53"/>
      <c r="J147" s="53"/>
      <c r="K147" s="53"/>
      <c r="L147" s="53"/>
      <c r="M147" s="53"/>
      <c r="N147" s="54">
        <f ca="1">IFERROR(__xludf.DUMMYFUNCTION("""COMPUTED_VALUE"""),22)</f>
        <v>22</v>
      </c>
      <c r="O147" s="54">
        <f ca="1">IFERROR(__xludf.DUMMYFUNCTION("""COMPUTED_VALUE"""),2)</f>
        <v>2</v>
      </c>
      <c r="P147" s="54"/>
      <c r="Q147" s="54">
        <f ca="1">IFERROR(__xludf.DUMMYFUNCTION("""COMPUTED_VALUE"""),2)</f>
        <v>2</v>
      </c>
      <c r="R147" s="54"/>
      <c r="S147" s="53"/>
      <c r="T147" s="53"/>
      <c r="U147" s="53"/>
      <c r="V147" s="53"/>
      <c r="W147" s="53"/>
      <c r="X147" s="53"/>
      <c r="Y147" s="53"/>
      <c r="Z147" s="2"/>
      <c r="AA147" s="2"/>
      <c r="AB147" s="2"/>
      <c r="AC147" s="2"/>
      <c r="AD147" s="2"/>
      <c r="AE147" s="2"/>
    </row>
    <row r="148" spans="1:31" ht="12.75" x14ac:dyDescent="0.2">
      <c r="A148" s="53">
        <f ca="1">IFERROR(__xludf.DUMMYFUNCTION("""COMPUTED_VALUE"""),20)</f>
        <v>20</v>
      </c>
      <c r="B148" s="53" t="str">
        <f ca="1">IFERROR(__xludf.DUMMYFUNCTION("""COMPUTED_VALUE"""),"LMN Rạng Đông")</f>
        <v>LMN Rạng Đông</v>
      </c>
      <c r="C148" s="53" t="str">
        <f ca="1">IFERROR(__xludf.DUMMYFUNCTION("""COMPUTED_VALUE"""),"MN")</f>
        <v>MN</v>
      </c>
      <c r="D148" s="53" t="str">
        <f ca="1">IFERROR(__xludf.DUMMYFUNCTION("""COMPUTED_VALUE"""),"Bình Tân")</f>
        <v>Bình Tân</v>
      </c>
      <c r="E148" s="53"/>
      <c r="F148" s="53"/>
      <c r="G148" s="53"/>
      <c r="H148" s="53"/>
      <c r="I148" s="53"/>
      <c r="J148" s="53"/>
      <c r="K148" s="53"/>
      <c r="L148" s="53"/>
      <c r="M148" s="53"/>
      <c r="N148" s="54">
        <f ca="1">IFERROR(__xludf.DUMMYFUNCTION("""COMPUTED_VALUE"""),31)</f>
        <v>31</v>
      </c>
      <c r="O148" s="54">
        <f ca="1">IFERROR(__xludf.DUMMYFUNCTION("""COMPUTED_VALUE"""),0)</f>
        <v>0</v>
      </c>
      <c r="P148" s="54"/>
      <c r="Q148" s="54">
        <f ca="1">IFERROR(__xludf.DUMMYFUNCTION("""COMPUTED_VALUE"""),0)</f>
        <v>0</v>
      </c>
      <c r="R148" s="54"/>
      <c r="S148" s="53"/>
      <c r="T148" s="53"/>
      <c r="U148" s="53"/>
      <c r="V148" s="53"/>
      <c r="W148" s="53"/>
      <c r="X148" s="53"/>
      <c r="Y148" s="53"/>
      <c r="Z148" s="2"/>
      <c r="AA148" s="2"/>
      <c r="AB148" s="2"/>
      <c r="AC148" s="2"/>
      <c r="AD148" s="2"/>
      <c r="AE148" s="2"/>
    </row>
    <row r="149" spans="1:31" ht="12.75" x14ac:dyDescent="0.2">
      <c r="A149" s="53">
        <f ca="1">IFERROR(__xludf.DUMMYFUNCTION("""COMPUTED_VALUE"""),21)</f>
        <v>21</v>
      </c>
      <c r="B149" s="53" t="str">
        <f ca="1">IFERROR(__xludf.DUMMYFUNCTION("""COMPUTED_VALUE"""),"Nhóm lớp Mây Hồng")</f>
        <v>Nhóm lớp Mây Hồng</v>
      </c>
      <c r="C149" s="53" t="str">
        <f ca="1">IFERROR(__xludf.DUMMYFUNCTION("""COMPUTED_VALUE"""),"MN")</f>
        <v>MN</v>
      </c>
      <c r="D149" s="53" t="str">
        <f ca="1">IFERROR(__xludf.DUMMYFUNCTION("""COMPUTED_VALUE"""),"Bình Tân")</f>
        <v>Bình Tân</v>
      </c>
      <c r="E149" s="53"/>
      <c r="F149" s="53"/>
      <c r="G149" s="53"/>
      <c r="H149" s="53"/>
      <c r="I149" s="53"/>
      <c r="J149" s="53"/>
      <c r="K149" s="53"/>
      <c r="L149" s="53"/>
      <c r="M149" s="53"/>
      <c r="N149" s="54">
        <f ca="1">IFERROR(__xludf.DUMMYFUNCTION("""COMPUTED_VALUE"""),3)</f>
        <v>3</v>
      </c>
      <c r="O149" s="54">
        <f ca="1">IFERROR(__xludf.DUMMYFUNCTION("""COMPUTED_VALUE"""),0)</f>
        <v>0</v>
      </c>
      <c r="P149" s="54"/>
      <c r="Q149" s="54">
        <f ca="1">IFERROR(__xludf.DUMMYFUNCTION("""COMPUTED_VALUE"""),0)</f>
        <v>0</v>
      </c>
      <c r="R149" s="54"/>
      <c r="S149" s="53"/>
      <c r="T149" s="53"/>
      <c r="U149" s="53"/>
      <c r="V149" s="53"/>
      <c r="W149" s="53"/>
      <c r="X149" s="53"/>
      <c r="Y149" s="53"/>
      <c r="Z149" s="2"/>
      <c r="AA149" s="2"/>
      <c r="AB149" s="2"/>
      <c r="AC149" s="2"/>
      <c r="AD149" s="2"/>
      <c r="AE149" s="2"/>
    </row>
    <row r="150" spans="1:31" ht="12.75" x14ac:dyDescent="0.2">
      <c r="A150" s="53"/>
      <c r="B150" s="53" t="str">
        <f ca="1">IFERROR(__xludf.DUMMYFUNCTION("""COMPUTED_VALUE"""),"5. Bình Hưng Hòa B")</f>
        <v>5. Bình Hưng Hòa B</v>
      </c>
      <c r="C150" s="53" t="str">
        <f ca="1">IFERROR(__xludf.DUMMYFUNCTION("""COMPUTED_VALUE"""),"MN")</f>
        <v>MN</v>
      </c>
      <c r="D150" s="53" t="str">
        <f ca="1">IFERROR(__xludf.DUMMYFUNCTION("""COMPUTED_VALUE"""),"Bình Tân")</f>
        <v>Bình Tân</v>
      </c>
      <c r="E150" s="53"/>
      <c r="F150" s="53"/>
      <c r="G150" s="53"/>
      <c r="H150" s="53"/>
      <c r="I150" s="53"/>
      <c r="J150" s="53"/>
      <c r="K150" s="53"/>
      <c r="L150" s="53"/>
      <c r="M150" s="53"/>
      <c r="N150" s="53"/>
      <c r="O150" s="53"/>
      <c r="P150" s="53"/>
      <c r="Q150" s="53"/>
      <c r="R150" s="53"/>
      <c r="S150" s="53"/>
      <c r="T150" s="53"/>
      <c r="U150" s="53"/>
      <c r="V150" s="53"/>
      <c r="W150" s="53"/>
      <c r="X150" s="53"/>
      <c r="Y150" s="53"/>
      <c r="Z150" s="2"/>
      <c r="AA150" s="2"/>
      <c r="AB150" s="2"/>
      <c r="AC150" s="2"/>
      <c r="AD150" s="2"/>
      <c r="AE150" s="2"/>
    </row>
    <row r="151" spans="1:31" ht="12.75" x14ac:dyDescent="0.2">
      <c r="A151" s="53">
        <f ca="1">IFERROR(__xludf.DUMMYFUNCTION("""COMPUTED_VALUE"""),1)</f>
        <v>1</v>
      </c>
      <c r="B151" s="53" t="str">
        <f ca="1">IFERROR(__xludf.DUMMYFUNCTION("""COMPUTED_VALUE"""),"MNTT 01/06")</f>
        <v>MNTT 01/06</v>
      </c>
      <c r="C151" s="53" t="str">
        <f ca="1">IFERROR(__xludf.DUMMYFUNCTION("""COMPUTED_VALUE"""),"MN")</f>
        <v>MN</v>
      </c>
      <c r="D151" s="53" t="str">
        <f ca="1">IFERROR(__xludf.DUMMYFUNCTION("""COMPUTED_VALUE"""),"Bình Tân")</f>
        <v>Bình Tân</v>
      </c>
      <c r="E151" s="53"/>
      <c r="F151" s="53"/>
      <c r="G151" s="53"/>
      <c r="H151" s="53"/>
      <c r="I151" s="53"/>
      <c r="J151" s="53"/>
      <c r="K151" s="53"/>
      <c r="L151" s="53"/>
      <c r="M151" s="53"/>
      <c r="N151" s="54">
        <f ca="1">IFERROR(__xludf.DUMMYFUNCTION("""COMPUTED_VALUE"""),45)</f>
        <v>45</v>
      </c>
      <c r="O151" s="54">
        <f ca="1">IFERROR(__xludf.DUMMYFUNCTION("""COMPUTED_VALUE"""),3)</f>
        <v>3</v>
      </c>
      <c r="P151" s="54"/>
      <c r="Q151" s="54">
        <f ca="1">IFERROR(__xludf.DUMMYFUNCTION("""COMPUTED_VALUE"""),3)</f>
        <v>3</v>
      </c>
      <c r="R151" s="54"/>
      <c r="S151" s="53"/>
      <c r="T151" s="53"/>
      <c r="U151" s="53"/>
      <c r="V151" s="53"/>
      <c r="W151" s="53"/>
      <c r="X151" s="53"/>
      <c r="Y151" s="53"/>
      <c r="Z151" s="2"/>
      <c r="AA151" s="2"/>
      <c r="AB151" s="2"/>
      <c r="AC151" s="2"/>
      <c r="AD151" s="2"/>
      <c r="AE151" s="2"/>
    </row>
    <row r="152" spans="1:31" ht="12.75" x14ac:dyDescent="0.2">
      <c r="A152" s="53">
        <f ca="1">IFERROR(__xludf.DUMMYFUNCTION("""COMPUTED_VALUE"""),2)</f>
        <v>2</v>
      </c>
      <c r="B152" s="53" t="str">
        <f ca="1">IFERROR(__xludf.DUMMYFUNCTION("""COMPUTED_VALUE"""),"MNTT Anpha Miền Nam")</f>
        <v>MNTT Anpha Miền Nam</v>
      </c>
      <c r="C152" s="53" t="str">
        <f ca="1">IFERROR(__xludf.DUMMYFUNCTION("""COMPUTED_VALUE"""),"MN")</f>
        <v>MN</v>
      </c>
      <c r="D152" s="53" t="str">
        <f ca="1">IFERROR(__xludf.DUMMYFUNCTION("""COMPUTED_VALUE"""),"Bình Tân")</f>
        <v>Bình Tân</v>
      </c>
      <c r="E152" s="53"/>
      <c r="F152" s="53"/>
      <c r="G152" s="53"/>
      <c r="H152" s="53"/>
      <c r="I152" s="53"/>
      <c r="J152" s="53"/>
      <c r="K152" s="53"/>
      <c r="L152" s="53"/>
      <c r="M152" s="53"/>
      <c r="N152" s="54">
        <f ca="1">IFERROR(__xludf.DUMMYFUNCTION("""COMPUTED_VALUE"""),16)</f>
        <v>16</v>
      </c>
      <c r="O152" s="54">
        <f ca="1">IFERROR(__xludf.DUMMYFUNCTION("""COMPUTED_VALUE"""),0)</f>
        <v>0</v>
      </c>
      <c r="P152" s="54"/>
      <c r="Q152" s="54">
        <f ca="1">IFERROR(__xludf.DUMMYFUNCTION("""COMPUTED_VALUE"""),0)</f>
        <v>0</v>
      </c>
      <c r="R152" s="54"/>
      <c r="S152" s="53"/>
      <c r="T152" s="53"/>
      <c r="U152" s="53"/>
      <c r="V152" s="53"/>
      <c r="W152" s="53"/>
      <c r="X152" s="53"/>
      <c r="Y152" s="53"/>
      <c r="Z152" s="2"/>
      <c r="AA152" s="2"/>
      <c r="AB152" s="2"/>
      <c r="AC152" s="2"/>
      <c r="AD152" s="2"/>
      <c r="AE152" s="2"/>
    </row>
    <row r="153" spans="1:31" ht="12.75" x14ac:dyDescent="0.2">
      <c r="A153" s="53">
        <f ca="1">IFERROR(__xludf.DUMMYFUNCTION("""COMPUTED_VALUE"""),3)</f>
        <v>3</v>
      </c>
      <c r="B153" s="53" t="str">
        <f ca="1">IFERROR(__xludf.DUMMYFUNCTION("""COMPUTED_VALUE"""),"MNTT Bé Xinh")</f>
        <v>MNTT Bé Xinh</v>
      </c>
      <c r="C153" s="53" t="str">
        <f ca="1">IFERROR(__xludf.DUMMYFUNCTION("""COMPUTED_VALUE"""),"MN")</f>
        <v>MN</v>
      </c>
      <c r="D153" s="53" t="str">
        <f ca="1">IFERROR(__xludf.DUMMYFUNCTION("""COMPUTED_VALUE"""),"Bình Tân")</f>
        <v>Bình Tân</v>
      </c>
      <c r="E153" s="53"/>
      <c r="F153" s="53"/>
      <c r="G153" s="53"/>
      <c r="H153" s="53"/>
      <c r="I153" s="53"/>
      <c r="J153" s="53"/>
      <c r="K153" s="53"/>
      <c r="L153" s="53"/>
      <c r="M153" s="53"/>
      <c r="N153" s="54">
        <f ca="1">IFERROR(__xludf.DUMMYFUNCTION("""COMPUTED_VALUE"""),102)</f>
        <v>102</v>
      </c>
      <c r="O153" s="54">
        <f ca="1">IFERROR(__xludf.DUMMYFUNCTION("""COMPUTED_VALUE"""),18)</f>
        <v>18</v>
      </c>
      <c r="P153" s="54"/>
      <c r="Q153" s="54">
        <f ca="1">IFERROR(__xludf.DUMMYFUNCTION("""COMPUTED_VALUE"""),0)</f>
        <v>0</v>
      </c>
      <c r="R153" s="54"/>
      <c r="S153" s="53"/>
      <c r="T153" s="53"/>
      <c r="U153" s="53"/>
      <c r="V153" s="53"/>
      <c r="W153" s="53"/>
      <c r="X153" s="53"/>
      <c r="Y153" s="53"/>
      <c r="Z153" s="2"/>
      <c r="AA153" s="2"/>
      <c r="AB153" s="2"/>
      <c r="AC153" s="2"/>
      <c r="AD153" s="2"/>
      <c r="AE153" s="2"/>
    </row>
    <row r="154" spans="1:31" ht="12.75" x14ac:dyDescent="0.2">
      <c r="A154" s="53">
        <f ca="1">IFERROR(__xludf.DUMMYFUNCTION("""COMPUTED_VALUE"""),4)</f>
        <v>4</v>
      </c>
      <c r="B154" s="53" t="str">
        <f ca="1">IFERROR(__xludf.DUMMYFUNCTION("""COMPUTED_VALUE"""),"MNTT Hoa Lan")</f>
        <v>MNTT Hoa Lan</v>
      </c>
      <c r="C154" s="53" t="str">
        <f ca="1">IFERROR(__xludf.DUMMYFUNCTION("""COMPUTED_VALUE"""),"MN")</f>
        <v>MN</v>
      </c>
      <c r="D154" s="53" t="str">
        <f ca="1">IFERROR(__xludf.DUMMYFUNCTION("""COMPUTED_VALUE"""),"Bình Tân")</f>
        <v>Bình Tân</v>
      </c>
      <c r="E154" s="53"/>
      <c r="F154" s="53"/>
      <c r="G154" s="53"/>
      <c r="H154" s="53"/>
      <c r="I154" s="53"/>
      <c r="J154" s="53"/>
      <c r="K154" s="53"/>
      <c r="L154" s="53"/>
      <c r="M154" s="53"/>
      <c r="N154" s="54">
        <f ca="1">IFERROR(__xludf.DUMMYFUNCTION("""COMPUTED_VALUE"""),19)</f>
        <v>19</v>
      </c>
      <c r="O154" s="54">
        <f ca="1">IFERROR(__xludf.DUMMYFUNCTION("""COMPUTED_VALUE"""),2)</f>
        <v>2</v>
      </c>
      <c r="P154" s="54"/>
      <c r="Q154" s="54">
        <f ca="1">IFERROR(__xludf.DUMMYFUNCTION("""COMPUTED_VALUE"""),0)</f>
        <v>0</v>
      </c>
      <c r="R154" s="54"/>
      <c r="S154" s="53"/>
      <c r="T154" s="53"/>
      <c r="U154" s="53"/>
      <c r="V154" s="53"/>
      <c r="W154" s="53"/>
      <c r="X154" s="53"/>
      <c r="Y154" s="53"/>
      <c r="Z154" s="2"/>
      <c r="AA154" s="2"/>
      <c r="AB154" s="2"/>
      <c r="AC154" s="2"/>
      <c r="AD154" s="2"/>
      <c r="AE154" s="2"/>
    </row>
    <row r="155" spans="1:31" ht="12.75" x14ac:dyDescent="0.2">
      <c r="A155" s="53">
        <f ca="1">IFERROR(__xludf.DUMMYFUNCTION("""COMPUTED_VALUE"""),5)</f>
        <v>5</v>
      </c>
      <c r="B155" s="53" t="str">
        <f ca="1">IFERROR(__xludf.DUMMYFUNCTION("""COMPUTED_VALUE"""),"MNTT Âu Mỹ")</f>
        <v>MNTT Âu Mỹ</v>
      </c>
      <c r="C155" s="53" t="str">
        <f ca="1">IFERROR(__xludf.DUMMYFUNCTION("""COMPUTED_VALUE"""),"MN")</f>
        <v>MN</v>
      </c>
      <c r="D155" s="53" t="str">
        <f ca="1">IFERROR(__xludf.DUMMYFUNCTION("""COMPUTED_VALUE"""),"Bình Tân")</f>
        <v>Bình Tân</v>
      </c>
      <c r="E155" s="53"/>
      <c r="F155" s="53"/>
      <c r="G155" s="53"/>
      <c r="H155" s="53"/>
      <c r="I155" s="53"/>
      <c r="J155" s="53"/>
      <c r="K155" s="53"/>
      <c r="L155" s="53"/>
      <c r="M155" s="53"/>
      <c r="N155" s="54">
        <f ca="1">IFERROR(__xludf.DUMMYFUNCTION("""COMPUTED_VALUE"""),1)</f>
        <v>1</v>
      </c>
      <c r="O155" s="54">
        <f ca="1">IFERROR(__xludf.DUMMYFUNCTION("""COMPUTED_VALUE"""),0)</f>
        <v>0</v>
      </c>
      <c r="P155" s="54"/>
      <c r="Q155" s="54">
        <f ca="1">IFERROR(__xludf.DUMMYFUNCTION("""COMPUTED_VALUE"""),0)</f>
        <v>0</v>
      </c>
      <c r="R155" s="54"/>
      <c r="S155" s="53"/>
      <c r="T155" s="53"/>
      <c r="U155" s="53"/>
      <c r="V155" s="53"/>
      <c r="W155" s="53"/>
      <c r="X155" s="53"/>
      <c r="Y155" s="53"/>
      <c r="Z155" s="2"/>
      <c r="AA155" s="2"/>
      <c r="AB155" s="2"/>
      <c r="AC155" s="2"/>
      <c r="AD155" s="2"/>
      <c r="AE155" s="2"/>
    </row>
    <row r="156" spans="1:31" ht="12.75" x14ac:dyDescent="0.2">
      <c r="A156" s="53">
        <f ca="1">IFERROR(__xludf.DUMMYFUNCTION("""COMPUTED_VALUE"""),6)</f>
        <v>6</v>
      </c>
      <c r="B156" s="53" t="str">
        <f ca="1">IFERROR(__xludf.DUMMYFUNCTION("""COMPUTED_VALUE"""),"MNTT Kim Anh")</f>
        <v>MNTT Kim Anh</v>
      </c>
      <c r="C156" s="53" t="str">
        <f ca="1">IFERROR(__xludf.DUMMYFUNCTION("""COMPUTED_VALUE"""),"MN")</f>
        <v>MN</v>
      </c>
      <c r="D156" s="53" t="str">
        <f ca="1">IFERROR(__xludf.DUMMYFUNCTION("""COMPUTED_VALUE"""),"Bình Tân")</f>
        <v>Bình Tân</v>
      </c>
      <c r="E156" s="53"/>
      <c r="F156" s="53"/>
      <c r="G156" s="53"/>
      <c r="H156" s="53"/>
      <c r="I156" s="53"/>
      <c r="J156" s="53"/>
      <c r="K156" s="53"/>
      <c r="L156" s="53"/>
      <c r="M156" s="53"/>
      <c r="N156" s="54">
        <f ca="1">IFERROR(__xludf.DUMMYFUNCTION("""COMPUTED_VALUE"""),60)</f>
        <v>60</v>
      </c>
      <c r="O156" s="54">
        <f ca="1">IFERROR(__xludf.DUMMYFUNCTION("""COMPUTED_VALUE"""),29)</f>
        <v>29</v>
      </c>
      <c r="P156" s="54"/>
      <c r="Q156" s="54">
        <f ca="1">IFERROR(__xludf.DUMMYFUNCTION("""COMPUTED_VALUE"""),19)</f>
        <v>19</v>
      </c>
      <c r="R156" s="54"/>
      <c r="S156" s="53"/>
      <c r="T156" s="53"/>
      <c r="U156" s="53"/>
      <c r="V156" s="53"/>
      <c r="W156" s="53"/>
      <c r="X156" s="53"/>
      <c r="Y156" s="53"/>
      <c r="Z156" s="2"/>
      <c r="AA156" s="2"/>
      <c r="AB156" s="2"/>
      <c r="AC156" s="2"/>
      <c r="AD156" s="2"/>
      <c r="AE156" s="2"/>
    </row>
    <row r="157" spans="1:31" ht="12.75" x14ac:dyDescent="0.2">
      <c r="A157" s="53">
        <f ca="1">IFERROR(__xludf.DUMMYFUNCTION("""COMPUTED_VALUE"""),7)</f>
        <v>7</v>
      </c>
      <c r="B157" s="53" t="str">
        <f ca="1">IFERROR(__xludf.DUMMYFUNCTION("""COMPUTED_VALUE"""),"MNTT Nam Mỹ")</f>
        <v>MNTT Nam Mỹ</v>
      </c>
      <c r="C157" s="53" t="str">
        <f ca="1">IFERROR(__xludf.DUMMYFUNCTION("""COMPUTED_VALUE"""),"MN")</f>
        <v>MN</v>
      </c>
      <c r="D157" s="53" t="str">
        <f ca="1">IFERROR(__xludf.DUMMYFUNCTION("""COMPUTED_VALUE"""),"Bình Tân")</f>
        <v>Bình Tân</v>
      </c>
      <c r="E157" s="53"/>
      <c r="F157" s="53"/>
      <c r="G157" s="53"/>
      <c r="H157" s="53"/>
      <c r="I157" s="53"/>
      <c r="J157" s="53"/>
      <c r="K157" s="53"/>
      <c r="L157" s="53"/>
      <c r="M157" s="53"/>
      <c r="N157" s="54">
        <f ca="1">IFERROR(__xludf.DUMMYFUNCTION("""COMPUTED_VALUE"""),45)</f>
        <v>45</v>
      </c>
      <c r="O157" s="54">
        <f ca="1">IFERROR(__xludf.DUMMYFUNCTION("""COMPUTED_VALUE"""),9)</f>
        <v>9</v>
      </c>
      <c r="P157" s="54"/>
      <c r="Q157" s="54">
        <f ca="1">IFERROR(__xludf.DUMMYFUNCTION("""COMPUTED_VALUE"""),6)</f>
        <v>6</v>
      </c>
      <c r="R157" s="54"/>
      <c r="S157" s="53"/>
      <c r="T157" s="53"/>
      <c r="U157" s="53"/>
      <c r="V157" s="53"/>
      <c r="W157" s="53"/>
      <c r="X157" s="53"/>
      <c r="Y157" s="53"/>
      <c r="Z157" s="2"/>
      <c r="AA157" s="2"/>
      <c r="AB157" s="2"/>
      <c r="AC157" s="2"/>
      <c r="AD157" s="2"/>
      <c r="AE157" s="2"/>
    </row>
    <row r="158" spans="1:31" ht="12.75" x14ac:dyDescent="0.2">
      <c r="A158" s="53">
        <f ca="1">IFERROR(__xludf.DUMMYFUNCTION("""COMPUTED_VALUE"""),8)</f>
        <v>8</v>
      </c>
      <c r="B158" s="53" t="str">
        <f ca="1">IFERROR(__xludf.DUMMYFUNCTION("""COMPUTED_VALUE"""),"MNTT Trí Tuệ Việt")</f>
        <v>MNTT Trí Tuệ Việt</v>
      </c>
      <c r="C158" s="53" t="str">
        <f ca="1">IFERROR(__xludf.DUMMYFUNCTION("""COMPUTED_VALUE"""),"MN")</f>
        <v>MN</v>
      </c>
      <c r="D158" s="53" t="str">
        <f ca="1">IFERROR(__xludf.DUMMYFUNCTION("""COMPUTED_VALUE"""),"Bình Tân")</f>
        <v>Bình Tân</v>
      </c>
      <c r="E158" s="53"/>
      <c r="F158" s="53"/>
      <c r="G158" s="53"/>
      <c r="H158" s="53"/>
      <c r="I158" s="53"/>
      <c r="J158" s="53"/>
      <c r="K158" s="53"/>
      <c r="L158" s="53"/>
      <c r="M158" s="53"/>
      <c r="N158" s="54">
        <f ca="1">IFERROR(__xludf.DUMMYFUNCTION("""COMPUTED_VALUE"""),128)</f>
        <v>128</v>
      </c>
      <c r="O158" s="54">
        <f ca="1">IFERROR(__xludf.DUMMYFUNCTION("""COMPUTED_VALUE"""),11)</f>
        <v>11</v>
      </c>
      <c r="P158" s="54"/>
      <c r="Q158" s="54">
        <f ca="1">IFERROR(__xludf.DUMMYFUNCTION("""COMPUTED_VALUE"""),6)</f>
        <v>6</v>
      </c>
      <c r="R158" s="54"/>
      <c r="S158" s="53"/>
      <c r="T158" s="53"/>
      <c r="U158" s="53"/>
      <c r="V158" s="53"/>
      <c r="W158" s="53"/>
      <c r="X158" s="53"/>
      <c r="Y158" s="53"/>
      <c r="Z158" s="2"/>
      <c r="AA158" s="2"/>
      <c r="AB158" s="2"/>
      <c r="AC158" s="2"/>
      <c r="AD158" s="2"/>
      <c r="AE158" s="2"/>
    </row>
    <row r="159" spans="1:31" ht="12.75" x14ac:dyDescent="0.2">
      <c r="A159" s="53">
        <f ca="1">IFERROR(__xludf.DUMMYFUNCTION("""COMPUTED_VALUE"""),9)</f>
        <v>9</v>
      </c>
      <c r="B159" s="53" t="str">
        <f ca="1">IFERROR(__xludf.DUMMYFUNCTION("""COMPUTED_VALUE"""),"MNTT Trúc Việt")</f>
        <v>MNTT Trúc Việt</v>
      </c>
      <c r="C159" s="53" t="str">
        <f ca="1">IFERROR(__xludf.DUMMYFUNCTION("""COMPUTED_VALUE"""),"MN")</f>
        <v>MN</v>
      </c>
      <c r="D159" s="53" t="str">
        <f ca="1">IFERROR(__xludf.DUMMYFUNCTION("""COMPUTED_VALUE"""),"Bình Tân")</f>
        <v>Bình Tân</v>
      </c>
      <c r="E159" s="53"/>
      <c r="F159" s="53"/>
      <c r="G159" s="53"/>
      <c r="H159" s="53"/>
      <c r="I159" s="53"/>
      <c r="J159" s="53"/>
      <c r="K159" s="53"/>
      <c r="L159" s="53"/>
      <c r="M159" s="53"/>
      <c r="N159" s="54">
        <f ca="1">IFERROR(__xludf.DUMMYFUNCTION("""COMPUTED_VALUE"""),48)</f>
        <v>48</v>
      </c>
      <c r="O159" s="54">
        <f ca="1">IFERROR(__xludf.DUMMYFUNCTION("""COMPUTED_VALUE"""),6)</f>
        <v>6</v>
      </c>
      <c r="P159" s="54"/>
      <c r="Q159" s="54">
        <f ca="1">IFERROR(__xludf.DUMMYFUNCTION("""COMPUTED_VALUE"""),4)</f>
        <v>4</v>
      </c>
      <c r="R159" s="54"/>
      <c r="S159" s="53"/>
      <c r="T159" s="53"/>
      <c r="U159" s="53"/>
      <c r="V159" s="53"/>
      <c r="W159" s="53"/>
      <c r="X159" s="53"/>
      <c r="Y159" s="53"/>
      <c r="Z159" s="2"/>
      <c r="AA159" s="2"/>
      <c r="AB159" s="2"/>
      <c r="AC159" s="2"/>
      <c r="AD159" s="2"/>
      <c r="AE159" s="2"/>
    </row>
    <row r="160" spans="1:31" ht="12.75" x14ac:dyDescent="0.2">
      <c r="A160" s="53">
        <f ca="1">IFERROR(__xludf.DUMMYFUNCTION("""COMPUTED_VALUE"""),10)</f>
        <v>10</v>
      </c>
      <c r="B160" s="53" t="str">
        <f ca="1">IFERROR(__xludf.DUMMYFUNCTION("""COMPUTED_VALUE"""),"MNTT Thanh Thư")</f>
        <v>MNTT Thanh Thư</v>
      </c>
      <c r="C160" s="53" t="str">
        <f ca="1">IFERROR(__xludf.DUMMYFUNCTION("""COMPUTED_VALUE"""),"MN")</f>
        <v>MN</v>
      </c>
      <c r="D160" s="53" t="str">
        <f ca="1">IFERROR(__xludf.DUMMYFUNCTION("""COMPUTED_VALUE"""),"Bình Tân")</f>
        <v>Bình Tân</v>
      </c>
      <c r="E160" s="53"/>
      <c r="F160" s="53"/>
      <c r="G160" s="53"/>
      <c r="H160" s="53"/>
      <c r="I160" s="53"/>
      <c r="J160" s="53"/>
      <c r="K160" s="53"/>
      <c r="L160" s="53"/>
      <c r="M160" s="53"/>
      <c r="N160" s="54">
        <f ca="1">IFERROR(__xludf.DUMMYFUNCTION("""COMPUTED_VALUE"""),15)</f>
        <v>15</v>
      </c>
      <c r="O160" s="54">
        <f ca="1">IFERROR(__xludf.DUMMYFUNCTION("""COMPUTED_VALUE"""),1)</f>
        <v>1</v>
      </c>
      <c r="P160" s="54"/>
      <c r="Q160" s="54">
        <f ca="1">IFERROR(__xludf.DUMMYFUNCTION("""COMPUTED_VALUE"""),1)</f>
        <v>1</v>
      </c>
      <c r="R160" s="54"/>
      <c r="S160" s="53"/>
      <c r="T160" s="53"/>
      <c r="U160" s="53"/>
      <c r="V160" s="53"/>
      <c r="W160" s="53"/>
      <c r="X160" s="53"/>
      <c r="Y160" s="53"/>
      <c r="Z160" s="2"/>
      <c r="AA160" s="2"/>
      <c r="AB160" s="2"/>
      <c r="AC160" s="2"/>
      <c r="AD160" s="2"/>
      <c r="AE160" s="2"/>
    </row>
    <row r="161" spans="1:31" ht="12.75" x14ac:dyDescent="0.2">
      <c r="A161" s="53">
        <f ca="1">IFERROR(__xludf.DUMMYFUNCTION("""COMPUTED_VALUE"""),11)</f>
        <v>11</v>
      </c>
      <c r="B161" s="53" t="str">
        <f ca="1">IFERROR(__xludf.DUMMYFUNCTION("""COMPUTED_VALUE"""),"LMG An Tâm")</f>
        <v>LMG An Tâm</v>
      </c>
      <c r="C161" s="53" t="str">
        <f ca="1">IFERROR(__xludf.DUMMYFUNCTION("""COMPUTED_VALUE"""),"MN")</f>
        <v>MN</v>
      </c>
      <c r="D161" s="53" t="str">
        <f ca="1">IFERROR(__xludf.DUMMYFUNCTION("""COMPUTED_VALUE"""),"Bình Tân")</f>
        <v>Bình Tân</v>
      </c>
      <c r="E161" s="53"/>
      <c r="F161" s="53"/>
      <c r="G161" s="53"/>
      <c r="H161" s="53"/>
      <c r="I161" s="53"/>
      <c r="J161" s="53"/>
      <c r="K161" s="53"/>
      <c r="L161" s="53"/>
      <c r="M161" s="53"/>
      <c r="N161" s="54">
        <f ca="1">IFERROR(__xludf.DUMMYFUNCTION("""COMPUTED_VALUE"""),15)</f>
        <v>15</v>
      </c>
      <c r="O161" s="54">
        <f ca="1">IFERROR(__xludf.DUMMYFUNCTION("""COMPUTED_VALUE"""),2)</f>
        <v>2</v>
      </c>
      <c r="P161" s="54"/>
      <c r="Q161" s="54">
        <f ca="1">IFERROR(__xludf.DUMMYFUNCTION("""COMPUTED_VALUE"""),1)</f>
        <v>1</v>
      </c>
      <c r="R161" s="54"/>
      <c r="S161" s="53"/>
      <c r="T161" s="53"/>
      <c r="U161" s="53"/>
      <c r="V161" s="53"/>
      <c r="W161" s="53"/>
      <c r="X161" s="53"/>
      <c r="Y161" s="53"/>
      <c r="Z161" s="2"/>
      <c r="AA161" s="2"/>
      <c r="AB161" s="2"/>
      <c r="AC161" s="2"/>
      <c r="AD161" s="2"/>
      <c r="AE161" s="2"/>
    </row>
    <row r="162" spans="1:31" ht="12.75" x14ac:dyDescent="0.2">
      <c r="A162" s="53">
        <f ca="1">IFERROR(__xludf.DUMMYFUNCTION("""COMPUTED_VALUE"""),12)</f>
        <v>12</v>
      </c>
      <c r="B162" s="53" t="str">
        <f ca="1">IFERROR(__xludf.DUMMYFUNCTION("""COMPUTED_VALUE"""),"LMG Ánh Dương Hồng")</f>
        <v>LMG Ánh Dương Hồng</v>
      </c>
      <c r="C162" s="53" t="str">
        <f ca="1">IFERROR(__xludf.DUMMYFUNCTION("""COMPUTED_VALUE"""),"MN")</f>
        <v>MN</v>
      </c>
      <c r="D162" s="53" t="str">
        <f ca="1">IFERROR(__xludf.DUMMYFUNCTION("""COMPUTED_VALUE"""),"Bình Tân")</f>
        <v>Bình Tân</v>
      </c>
      <c r="E162" s="53"/>
      <c r="F162" s="53"/>
      <c r="G162" s="53"/>
      <c r="H162" s="53"/>
      <c r="I162" s="53"/>
      <c r="J162" s="53"/>
      <c r="K162" s="53"/>
      <c r="L162" s="53"/>
      <c r="M162" s="53"/>
      <c r="N162" s="54">
        <f ca="1">IFERROR(__xludf.DUMMYFUNCTION("""COMPUTED_VALUE"""),34)</f>
        <v>34</v>
      </c>
      <c r="O162" s="54">
        <f ca="1">IFERROR(__xludf.DUMMYFUNCTION("""COMPUTED_VALUE"""),4)</f>
        <v>4</v>
      </c>
      <c r="P162" s="54"/>
      <c r="Q162" s="54">
        <f ca="1">IFERROR(__xludf.DUMMYFUNCTION("""COMPUTED_VALUE"""),0)</f>
        <v>0</v>
      </c>
      <c r="R162" s="54"/>
      <c r="S162" s="53"/>
      <c r="T162" s="53"/>
      <c r="U162" s="53"/>
      <c r="V162" s="53"/>
      <c r="W162" s="53"/>
      <c r="X162" s="53"/>
      <c r="Y162" s="53"/>
      <c r="Z162" s="2"/>
      <c r="AA162" s="2"/>
      <c r="AB162" s="2"/>
      <c r="AC162" s="2"/>
      <c r="AD162" s="2"/>
      <c r="AE162" s="2"/>
    </row>
    <row r="163" spans="1:31" ht="12.75" x14ac:dyDescent="0.2">
      <c r="A163" s="53">
        <f ca="1">IFERROR(__xludf.DUMMYFUNCTION("""COMPUTED_VALUE"""),13)</f>
        <v>13</v>
      </c>
      <c r="B163" s="53" t="str">
        <f ca="1">IFERROR(__xludf.DUMMYFUNCTION("""COMPUTED_VALUE"""),"LMG Ánh Nguyệt")</f>
        <v>LMG Ánh Nguyệt</v>
      </c>
      <c r="C163" s="53" t="str">
        <f ca="1">IFERROR(__xludf.DUMMYFUNCTION("""COMPUTED_VALUE"""),"MN")</f>
        <v>MN</v>
      </c>
      <c r="D163" s="53" t="str">
        <f ca="1">IFERROR(__xludf.DUMMYFUNCTION("""COMPUTED_VALUE"""),"Bình Tân")</f>
        <v>Bình Tân</v>
      </c>
      <c r="E163" s="53"/>
      <c r="F163" s="53"/>
      <c r="G163" s="53"/>
      <c r="H163" s="53"/>
      <c r="I163" s="53"/>
      <c r="J163" s="53"/>
      <c r="K163" s="53"/>
      <c r="L163" s="53"/>
      <c r="M163" s="53"/>
      <c r="N163" s="54">
        <f ca="1">IFERROR(__xludf.DUMMYFUNCTION("""COMPUTED_VALUE"""),18)</f>
        <v>18</v>
      </c>
      <c r="O163" s="54">
        <f ca="1">IFERROR(__xludf.DUMMYFUNCTION("""COMPUTED_VALUE"""),0)</f>
        <v>0</v>
      </c>
      <c r="P163" s="54"/>
      <c r="Q163" s="54">
        <f ca="1">IFERROR(__xludf.DUMMYFUNCTION("""COMPUTED_VALUE"""),0)</f>
        <v>0</v>
      </c>
      <c r="R163" s="54"/>
      <c r="S163" s="53"/>
      <c r="T163" s="53"/>
      <c r="U163" s="53"/>
      <c r="V163" s="53"/>
      <c r="W163" s="53"/>
      <c r="X163" s="53"/>
      <c r="Y163" s="53"/>
      <c r="Z163" s="2"/>
      <c r="AA163" s="2"/>
      <c r="AB163" s="2"/>
      <c r="AC163" s="2"/>
      <c r="AD163" s="2"/>
      <c r="AE163" s="2"/>
    </row>
    <row r="164" spans="1:31" ht="12.75" x14ac:dyDescent="0.2">
      <c r="A164" s="53">
        <f ca="1">IFERROR(__xludf.DUMMYFUNCTION("""COMPUTED_VALUE"""),14)</f>
        <v>14</v>
      </c>
      <c r="B164" s="53" t="str">
        <f ca="1">IFERROR(__xludf.DUMMYFUNCTION("""COMPUTED_VALUE"""),"LMG Hằng Nga")</f>
        <v>LMG Hằng Nga</v>
      </c>
      <c r="C164" s="53" t="str">
        <f ca="1">IFERROR(__xludf.DUMMYFUNCTION("""COMPUTED_VALUE"""),"MN")</f>
        <v>MN</v>
      </c>
      <c r="D164" s="53" t="str">
        <f ca="1">IFERROR(__xludf.DUMMYFUNCTION("""COMPUTED_VALUE"""),"Bình Tân")</f>
        <v>Bình Tân</v>
      </c>
      <c r="E164" s="53"/>
      <c r="F164" s="53"/>
      <c r="G164" s="53"/>
      <c r="H164" s="53"/>
      <c r="I164" s="53"/>
      <c r="J164" s="53"/>
      <c r="K164" s="53"/>
      <c r="L164" s="53"/>
      <c r="M164" s="53"/>
      <c r="N164" s="54">
        <f ca="1">IFERROR(__xludf.DUMMYFUNCTION("""COMPUTED_VALUE"""),24)</f>
        <v>24</v>
      </c>
      <c r="O164" s="54">
        <f ca="1">IFERROR(__xludf.DUMMYFUNCTION("""COMPUTED_VALUE"""),3)</f>
        <v>3</v>
      </c>
      <c r="P164" s="54"/>
      <c r="Q164" s="54">
        <f ca="1">IFERROR(__xludf.DUMMYFUNCTION("""COMPUTED_VALUE"""),0)</f>
        <v>0</v>
      </c>
      <c r="R164" s="54"/>
      <c r="S164" s="53"/>
      <c r="T164" s="53"/>
      <c r="U164" s="53"/>
      <c r="V164" s="53"/>
      <c r="W164" s="53"/>
      <c r="X164" s="53"/>
      <c r="Y164" s="53"/>
      <c r="Z164" s="2"/>
      <c r="AA164" s="2"/>
      <c r="AB164" s="2"/>
      <c r="AC164" s="2"/>
      <c r="AD164" s="2"/>
      <c r="AE164" s="2"/>
    </row>
    <row r="165" spans="1:31" ht="12.75" x14ac:dyDescent="0.2">
      <c r="A165" s="53">
        <f ca="1">IFERROR(__xludf.DUMMYFUNCTION("""COMPUTED_VALUE"""),15)</f>
        <v>15</v>
      </c>
      <c r="B165" s="53" t="str">
        <f ca="1">IFERROR(__xludf.DUMMYFUNCTION("""COMPUTED_VALUE"""),"LMG Hiền Hậu")</f>
        <v>LMG Hiền Hậu</v>
      </c>
      <c r="C165" s="53" t="str">
        <f ca="1">IFERROR(__xludf.DUMMYFUNCTION("""COMPUTED_VALUE"""),"MN")</f>
        <v>MN</v>
      </c>
      <c r="D165" s="53" t="str">
        <f ca="1">IFERROR(__xludf.DUMMYFUNCTION("""COMPUTED_VALUE"""),"Bình Tân")</f>
        <v>Bình Tân</v>
      </c>
      <c r="E165" s="53"/>
      <c r="F165" s="53"/>
      <c r="G165" s="53"/>
      <c r="H165" s="53"/>
      <c r="I165" s="53"/>
      <c r="J165" s="53"/>
      <c r="K165" s="53"/>
      <c r="L165" s="53"/>
      <c r="M165" s="53"/>
      <c r="N165" s="54">
        <f ca="1">IFERROR(__xludf.DUMMYFUNCTION("""COMPUTED_VALUE"""),9)</f>
        <v>9</v>
      </c>
      <c r="O165" s="54">
        <f ca="1">IFERROR(__xludf.DUMMYFUNCTION("""COMPUTED_VALUE"""),4)</f>
        <v>4</v>
      </c>
      <c r="P165" s="54"/>
      <c r="Q165" s="54">
        <f ca="1">IFERROR(__xludf.DUMMYFUNCTION("""COMPUTED_VALUE"""),2)</f>
        <v>2</v>
      </c>
      <c r="R165" s="54"/>
      <c r="S165" s="53"/>
      <c r="T165" s="53"/>
      <c r="U165" s="53"/>
      <c r="V165" s="53"/>
      <c r="W165" s="53"/>
      <c r="X165" s="53"/>
      <c r="Y165" s="53"/>
      <c r="Z165" s="2"/>
      <c r="AA165" s="2"/>
      <c r="AB165" s="2"/>
      <c r="AC165" s="2"/>
      <c r="AD165" s="2"/>
      <c r="AE165" s="2"/>
    </row>
    <row r="166" spans="1:31" ht="12.75" x14ac:dyDescent="0.2">
      <c r="A166" s="53">
        <f ca="1">IFERROR(__xludf.DUMMYFUNCTION("""COMPUTED_VALUE"""),16)</f>
        <v>16</v>
      </c>
      <c r="B166" s="53" t="str">
        <f ca="1">IFERROR(__xludf.DUMMYFUNCTION("""COMPUTED_VALUE"""),"LMG Hoa Anh Đào")</f>
        <v>LMG Hoa Anh Đào</v>
      </c>
      <c r="C166" s="53" t="str">
        <f ca="1">IFERROR(__xludf.DUMMYFUNCTION("""COMPUTED_VALUE"""),"MN")</f>
        <v>MN</v>
      </c>
      <c r="D166" s="53" t="str">
        <f ca="1">IFERROR(__xludf.DUMMYFUNCTION("""COMPUTED_VALUE"""),"Bình Tân")</f>
        <v>Bình Tân</v>
      </c>
      <c r="E166" s="53"/>
      <c r="F166" s="53"/>
      <c r="G166" s="53"/>
      <c r="H166" s="53"/>
      <c r="I166" s="53"/>
      <c r="J166" s="53"/>
      <c r="K166" s="53"/>
      <c r="L166" s="53"/>
      <c r="M166" s="53"/>
      <c r="N166" s="54">
        <f ca="1">IFERROR(__xludf.DUMMYFUNCTION("""COMPUTED_VALUE"""),21)</f>
        <v>21</v>
      </c>
      <c r="O166" s="54">
        <f ca="1">IFERROR(__xludf.DUMMYFUNCTION("""COMPUTED_VALUE"""),4)</f>
        <v>4</v>
      </c>
      <c r="P166" s="54"/>
      <c r="Q166" s="54">
        <f ca="1">IFERROR(__xludf.DUMMYFUNCTION("""COMPUTED_VALUE"""),2)</f>
        <v>2</v>
      </c>
      <c r="R166" s="54"/>
      <c r="S166" s="53"/>
      <c r="T166" s="53"/>
      <c r="U166" s="53"/>
      <c r="V166" s="53"/>
      <c r="W166" s="53"/>
      <c r="X166" s="53"/>
      <c r="Y166" s="53"/>
      <c r="Z166" s="2"/>
      <c r="AA166" s="2"/>
      <c r="AB166" s="2"/>
      <c r="AC166" s="2"/>
      <c r="AD166" s="2"/>
      <c r="AE166" s="2"/>
    </row>
    <row r="167" spans="1:31" ht="12.75" x14ac:dyDescent="0.2">
      <c r="A167" s="53">
        <f ca="1">IFERROR(__xludf.DUMMYFUNCTION("""COMPUTED_VALUE"""),17)</f>
        <v>17</v>
      </c>
      <c r="B167" s="53" t="str">
        <f ca="1">IFERROR(__xludf.DUMMYFUNCTION("""COMPUTED_VALUE"""),"LMG Kim Nhung")</f>
        <v>LMG Kim Nhung</v>
      </c>
      <c r="C167" s="53" t="str">
        <f ca="1">IFERROR(__xludf.DUMMYFUNCTION("""COMPUTED_VALUE"""),"MN")</f>
        <v>MN</v>
      </c>
      <c r="D167" s="53" t="str">
        <f ca="1">IFERROR(__xludf.DUMMYFUNCTION("""COMPUTED_VALUE"""),"Bình Tân")</f>
        <v>Bình Tân</v>
      </c>
      <c r="E167" s="53"/>
      <c r="F167" s="53"/>
      <c r="G167" s="53"/>
      <c r="H167" s="53"/>
      <c r="I167" s="53"/>
      <c r="J167" s="53"/>
      <c r="K167" s="53"/>
      <c r="L167" s="53"/>
      <c r="M167" s="53"/>
      <c r="N167" s="54">
        <f ca="1">IFERROR(__xludf.DUMMYFUNCTION("""COMPUTED_VALUE"""),5)</f>
        <v>5</v>
      </c>
      <c r="O167" s="54">
        <f ca="1">IFERROR(__xludf.DUMMYFUNCTION("""COMPUTED_VALUE"""),0)</f>
        <v>0</v>
      </c>
      <c r="P167" s="54"/>
      <c r="Q167" s="54">
        <f ca="1">IFERROR(__xludf.DUMMYFUNCTION("""COMPUTED_VALUE"""),0)</f>
        <v>0</v>
      </c>
      <c r="R167" s="54"/>
      <c r="S167" s="53"/>
      <c r="T167" s="53"/>
      <c r="U167" s="53"/>
      <c r="V167" s="53"/>
      <c r="W167" s="53"/>
      <c r="X167" s="53"/>
      <c r="Y167" s="53"/>
      <c r="Z167" s="2"/>
      <c r="AA167" s="2"/>
      <c r="AB167" s="2"/>
      <c r="AC167" s="2"/>
      <c r="AD167" s="2"/>
      <c r="AE167" s="2"/>
    </row>
    <row r="168" spans="1:31" ht="12.75" x14ac:dyDescent="0.2">
      <c r="A168" s="53">
        <f ca="1">IFERROR(__xludf.DUMMYFUNCTION("""COMPUTED_VALUE"""),18)</f>
        <v>18</v>
      </c>
      <c r="B168" s="53" t="str">
        <f ca="1">IFERROR(__xludf.DUMMYFUNCTION("""COMPUTED_VALUE"""),"LMG Lộc Sen")</f>
        <v>LMG Lộc Sen</v>
      </c>
      <c r="C168" s="53" t="str">
        <f ca="1">IFERROR(__xludf.DUMMYFUNCTION("""COMPUTED_VALUE"""),"MN")</f>
        <v>MN</v>
      </c>
      <c r="D168" s="53" t="str">
        <f ca="1">IFERROR(__xludf.DUMMYFUNCTION("""COMPUTED_VALUE"""),"Bình Tân")</f>
        <v>Bình Tân</v>
      </c>
      <c r="E168" s="53"/>
      <c r="F168" s="53"/>
      <c r="G168" s="53"/>
      <c r="H168" s="53"/>
      <c r="I168" s="53"/>
      <c r="J168" s="53"/>
      <c r="K168" s="53"/>
      <c r="L168" s="53"/>
      <c r="M168" s="53"/>
      <c r="N168" s="54">
        <f ca="1">IFERROR(__xludf.DUMMYFUNCTION("""COMPUTED_VALUE"""),19)</f>
        <v>19</v>
      </c>
      <c r="O168" s="54">
        <f ca="1">IFERROR(__xludf.DUMMYFUNCTION("""COMPUTED_VALUE"""),7)</f>
        <v>7</v>
      </c>
      <c r="P168" s="54"/>
      <c r="Q168" s="54">
        <f ca="1">IFERROR(__xludf.DUMMYFUNCTION("""COMPUTED_VALUE"""),4)</f>
        <v>4</v>
      </c>
      <c r="R168" s="54"/>
      <c r="S168" s="53"/>
      <c r="T168" s="53"/>
      <c r="U168" s="53"/>
      <c r="V168" s="53"/>
      <c r="W168" s="53"/>
      <c r="X168" s="53"/>
      <c r="Y168" s="53"/>
      <c r="Z168" s="2"/>
      <c r="AA168" s="2"/>
      <c r="AB168" s="2"/>
      <c r="AC168" s="2"/>
      <c r="AD168" s="2"/>
      <c r="AE168" s="2"/>
    </row>
    <row r="169" spans="1:31" ht="12.75" x14ac:dyDescent="0.2">
      <c r="A169" s="53">
        <f ca="1">IFERROR(__xludf.DUMMYFUNCTION("""COMPUTED_VALUE"""),19)</f>
        <v>19</v>
      </c>
      <c r="B169" s="53" t="str">
        <f ca="1">IFERROR(__xludf.DUMMYFUNCTION("""COMPUTED_VALUE"""),"LMN Ngọc Hiền")</f>
        <v>LMN Ngọc Hiền</v>
      </c>
      <c r="C169" s="53" t="str">
        <f ca="1">IFERROR(__xludf.DUMMYFUNCTION("""COMPUTED_VALUE"""),"MN")</f>
        <v>MN</v>
      </c>
      <c r="D169" s="53" t="str">
        <f ca="1">IFERROR(__xludf.DUMMYFUNCTION("""COMPUTED_VALUE"""),"Bình Tân")</f>
        <v>Bình Tân</v>
      </c>
      <c r="E169" s="53"/>
      <c r="F169" s="53"/>
      <c r="G169" s="53"/>
      <c r="H169" s="53"/>
      <c r="I169" s="53"/>
      <c r="J169" s="53"/>
      <c r="K169" s="53"/>
      <c r="L169" s="53"/>
      <c r="M169" s="53"/>
      <c r="N169" s="54">
        <f ca="1">IFERROR(__xludf.DUMMYFUNCTION("""COMPUTED_VALUE"""),41)</f>
        <v>41</v>
      </c>
      <c r="O169" s="54">
        <f ca="1">IFERROR(__xludf.DUMMYFUNCTION("""COMPUTED_VALUE"""),27)</f>
        <v>27</v>
      </c>
      <c r="P169" s="54"/>
      <c r="Q169" s="54">
        <f ca="1">IFERROR(__xludf.DUMMYFUNCTION("""COMPUTED_VALUE"""),24)</f>
        <v>24</v>
      </c>
      <c r="R169" s="54"/>
      <c r="S169" s="53"/>
      <c r="T169" s="53"/>
      <c r="U169" s="53"/>
      <c r="V169" s="53"/>
      <c r="W169" s="53"/>
      <c r="X169" s="53"/>
      <c r="Y169" s="53"/>
      <c r="Z169" s="2"/>
      <c r="AA169" s="2"/>
      <c r="AB169" s="2"/>
      <c r="AC169" s="2"/>
      <c r="AD169" s="2"/>
      <c r="AE169" s="2"/>
    </row>
    <row r="170" spans="1:31" ht="12.75" x14ac:dyDescent="0.2">
      <c r="A170" s="53">
        <f ca="1">IFERROR(__xludf.DUMMYFUNCTION("""COMPUTED_VALUE"""),20)</f>
        <v>20</v>
      </c>
      <c r="B170" s="53" t="str">
        <f ca="1">IFERROR(__xludf.DUMMYFUNCTION("""COMPUTED_VALUE"""),"LMG Ngọc Thuỷ")</f>
        <v>LMG Ngọc Thuỷ</v>
      </c>
      <c r="C170" s="53" t="str">
        <f ca="1">IFERROR(__xludf.DUMMYFUNCTION("""COMPUTED_VALUE"""),"MN")</f>
        <v>MN</v>
      </c>
      <c r="D170" s="53" t="str">
        <f ca="1">IFERROR(__xludf.DUMMYFUNCTION("""COMPUTED_VALUE"""),"Bình Tân")</f>
        <v>Bình Tân</v>
      </c>
      <c r="E170" s="53"/>
      <c r="F170" s="53"/>
      <c r="G170" s="53"/>
      <c r="H170" s="53"/>
      <c r="I170" s="53"/>
      <c r="J170" s="53"/>
      <c r="K170" s="53"/>
      <c r="L170" s="53"/>
      <c r="M170" s="53"/>
      <c r="N170" s="54">
        <f ca="1">IFERROR(__xludf.DUMMYFUNCTION("""COMPUTED_VALUE"""),25)</f>
        <v>25</v>
      </c>
      <c r="O170" s="54">
        <f ca="1">IFERROR(__xludf.DUMMYFUNCTION("""COMPUTED_VALUE"""),9)</f>
        <v>9</v>
      </c>
      <c r="P170" s="54"/>
      <c r="Q170" s="54">
        <f ca="1">IFERROR(__xludf.DUMMYFUNCTION("""COMPUTED_VALUE"""),5)</f>
        <v>5</v>
      </c>
      <c r="R170" s="54"/>
      <c r="S170" s="53"/>
      <c r="T170" s="53"/>
      <c r="U170" s="53"/>
      <c r="V170" s="53"/>
      <c r="W170" s="53"/>
      <c r="X170" s="53"/>
      <c r="Y170" s="53"/>
      <c r="Z170" s="2"/>
      <c r="AA170" s="2"/>
      <c r="AB170" s="2"/>
      <c r="AC170" s="2"/>
      <c r="AD170" s="2"/>
      <c r="AE170" s="2"/>
    </row>
    <row r="171" spans="1:31" ht="12.75" x14ac:dyDescent="0.2">
      <c r="A171" s="53">
        <f ca="1">IFERROR(__xludf.DUMMYFUNCTION("""COMPUTED_VALUE"""),21)</f>
        <v>21</v>
      </c>
      <c r="B171" s="53" t="str">
        <f ca="1">IFERROR(__xludf.DUMMYFUNCTION("""COMPUTED_VALUE"""),"LMG Ong Vàng")</f>
        <v>LMG Ong Vàng</v>
      </c>
      <c r="C171" s="53" t="str">
        <f ca="1">IFERROR(__xludf.DUMMYFUNCTION("""COMPUTED_VALUE"""),"MN")</f>
        <v>MN</v>
      </c>
      <c r="D171" s="53" t="str">
        <f ca="1">IFERROR(__xludf.DUMMYFUNCTION("""COMPUTED_VALUE"""),"Bình Tân")</f>
        <v>Bình Tân</v>
      </c>
      <c r="E171" s="53"/>
      <c r="F171" s="53"/>
      <c r="G171" s="53"/>
      <c r="H171" s="53"/>
      <c r="I171" s="53"/>
      <c r="J171" s="53"/>
      <c r="K171" s="53"/>
      <c r="L171" s="53"/>
      <c r="M171" s="53"/>
      <c r="N171" s="54">
        <f ca="1">IFERROR(__xludf.DUMMYFUNCTION("""COMPUTED_VALUE"""),12)</f>
        <v>12</v>
      </c>
      <c r="O171" s="54">
        <f ca="1">IFERROR(__xludf.DUMMYFUNCTION("""COMPUTED_VALUE"""),5)</f>
        <v>5</v>
      </c>
      <c r="P171" s="54"/>
      <c r="Q171" s="54">
        <f ca="1">IFERROR(__xludf.DUMMYFUNCTION("""COMPUTED_VALUE"""),0)</f>
        <v>0</v>
      </c>
      <c r="R171" s="54"/>
      <c r="S171" s="53"/>
      <c r="T171" s="53"/>
      <c r="U171" s="53"/>
      <c r="V171" s="53"/>
      <c r="W171" s="53"/>
      <c r="X171" s="53"/>
      <c r="Y171" s="53"/>
      <c r="Z171" s="2"/>
      <c r="AA171" s="2"/>
      <c r="AB171" s="2"/>
      <c r="AC171" s="2"/>
      <c r="AD171" s="2"/>
      <c r="AE171" s="2"/>
    </row>
    <row r="172" spans="1:31" ht="12.75" x14ac:dyDescent="0.2">
      <c r="A172" s="53">
        <f ca="1">IFERROR(__xludf.DUMMYFUNCTION("""COMPUTED_VALUE"""),22)</f>
        <v>22</v>
      </c>
      <c r="B172" s="53" t="str">
        <f ca="1">IFERROR(__xludf.DUMMYFUNCTION("""COMPUTED_VALUE"""),"LMG Phương An")</f>
        <v>LMG Phương An</v>
      </c>
      <c r="C172" s="53" t="str">
        <f ca="1">IFERROR(__xludf.DUMMYFUNCTION("""COMPUTED_VALUE"""),"MN")</f>
        <v>MN</v>
      </c>
      <c r="D172" s="53" t="str">
        <f ca="1">IFERROR(__xludf.DUMMYFUNCTION("""COMPUTED_VALUE"""),"Bình Tân")</f>
        <v>Bình Tân</v>
      </c>
      <c r="E172" s="53"/>
      <c r="F172" s="53"/>
      <c r="G172" s="53"/>
      <c r="H172" s="53"/>
      <c r="I172" s="53"/>
      <c r="J172" s="53"/>
      <c r="K172" s="53"/>
      <c r="L172" s="53"/>
      <c r="M172" s="53"/>
      <c r="N172" s="54">
        <f ca="1">IFERROR(__xludf.DUMMYFUNCTION("""COMPUTED_VALUE"""),8)</f>
        <v>8</v>
      </c>
      <c r="O172" s="54">
        <f ca="1">IFERROR(__xludf.DUMMYFUNCTION("""COMPUTED_VALUE"""),2)</f>
        <v>2</v>
      </c>
      <c r="P172" s="54"/>
      <c r="Q172" s="54">
        <f ca="1">IFERROR(__xludf.DUMMYFUNCTION("""COMPUTED_VALUE"""),0)</f>
        <v>0</v>
      </c>
      <c r="R172" s="54"/>
      <c r="S172" s="53"/>
      <c r="T172" s="53"/>
      <c r="U172" s="53"/>
      <c r="V172" s="53"/>
      <c r="W172" s="53"/>
      <c r="X172" s="53"/>
      <c r="Y172" s="53"/>
      <c r="Z172" s="2"/>
      <c r="AA172" s="2"/>
      <c r="AB172" s="2"/>
      <c r="AC172" s="2"/>
      <c r="AD172" s="2"/>
      <c r="AE172" s="2"/>
    </row>
    <row r="173" spans="1:31" ht="12.75" x14ac:dyDescent="0.2">
      <c r="A173" s="53">
        <f ca="1">IFERROR(__xludf.DUMMYFUNCTION("""COMPUTED_VALUE"""),23)</f>
        <v>23</v>
      </c>
      <c r="B173" s="53" t="str">
        <f ca="1">IFERROR(__xludf.DUMMYFUNCTION("""COMPUTED_VALUE"""),"LMG Song Nghi")</f>
        <v>LMG Song Nghi</v>
      </c>
      <c r="C173" s="53" t="str">
        <f ca="1">IFERROR(__xludf.DUMMYFUNCTION("""COMPUTED_VALUE"""),"MN")</f>
        <v>MN</v>
      </c>
      <c r="D173" s="53" t="str">
        <f ca="1">IFERROR(__xludf.DUMMYFUNCTION("""COMPUTED_VALUE"""),"Bình Tân")</f>
        <v>Bình Tân</v>
      </c>
      <c r="E173" s="53"/>
      <c r="F173" s="53"/>
      <c r="G173" s="53"/>
      <c r="H173" s="53"/>
      <c r="I173" s="53"/>
      <c r="J173" s="53"/>
      <c r="K173" s="53"/>
      <c r="L173" s="53"/>
      <c r="M173" s="53"/>
      <c r="N173" s="54">
        <f ca="1">IFERROR(__xludf.DUMMYFUNCTION("""COMPUTED_VALUE"""),10)</f>
        <v>10</v>
      </c>
      <c r="O173" s="54">
        <f ca="1">IFERROR(__xludf.DUMMYFUNCTION("""COMPUTED_VALUE"""),6)</f>
        <v>6</v>
      </c>
      <c r="P173" s="54"/>
      <c r="Q173" s="54">
        <f ca="1">IFERROR(__xludf.DUMMYFUNCTION("""COMPUTED_VALUE"""),5)</f>
        <v>5</v>
      </c>
      <c r="R173" s="54"/>
      <c r="S173" s="53"/>
      <c r="T173" s="53"/>
      <c r="U173" s="53"/>
      <c r="V173" s="53"/>
      <c r="W173" s="53"/>
      <c r="X173" s="53"/>
      <c r="Y173" s="53"/>
      <c r="Z173" s="2"/>
      <c r="AA173" s="2"/>
      <c r="AB173" s="2"/>
      <c r="AC173" s="2"/>
      <c r="AD173" s="2"/>
      <c r="AE173" s="2"/>
    </row>
    <row r="174" spans="1:31" ht="12.75" x14ac:dyDescent="0.2">
      <c r="A174" s="53">
        <f ca="1">IFERROR(__xludf.DUMMYFUNCTION("""COMPUTED_VALUE"""),24)</f>
        <v>24</v>
      </c>
      <c r="B174" s="53" t="str">
        <f ca="1">IFERROR(__xludf.DUMMYFUNCTION("""COMPUTED_VALUE"""),"LMG Tuệ Mỹ")</f>
        <v>LMG Tuệ Mỹ</v>
      </c>
      <c r="C174" s="53" t="str">
        <f ca="1">IFERROR(__xludf.DUMMYFUNCTION("""COMPUTED_VALUE"""),"MN")</f>
        <v>MN</v>
      </c>
      <c r="D174" s="53" t="str">
        <f ca="1">IFERROR(__xludf.DUMMYFUNCTION("""COMPUTED_VALUE"""),"Bình Tân")</f>
        <v>Bình Tân</v>
      </c>
      <c r="E174" s="53"/>
      <c r="F174" s="53"/>
      <c r="G174" s="53"/>
      <c r="H174" s="53"/>
      <c r="I174" s="53"/>
      <c r="J174" s="53"/>
      <c r="K174" s="53"/>
      <c r="L174" s="53"/>
      <c r="M174" s="53"/>
      <c r="N174" s="54">
        <f ca="1">IFERROR(__xludf.DUMMYFUNCTION("""COMPUTED_VALUE"""),11)</f>
        <v>11</v>
      </c>
      <c r="O174" s="54">
        <f ca="1">IFERROR(__xludf.DUMMYFUNCTION("""COMPUTED_VALUE"""),11)</f>
        <v>11</v>
      </c>
      <c r="P174" s="54"/>
      <c r="Q174" s="54">
        <f ca="1">IFERROR(__xludf.DUMMYFUNCTION("""COMPUTED_VALUE"""),10)</f>
        <v>10</v>
      </c>
      <c r="R174" s="54"/>
      <c r="S174" s="53"/>
      <c r="T174" s="53"/>
      <c r="U174" s="53"/>
      <c r="V174" s="53"/>
      <c r="W174" s="53"/>
      <c r="X174" s="53"/>
      <c r="Y174" s="53"/>
      <c r="Z174" s="2"/>
      <c r="AA174" s="2"/>
      <c r="AB174" s="2"/>
      <c r="AC174" s="2"/>
      <c r="AD174" s="2"/>
      <c r="AE174" s="2"/>
    </row>
    <row r="175" spans="1:31" ht="12.75" x14ac:dyDescent="0.2">
      <c r="A175" s="53">
        <f ca="1">IFERROR(__xludf.DUMMYFUNCTION("""COMPUTED_VALUE"""),25)</f>
        <v>25</v>
      </c>
      <c r="B175" s="53" t="str">
        <f ca="1">IFERROR(__xludf.DUMMYFUNCTION("""COMPUTED_VALUE"""),"LMG Thanh Ngân")</f>
        <v>LMG Thanh Ngân</v>
      </c>
      <c r="C175" s="53" t="str">
        <f ca="1">IFERROR(__xludf.DUMMYFUNCTION("""COMPUTED_VALUE"""),"MN")</f>
        <v>MN</v>
      </c>
      <c r="D175" s="53" t="str">
        <f ca="1">IFERROR(__xludf.DUMMYFUNCTION("""COMPUTED_VALUE"""),"Bình Tân")</f>
        <v>Bình Tân</v>
      </c>
      <c r="E175" s="53"/>
      <c r="F175" s="53"/>
      <c r="G175" s="53"/>
      <c r="H175" s="53"/>
      <c r="I175" s="53"/>
      <c r="J175" s="53"/>
      <c r="K175" s="53"/>
      <c r="L175" s="53"/>
      <c r="M175" s="53"/>
      <c r="N175" s="54">
        <f ca="1">IFERROR(__xludf.DUMMYFUNCTION("""COMPUTED_VALUE"""),3)</f>
        <v>3</v>
      </c>
      <c r="O175" s="54">
        <f ca="1">IFERROR(__xludf.DUMMYFUNCTION("""COMPUTED_VALUE"""),0)</f>
        <v>0</v>
      </c>
      <c r="P175" s="54"/>
      <c r="Q175" s="54">
        <f ca="1">IFERROR(__xludf.DUMMYFUNCTION("""COMPUTED_VALUE"""),0)</f>
        <v>0</v>
      </c>
      <c r="R175" s="54"/>
      <c r="S175" s="53"/>
      <c r="T175" s="53"/>
      <c r="U175" s="53"/>
      <c r="V175" s="53"/>
      <c r="W175" s="53"/>
      <c r="X175" s="53"/>
      <c r="Y175" s="53"/>
      <c r="Z175" s="2"/>
      <c r="AA175" s="2"/>
      <c r="AB175" s="2"/>
      <c r="AC175" s="2"/>
      <c r="AD175" s="2"/>
      <c r="AE175" s="2"/>
    </row>
    <row r="176" spans="1:31" ht="12.75" x14ac:dyDescent="0.2">
      <c r="A176" s="53">
        <f ca="1">IFERROR(__xludf.DUMMYFUNCTION("""COMPUTED_VALUE"""),26)</f>
        <v>26</v>
      </c>
      <c r="B176" s="53" t="str">
        <f ca="1">IFERROR(__xludf.DUMMYFUNCTION("""COMPUTED_VALUE"""),"LMG Thảo Hiền")</f>
        <v>LMG Thảo Hiền</v>
      </c>
      <c r="C176" s="53" t="str">
        <f ca="1">IFERROR(__xludf.DUMMYFUNCTION("""COMPUTED_VALUE"""),"MN")</f>
        <v>MN</v>
      </c>
      <c r="D176" s="53" t="str">
        <f ca="1">IFERROR(__xludf.DUMMYFUNCTION("""COMPUTED_VALUE"""),"Bình Tân")</f>
        <v>Bình Tân</v>
      </c>
      <c r="E176" s="53"/>
      <c r="F176" s="53"/>
      <c r="G176" s="53"/>
      <c r="H176" s="53"/>
      <c r="I176" s="53"/>
      <c r="J176" s="53"/>
      <c r="K176" s="53"/>
      <c r="L176" s="53"/>
      <c r="M176" s="53"/>
      <c r="N176" s="54">
        <f ca="1">IFERROR(__xludf.DUMMYFUNCTION("""COMPUTED_VALUE"""),38)</f>
        <v>38</v>
      </c>
      <c r="O176" s="54">
        <f ca="1">IFERROR(__xludf.DUMMYFUNCTION("""COMPUTED_VALUE"""),4)</f>
        <v>4</v>
      </c>
      <c r="P176" s="54"/>
      <c r="Q176" s="54">
        <f ca="1">IFERROR(__xludf.DUMMYFUNCTION("""COMPUTED_VALUE"""),3)</f>
        <v>3</v>
      </c>
      <c r="R176" s="54"/>
      <c r="S176" s="53"/>
      <c r="T176" s="53"/>
      <c r="U176" s="53"/>
      <c r="V176" s="53"/>
      <c r="W176" s="53"/>
      <c r="X176" s="53"/>
      <c r="Y176" s="53"/>
      <c r="Z176" s="2"/>
      <c r="AA176" s="2"/>
      <c r="AB176" s="2"/>
      <c r="AC176" s="2"/>
      <c r="AD176" s="2"/>
      <c r="AE176" s="2"/>
    </row>
    <row r="177" spans="1:31" ht="12.75" x14ac:dyDescent="0.2">
      <c r="A177" s="53">
        <f ca="1">IFERROR(__xludf.DUMMYFUNCTION("""COMPUTED_VALUE"""),27)</f>
        <v>27</v>
      </c>
      <c r="B177" s="53" t="str">
        <f ca="1">IFERROR(__xludf.DUMMYFUNCTION("""COMPUTED_VALUE"""),"LMG Thảo Quỳnh")</f>
        <v>LMG Thảo Quỳnh</v>
      </c>
      <c r="C177" s="53" t="str">
        <f ca="1">IFERROR(__xludf.DUMMYFUNCTION("""COMPUTED_VALUE"""),"MN")</f>
        <v>MN</v>
      </c>
      <c r="D177" s="53" t="str">
        <f ca="1">IFERROR(__xludf.DUMMYFUNCTION("""COMPUTED_VALUE"""),"Bình Tân")</f>
        <v>Bình Tân</v>
      </c>
      <c r="E177" s="53"/>
      <c r="F177" s="53"/>
      <c r="G177" s="53"/>
      <c r="H177" s="53"/>
      <c r="I177" s="53"/>
      <c r="J177" s="53"/>
      <c r="K177" s="53"/>
      <c r="L177" s="53"/>
      <c r="M177" s="53"/>
      <c r="N177" s="54">
        <f ca="1">IFERROR(__xludf.DUMMYFUNCTION("""COMPUTED_VALUE"""),20)</f>
        <v>20</v>
      </c>
      <c r="O177" s="54">
        <f ca="1">IFERROR(__xludf.DUMMYFUNCTION("""COMPUTED_VALUE"""),9)</f>
        <v>9</v>
      </c>
      <c r="P177" s="54"/>
      <c r="Q177" s="54">
        <f ca="1">IFERROR(__xludf.DUMMYFUNCTION("""COMPUTED_VALUE"""),4)</f>
        <v>4</v>
      </c>
      <c r="R177" s="54"/>
      <c r="S177" s="53"/>
      <c r="T177" s="53"/>
      <c r="U177" s="53"/>
      <c r="V177" s="53"/>
      <c r="W177" s="53"/>
      <c r="X177" s="53"/>
      <c r="Y177" s="53"/>
      <c r="Z177" s="2"/>
      <c r="AA177" s="2"/>
      <c r="AB177" s="2"/>
      <c r="AC177" s="2"/>
      <c r="AD177" s="2"/>
      <c r="AE177" s="2"/>
    </row>
    <row r="178" spans="1:31" ht="12.75" x14ac:dyDescent="0.2">
      <c r="A178" s="53">
        <f ca="1">IFERROR(__xludf.DUMMYFUNCTION("""COMPUTED_VALUE"""),28)</f>
        <v>28</v>
      </c>
      <c r="B178" s="53" t="str">
        <f ca="1">IFERROR(__xludf.DUMMYFUNCTION("""COMPUTED_VALUE"""),"LMN Thiên Thần")</f>
        <v>LMN Thiên Thần</v>
      </c>
      <c r="C178" s="53" t="str">
        <f ca="1">IFERROR(__xludf.DUMMYFUNCTION("""COMPUTED_VALUE"""),"MN")</f>
        <v>MN</v>
      </c>
      <c r="D178" s="53" t="str">
        <f ca="1">IFERROR(__xludf.DUMMYFUNCTION("""COMPUTED_VALUE"""),"Bình Tân")</f>
        <v>Bình Tân</v>
      </c>
      <c r="E178" s="53"/>
      <c r="F178" s="53"/>
      <c r="G178" s="53"/>
      <c r="H178" s="53"/>
      <c r="I178" s="53"/>
      <c r="J178" s="53"/>
      <c r="K178" s="53"/>
      <c r="L178" s="53"/>
      <c r="M178" s="53"/>
      <c r="N178" s="54">
        <f ca="1">IFERROR(__xludf.DUMMYFUNCTION("""COMPUTED_VALUE"""),28)</f>
        <v>28</v>
      </c>
      <c r="O178" s="54">
        <f ca="1">IFERROR(__xludf.DUMMYFUNCTION("""COMPUTED_VALUE"""),12)</f>
        <v>12</v>
      </c>
      <c r="P178" s="54"/>
      <c r="Q178" s="54">
        <f ca="1">IFERROR(__xludf.DUMMYFUNCTION("""COMPUTED_VALUE"""),0)</f>
        <v>0</v>
      </c>
      <c r="R178" s="54"/>
      <c r="S178" s="53"/>
      <c r="T178" s="53"/>
      <c r="U178" s="53"/>
      <c r="V178" s="53"/>
      <c r="W178" s="53"/>
      <c r="X178" s="53"/>
      <c r="Y178" s="53"/>
      <c r="Z178" s="2"/>
      <c r="AA178" s="2"/>
      <c r="AB178" s="2"/>
      <c r="AC178" s="2"/>
      <c r="AD178" s="2"/>
      <c r="AE178" s="2"/>
    </row>
    <row r="179" spans="1:31" ht="12.75" x14ac:dyDescent="0.2">
      <c r="A179" s="53">
        <f ca="1">IFERROR(__xludf.DUMMYFUNCTION("""COMPUTED_VALUE"""),29)</f>
        <v>29</v>
      </c>
      <c r="B179" s="53" t="str">
        <f ca="1">IFERROR(__xludf.DUMMYFUNCTION("""COMPUTED_VALUE"""),"LMG Thỏ Nâu")</f>
        <v>LMG Thỏ Nâu</v>
      </c>
      <c r="C179" s="53" t="str">
        <f ca="1">IFERROR(__xludf.DUMMYFUNCTION("""COMPUTED_VALUE"""),"MN")</f>
        <v>MN</v>
      </c>
      <c r="D179" s="53" t="str">
        <f ca="1">IFERROR(__xludf.DUMMYFUNCTION("""COMPUTED_VALUE"""),"Bình Tân")</f>
        <v>Bình Tân</v>
      </c>
      <c r="E179" s="53"/>
      <c r="F179" s="53"/>
      <c r="G179" s="53"/>
      <c r="H179" s="53"/>
      <c r="I179" s="53"/>
      <c r="J179" s="53"/>
      <c r="K179" s="53"/>
      <c r="L179" s="53"/>
      <c r="M179" s="53"/>
      <c r="N179" s="54">
        <f ca="1">IFERROR(__xludf.DUMMYFUNCTION("""COMPUTED_VALUE"""),15)</f>
        <v>15</v>
      </c>
      <c r="O179" s="54">
        <f ca="1">IFERROR(__xludf.DUMMYFUNCTION("""COMPUTED_VALUE"""),0)</f>
        <v>0</v>
      </c>
      <c r="P179" s="54"/>
      <c r="Q179" s="54">
        <f ca="1">IFERROR(__xludf.DUMMYFUNCTION("""COMPUTED_VALUE"""),0)</f>
        <v>0</v>
      </c>
      <c r="R179" s="54"/>
      <c r="S179" s="53"/>
      <c r="T179" s="53"/>
      <c r="U179" s="53"/>
      <c r="V179" s="53"/>
      <c r="W179" s="53"/>
      <c r="X179" s="53"/>
      <c r="Y179" s="53"/>
      <c r="Z179" s="2"/>
      <c r="AA179" s="2"/>
      <c r="AB179" s="2"/>
      <c r="AC179" s="2"/>
      <c r="AD179" s="2"/>
      <c r="AE179" s="2"/>
    </row>
    <row r="180" spans="1:31" ht="12.75" x14ac:dyDescent="0.2">
      <c r="A180" s="53">
        <f ca="1">IFERROR(__xludf.DUMMYFUNCTION("""COMPUTED_VALUE"""),30)</f>
        <v>30</v>
      </c>
      <c r="B180" s="53" t="str">
        <f ca="1">IFERROR(__xludf.DUMMYFUNCTION("""COMPUTED_VALUE"""),"LMG Thỏ Xinh")</f>
        <v>LMG Thỏ Xinh</v>
      </c>
      <c r="C180" s="53" t="str">
        <f ca="1">IFERROR(__xludf.DUMMYFUNCTION("""COMPUTED_VALUE"""),"MN")</f>
        <v>MN</v>
      </c>
      <c r="D180" s="53" t="str">
        <f ca="1">IFERROR(__xludf.DUMMYFUNCTION("""COMPUTED_VALUE"""),"Bình Tân")</f>
        <v>Bình Tân</v>
      </c>
      <c r="E180" s="53"/>
      <c r="F180" s="53"/>
      <c r="G180" s="53"/>
      <c r="H180" s="53"/>
      <c r="I180" s="53"/>
      <c r="J180" s="53"/>
      <c r="K180" s="53"/>
      <c r="L180" s="53"/>
      <c r="M180" s="53"/>
      <c r="N180" s="54">
        <f ca="1">IFERROR(__xludf.DUMMYFUNCTION("""COMPUTED_VALUE"""),19)</f>
        <v>19</v>
      </c>
      <c r="O180" s="54">
        <f ca="1">IFERROR(__xludf.DUMMYFUNCTION("""COMPUTED_VALUE"""),5)</f>
        <v>5</v>
      </c>
      <c r="P180" s="54"/>
      <c r="Q180" s="54">
        <f ca="1">IFERROR(__xludf.DUMMYFUNCTION("""COMPUTED_VALUE"""),3)</f>
        <v>3</v>
      </c>
      <c r="R180" s="54"/>
      <c r="S180" s="53"/>
      <c r="T180" s="53"/>
      <c r="U180" s="53"/>
      <c r="V180" s="53"/>
      <c r="W180" s="53"/>
      <c r="X180" s="53"/>
      <c r="Y180" s="53"/>
      <c r="Z180" s="2"/>
      <c r="AA180" s="2"/>
      <c r="AB180" s="2"/>
      <c r="AC180" s="2"/>
      <c r="AD180" s="2"/>
      <c r="AE180" s="2"/>
    </row>
    <row r="181" spans="1:31" ht="12.75" x14ac:dyDescent="0.2">
      <c r="A181" s="53">
        <f ca="1">IFERROR(__xludf.DUMMYFUNCTION("""COMPUTED_VALUE"""),31)</f>
        <v>31</v>
      </c>
      <c r="B181" s="53" t="str">
        <f ca="1">IFERROR(__xludf.DUMMYFUNCTION("""COMPUTED_VALUE"""),"LMN Trẻ Thơ Việt")</f>
        <v>LMN Trẻ Thơ Việt</v>
      </c>
      <c r="C181" s="53" t="str">
        <f ca="1">IFERROR(__xludf.DUMMYFUNCTION("""COMPUTED_VALUE"""),"MN")</f>
        <v>MN</v>
      </c>
      <c r="D181" s="53" t="str">
        <f ca="1">IFERROR(__xludf.DUMMYFUNCTION("""COMPUTED_VALUE"""),"Bình Tân")</f>
        <v>Bình Tân</v>
      </c>
      <c r="E181" s="53"/>
      <c r="F181" s="53"/>
      <c r="G181" s="53"/>
      <c r="H181" s="53"/>
      <c r="I181" s="53"/>
      <c r="J181" s="53"/>
      <c r="K181" s="53"/>
      <c r="L181" s="53"/>
      <c r="M181" s="53"/>
      <c r="N181" s="54">
        <f ca="1">IFERROR(__xludf.DUMMYFUNCTION("""COMPUTED_VALUE"""),55)</f>
        <v>55</v>
      </c>
      <c r="O181" s="54">
        <f ca="1">IFERROR(__xludf.DUMMYFUNCTION("""COMPUTED_VALUE"""),20)</f>
        <v>20</v>
      </c>
      <c r="P181" s="54"/>
      <c r="Q181" s="54">
        <f ca="1">IFERROR(__xludf.DUMMYFUNCTION("""COMPUTED_VALUE"""),0)</f>
        <v>0</v>
      </c>
      <c r="R181" s="54"/>
      <c r="S181" s="53"/>
      <c r="T181" s="53"/>
      <c r="U181" s="53"/>
      <c r="V181" s="53"/>
      <c r="W181" s="53"/>
      <c r="X181" s="53"/>
      <c r="Y181" s="53"/>
      <c r="Z181" s="2"/>
      <c r="AA181" s="2"/>
      <c r="AB181" s="2"/>
      <c r="AC181" s="2"/>
      <c r="AD181" s="2"/>
      <c r="AE181" s="2"/>
    </row>
    <row r="182" spans="1:31" ht="12.75" x14ac:dyDescent="0.2">
      <c r="A182" s="53">
        <f ca="1">IFERROR(__xludf.DUMMYFUNCTION("""COMPUTED_VALUE"""),32)</f>
        <v>32</v>
      </c>
      <c r="B182" s="53" t="str">
        <f ca="1">IFERROR(__xludf.DUMMYFUNCTION("""COMPUTED_VALUE"""),"LMG Việt Việt Đức")</f>
        <v>LMG Việt Việt Đức</v>
      </c>
      <c r="C182" s="53" t="str">
        <f ca="1">IFERROR(__xludf.DUMMYFUNCTION("""COMPUTED_VALUE"""),"MN")</f>
        <v>MN</v>
      </c>
      <c r="D182" s="53" t="str">
        <f ca="1">IFERROR(__xludf.DUMMYFUNCTION("""COMPUTED_VALUE"""),"Bình Tân")</f>
        <v>Bình Tân</v>
      </c>
      <c r="E182" s="53"/>
      <c r="F182" s="53"/>
      <c r="G182" s="53"/>
      <c r="H182" s="53"/>
      <c r="I182" s="53"/>
      <c r="J182" s="53"/>
      <c r="K182" s="53"/>
      <c r="L182" s="53"/>
      <c r="M182" s="53"/>
      <c r="N182" s="54">
        <f ca="1">IFERROR(__xludf.DUMMYFUNCTION("""COMPUTED_VALUE"""),30)</f>
        <v>30</v>
      </c>
      <c r="O182" s="54">
        <f ca="1">IFERROR(__xludf.DUMMYFUNCTION("""COMPUTED_VALUE"""),8)</f>
        <v>8</v>
      </c>
      <c r="P182" s="54"/>
      <c r="Q182" s="54">
        <f ca="1">IFERROR(__xludf.DUMMYFUNCTION("""COMPUTED_VALUE"""),0)</f>
        <v>0</v>
      </c>
      <c r="R182" s="54"/>
      <c r="S182" s="53"/>
      <c r="T182" s="53"/>
      <c r="U182" s="53"/>
      <c r="V182" s="53"/>
      <c r="W182" s="53"/>
      <c r="X182" s="53"/>
      <c r="Y182" s="53"/>
      <c r="Z182" s="2"/>
      <c r="AA182" s="2"/>
      <c r="AB182" s="2"/>
      <c r="AC182" s="2"/>
      <c r="AD182" s="2"/>
      <c r="AE182" s="2"/>
    </row>
    <row r="183" spans="1:31" ht="12.75" x14ac:dyDescent="0.2">
      <c r="A183" s="53">
        <f ca="1">IFERROR(__xludf.DUMMYFUNCTION("""COMPUTED_VALUE"""),33)</f>
        <v>33</v>
      </c>
      <c r="B183" s="53" t="str">
        <f ca="1">IFERROR(__xludf.DUMMYFUNCTION("""COMPUTED_VALUE"""),"MNTT Sơn Ca")</f>
        <v>MNTT Sơn Ca</v>
      </c>
      <c r="C183" s="53" t="str">
        <f ca="1">IFERROR(__xludf.DUMMYFUNCTION("""COMPUTED_VALUE"""),"MN")</f>
        <v>MN</v>
      </c>
      <c r="D183" s="53" t="str">
        <f ca="1">IFERROR(__xludf.DUMMYFUNCTION("""COMPUTED_VALUE"""),"Bình Tân")</f>
        <v>Bình Tân</v>
      </c>
      <c r="E183" s="53"/>
      <c r="F183" s="53"/>
      <c r="G183" s="53"/>
      <c r="H183" s="53"/>
      <c r="I183" s="53"/>
      <c r="J183" s="53"/>
      <c r="K183" s="53"/>
      <c r="L183" s="53"/>
      <c r="M183" s="53"/>
      <c r="N183" s="54">
        <f ca="1">IFERROR(__xludf.DUMMYFUNCTION("""COMPUTED_VALUE"""),9)</f>
        <v>9</v>
      </c>
      <c r="O183" s="54">
        <f ca="1">IFERROR(__xludf.DUMMYFUNCTION("""COMPUTED_VALUE"""),3)</f>
        <v>3</v>
      </c>
      <c r="P183" s="54"/>
      <c r="Q183" s="54">
        <f ca="1">IFERROR(__xludf.DUMMYFUNCTION("""COMPUTED_VALUE"""),3)</f>
        <v>3</v>
      </c>
      <c r="R183" s="54"/>
      <c r="S183" s="53"/>
      <c r="T183" s="53"/>
      <c r="U183" s="53"/>
      <c r="V183" s="53"/>
      <c r="W183" s="53"/>
      <c r="X183" s="53"/>
      <c r="Y183" s="53"/>
      <c r="Z183" s="2"/>
      <c r="AA183" s="2"/>
      <c r="AB183" s="2"/>
      <c r="AC183" s="2"/>
      <c r="AD183" s="2"/>
      <c r="AE183" s="2"/>
    </row>
    <row r="184" spans="1:31" ht="12.75" x14ac:dyDescent="0.2">
      <c r="A184" s="53">
        <f ca="1">IFERROR(__xludf.DUMMYFUNCTION("""COMPUTED_VALUE"""),34)</f>
        <v>34</v>
      </c>
      <c r="B184" s="53" t="str">
        <f ca="1">IFERROR(__xludf.DUMMYFUNCTION("""COMPUTED_VALUE"""),"LMG Bảo Trân")</f>
        <v>LMG Bảo Trân</v>
      </c>
      <c r="C184" s="53" t="str">
        <f ca="1">IFERROR(__xludf.DUMMYFUNCTION("""COMPUTED_VALUE"""),"MN")</f>
        <v>MN</v>
      </c>
      <c r="D184" s="53" t="str">
        <f ca="1">IFERROR(__xludf.DUMMYFUNCTION("""COMPUTED_VALUE"""),"Bình Tân")</f>
        <v>Bình Tân</v>
      </c>
      <c r="E184" s="53"/>
      <c r="F184" s="53"/>
      <c r="G184" s="53"/>
      <c r="H184" s="53"/>
      <c r="I184" s="53"/>
      <c r="J184" s="53"/>
      <c r="K184" s="53"/>
      <c r="L184" s="53"/>
      <c r="M184" s="53"/>
      <c r="N184" s="54">
        <f ca="1">IFERROR(__xludf.DUMMYFUNCTION("""COMPUTED_VALUE"""),19)</f>
        <v>19</v>
      </c>
      <c r="O184" s="54">
        <f ca="1">IFERROR(__xludf.DUMMYFUNCTION("""COMPUTED_VALUE"""),0)</f>
        <v>0</v>
      </c>
      <c r="P184" s="54"/>
      <c r="Q184" s="54">
        <f ca="1">IFERROR(__xludf.DUMMYFUNCTION("""COMPUTED_VALUE"""),0)</f>
        <v>0</v>
      </c>
      <c r="R184" s="54"/>
      <c r="S184" s="53"/>
      <c r="T184" s="53"/>
      <c r="U184" s="53"/>
      <c r="V184" s="53"/>
      <c r="W184" s="53"/>
      <c r="X184" s="53"/>
      <c r="Y184" s="53"/>
      <c r="Z184" s="2"/>
      <c r="AA184" s="2"/>
      <c r="AB184" s="2"/>
      <c r="AC184" s="2"/>
      <c r="AD184" s="2"/>
      <c r="AE184" s="2"/>
    </row>
    <row r="185" spans="1:31" ht="12.75" x14ac:dyDescent="0.2">
      <c r="A185" s="53">
        <f ca="1">IFERROR(__xludf.DUMMYFUNCTION("""COMPUTED_VALUE"""),35)</f>
        <v>35</v>
      </c>
      <c r="B185" s="53" t="str">
        <f ca="1">IFERROR(__xludf.DUMMYFUNCTION("""COMPUTED_VALUE"""),"LMG Hoa Cúc Xanh")</f>
        <v>LMG Hoa Cúc Xanh</v>
      </c>
      <c r="C185" s="53" t="str">
        <f ca="1">IFERROR(__xludf.DUMMYFUNCTION("""COMPUTED_VALUE"""),"MN")</f>
        <v>MN</v>
      </c>
      <c r="D185" s="53" t="str">
        <f ca="1">IFERROR(__xludf.DUMMYFUNCTION("""COMPUTED_VALUE"""),"Bình Tân")</f>
        <v>Bình Tân</v>
      </c>
      <c r="E185" s="53"/>
      <c r="F185" s="53"/>
      <c r="G185" s="53"/>
      <c r="H185" s="53"/>
      <c r="I185" s="53"/>
      <c r="J185" s="53"/>
      <c r="K185" s="53"/>
      <c r="L185" s="53"/>
      <c r="M185" s="53"/>
      <c r="N185" s="54">
        <f ca="1">IFERROR(__xludf.DUMMYFUNCTION("""COMPUTED_VALUE"""),20)</f>
        <v>20</v>
      </c>
      <c r="O185" s="54">
        <f ca="1">IFERROR(__xludf.DUMMYFUNCTION("""COMPUTED_VALUE"""),6)</f>
        <v>6</v>
      </c>
      <c r="P185" s="54"/>
      <c r="Q185" s="54">
        <f ca="1">IFERROR(__xludf.DUMMYFUNCTION("""COMPUTED_VALUE"""),6)</f>
        <v>6</v>
      </c>
      <c r="R185" s="54"/>
      <c r="S185" s="53"/>
      <c r="T185" s="53"/>
      <c r="U185" s="53"/>
      <c r="V185" s="53"/>
      <c r="W185" s="53"/>
      <c r="X185" s="53"/>
      <c r="Y185" s="53"/>
      <c r="Z185" s="2"/>
      <c r="AA185" s="2"/>
      <c r="AB185" s="2"/>
      <c r="AC185" s="2"/>
      <c r="AD185" s="2"/>
      <c r="AE185" s="2"/>
    </row>
    <row r="186" spans="1:31" ht="12.75" x14ac:dyDescent="0.2">
      <c r="A186" s="53">
        <f ca="1">IFERROR(__xludf.DUMMYFUNCTION("""COMPUTED_VALUE"""),36)</f>
        <v>36</v>
      </c>
      <c r="B186" s="53" t="str">
        <f ca="1">IFERROR(__xludf.DUMMYFUNCTION("""COMPUTED_VALUE"""),"LMG Lucky ABC")</f>
        <v>LMG Lucky ABC</v>
      </c>
      <c r="C186" s="53" t="str">
        <f ca="1">IFERROR(__xludf.DUMMYFUNCTION("""COMPUTED_VALUE"""),"MN")</f>
        <v>MN</v>
      </c>
      <c r="D186" s="53" t="str">
        <f ca="1">IFERROR(__xludf.DUMMYFUNCTION("""COMPUTED_VALUE"""),"Bình Tân")</f>
        <v>Bình Tân</v>
      </c>
      <c r="E186" s="53"/>
      <c r="F186" s="53"/>
      <c r="G186" s="53"/>
      <c r="H186" s="53"/>
      <c r="I186" s="53"/>
      <c r="J186" s="53"/>
      <c r="K186" s="53"/>
      <c r="L186" s="53"/>
      <c r="M186" s="53"/>
      <c r="N186" s="54">
        <f ca="1">IFERROR(__xludf.DUMMYFUNCTION("""COMPUTED_VALUE"""),12)</f>
        <v>12</v>
      </c>
      <c r="O186" s="54">
        <f ca="1">IFERROR(__xludf.DUMMYFUNCTION("""COMPUTED_VALUE"""),6)</f>
        <v>6</v>
      </c>
      <c r="P186" s="54"/>
      <c r="Q186" s="54">
        <f ca="1">IFERROR(__xludf.DUMMYFUNCTION("""COMPUTED_VALUE"""),6)</f>
        <v>6</v>
      </c>
      <c r="R186" s="54"/>
      <c r="S186" s="53"/>
      <c r="T186" s="53"/>
      <c r="U186" s="53"/>
      <c r="V186" s="53"/>
      <c r="W186" s="53"/>
      <c r="X186" s="53"/>
      <c r="Y186" s="53"/>
      <c r="Z186" s="2"/>
      <c r="AA186" s="2"/>
      <c r="AB186" s="2"/>
      <c r="AC186" s="2"/>
      <c r="AD186" s="2"/>
      <c r="AE186" s="2"/>
    </row>
    <row r="187" spans="1:31" ht="12.75" x14ac:dyDescent="0.2">
      <c r="A187" s="53">
        <f ca="1">IFERROR(__xludf.DUMMYFUNCTION("""COMPUTED_VALUE"""),37)</f>
        <v>37</v>
      </c>
      <c r="B187" s="53" t="str">
        <f ca="1">IFERROR(__xludf.DUMMYFUNCTION("""COMPUTED_VALUE"""),"LMN Ngọc Lan")</f>
        <v>LMN Ngọc Lan</v>
      </c>
      <c r="C187" s="53" t="str">
        <f ca="1">IFERROR(__xludf.DUMMYFUNCTION("""COMPUTED_VALUE"""),"MN")</f>
        <v>MN</v>
      </c>
      <c r="D187" s="53" t="str">
        <f ca="1">IFERROR(__xludf.DUMMYFUNCTION("""COMPUTED_VALUE"""),"Bình Tân")</f>
        <v>Bình Tân</v>
      </c>
      <c r="E187" s="53"/>
      <c r="F187" s="53"/>
      <c r="G187" s="53"/>
      <c r="H187" s="53"/>
      <c r="I187" s="53"/>
      <c r="J187" s="53"/>
      <c r="K187" s="53"/>
      <c r="L187" s="53"/>
      <c r="M187" s="53"/>
      <c r="N187" s="54">
        <f ca="1">IFERROR(__xludf.DUMMYFUNCTION("""COMPUTED_VALUE"""),30)</f>
        <v>30</v>
      </c>
      <c r="O187" s="54">
        <f ca="1">IFERROR(__xludf.DUMMYFUNCTION("""COMPUTED_VALUE"""),1)</f>
        <v>1</v>
      </c>
      <c r="P187" s="54"/>
      <c r="Q187" s="54">
        <f ca="1">IFERROR(__xludf.DUMMYFUNCTION("""COMPUTED_VALUE"""),0)</f>
        <v>0</v>
      </c>
      <c r="R187" s="54"/>
      <c r="S187" s="53"/>
      <c r="T187" s="53"/>
      <c r="U187" s="53"/>
      <c r="V187" s="53"/>
      <c r="W187" s="53"/>
      <c r="X187" s="53"/>
      <c r="Y187" s="53"/>
      <c r="Z187" s="2"/>
      <c r="AA187" s="2"/>
      <c r="AB187" s="2"/>
      <c r="AC187" s="2"/>
      <c r="AD187" s="2"/>
      <c r="AE187" s="2"/>
    </row>
    <row r="188" spans="1:31" ht="12.75" x14ac:dyDescent="0.2">
      <c r="A188" s="53">
        <f ca="1">IFERROR(__xludf.DUMMYFUNCTION("""COMPUTED_VALUE"""),38)</f>
        <v>38</v>
      </c>
      <c r="B188" s="53" t="str">
        <f ca="1">IFERROR(__xludf.DUMMYFUNCTION("""COMPUTED_VALUE"""),"LMG Phương Nam")</f>
        <v>LMG Phương Nam</v>
      </c>
      <c r="C188" s="53" t="str">
        <f ca="1">IFERROR(__xludf.DUMMYFUNCTION("""COMPUTED_VALUE"""),"MN")</f>
        <v>MN</v>
      </c>
      <c r="D188" s="53" t="str">
        <f ca="1">IFERROR(__xludf.DUMMYFUNCTION("""COMPUTED_VALUE"""),"Bình Tân")</f>
        <v>Bình Tân</v>
      </c>
      <c r="E188" s="53"/>
      <c r="F188" s="53"/>
      <c r="G188" s="53"/>
      <c r="H188" s="53"/>
      <c r="I188" s="53"/>
      <c r="J188" s="53"/>
      <c r="K188" s="53"/>
      <c r="L188" s="53"/>
      <c r="M188" s="53"/>
      <c r="N188" s="54">
        <f ca="1">IFERROR(__xludf.DUMMYFUNCTION("""COMPUTED_VALUE"""),55)</f>
        <v>55</v>
      </c>
      <c r="O188" s="54">
        <f ca="1">IFERROR(__xludf.DUMMYFUNCTION("""COMPUTED_VALUE"""),4)</f>
        <v>4</v>
      </c>
      <c r="P188" s="54"/>
      <c r="Q188" s="54">
        <f ca="1">IFERROR(__xludf.DUMMYFUNCTION("""COMPUTED_VALUE"""),2)</f>
        <v>2</v>
      </c>
      <c r="R188" s="54"/>
      <c r="S188" s="53"/>
      <c r="T188" s="53"/>
      <c r="U188" s="53"/>
      <c r="V188" s="53"/>
      <c r="W188" s="53"/>
      <c r="X188" s="53"/>
      <c r="Y188" s="53"/>
      <c r="Z188" s="2"/>
      <c r="AA188" s="2"/>
      <c r="AB188" s="2"/>
      <c r="AC188" s="2"/>
      <c r="AD188" s="2"/>
      <c r="AE188" s="2"/>
    </row>
    <row r="189" spans="1:31" ht="12.75" x14ac:dyDescent="0.2">
      <c r="A189" s="53">
        <f ca="1">IFERROR(__xludf.DUMMYFUNCTION("""COMPUTED_VALUE"""),39)</f>
        <v>39</v>
      </c>
      <c r="B189" s="53" t="str">
        <f ca="1">IFERROR(__xludf.DUMMYFUNCTION("""COMPUTED_VALUE"""),"LMG Phương Việt")</f>
        <v>LMG Phương Việt</v>
      </c>
      <c r="C189" s="53" t="str">
        <f ca="1">IFERROR(__xludf.DUMMYFUNCTION("""COMPUTED_VALUE"""),"MN")</f>
        <v>MN</v>
      </c>
      <c r="D189" s="53" t="str">
        <f ca="1">IFERROR(__xludf.DUMMYFUNCTION("""COMPUTED_VALUE"""),"Bình Tân")</f>
        <v>Bình Tân</v>
      </c>
      <c r="E189" s="53"/>
      <c r="F189" s="53"/>
      <c r="G189" s="53"/>
      <c r="H189" s="53"/>
      <c r="I189" s="53"/>
      <c r="J189" s="53"/>
      <c r="K189" s="53"/>
      <c r="L189" s="53"/>
      <c r="M189" s="53"/>
      <c r="N189" s="54">
        <f ca="1">IFERROR(__xludf.DUMMYFUNCTION("""COMPUTED_VALUE"""),17)</f>
        <v>17</v>
      </c>
      <c r="O189" s="54">
        <f ca="1">IFERROR(__xludf.DUMMYFUNCTION("""COMPUTED_VALUE"""),2)</f>
        <v>2</v>
      </c>
      <c r="P189" s="54"/>
      <c r="Q189" s="54">
        <f ca="1">IFERROR(__xludf.DUMMYFUNCTION("""COMPUTED_VALUE"""),0)</f>
        <v>0</v>
      </c>
      <c r="R189" s="54"/>
      <c r="S189" s="53"/>
      <c r="T189" s="53"/>
      <c r="U189" s="53"/>
      <c r="V189" s="53"/>
      <c r="W189" s="53"/>
      <c r="X189" s="53"/>
      <c r="Y189" s="53"/>
      <c r="Z189" s="2"/>
      <c r="AA189" s="2"/>
      <c r="AB189" s="2"/>
      <c r="AC189" s="2"/>
      <c r="AD189" s="2"/>
      <c r="AE189" s="2"/>
    </row>
    <row r="190" spans="1:31" ht="12.75" x14ac:dyDescent="0.2">
      <c r="A190" s="53">
        <f ca="1">IFERROR(__xludf.DUMMYFUNCTION("""COMPUTED_VALUE"""),40)</f>
        <v>40</v>
      </c>
      <c r="B190" s="53" t="str">
        <f ca="1">IFERROR(__xludf.DUMMYFUNCTION("""COMPUTED_VALUE"""),"LMG Tài Năng Việt")</f>
        <v>LMG Tài Năng Việt</v>
      </c>
      <c r="C190" s="53" t="str">
        <f ca="1">IFERROR(__xludf.DUMMYFUNCTION("""COMPUTED_VALUE"""),"MN")</f>
        <v>MN</v>
      </c>
      <c r="D190" s="53" t="str">
        <f ca="1">IFERROR(__xludf.DUMMYFUNCTION("""COMPUTED_VALUE"""),"Bình Tân")</f>
        <v>Bình Tân</v>
      </c>
      <c r="E190" s="53"/>
      <c r="F190" s="53"/>
      <c r="G190" s="53"/>
      <c r="H190" s="53"/>
      <c r="I190" s="53"/>
      <c r="J190" s="53"/>
      <c r="K190" s="53"/>
      <c r="L190" s="53"/>
      <c r="M190" s="53"/>
      <c r="N190" s="54">
        <f ca="1">IFERROR(__xludf.DUMMYFUNCTION("""COMPUTED_VALUE"""),4)</f>
        <v>4</v>
      </c>
      <c r="O190" s="54">
        <f ca="1">IFERROR(__xludf.DUMMYFUNCTION("""COMPUTED_VALUE"""),3)</f>
        <v>3</v>
      </c>
      <c r="P190" s="54"/>
      <c r="Q190" s="54">
        <f ca="1">IFERROR(__xludf.DUMMYFUNCTION("""COMPUTED_VALUE"""),0)</f>
        <v>0</v>
      </c>
      <c r="R190" s="54"/>
      <c r="S190" s="53"/>
      <c r="T190" s="53"/>
      <c r="U190" s="53"/>
      <c r="V190" s="53"/>
      <c r="W190" s="53"/>
      <c r="X190" s="53"/>
      <c r="Y190" s="53"/>
      <c r="Z190" s="2"/>
      <c r="AA190" s="2"/>
      <c r="AB190" s="2"/>
      <c r="AC190" s="2"/>
      <c r="AD190" s="2"/>
      <c r="AE190" s="2"/>
    </row>
    <row r="191" spans="1:31" ht="12.75" x14ac:dyDescent="0.2">
      <c r="A191" s="53">
        <f ca="1">IFERROR(__xludf.DUMMYFUNCTION("""COMPUTED_VALUE"""),41)</f>
        <v>41</v>
      </c>
      <c r="B191" s="53" t="str">
        <f ca="1">IFERROR(__xludf.DUMMYFUNCTION("""COMPUTED_VALUE"""),"LMG Thần Đồng Việt Mỹ")</f>
        <v>LMG Thần Đồng Việt Mỹ</v>
      </c>
      <c r="C191" s="53" t="str">
        <f ca="1">IFERROR(__xludf.DUMMYFUNCTION("""COMPUTED_VALUE"""),"MN")</f>
        <v>MN</v>
      </c>
      <c r="D191" s="53" t="str">
        <f ca="1">IFERROR(__xludf.DUMMYFUNCTION("""COMPUTED_VALUE"""),"Bình Tân")</f>
        <v>Bình Tân</v>
      </c>
      <c r="E191" s="53"/>
      <c r="F191" s="53"/>
      <c r="G191" s="53"/>
      <c r="H191" s="53"/>
      <c r="I191" s="53"/>
      <c r="J191" s="53"/>
      <c r="K191" s="53"/>
      <c r="L191" s="53"/>
      <c r="M191" s="53"/>
      <c r="N191" s="54">
        <f ca="1">IFERROR(__xludf.DUMMYFUNCTION("""COMPUTED_VALUE"""),9)</f>
        <v>9</v>
      </c>
      <c r="O191" s="54">
        <f ca="1">IFERROR(__xludf.DUMMYFUNCTION("""COMPUTED_VALUE"""),0)</f>
        <v>0</v>
      </c>
      <c r="P191" s="54"/>
      <c r="Q191" s="54">
        <f ca="1">IFERROR(__xludf.DUMMYFUNCTION("""COMPUTED_VALUE"""),0)</f>
        <v>0</v>
      </c>
      <c r="R191" s="54"/>
      <c r="S191" s="53"/>
      <c r="T191" s="53"/>
      <c r="U191" s="53"/>
      <c r="V191" s="53"/>
      <c r="W191" s="53"/>
      <c r="X191" s="53"/>
      <c r="Y191" s="53"/>
      <c r="Z191" s="2"/>
      <c r="AA191" s="2"/>
      <c r="AB191" s="2"/>
      <c r="AC191" s="2"/>
      <c r="AD191" s="2"/>
      <c r="AE191" s="2"/>
    </row>
    <row r="192" spans="1:31" ht="12.75" x14ac:dyDescent="0.2">
      <c r="A192" s="53">
        <f ca="1">IFERROR(__xludf.DUMMYFUNCTION("""COMPUTED_VALUE"""),42)</f>
        <v>42</v>
      </c>
      <c r="B192" s="53" t="str">
        <f ca="1">IFERROR(__xludf.DUMMYFUNCTION("""COMPUTED_VALUE"""),"LMG Thiên Nga")</f>
        <v>LMG Thiên Nga</v>
      </c>
      <c r="C192" s="53" t="str">
        <f ca="1">IFERROR(__xludf.DUMMYFUNCTION("""COMPUTED_VALUE"""),"MN")</f>
        <v>MN</v>
      </c>
      <c r="D192" s="53" t="str">
        <f ca="1">IFERROR(__xludf.DUMMYFUNCTION("""COMPUTED_VALUE"""),"Bình Tân")</f>
        <v>Bình Tân</v>
      </c>
      <c r="E192" s="53"/>
      <c r="F192" s="53"/>
      <c r="G192" s="53"/>
      <c r="H192" s="53"/>
      <c r="I192" s="53"/>
      <c r="J192" s="53"/>
      <c r="K192" s="53"/>
      <c r="L192" s="53"/>
      <c r="M192" s="53"/>
      <c r="N192" s="54">
        <f ca="1">IFERROR(__xludf.DUMMYFUNCTION("""COMPUTED_VALUE"""),14)</f>
        <v>14</v>
      </c>
      <c r="O192" s="54">
        <f ca="1">IFERROR(__xludf.DUMMYFUNCTION("""COMPUTED_VALUE"""),3)</f>
        <v>3</v>
      </c>
      <c r="P192" s="54"/>
      <c r="Q192" s="54">
        <f ca="1">IFERROR(__xludf.DUMMYFUNCTION("""COMPUTED_VALUE"""),2)</f>
        <v>2</v>
      </c>
      <c r="R192" s="54"/>
      <c r="S192" s="53"/>
      <c r="T192" s="53"/>
      <c r="U192" s="53"/>
      <c r="V192" s="53"/>
      <c r="W192" s="53"/>
      <c r="X192" s="53"/>
      <c r="Y192" s="53"/>
      <c r="Z192" s="2"/>
      <c r="AA192" s="2"/>
      <c r="AB192" s="2"/>
      <c r="AC192" s="2"/>
      <c r="AD192" s="2"/>
      <c r="AE192" s="2"/>
    </row>
    <row r="193" spans="1:31" ht="12.75" x14ac:dyDescent="0.2">
      <c r="A193" s="53">
        <f ca="1">IFERROR(__xludf.DUMMYFUNCTION("""COMPUTED_VALUE"""),43)</f>
        <v>43</v>
      </c>
      <c r="B193" s="53" t="str">
        <f ca="1">IFERROR(__xludf.DUMMYFUNCTION("""COMPUTED_VALUE"""),"LMG Tương Lai Việt")</f>
        <v>LMG Tương Lai Việt</v>
      </c>
      <c r="C193" s="53" t="str">
        <f ca="1">IFERROR(__xludf.DUMMYFUNCTION("""COMPUTED_VALUE"""),"MN")</f>
        <v>MN</v>
      </c>
      <c r="D193" s="53" t="str">
        <f ca="1">IFERROR(__xludf.DUMMYFUNCTION("""COMPUTED_VALUE"""),"Bình Tân")</f>
        <v>Bình Tân</v>
      </c>
      <c r="E193" s="53"/>
      <c r="F193" s="53"/>
      <c r="G193" s="53"/>
      <c r="H193" s="53"/>
      <c r="I193" s="53"/>
      <c r="J193" s="53"/>
      <c r="K193" s="53"/>
      <c r="L193" s="53"/>
      <c r="M193" s="53"/>
      <c r="N193" s="54">
        <f ca="1">IFERROR(__xludf.DUMMYFUNCTION("""COMPUTED_VALUE"""),15)</f>
        <v>15</v>
      </c>
      <c r="O193" s="54">
        <f ca="1">IFERROR(__xludf.DUMMYFUNCTION("""COMPUTED_VALUE"""),0)</f>
        <v>0</v>
      </c>
      <c r="P193" s="54"/>
      <c r="Q193" s="54">
        <f ca="1">IFERROR(__xludf.DUMMYFUNCTION("""COMPUTED_VALUE"""),0)</f>
        <v>0</v>
      </c>
      <c r="R193" s="54"/>
      <c r="S193" s="53"/>
      <c r="T193" s="53"/>
      <c r="U193" s="53"/>
      <c r="V193" s="53"/>
      <c r="W193" s="53"/>
      <c r="X193" s="53"/>
      <c r="Y193" s="53"/>
      <c r="Z193" s="2"/>
      <c r="AA193" s="2"/>
      <c r="AB193" s="2"/>
      <c r="AC193" s="2"/>
      <c r="AD193" s="2"/>
      <c r="AE193" s="2"/>
    </row>
    <row r="194" spans="1:31" ht="12.75" x14ac:dyDescent="0.2">
      <c r="A194" s="53"/>
      <c r="B194" s="53" t="str">
        <f ca="1">IFERROR(__xludf.DUMMYFUNCTION("""COMPUTED_VALUE"""),"6. Bình Trị Đông")</f>
        <v>6. Bình Trị Đông</v>
      </c>
      <c r="C194" s="53" t="str">
        <f ca="1">IFERROR(__xludf.DUMMYFUNCTION("""COMPUTED_VALUE"""),"MN")</f>
        <v>MN</v>
      </c>
      <c r="D194" s="53" t="str">
        <f ca="1">IFERROR(__xludf.DUMMYFUNCTION("""COMPUTED_VALUE"""),"Bình Tân")</f>
        <v>Bình Tân</v>
      </c>
      <c r="E194" s="53"/>
      <c r="F194" s="53"/>
      <c r="G194" s="53"/>
      <c r="H194" s="53"/>
      <c r="I194" s="53"/>
      <c r="J194" s="53"/>
      <c r="K194" s="53"/>
      <c r="L194" s="53"/>
      <c r="M194" s="53"/>
      <c r="N194" s="53"/>
      <c r="O194" s="53"/>
      <c r="P194" s="53"/>
      <c r="Q194" s="53"/>
      <c r="R194" s="53"/>
      <c r="S194" s="53"/>
      <c r="T194" s="53"/>
      <c r="U194" s="53"/>
      <c r="V194" s="53"/>
      <c r="W194" s="53"/>
      <c r="X194" s="53"/>
      <c r="Y194" s="53"/>
      <c r="Z194" s="2"/>
      <c r="AA194" s="2"/>
      <c r="AB194" s="2"/>
      <c r="AC194" s="2"/>
      <c r="AD194" s="2"/>
      <c r="AE194" s="2"/>
    </row>
    <row r="195" spans="1:31" ht="12.75" x14ac:dyDescent="0.2">
      <c r="A195" s="53">
        <f ca="1">IFERROR(__xludf.DUMMYFUNCTION("""COMPUTED_VALUE"""),1)</f>
        <v>1</v>
      </c>
      <c r="B195" s="53" t="str">
        <f ca="1">IFERROR(__xludf.DUMMYFUNCTION("""COMPUTED_VALUE"""),"MNTT Anh Thư")</f>
        <v>MNTT Anh Thư</v>
      </c>
      <c r="C195" s="53" t="str">
        <f ca="1">IFERROR(__xludf.DUMMYFUNCTION("""COMPUTED_VALUE"""),"MN")</f>
        <v>MN</v>
      </c>
      <c r="D195" s="53" t="str">
        <f ca="1">IFERROR(__xludf.DUMMYFUNCTION("""COMPUTED_VALUE"""),"Bình Tân")</f>
        <v>Bình Tân</v>
      </c>
      <c r="E195" s="53"/>
      <c r="F195" s="53"/>
      <c r="G195" s="53"/>
      <c r="H195" s="53"/>
      <c r="I195" s="53"/>
      <c r="J195" s="53"/>
      <c r="K195" s="53"/>
      <c r="L195" s="53"/>
      <c r="M195" s="53"/>
      <c r="N195" s="54">
        <f ca="1">IFERROR(__xludf.DUMMYFUNCTION("""COMPUTED_VALUE"""),43)</f>
        <v>43</v>
      </c>
      <c r="O195" s="54">
        <f ca="1">IFERROR(__xludf.DUMMYFUNCTION("""COMPUTED_VALUE"""),13)</f>
        <v>13</v>
      </c>
      <c r="P195" s="54"/>
      <c r="Q195" s="54">
        <f ca="1">IFERROR(__xludf.DUMMYFUNCTION("""COMPUTED_VALUE"""),6)</f>
        <v>6</v>
      </c>
      <c r="R195" s="54"/>
      <c r="S195" s="53"/>
      <c r="T195" s="53"/>
      <c r="U195" s="53"/>
      <c r="V195" s="53"/>
      <c r="W195" s="53"/>
      <c r="X195" s="53"/>
      <c r="Y195" s="53"/>
      <c r="Z195" s="2"/>
      <c r="AA195" s="2"/>
      <c r="AB195" s="2"/>
      <c r="AC195" s="2"/>
      <c r="AD195" s="2"/>
      <c r="AE195" s="2"/>
    </row>
    <row r="196" spans="1:31" ht="12.75" x14ac:dyDescent="0.2">
      <c r="A196" s="53">
        <f ca="1">IFERROR(__xludf.DUMMYFUNCTION("""COMPUTED_VALUE"""),2)</f>
        <v>2</v>
      </c>
      <c r="B196" s="53" t="str">
        <f ca="1">IFERROR(__xludf.DUMMYFUNCTION("""COMPUTED_VALUE"""),"MNTT Đất Việt")</f>
        <v>MNTT Đất Việt</v>
      </c>
      <c r="C196" s="53" t="str">
        <f ca="1">IFERROR(__xludf.DUMMYFUNCTION("""COMPUTED_VALUE"""),"MN")</f>
        <v>MN</v>
      </c>
      <c r="D196" s="53" t="str">
        <f ca="1">IFERROR(__xludf.DUMMYFUNCTION("""COMPUTED_VALUE"""),"Bình Tân")</f>
        <v>Bình Tân</v>
      </c>
      <c r="E196" s="53"/>
      <c r="F196" s="53"/>
      <c r="G196" s="53"/>
      <c r="H196" s="53"/>
      <c r="I196" s="53"/>
      <c r="J196" s="53"/>
      <c r="K196" s="53"/>
      <c r="L196" s="53"/>
      <c r="M196" s="53"/>
      <c r="N196" s="54">
        <f ca="1">IFERROR(__xludf.DUMMYFUNCTION("""COMPUTED_VALUE"""),63)</f>
        <v>63</v>
      </c>
      <c r="O196" s="54">
        <f ca="1">IFERROR(__xludf.DUMMYFUNCTION("""COMPUTED_VALUE"""),18)</f>
        <v>18</v>
      </c>
      <c r="P196" s="54"/>
      <c r="Q196" s="54">
        <f ca="1">IFERROR(__xludf.DUMMYFUNCTION("""COMPUTED_VALUE"""),10)</f>
        <v>10</v>
      </c>
      <c r="R196" s="54"/>
      <c r="S196" s="53"/>
      <c r="T196" s="53"/>
      <c r="U196" s="53"/>
      <c r="V196" s="53"/>
      <c r="W196" s="53"/>
      <c r="X196" s="53"/>
      <c r="Y196" s="53"/>
      <c r="Z196" s="2"/>
      <c r="AA196" s="2"/>
      <c r="AB196" s="2"/>
      <c r="AC196" s="2"/>
      <c r="AD196" s="2"/>
      <c r="AE196" s="2"/>
    </row>
    <row r="197" spans="1:31" ht="12.75" x14ac:dyDescent="0.2">
      <c r="A197" s="53">
        <f ca="1">IFERROR(__xludf.DUMMYFUNCTION("""COMPUTED_VALUE"""),3)</f>
        <v>3</v>
      </c>
      <c r="B197" s="53" t="str">
        <f ca="1">IFERROR(__xludf.DUMMYFUNCTION("""COMPUTED_VALUE"""),"MNTT Hoàng Gia")</f>
        <v>MNTT Hoàng Gia</v>
      </c>
      <c r="C197" s="53" t="str">
        <f ca="1">IFERROR(__xludf.DUMMYFUNCTION("""COMPUTED_VALUE"""),"MN")</f>
        <v>MN</v>
      </c>
      <c r="D197" s="53" t="str">
        <f ca="1">IFERROR(__xludf.DUMMYFUNCTION("""COMPUTED_VALUE"""),"Bình Tân")</f>
        <v>Bình Tân</v>
      </c>
      <c r="E197" s="53"/>
      <c r="F197" s="53"/>
      <c r="G197" s="53"/>
      <c r="H197" s="53"/>
      <c r="I197" s="53"/>
      <c r="J197" s="53"/>
      <c r="K197" s="53"/>
      <c r="L197" s="53"/>
      <c r="M197" s="53"/>
      <c r="N197" s="54">
        <f ca="1">IFERROR(__xludf.DUMMYFUNCTION("""COMPUTED_VALUE"""),25)</f>
        <v>25</v>
      </c>
      <c r="O197" s="54">
        <f ca="1">IFERROR(__xludf.DUMMYFUNCTION("""COMPUTED_VALUE"""),0)</f>
        <v>0</v>
      </c>
      <c r="P197" s="54"/>
      <c r="Q197" s="54">
        <f ca="1">IFERROR(__xludf.DUMMYFUNCTION("""COMPUTED_VALUE"""),0)</f>
        <v>0</v>
      </c>
      <c r="R197" s="54"/>
      <c r="S197" s="53"/>
      <c r="T197" s="53"/>
      <c r="U197" s="53"/>
      <c r="V197" s="53"/>
      <c r="W197" s="53"/>
      <c r="X197" s="53"/>
      <c r="Y197" s="53"/>
      <c r="Z197" s="2"/>
      <c r="AA197" s="2"/>
      <c r="AB197" s="2"/>
      <c r="AC197" s="2"/>
      <c r="AD197" s="2"/>
      <c r="AE197" s="2"/>
    </row>
    <row r="198" spans="1:31" ht="12.75" x14ac:dyDescent="0.2">
      <c r="A198" s="53">
        <f ca="1">IFERROR(__xludf.DUMMYFUNCTION("""COMPUTED_VALUE"""),4)</f>
        <v>4</v>
      </c>
      <c r="B198" s="53" t="str">
        <f ca="1">IFERROR(__xludf.DUMMYFUNCTION("""COMPUTED_VALUE"""),"MNTT Kim Đồng")</f>
        <v>MNTT Kim Đồng</v>
      </c>
      <c r="C198" s="53" t="str">
        <f ca="1">IFERROR(__xludf.DUMMYFUNCTION("""COMPUTED_VALUE"""),"MN")</f>
        <v>MN</v>
      </c>
      <c r="D198" s="53" t="str">
        <f ca="1">IFERROR(__xludf.DUMMYFUNCTION("""COMPUTED_VALUE"""),"Bình Tân")</f>
        <v>Bình Tân</v>
      </c>
      <c r="E198" s="53"/>
      <c r="F198" s="53"/>
      <c r="G198" s="53"/>
      <c r="H198" s="53"/>
      <c r="I198" s="53"/>
      <c r="J198" s="53"/>
      <c r="K198" s="53"/>
      <c r="L198" s="53"/>
      <c r="M198" s="53"/>
      <c r="N198" s="54">
        <f ca="1">IFERROR(__xludf.DUMMYFUNCTION("""COMPUTED_VALUE"""),37)</f>
        <v>37</v>
      </c>
      <c r="O198" s="54">
        <f ca="1">IFERROR(__xludf.DUMMYFUNCTION("""COMPUTED_VALUE"""),9)</f>
        <v>9</v>
      </c>
      <c r="P198" s="54"/>
      <c r="Q198" s="54">
        <f ca="1">IFERROR(__xludf.DUMMYFUNCTION("""COMPUTED_VALUE"""),7)</f>
        <v>7</v>
      </c>
      <c r="R198" s="54"/>
      <c r="S198" s="53"/>
      <c r="T198" s="53"/>
      <c r="U198" s="53"/>
      <c r="V198" s="53"/>
      <c r="W198" s="53"/>
      <c r="X198" s="53"/>
      <c r="Y198" s="53"/>
      <c r="Z198" s="2"/>
      <c r="AA198" s="2"/>
      <c r="AB198" s="2"/>
      <c r="AC198" s="2"/>
      <c r="AD198" s="2"/>
      <c r="AE198" s="2"/>
    </row>
    <row r="199" spans="1:31" ht="12.75" x14ac:dyDescent="0.2">
      <c r="A199" s="53">
        <f ca="1">IFERROR(__xludf.DUMMYFUNCTION("""COMPUTED_VALUE"""),5)</f>
        <v>5</v>
      </c>
      <c r="B199" s="53" t="str">
        <f ca="1">IFERROR(__xludf.DUMMYFUNCTION("""COMPUTED_VALUE"""),"MNTT Tây Thạnh 2")</f>
        <v>MNTT Tây Thạnh 2</v>
      </c>
      <c r="C199" s="53" t="str">
        <f ca="1">IFERROR(__xludf.DUMMYFUNCTION("""COMPUTED_VALUE"""),"MN")</f>
        <v>MN</v>
      </c>
      <c r="D199" s="53" t="str">
        <f ca="1">IFERROR(__xludf.DUMMYFUNCTION("""COMPUTED_VALUE"""),"Bình Tân")</f>
        <v>Bình Tân</v>
      </c>
      <c r="E199" s="53"/>
      <c r="F199" s="53"/>
      <c r="G199" s="53"/>
      <c r="H199" s="53"/>
      <c r="I199" s="53"/>
      <c r="J199" s="53"/>
      <c r="K199" s="53"/>
      <c r="L199" s="53"/>
      <c r="M199" s="53"/>
      <c r="N199" s="54">
        <f ca="1">IFERROR(__xludf.DUMMYFUNCTION("""COMPUTED_VALUE"""),51)</f>
        <v>51</v>
      </c>
      <c r="O199" s="54">
        <f ca="1">IFERROR(__xludf.DUMMYFUNCTION("""COMPUTED_VALUE"""),8)</f>
        <v>8</v>
      </c>
      <c r="P199" s="54"/>
      <c r="Q199" s="54">
        <f ca="1">IFERROR(__xludf.DUMMYFUNCTION("""COMPUTED_VALUE"""),6)</f>
        <v>6</v>
      </c>
      <c r="R199" s="54"/>
      <c r="S199" s="53"/>
      <c r="T199" s="53"/>
      <c r="U199" s="53"/>
      <c r="V199" s="53"/>
      <c r="W199" s="53"/>
      <c r="X199" s="53"/>
      <c r="Y199" s="53"/>
      <c r="Z199" s="2"/>
      <c r="AA199" s="2"/>
      <c r="AB199" s="2"/>
      <c r="AC199" s="2"/>
      <c r="AD199" s="2"/>
      <c r="AE199" s="2"/>
    </row>
    <row r="200" spans="1:31" ht="12.75" x14ac:dyDescent="0.2">
      <c r="A200" s="53">
        <f ca="1">IFERROR(__xludf.DUMMYFUNCTION("""COMPUTED_VALUE"""),6)</f>
        <v>6</v>
      </c>
      <c r="B200" s="53" t="str">
        <f ca="1">IFERROR(__xludf.DUMMYFUNCTION("""COMPUTED_VALUE"""),"MNTT Việt Đức")</f>
        <v>MNTT Việt Đức</v>
      </c>
      <c r="C200" s="53" t="str">
        <f ca="1">IFERROR(__xludf.DUMMYFUNCTION("""COMPUTED_VALUE"""),"MN")</f>
        <v>MN</v>
      </c>
      <c r="D200" s="53" t="str">
        <f ca="1">IFERROR(__xludf.DUMMYFUNCTION("""COMPUTED_VALUE"""),"Bình Tân")</f>
        <v>Bình Tân</v>
      </c>
      <c r="E200" s="53"/>
      <c r="F200" s="53"/>
      <c r="G200" s="53"/>
      <c r="H200" s="53"/>
      <c r="I200" s="53"/>
      <c r="J200" s="53"/>
      <c r="K200" s="53"/>
      <c r="L200" s="53"/>
      <c r="M200" s="53"/>
      <c r="N200" s="54">
        <f ca="1">IFERROR(__xludf.DUMMYFUNCTION("""COMPUTED_VALUE"""),85)</f>
        <v>85</v>
      </c>
      <c r="O200" s="54">
        <f ca="1">IFERROR(__xludf.DUMMYFUNCTION("""COMPUTED_VALUE"""),21)</f>
        <v>21</v>
      </c>
      <c r="P200" s="54"/>
      <c r="Q200" s="54">
        <f ca="1">IFERROR(__xludf.DUMMYFUNCTION("""COMPUTED_VALUE"""),13)</f>
        <v>13</v>
      </c>
      <c r="R200" s="54"/>
      <c r="S200" s="53"/>
      <c r="T200" s="53"/>
      <c r="U200" s="53"/>
      <c r="V200" s="53"/>
      <c r="W200" s="53"/>
      <c r="X200" s="53"/>
      <c r="Y200" s="53"/>
      <c r="Z200" s="2"/>
      <c r="AA200" s="2"/>
      <c r="AB200" s="2"/>
      <c r="AC200" s="2"/>
      <c r="AD200" s="2"/>
      <c r="AE200" s="2"/>
    </row>
    <row r="201" spans="1:31" ht="12.75" x14ac:dyDescent="0.2">
      <c r="A201" s="53">
        <f ca="1">IFERROR(__xludf.DUMMYFUNCTION("""COMPUTED_VALUE"""),7)</f>
        <v>7</v>
      </c>
      <c r="B201" s="53" t="str">
        <f ca="1">IFERROR(__xludf.DUMMYFUNCTION("""COMPUTED_VALUE"""),"LMG Hồng Yến")</f>
        <v>LMG Hồng Yến</v>
      </c>
      <c r="C201" s="53" t="str">
        <f ca="1">IFERROR(__xludf.DUMMYFUNCTION("""COMPUTED_VALUE"""),"MN")</f>
        <v>MN</v>
      </c>
      <c r="D201" s="53" t="str">
        <f ca="1">IFERROR(__xludf.DUMMYFUNCTION("""COMPUTED_VALUE"""),"Bình Tân")</f>
        <v>Bình Tân</v>
      </c>
      <c r="E201" s="53"/>
      <c r="F201" s="53"/>
      <c r="G201" s="53"/>
      <c r="H201" s="53"/>
      <c r="I201" s="53"/>
      <c r="J201" s="53"/>
      <c r="K201" s="53"/>
      <c r="L201" s="53"/>
      <c r="M201" s="53"/>
      <c r="N201" s="54">
        <f ca="1">IFERROR(__xludf.DUMMYFUNCTION("""COMPUTED_VALUE"""),23)</f>
        <v>23</v>
      </c>
      <c r="O201" s="54">
        <f ca="1">IFERROR(__xludf.DUMMYFUNCTION("""COMPUTED_VALUE"""),12)</f>
        <v>12</v>
      </c>
      <c r="P201" s="54"/>
      <c r="Q201" s="54">
        <f ca="1">IFERROR(__xludf.DUMMYFUNCTION("""COMPUTED_VALUE"""),10)</f>
        <v>10</v>
      </c>
      <c r="R201" s="54"/>
      <c r="S201" s="53"/>
      <c r="T201" s="53"/>
      <c r="U201" s="53"/>
      <c r="V201" s="53"/>
      <c r="W201" s="53"/>
      <c r="X201" s="53"/>
      <c r="Y201" s="53"/>
      <c r="Z201" s="2"/>
      <c r="AA201" s="2"/>
      <c r="AB201" s="2"/>
      <c r="AC201" s="2"/>
      <c r="AD201" s="2"/>
      <c r="AE201" s="2"/>
    </row>
    <row r="202" spans="1:31" ht="12.75" x14ac:dyDescent="0.2">
      <c r="A202" s="53">
        <f ca="1">IFERROR(__xludf.DUMMYFUNCTION("""COMPUTED_VALUE"""),8)</f>
        <v>8</v>
      </c>
      <c r="B202" s="53" t="str">
        <f ca="1">IFERROR(__xludf.DUMMYFUNCTION("""COMPUTED_VALUE"""),"LMN Phương Quỳnh")</f>
        <v>LMN Phương Quỳnh</v>
      </c>
      <c r="C202" s="53" t="str">
        <f ca="1">IFERROR(__xludf.DUMMYFUNCTION("""COMPUTED_VALUE"""),"MN")</f>
        <v>MN</v>
      </c>
      <c r="D202" s="53" t="str">
        <f ca="1">IFERROR(__xludf.DUMMYFUNCTION("""COMPUTED_VALUE"""),"Bình Tân")</f>
        <v>Bình Tân</v>
      </c>
      <c r="E202" s="53"/>
      <c r="F202" s="53"/>
      <c r="G202" s="53"/>
      <c r="H202" s="53"/>
      <c r="I202" s="53"/>
      <c r="J202" s="53"/>
      <c r="K202" s="53"/>
      <c r="L202" s="53"/>
      <c r="M202" s="53"/>
      <c r="N202" s="54">
        <f ca="1">IFERROR(__xludf.DUMMYFUNCTION("""COMPUTED_VALUE"""),26)</f>
        <v>26</v>
      </c>
      <c r="O202" s="54">
        <f ca="1">IFERROR(__xludf.DUMMYFUNCTION("""COMPUTED_VALUE"""),12)</f>
        <v>12</v>
      </c>
      <c r="P202" s="54"/>
      <c r="Q202" s="54">
        <f ca="1">IFERROR(__xludf.DUMMYFUNCTION("""COMPUTED_VALUE"""),12)</f>
        <v>12</v>
      </c>
      <c r="R202" s="54"/>
      <c r="S202" s="53"/>
      <c r="T202" s="53"/>
      <c r="U202" s="53"/>
      <c r="V202" s="53"/>
      <c r="W202" s="53"/>
      <c r="X202" s="53"/>
      <c r="Y202" s="53"/>
      <c r="Z202" s="2"/>
      <c r="AA202" s="2"/>
      <c r="AB202" s="2"/>
      <c r="AC202" s="2"/>
      <c r="AD202" s="2"/>
      <c r="AE202" s="2"/>
    </row>
    <row r="203" spans="1:31" ht="12.75" x14ac:dyDescent="0.2">
      <c r="A203" s="53">
        <f ca="1">IFERROR(__xludf.DUMMYFUNCTION("""COMPUTED_VALUE"""),9)</f>
        <v>9</v>
      </c>
      <c r="B203" s="53" t="str">
        <f ca="1">IFERROR(__xludf.DUMMYFUNCTION("""COMPUTED_VALUE"""),"LMG Thiên Hoa")</f>
        <v>LMG Thiên Hoa</v>
      </c>
      <c r="C203" s="53" t="str">
        <f ca="1">IFERROR(__xludf.DUMMYFUNCTION("""COMPUTED_VALUE"""),"MN")</f>
        <v>MN</v>
      </c>
      <c r="D203" s="53" t="str">
        <f ca="1">IFERROR(__xludf.DUMMYFUNCTION("""COMPUTED_VALUE"""),"Bình Tân")</f>
        <v>Bình Tân</v>
      </c>
      <c r="E203" s="53"/>
      <c r="F203" s="53"/>
      <c r="G203" s="53"/>
      <c r="H203" s="53"/>
      <c r="I203" s="53"/>
      <c r="J203" s="53"/>
      <c r="K203" s="53"/>
      <c r="L203" s="53"/>
      <c r="M203" s="53"/>
      <c r="N203" s="54">
        <f ca="1">IFERROR(__xludf.DUMMYFUNCTION("""COMPUTED_VALUE"""),22)</f>
        <v>22</v>
      </c>
      <c r="O203" s="54">
        <f ca="1">IFERROR(__xludf.DUMMYFUNCTION("""COMPUTED_VALUE"""),11)</f>
        <v>11</v>
      </c>
      <c r="P203" s="54"/>
      <c r="Q203" s="54">
        <f ca="1">IFERROR(__xludf.DUMMYFUNCTION("""COMPUTED_VALUE"""),11)</f>
        <v>11</v>
      </c>
      <c r="R203" s="54"/>
      <c r="S203" s="53"/>
      <c r="T203" s="53"/>
      <c r="U203" s="53"/>
      <c r="V203" s="53"/>
      <c r="W203" s="53"/>
      <c r="X203" s="53"/>
      <c r="Y203" s="53"/>
      <c r="Z203" s="2"/>
      <c r="AA203" s="2"/>
      <c r="AB203" s="2"/>
      <c r="AC203" s="2"/>
      <c r="AD203" s="2"/>
      <c r="AE203" s="2"/>
    </row>
    <row r="204" spans="1:31" ht="12.75" x14ac:dyDescent="0.2">
      <c r="A204" s="53">
        <f ca="1">IFERROR(__xludf.DUMMYFUNCTION("""COMPUTED_VALUE"""),10)</f>
        <v>10</v>
      </c>
      <c r="B204" s="53" t="str">
        <f ca="1">IFERROR(__xludf.DUMMYFUNCTION("""COMPUTED_VALUE"""),"LMN Việt Bắc Mỹ")</f>
        <v>LMN Việt Bắc Mỹ</v>
      </c>
      <c r="C204" s="53" t="str">
        <f ca="1">IFERROR(__xludf.DUMMYFUNCTION("""COMPUTED_VALUE"""),"MN")</f>
        <v>MN</v>
      </c>
      <c r="D204" s="53" t="str">
        <f ca="1">IFERROR(__xludf.DUMMYFUNCTION("""COMPUTED_VALUE"""),"Bình Tân")</f>
        <v>Bình Tân</v>
      </c>
      <c r="E204" s="53"/>
      <c r="F204" s="53"/>
      <c r="G204" s="53"/>
      <c r="H204" s="53"/>
      <c r="I204" s="53"/>
      <c r="J204" s="53"/>
      <c r="K204" s="53"/>
      <c r="L204" s="53"/>
      <c r="M204" s="53"/>
      <c r="N204" s="54">
        <f ca="1">IFERROR(__xludf.DUMMYFUNCTION("""COMPUTED_VALUE"""),10)</f>
        <v>10</v>
      </c>
      <c r="O204" s="54">
        <f ca="1">IFERROR(__xludf.DUMMYFUNCTION("""COMPUTED_VALUE"""),2)</f>
        <v>2</v>
      </c>
      <c r="P204" s="54"/>
      <c r="Q204" s="54">
        <f ca="1">IFERROR(__xludf.DUMMYFUNCTION("""COMPUTED_VALUE"""),1)</f>
        <v>1</v>
      </c>
      <c r="R204" s="54"/>
      <c r="S204" s="53"/>
      <c r="T204" s="53"/>
      <c r="U204" s="53"/>
      <c r="V204" s="53"/>
      <c r="W204" s="53"/>
      <c r="X204" s="53"/>
      <c r="Y204" s="53"/>
      <c r="Z204" s="2"/>
      <c r="AA204" s="2"/>
      <c r="AB204" s="2"/>
      <c r="AC204" s="2"/>
      <c r="AD204" s="2"/>
      <c r="AE204" s="2"/>
    </row>
    <row r="205" spans="1:31" ht="12.75" x14ac:dyDescent="0.2">
      <c r="A205" s="53">
        <f ca="1">IFERROR(__xludf.DUMMYFUNCTION("""COMPUTED_VALUE"""),11)</f>
        <v>11</v>
      </c>
      <c r="B205" s="53" t="str">
        <f ca="1">IFERROR(__xludf.DUMMYFUNCTION("""COMPUTED_VALUE"""),"LMG Anh Đức")</f>
        <v>LMG Anh Đức</v>
      </c>
      <c r="C205" s="53" t="str">
        <f ca="1">IFERROR(__xludf.DUMMYFUNCTION("""COMPUTED_VALUE"""),"MN")</f>
        <v>MN</v>
      </c>
      <c r="D205" s="53" t="str">
        <f ca="1">IFERROR(__xludf.DUMMYFUNCTION("""COMPUTED_VALUE"""),"Bình Tân")</f>
        <v>Bình Tân</v>
      </c>
      <c r="E205" s="53"/>
      <c r="F205" s="53"/>
      <c r="G205" s="53"/>
      <c r="H205" s="53"/>
      <c r="I205" s="53"/>
      <c r="J205" s="53"/>
      <c r="K205" s="53"/>
      <c r="L205" s="53"/>
      <c r="M205" s="53"/>
      <c r="N205" s="54">
        <f ca="1">IFERROR(__xludf.DUMMYFUNCTION("""COMPUTED_VALUE"""),9)</f>
        <v>9</v>
      </c>
      <c r="O205" s="54">
        <f ca="1">IFERROR(__xludf.DUMMYFUNCTION("""COMPUTED_VALUE"""),0)</f>
        <v>0</v>
      </c>
      <c r="P205" s="54"/>
      <c r="Q205" s="54">
        <f ca="1">IFERROR(__xludf.DUMMYFUNCTION("""COMPUTED_VALUE"""),0)</f>
        <v>0</v>
      </c>
      <c r="R205" s="54"/>
      <c r="S205" s="53"/>
      <c r="T205" s="53"/>
      <c r="U205" s="53"/>
      <c r="V205" s="53"/>
      <c r="W205" s="53"/>
      <c r="X205" s="53"/>
      <c r="Y205" s="53"/>
      <c r="Z205" s="2"/>
      <c r="AA205" s="2"/>
      <c r="AB205" s="2"/>
      <c r="AC205" s="2"/>
      <c r="AD205" s="2"/>
      <c r="AE205" s="2"/>
    </row>
    <row r="206" spans="1:31" ht="12.75" x14ac:dyDescent="0.2">
      <c r="A206" s="53">
        <f ca="1">IFERROR(__xludf.DUMMYFUNCTION("""COMPUTED_VALUE"""),12)</f>
        <v>12</v>
      </c>
      <c r="B206" s="53" t="str">
        <f ca="1">IFERROR(__xludf.DUMMYFUNCTION("""COMPUTED_VALUE"""),"LMN Duyên Hồng")</f>
        <v>LMN Duyên Hồng</v>
      </c>
      <c r="C206" s="53" t="str">
        <f ca="1">IFERROR(__xludf.DUMMYFUNCTION("""COMPUTED_VALUE"""),"MN")</f>
        <v>MN</v>
      </c>
      <c r="D206" s="53" t="str">
        <f ca="1">IFERROR(__xludf.DUMMYFUNCTION("""COMPUTED_VALUE"""),"Bình Tân")</f>
        <v>Bình Tân</v>
      </c>
      <c r="E206" s="53"/>
      <c r="F206" s="53"/>
      <c r="G206" s="53"/>
      <c r="H206" s="53"/>
      <c r="I206" s="53"/>
      <c r="J206" s="53"/>
      <c r="K206" s="53"/>
      <c r="L206" s="53"/>
      <c r="M206" s="53"/>
      <c r="N206" s="54">
        <f ca="1">IFERROR(__xludf.DUMMYFUNCTION("""COMPUTED_VALUE"""),21)</f>
        <v>21</v>
      </c>
      <c r="O206" s="54">
        <f ca="1">IFERROR(__xludf.DUMMYFUNCTION("""COMPUTED_VALUE"""),4)</f>
        <v>4</v>
      </c>
      <c r="P206" s="54"/>
      <c r="Q206" s="54">
        <f ca="1">IFERROR(__xludf.DUMMYFUNCTION("""COMPUTED_VALUE"""),4)</f>
        <v>4</v>
      </c>
      <c r="R206" s="54"/>
      <c r="S206" s="53"/>
      <c r="T206" s="53"/>
      <c r="U206" s="53"/>
      <c r="V206" s="53"/>
      <c r="W206" s="53"/>
      <c r="X206" s="53"/>
      <c r="Y206" s="53"/>
      <c r="Z206" s="2"/>
      <c r="AA206" s="2"/>
      <c r="AB206" s="2"/>
      <c r="AC206" s="2"/>
      <c r="AD206" s="2"/>
      <c r="AE206" s="2"/>
    </row>
    <row r="207" spans="1:31" ht="12.75" x14ac:dyDescent="0.2">
      <c r="A207" s="53">
        <f ca="1">IFERROR(__xludf.DUMMYFUNCTION("""COMPUTED_VALUE"""),13)</f>
        <v>13</v>
      </c>
      <c r="B207" s="53" t="str">
        <f ca="1">IFERROR(__xludf.DUMMYFUNCTION("""COMPUTED_VALUE"""),"LMG Ánh Minh")</f>
        <v>LMG Ánh Minh</v>
      </c>
      <c r="C207" s="53" t="str">
        <f ca="1">IFERROR(__xludf.DUMMYFUNCTION("""COMPUTED_VALUE"""),"MN")</f>
        <v>MN</v>
      </c>
      <c r="D207" s="53" t="str">
        <f ca="1">IFERROR(__xludf.DUMMYFUNCTION("""COMPUTED_VALUE"""),"Bình Tân")</f>
        <v>Bình Tân</v>
      </c>
      <c r="E207" s="53"/>
      <c r="F207" s="53"/>
      <c r="G207" s="53"/>
      <c r="H207" s="53"/>
      <c r="I207" s="53"/>
      <c r="J207" s="53"/>
      <c r="K207" s="53"/>
      <c r="L207" s="53"/>
      <c r="M207" s="53"/>
      <c r="N207" s="54">
        <f ca="1">IFERROR(__xludf.DUMMYFUNCTION("""COMPUTED_VALUE"""),1)</f>
        <v>1</v>
      </c>
      <c r="O207" s="54">
        <f ca="1">IFERROR(__xludf.DUMMYFUNCTION("""COMPUTED_VALUE"""),0)</f>
        <v>0</v>
      </c>
      <c r="P207" s="54"/>
      <c r="Q207" s="54">
        <f ca="1">IFERROR(__xludf.DUMMYFUNCTION("""COMPUTED_VALUE"""),0)</f>
        <v>0</v>
      </c>
      <c r="R207" s="54"/>
      <c r="S207" s="53"/>
      <c r="T207" s="53"/>
      <c r="U207" s="53"/>
      <c r="V207" s="53"/>
      <c r="W207" s="53"/>
      <c r="X207" s="53"/>
      <c r="Y207" s="53"/>
      <c r="Z207" s="2"/>
      <c r="AA207" s="2"/>
      <c r="AB207" s="2"/>
      <c r="AC207" s="2"/>
      <c r="AD207" s="2"/>
      <c r="AE207" s="2"/>
    </row>
    <row r="208" spans="1:31" ht="12.75" x14ac:dyDescent="0.2">
      <c r="A208" s="53">
        <f ca="1">IFERROR(__xludf.DUMMYFUNCTION("""COMPUTED_VALUE"""),14)</f>
        <v>14</v>
      </c>
      <c r="B208" s="53" t="str">
        <f ca="1">IFERROR(__xludf.DUMMYFUNCTION("""COMPUTED_VALUE"""),"LMG Bí Ngô")</f>
        <v>LMG Bí Ngô</v>
      </c>
      <c r="C208" s="53" t="str">
        <f ca="1">IFERROR(__xludf.DUMMYFUNCTION("""COMPUTED_VALUE"""),"MN")</f>
        <v>MN</v>
      </c>
      <c r="D208" s="53" t="str">
        <f ca="1">IFERROR(__xludf.DUMMYFUNCTION("""COMPUTED_VALUE"""),"Bình Tân")</f>
        <v>Bình Tân</v>
      </c>
      <c r="E208" s="53"/>
      <c r="F208" s="53"/>
      <c r="G208" s="53"/>
      <c r="H208" s="53"/>
      <c r="I208" s="53"/>
      <c r="J208" s="53"/>
      <c r="K208" s="53"/>
      <c r="L208" s="53"/>
      <c r="M208" s="53"/>
      <c r="N208" s="54">
        <f ca="1">IFERROR(__xludf.DUMMYFUNCTION("""COMPUTED_VALUE"""),4)</f>
        <v>4</v>
      </c>
      <c r="O208" s="54">
        <f ca="1">IFERROR(__xludf.DUMMYFUNCTION("""COMPUTED_VALUE"""),0)</f>
        <v>0</v>
      </c>
      <c r="P208" s="54"/>
      <c r="Q208" s="54">
        <f ca="1">IFERROR(__xludf.DUMMYFUNCTION("""COMPUTED_VALUE"""),0)</f>
        <v>0</v>
      </c>
      <c r="R208" s="54"/>
      <c r="S208" s="53"/>
      <c r="T208" s="53"/>
      <c r="U208" s="53"/>
      <c r="V208" s="53"/>
      <c r="W208" s="53"/>
      <c r="X208" s="53"/>
      <c r="Y208" s="53"/>
      <c r="Z208" s="2"/>
      <c r="AA208" s="2"/>
      <c r="AB208" s="2"/>
      <c r="AC208" s="2"/>
      <c r="AD208" s="2"/>
      <c r="AE208" s="2"/>
    </row>
    <row r="209" spans="1:31" ht="12.75" x14ac:dyDescent="0.2">
      <c r="A209" s="53">
        <f ca="1">IFERROR(__xludf.DUMMYFUNCTION("""COMPUTED_VALUE"""),15)</f>
        <v>15</v>
      </c>
      <c r="B209" s="53" t="str">
        <f ca="1">IFERROR(__xludf.DUMMYFUNCTION("""COMPUTED_VALUE"""),"LMG Thiên Nga Trắng")</f>
        <v>LMG Thiên Nga Trắng</v>
      </c>
      <c r="C209" s="53" t="str">
        <f ca="1">IFERROR(__xludf.DUMMYFUNCTION("""COMPUTED_VALUE"""),"MN")</f>
        <v>MN</v>
      </c>
      <c r="D209" s="53" t="str">
        <f ca="1">IFERROR(__xludf.DUMMYFUNCTION("""COMPUTED_VALUE"""),"Bình Tân")</f>
        <v>Bình Tân</v>
      </c>
      <c r="E209" s="53"/>
      <c r="F209" s="53"/>
      <c r="G209" s="53"/>
      <c r="H209" s="53"/>
      <c r="I209" s="53"/>
      <c r="J209" s="53"/>
      <c r="K209" s="53"/>
      <c r="L209" s="53"/>
      <c r="M209" s="53"/>
      <c r="N209" s="54">
        <f ca="1">IFERROR(__xludf.DUMMYFUNCTION("""COMPUTED_VALUE"""),9)</f>
        <v>9</v>
      </c>
      <c r="O209" s="54">
        <f ca="1">IFERROR(__xludf.DUMMYFUNCTION("""COMPUTED_VALUE"""),5)</f>
        <v>5</v>
      </c>
      <c r="P209" s="54"/>
      <c r="Q209" s="54">
        <f ca="1">IFERROR(__xludf.DUMMYFUNCTION("""COMPUTED_VALUE"""),3)</f>
        <v>3</v>
      </c>
      <c r="R209" s="54"/>
      <c r="S209" s="53"/>
      <c r="T209" s="53"/>
      <c r="U209" s="53"/>
      <c r="V209" s="53"/>
      <c r="W209" s="53"/>
      <c r="X209" s="53"/>
      <c r="Y209" s="53"/>
      <c r="Z209" s="2"/>
      <c r="AA209" s="2"/>
      <c r="AB209" s="2"/>
      <c r="AC209" s="2"/>
      <c r="AD209" s="2"/>
      <c r="AE209" s="2"/>
    </row>
    <row r="210" spans="1:31" ht="12.75" x14ac:dyDescent="0.2">
      <c r="A210" s="53">
        <f ca="1">IFERROR(__xludf.DUMMYFUNCTION("""COMPUTED_VALUE"""),16)</f>
        <v>16</v>
      </c>
      <c r="B210" s="53" t="str">
        <f ca="1">IFERROR(__xludf.DUMMYFUNCTION("""COMPUTED_VALUE"""),"LMG Hào Quang")</f>
        <v>LMG Hào Quang</v>
      </c>
      <c r="C210" s="53" t="str">
        <f ca="1">IFERROR(__xludf.DUMMYFUNCTION("""COMPUTED_VALUE"""),"MN")</f>
        <v>MN</v>
      </c>
      <c r="D210" s="53" t="str">
        <f ca="1">IFERROR(__xludf.DUMMYFUNCTION("""COMPUTED_VALUE"""),"Bình Tân")</f>
        <v>Bình Tân</v>
      </c>
      <c r="E210" s="53"/>
      <c r="F210" s="53"/>
      <c r="G210" s="53"/>
      <c r="H210" s="53"/>
      <c r="I210" s="53"/>
      <c r="J210" s="53"/>
      <c r="K210" s="53"/>
      <c r="L210" s="53"/>
      <c r="M210" s="53"/>
      <c r="N210" s="54">
        <f ca="1">IFERROR(__xludf.DUMMYFUNCTION("""COMPUTED_VALUE"""),12)</f>
        <v>12</v>
      </c>
      <c r="O210" s="54">
        <f ca="1">IFERROR(__xludf.DUMMYFUNCTION("""COMPUTED_VALUE"""),0)</f>
        <v>0</v>
      </c>
      <c r="P210" s="54"/>
      <c r="Q210" s="54">
        <f ca="1">IFERROR(__xludf.DUMMYFUNCTION("""COMPUTED_VALUE"""),0)</f>
        <v>0</v>
      </c>
      <c r="R210" s="54"/>
      <c r="S210" s="53"/>
      <c r="T210" s="53"/>
      <c r="U210" s="53"/>
      <c r="V210" s="53"/>
      <c r="W210" s="53"/>
      <c r="X210" s="53"/>
      <c r="Y210" s="53"/>
      <c r="Z210" s="2"/>
      <c r="AA210" s="2"/>
      <c r="AB210" s="2"/>
      <c r="AC210" s="2"/>
      <c r="AD210" s="2"/>
      <c r="AE210" s="2"/>
    </row>
    <row r="211" spans="1:31" ht="12.75" x14ac:dyDescent="0.2">
      <c r="A211" s="53">
        <f ca="1">IFERROR(__xludf.DUMMYFUNCTION("""COMPUTED_VALUE"""),17)</f>
        <v>17</v>
      </c>
      <c r="B211" s="53" t="str">
        <f ca="1">IFERROR(__xludf.DUMMYFUNCTION("""COMPUTED_VALUE"""),"Hoa Phượng Hồng (BTĐ)")</f>
        <v>Hoa Phượng Hồng (BTĐ)</v>
      </c>
      <c r="C211" s="53" t="str">
        <f ca="1">IFERROR(__xludf.DUMMYFUNCTION("""COMPUTED_VALUE"""),"MN")</f>
        <v>MN</v>
      </c>
      <c r="D211" s="53" t="str">
        <f ca="1">IFERROR(__xludf.DUMMYFUNCTION("""COMPUTED_VALUE"""),"Bình Tân")</f>
        <v>Bình Tân</v>
      </c>
      <c r="E211" s="53"/>
      <c r="F211" s="53"/>
      <c r="G211" s="53"/>
      <c r="H211" s="53"/>
      <c r="I211" s="53"/>
      <c r="J211" s="53"/>
      <c r="K211" s="53"/>
      <c r="L211" s="53"/>
      <c r="M211" s="53"/>
      <c r="N211" s="54">
        <f ca="1">IFERROR(__xludf.DUMMYFUNCTION("""COMPUTED_VALUE"""),14)</f>
        <v>14</v>
      </c>
      <c r="O211" s="54">
        <f ca="1">IFERROR(__xludf.DUMMYFUNCTION("""COMPUTED_VALUE"""),12)</f>
        <v>12</v>
      </c>
      <c r="P211" s="54"/>
      <c r="Q211" s="54">
        <f ca="1">IFERROR(__xludf.DUMMYFUNCTION("""COMPUTED_VALUE"""),11)</f>
        <v>11</v>
      </c>
      <c r="R211" s="54"/>
      <c r="S211" s="53"/>
      <c r="T211" s="53"/>
      <c r="U211" s="53"/>
      <c r="V211" s="53"/>
      <c r="W211" s="53"/>
      <c r="X211" s="53"/>
      <c r="Y211" s="53"/>
      <c r="Z211" s="2"/>
      <c r="AA211" s="2"/>
      <c r="AB211" s="2"/>
      <c r="AC211" s="2"/>
      <c r="AD211" s="2"/>
      <c r="AE211" s="2"/>
    </row>
    <row r="212" spans="1:31" ht="12.75" x14ac:dyDescent="0.2">
      <c r="A212" s="53">
        <f ca="1">IFERROR(__xludf.DUMMYFUNCTION("""COMPUTED_VALUE"""),18)</f>
        <v>18</v>
      </c>
      <c r="B212" s="53" t="str">
        <f ca="1">IFERROR(__xludf.DUMMYFUNCTION("""COMPUTED_VALUE"""),"LMG Ánh Ban Mai")</f>
        <v>LMG Ánh Ban Mai</v>
      </c>
      <c r="C212" s="53" t="str">
        <f ca="1">IFERROR(__xludf.DUMMYFUNCTION("""COMPUTED_VALUE"""),"MN")</f>
        <v>MN</v>
      </c>
      <c r="D212" s="53" t="str">
        <f ca="1">IFERROR(__xludf.DUMMYFUNCTION("""COMPUTED_VALUE"""),"Bình Tân")</f>
        <v>Bình Tân</v>
      </c>
      <c r="E212" s="53"/>
      <c r="F212" s="53"/>
      <c r="G212" s="53"/>
      <c r="H212" s="53"/>
      <c r="I212" s="53"/>
      <c r="J212" s="53"/>
      <c r="K212" s="53"/>
      <c r="L212" s="53"/>
      <c r="M212" s="53"/>
      <c r="N212" s="54">
        <f ca="1">IFERROR(__xludf.DUMMYFUNCTION("""COMPUTED_VALUE"""),7)</f>
        <v>7</v>
      </c>
      <c r="O212" s="54">
        <f ca="1">IFERROR(__xludf.DUMMYFUNCTION("""COMPUTED_VALUE"""),3)</f>
        <v>3</v>
      </c>
      <c r="P212" s="54"/>
      <c r="Q212" s="54">
        <f ca="1">IFERROR(__xludf.DUMMYFUNCTION("""COMPUTED_VALUE"""),2)</f>
        <v>2</v>
      </c>
      <c r="R212" s="54"/>
      <c r="S212" s="53"/>
      <c r="T212" s="53"/>
      <c r="U212" s="53"/>
      <c r="V212" s="53"/>
      <c r="W212" s="53"/>
      <c r="X212" s="53"/>
      <c r="Y212" s="53"/>
      <c r="Z212" s="2"/>
      <c r="AA212" s="2"/>
      <c r="AB212" s="2"/>
      <c r="AC212" s="2"/>
      <c r="AD212" s="2"/>
      <c r="AE212" s="2"/>
    </row>
    <row r="213" spans="1:31" ht="12.75" x14ac:dyDescent="0.2">
      <c r="A213" s="53"/>
      <c r="B213" s="53" t="str">
        <f ca="1">IFERROR(__xludf.DUMMYFUNCTION("""COMPUTED_VALUE"""),"7. Bình Trị Đông A")</f>
        <v>7. Bình Trị Đông A</v>
      </c>
      <c r="C213" s="53" t="str">
        <f ca="1">IFERROR(__xludf.DUMMYFUNCTION("""COMPUTED_VALUE"""),"MN")</f>
        <v>MN</v>
      </c>
      <c r="D213" s="53" t="str">
        <f ca="1">IFERROR(__xludf.DUMMYFUNCTION("""COMPUTED_VALUE"""),"Bình Tân")</f>
        <v>Bình Tân</v>
      </c>
      <c r="E213" s="53"/>
      <c r="F213" s="53"/>
      <c r="G213" s="53"/>
      <c r="H213" s="53"/>
      <c r="I213" s="53"/>
      <c r="J213" s="53"/>
      <c r="K213" s="53"/>
      <c r="L213" s="53"/>
      <c r="M213" s="53"/>
      <c r="N213" s="53"/>
      <c r="O213" s="53"/>
      <c r="P213" s="53"/>
      <c r="Q213" s="53"/>
      <c r="R213" s="53"/>
      <c r="S213" s="53"/>
      <c r="T213" s="53"/>
      <c r="U213" s="53"/>
      <c r="V213" s="53"/>
      <c r="W213" s="53"/>
      <c r="X213" s="53"/>
      <c r="Y213" s="53"/>
      <c r="Z213" s="2"/>
      <c r="AA213" s="2"/>
      <c r="AB213" s="2"/>
      <c r="AC213" s="2"/>
      <c r="AD213" s="2"/>
      <c r="AE213" s="2"/>
    </row>
    <row r="214" spans="1:31" ht="12.75" x14ac:dyDescent="0.2">
      <c r="A214" s="53">
        <f ca="1">IFERROR(__xludf.DUMMYFUNCTION("""COMPUTED_VALUE"""),1)</f>
        <v>1</v>
      </c>
      <c r="B214" s="53" t="str">
        <f ca="1">IFERROR(__xludf.DUMMYFUNCTION("""COMPUTED_VALUE"""),"MNTT Chiếc Lá Nhỏ")</f>
        <v>MNTT Chiếc Lá Nhỏ</v>
      </c>
      <c r="C214" s="53" t="str">
        <f ca="1">IFERROR(__xludf.DUMMYFUNCTION("""COMPUTED_VALUE"""),"MN")</f>
        <v>MN</v>
      </c>
      <c r="D214" s="53" t="str">
        <f ca="1">IFERROR(__xludf.DUMMYFUNCTION("""COMPUTED_VALUE"""),"Bình Tân")</f>
        <v>Bình Tân</v>
      </c>
      <c r="E214" s="53"/>
      <c r="F214" s="53"/>
      <c r="G214" s="53"/>
      <c r="H214" s="53"/>
      <c r="I214" s="53"/>
      <c r="J214" s="53"/>
      <c r="K214" s="53"/>
      <c r="L214" s="53"/>
      <c r="M214" s="53"/>
      <c r="N214" s="54">
        <f ca="1">IFERROR(__xludf.DUMMYFUNCTION("""COMPUTED_VALUE"""),30)</f>
        <v>30</v>
      </c>
      <c r="O214" s="54">
        <f ca="1">IFERROR(__xludf.DUMMYFUNCTION("""COMPUTED_VALUE"""),1)</f>
        <v>1</v>
      </c>
      <c r="P214" s="54"/>
      <c r="Q214" s="54">
        <f ca="1">IFERROR(__xludf.DUMMYFUNCTION("""COMPUTED_VALUE"""),1)</f>
        <v>1</v>
      </c>
      <c r="R214" s="54"/>
      <c r="S214" s="53"/>
      <c r="T214" s="53"/>
      <c r="U214" s="53"/>
      <c r="V214" s="53"/>
      <c r="W214" s="53"/>
      <c r="X214" s="53"/>
      <c r="Y214" s="53"/>
      <c r="Z214" s="2"/>
      <c r="AA214" s="2"/>
      <c r="AB214" s="2"/>
      <c r="AC214" s="2"/>
      <c r="AD214" s="2"/>
      <c r="AE214" s="2"/>
    </row>
    <row r="215" spans="1:31" ht="12.75" x14ac:dyDescent="0.2">
      <c r="A215" s="53">
        <f ca="1">IFERROR(__xludf.DUMMYFUNCTION("""COMPUTED_VALUE"""),2)</f>
        <v>2</v>
      </c>
      <c r="B215" s="53" t="str">
        <f ca="1">IFERROR(__xludf.DUMMYFUNCTION("""COMPUTED_VALUE"""),"MNTT Phượng Hồng")</f>
        <v>MNTT Phượng Hồng</v>
      </c>
      <c r="C215" s="53" t="str">
        <f ca="1">IFERROR(__xludf.DUMMYFUNCTION("""COMPUTED_VALUE"""),"MN")</f>
        <v>MN</v>
      </c>
      <c r="D215" s="53" t="str">
        <f ca="1">IFERROR(__xludf.DUMMYFUNCTION("""COMPUTED_VALUE"""),"Bình Tân")</f>
        <v>Bình Tân</v>
      </c>
      <c r="E215" s="53"/>
      <c r="F215" s="53"/>
      <c r="G215" s="53"/>
      <c r="H215" s="53"/>
      <c r="I215" s="53"/>
      <c r="J215" s="53"/>
      <c r="K215" s="53"/>
      <c r="L215" s="53"/>
      <c r="M215" s="53"/>
      <c r="N215" s="54">
        <f ca="1">IFERROR(__xludf.DUMMYFUNCTION("""COMPUTED_VALUE"""),34)</f>
        <v>34</v>
      </c>
      <c r="O215" s="54">
        <f ca="1">IFERROR(__xludf.DUMMYFUNCTION("""COMPUTED_VALUE"""),0)</f>
        <v>0</v>
      </c>
      <c r="P215" s="54"/>
      <c r="Q215" s="54">
        <f ca="1">IFERROR(__xludf.DUMMYFUNCTION("""COMPUTED_VALUE"""),0)</f>
        <v>0</v>
      </c>
      <c r="R215" s="54"/>
      <c r="S215" s="53"/>
      <c r="T215" s="53"/>
      <c r="U215" s="53"/>
      <c r="V215" s="53"/>
      <c r="W215" s="53"/>
      <c r="X215" s="53"/>
      <c r="Y215" s="53"/>
      <c r="Z215" s="2"/>
      <c r="AA215" s="2"/>
      <c r="AB215" s="2"/>
      <c r="AC215" s="2"/>
      <c r="AD215" s="2"/>
      <c r="AE215" s="2"/>
    </row>
    <row r="216" spans="1:31" ht="12.75" x14ac:dyDescent="0.2">
      <c r="A216" s="53">
        <f ca="1">IFERROR(__xludf.DUMMYFUNCTION("""COMPUTED_VALUE"""),3)</f>
        <v>3</v>
      </c>
      <c r="B216" s="53" t="str">
        <f ca="1">IFERROR(__xludf.DUMMYFUNCTION("""COMPUTED_VALUE"""),"MNTT Trúc Việt 2")</f>
        <v>MNTT Trúc Việt 2</v>
      </c>
      <c r="C216" s="53" t="str">
        <f ca="1">IFERROR(__xludf.DUMMYFUNCTION("""COMPUTED_VALUE"""),"MN")</f>
        <v>MN</v>
      </c>
      <c r="D216" s="53" t="str">
        <f ca="1">IFERROR(__xludf.DUMMYFUNCTION("""COMPUTED_VALUE"""),"Bình Tân")</f>
        <v>Bình Tân</v>
      </c>
      <c r="E216" s="53"/>
      <c r="F216" s="53"/>
      <c r="G216" s="53"/>
      <c r="H216" s="53"/>
      <c r="I216" s="53"/>
      <c r="J216" s="53"/>
      <c r="K216" s="53"/>
      <c r="L216" s="53"/>
      <c r="M216" s="53"/>
      <c r="N216" s="54">
        <f ca="1">IFERROR(__xludf.DUMMYFUNCTION("""COMPUTED_VALUE"""),40)</f>
        <v>40</v>
      </c>
      <c r="O216" s="54">
        <f ca="1">IFERROR(__xludf.DUMMYFUNCTION("""COMPUTED_VALUE"""),5)</f>
        <v>5</v>
      </c>
      <c r="P216" s="54"/>
      <c r="Q216" s="54">
        <f ca="1">IFERROR(__xludf.DUMMYFUNCTION("""COMPUTED_VALUE"""),1)</f>
        <v>1</v>
      </c>
      <c r="R216" s="54"/>
      <c r="S216" s="53"/>
      <c r="T216" s="53"/>
      <c r="U216" s="53"/>
      <c r="V216" s="53"/>
      <c r="W216" s="53"/>
      <c r="X216" s="53"/>
      <c r="Y216" s="53"/>
      <c r="Z216" s="2"/>
      <c r="AA216" s="2"/>
      <c r="AB216" s="2"/>
      <c r="AC216" s="2"/>
      <c r="AD216" s="2"/>
      <c r="AE216" s="2"/>
    </row>
    <row r="217" spans="1:31" ht="12.75" x14ac:dyDescent="0.2">
      <c r="A217" s="53">
        <f ca="1">IFERROR(__xludf.DUMMYFUNCTION("""COMPUTED_VALUE"""),4)</f>
        <v>4</v>
      </c>
      <c r="B217" s="53" t="str">
        <f ca="1">IFERROR(__xludf.DUMMYFUNCTION("""COMPUTED_VALUE"""),"Lớp MG Đồng Nhi")</f>
        <v>Lớp MG Đồng Nhi</v>
      </c>
      <c r="C217" s="53" t="str">
        <f ca="1">IFERROR(__xludf.DUMMYFUNCTION("""COMPUTED_VALUE"""),"MN")</f>
        <v>MN</v>
      </c>
      <c r="D217" s="53" t="str">
        <f ca="1">IFERROR(__xludf.DUMMYFUNCTION("""COMPUTED_VALUE"""),"Bình Tân")</f>
        <v>Bình Tân</v>
      </c>
      <c r="E217" s="53"/>
      <c r="F217" s="53"/>
      <c r="G217" s="53"/>
      <c r="H217" s="53"/>
      <c r="I217" s="53"/>
      <c r="J217" s="53"/>
      <c r="K217" s="53"/>
      <c r="L217" s="53"/>
      <c r="M217" s="53"/>
      <c r="N217" s="54">
        <f ca="1">IFERROR(__xludf.DUMMYFUNCTION("""COMPUTED_VALUE"""),42)</f>
        <v>42</v>
      </c>
      <c r="O217" s="54">
        <f ca="1">IFERROR(__xludf.DUMMYFUNCTION("""COMPUTED_VALUE"""),0)</f>
        <v>0</v>
      </c>
      <c r="P217" s="54"/>
      <c r="Q217" s="54">
        <f ca="1">IFERROR(__xludf.DUMMYFUNCTION("""COMPUTED_VALUE"""),0)</f>
        <v>0</v>
      </c>
      <c r="R217" s="54"/>
      <c r="S217" s="53"/>
      <c r="T217" s="53"/>
      <c r="U217" s="53"/>
      <c r="V217" s="53"/>
      <c r="W217" s="53"/>
      <c r="X217" s="53"/>
      <c r="Y217" s="53"/>
      <c r="Z217" s="2"/>
      <c r="AA217" s="2"/>
      <c r="AB217" s="2"/>
      <c r="AC217" s="2"/>
      <c r="AD217" s="2"/>
      <c r="AE217" s="2"/>
    </row>
    <row r="218" spans="1:31" ht="12.75" x14ac:dyDescent="0.2">
      <c r="A218" s="53">
        <f ca="1">IFERROR(__xludf.DUMMYFUNCTION("""COMPUTED_VALUE"""),5)</f>
        <v>5</v>
      </c>
      <c r="B218" s="53" t="str">
        <f ca="1">IFERROR(__xludf.DUMMYFUNCTION("""COMPUTED_VALUE"""),"Lớp MG Hoa Hồng Phượng")</f>
        <v>Lớp MG Hoa Hồng Phượng</v>
      </c>
      <c r="C218" s="53" t="str">
        <f ca="1">IFERROR(__xludf.DUMMYFUNCTION("""COMPUTED_VALUE"""),"MN")</f>
        <v>MN</v>
      </c>
      <c r="D218" s="53" t="str">
        <f ca="1">IFERROR(__xludf.DUMMYFUNCTION("""COMPUTED_VALUE"""),"Bình Tân")</f>
        <v>Bình Tân</v>
      </c>
      <c r="E218" s="53"/>
      <c r="F218" s="53"/>
      <c r="G218" s="53"/>
      <c r="H218" s="53"/>
      <c r="I218" s="53"/>
      <c r="J218" s="53"/>
      <c r="K218" s="53"/>
      <c r="L218" s="53"/>
      <c r="M218" s="53"/>
      <c r="N218" s="54">
        <f ca="1">IFERROR(__xludf.DUMMYFUNCTION("""COMPUTED_VALUE"""),30)</f>
        <v>30</v>
      </c>
      <c r="O218" s="54">
        <f ca="1">IFERROR(__xludf.DUMMYFUNCTION("""COMPUTED_VALUE"""),0)</f>
        <v>0</v>
      </c>
      <c r="P218" s="54"/>
      <c r="Q218" s="54">
        <f ca="1">IFERROR(__xludf.DUMMYFUNCTION("""COMPUTED_VALUE"""),0)</f>
        <v>0</v>
      </c>
      <c r="R218" s="54"/>
      <c r="S218" s="53"/>
      <c r="T218" s="53"/>
      <c r="U218" s="53"/>
      <c r="V218" s="53"/>
      <c r="W218" s="53"/>
      <c r="X218" s="53"/>
      <c r="Y218" s="53"/>
      <c r="Z218" s="2"/>
      <c r="AA218" s="2"/>
      <c r="AB218" s="2"/>
      <c r="AC218" s="2"/>
      <c r="AD218" s="2"/>
      <c r="AE218" s="2"/>
    </row>
    <row r="219" spans="1:31" ht="12.75" x14ac:dyDescent="0.2">
      <c r="A219" s="53">
        <f ca="1">IFERROR(__xludf.DUMMYFUNCTION("""COMPUTED_VALUE"""),6)</f>
        <v>6</v>
      </c>
      <c r="B219" s="53" t="str">
        <f ca="1">IFERROR(__xludf.DUMMYFUNCTION("""COMPUTED_VALUE"""),"Lớp MN Họa Mi")</f>
        <v>Lớp MN Họa Mi</v>
      </c>
      <c r="C219" s="53" t="str">
        <f ca="1">IFERROR(__xludf.DUMMYFUNCTION("""COMPUTED_VALUE"""),"MN")</f>
        <v>MN</v>
      </c>
      <c r="D219" s="53" t="str">
        <f ca="1">IFERROR(__xludf.DUMMYFUNCTION("""COMPUTED_VALUE"""),"Bình Tân")</f>
        <v>Bình Tân</v>
      </c>
      <c r="E219" s="53"/>
      <c r="F219" s="53"/>
      <c r="G219" s="53"/>
      <c r="H219" s="53"/>
      <c r="I219" s="53"/>
      <c r="J219" s="53"/>
      <c r="K219" s="53"/>
      <c r="L219" s="53"/>
      <c r="M219" s="53"/>
      <c r="N219" s="54">
        <f ca="1">IFERROR(__xludf.DUMMYFUNCTION("""COMPUTED_VALUE"""),13)</f>
        <v>13</v>
      </c>
      <c r="O219" s="54">
        <f ca="1">IFERROR(__xludf.DUMMYFUNCTION("""COMPUTED_VALUE"""),8)</f>
        <v>8</v>
      </c>
      <c r="P219" s="54"/>
      <c r="Q219" s="54">
        <f ca="1">IFERROR(__xludf.DUMMYFUNCTION("""COMPUTED_VALUE"""),7)</f>
        <v>7</v>
      </c>
      <c r="R219" s="54"/>
      <c r="S219" s="53"/>
      <c r="T219" s="53"/>
      <c r="U219" s="53"/>
      <c r="V219" s="53"/>
      <c r="W219" s="53"/>
      <c r="X219" s="53"/>
      <c r="Y219" s="53"/>
      <c r="Z219" s="2"/>
      <c r="AA219" s="2"/>
      <c r="AB219" s="2"/>
      <c r="AC219" s="2"/>
      <c r="AD219" s="2"/>
      <c r="AE219" s="2"/>
    </row>
    <row r="220" spans="1:31" ht="12.75" x14ac:dyDescent="0.2">
      <c r="A220" s="53">
        <f ca="1">IFERROR(__xludf.DUMMYFUNCTION("""COMPUTED_VALUE"""),7)</f>
        <v>7</v>
      </c>
      <c r="B220" s="53" t="str">
        <f ca="1">IFERROR(__xludf.DUMMYFUNCTION("""COMPUTED_VALUE"""),"Lớp MG Minh Trí")</f>
        <v>Lớp MG Minh Trí</v>
      </c>
      <c r="C220" s="53" t="str">
        <f ca="1">IFERROR(__xludf.DUMMYFUNCTION("""COMPUTED_VALUE"""),"MN")</f>
        <v>MN</v>
      </c>
      <c r="D220" s="53" t="str">
        <f ca="1">IFERROR(__xludf.DUMMYFUNCTION("""COMPUTED_VALUE"""),"Bình Tân")</f>
        <v>Bình Tân</v>
      </c>
      <c r="E220" s="53"/>
      <c r="F220" s="53"/>
      <c r="G220" s="53"/>
      <c r="H220" s="53"/>
      <c r="I220" s="53"/>
      <c r="J220" s="53"/>
      <c r="K220" s="53"/>
      <c r="L220" s="53"/>
      <c r="M220" s="53"/>
      <c r="N220" s="54">
        <f ca="1">IFERROR(__xludf.DUMMYFUNCTION("""COMPUTED_VALUE"""),8)</f>
        <v>8</v>
      </c>
      <c r="O220" s="54">
        <f ca="1">IFERROR(__xludf.DUMMYFUNCTION("""COMPUTED_VALUE"""),0)</f>
        <v>0</v>
      </c>
      <c r="P220" s="54"/>
      <c r="Q220" s="54">
        <f ca="1">IFERROR(__xludf.DUMMYFUNCTION("""COMPUTED_VALUE"""),0)</f>
        <v>0</v>
      </c>
      <c r="R220" s="54"/>
      <c r="S220" s="53"/>
      <c r="T220" s="53"/>
      <c r="U220" s="53"/>
      <c r="V220" s="53"/>
      <c r="W220" s="53"/>
      <c r="X220" s="53"/>
      <c r="Y220" s="53"/>
      <c r="Z220" s="2"/>
      <c r="AA220" s="2"/>
      <c r="AB220" s="2"/>
      <c r="AC220" s="2"/>
      <c r="AD220" s="2"/>
      <c r="AE220" s="2"/>
    </row>
    <row r="221" spans="1:31" ht="12.75" x14ac:dyDescent="0.2">
      <c r="A221" s="53">
        <f ca="1">IFERROR(__xludf.DUMMYFUNCTION("""COMPUTED_VALUE"""),8)</f>
        <v>8</v>
      </c>
      <c r="B221" s="53" t="str">
        <f ca="1">IFERROR(__xludf.DUMMYFUNCTION("""COMPUTED_VALUE"""),"Lớp MG Phương Trâm")</f>
        <v>Lớp MG Phương Trâm</v>
      </c>
      <c r="C221" s="53" t="str">
        <f ca="1">IFERROR(__xludf.DUMMYFUNCTION("""COMPUTED_VALUE"""),"MN")</f>
        <v>MN</v>
      </c>
      <c r="D221" s="53" t="str">
        <f ca="1">IFERROR(__xludf.DUMMYFUNCTION("""COMPUTED_VALUE"""),"Bình Tân")</f>
        <v>Bình Tân</v>
      </c>
      <c r="E221" s="53"/>
      <c r="F221" s="53"/>
      <c r="G221" s="53"/>
      <c r="H221" s="53"/>
      <c r="I221" s="53"/>
      <c r="J221" s="53"/>
      <c r="K221" s="53"/>
      <c r="L221" s="53"/>
      <c r="M221" s="53"/>
      <c r="N221" s="54">
        <f ca="1">IFERROR(__xludf.DUMMYFUNCTION("""COMPUTED_VALUE"""),13)</f>
        <v>13</v>
      </c>
      <c r="O221" s="54">
        <f ca="1">IFERROR(__xludf.DUMMYFUNCTION("""COMPUTED_VALUE"""),0)</f>
        <v>0</v>
      </c>
      <c r="P221" s="54"/>
      <c r="Q221" s="54">
        <f ca="1">IFERROR(__xludf.DUMMYFUNCTION("""COMPUTED_VALUE"""),0)</f>
        <v>0</v>
      </c>
      <c r="R221" s="54"/>
      <c r="S221" s="53"/>
      <c r="T221" s="53"/>
      <c r="U221" s="53"/>
      <c r="V221" s="53"/>
      <c r="W221" s="53"/>
      <c r="X221" s="53"/>
      <c r="Y221" s="53"/>
      <c r="Z221" s="2"/>
      <c r="AA221" s="2"/>
      <c r="AB221" s="2"/>
      <c r="AC221" s="2"/>
      <c r="AD221" s="2"/>
      <c r="AE221" s="2"/>
    </row>
    <row r="222" spans="1:31" ht="12.75" x14ac:dyDescent="0.2">
      <c r="A222" s="53">
        <f ca="1">IFERROR(__xludf.DUMMYFUNCTION("""COMPUTED_VALUE"""),9)</f>
        <v>9</v>
      </c>
      <c r="B222" s="53" t="str">
        <f ca="1">IFERROR(__xludf.DUMMYFUNCTION("""COMPUTED_VALUE"""),"Lớp MN Tuổi Ngọc")</f>
        <v>Lớp MN Tuổi Ngọc</v>
      </c>
      <c r="C222" s="53" t="str">
        <f ca="1">IFERROR(__xludf.DUMMYFUNCTION("""COMPUTED_VALUE"""),"MN")</f>
        <v>MN</v>
      </c>
      <c r="D222" s="53" t="str">
        <f ca="1">IFERROR(__xludf.DUMMYFUNCTION("""COMPUTED_VALUE"""),"Bình Tân")</f>
        <v>Bình Tân</v>
      </c>
      <c r="E222" s="53"/>
      <c r="F222" s="53"/>
      <c r="G222" s="53"/>
      <c r="H222" s="53"/>
      <c r="I222" s="53"/>
      <c r="J222" s="53"/>
      <c r="K222" s="53"/>
      <c r="L222" s="53"/>
      <c r="M222" s="53"/>
      <c r="N222" s="54">
        <f ca="1">IFERROR(__xludf.DUMMYFUNCTION("""COMPUTED_VALUE"""),8)</f>
        <v>8</v>
      </c>
      <c r="O222" s="54">
        <f ca="1">IFERROR(__xludf.DUMMYFUNCTION("""COMPUTED_VALUE"""),0)</f>
        <v>0</v>
      </c>
      <c r="P222" s="54"/>
      <c r="Q222" s="54">
        <f ca="1">IFERROR(__xludf.DUMMYFUNCTION("""COMPUTED_VALUE"""),0)</f>
        <v>0</v>
      </c>
      <c r="R222" s="54"/>
      <c r="S222" s="53"/>
      <c r="T222" s="53"/>
      <c r="U222" s="53"/>
      <c r="V222" s="53"/>
      <c r="W222" s="53"/>
      <c r="X222" s="53"/>
      <c r="Y222" s="53"/>
      <c r="Z222" s="2"/>
      <c r="AA222" s="2"/>
      <c r="AB222" s="2"/>
      <c r="AC222" s="2"/>
      <c r="AD222" s="2"/>
      <c r="AE222" s="2"/>
    </row>
    <row r="223" spans="1:31" ht="12.75" x14ac:dyDescent="0.2">
      <c r="A223" s="53">
        <f ca="1">IFERROR(__xludf.DUMMYFUNCTION("""COMPUTED_VALUE"""),10)</f>
        <v>10</v>
      </c>
      <c r="B223" s="53" t="str">
        <f ca="1">IFERROR(__xludf.DUMMYFUNCTION("""COMPUTED_VALUE"""),"Lớp MG Mỹ Đức")</f>
        <v>Lớp MG Mỹ Đức</v>
      </c>
      <c r="C223" s="53" t="str">
        <f ca="1">IFERROR(__xludf.DUMMYFUNCTION("""COMPUTED_VALUE"""),"MN")</f>
        <v>MN</v>
      </c>
      <c r="D223" s="53" t="str">
        <f ca="1">IFERROR(__xludf.DUMMYFUNCTION("""COMPUTED_VALUE"""),"Bình Tân")</f>
        <v>Bình Tân</v>
      </c>
      <c r="E223" s="53"/>
      <c r="F223" s="53"/>
      <c r="G223" s="53"/>
      <c r="H223" s="53"/>
      <c r="I223" s="53"/>
      <c r="J223" s="53"/>
      <c r="K223" s="53"/>
      <c r="L223" s="53"/>
      <c r="M223" s="53"/>
      <c r="N223" s="54">
        <f ca="1">IFERROR(__xludf.DUMMYFUNCTION("""COMPUTED_VALUE"""),14)</f>
        <v>14</v>
      </c>
      <c r="O223" s="54">
        <f ca="1">IFERROR(__xludf.DUMMYFUNCTION("""COMPUTED_VALUE"""),0)</f>
        <v>0</v>
      </c>
      <c r="P223" s="54"/>
      <c r="Q223" s="54">
        <f ca="1">IFERROR(__xludf.DUMMYFUNCTION("""COMPUTED_VALUE"""),0)</f>
        <v>0</v>
      </c>
      <c r="R223" s="54"/>
      <c r="S223" s="53"/>
      <c r="T223" s="53"/>
      <c r="U223" s="53"/>
      <c r="V223" s="53"/>
      <c r="W223" s="53"/>
      <c r="X223" s="53"/>
      <c r="Y223" s="53"/>
      <c r="Z223" s="2"/>
      <c r="AA223" s="2"/>
      <c r="AB223" s="2"/>
      <c r="AC223" s="2"/>
      <c r="AD223" s="2"/>
      <c r="AE223" s="2"/>
    </row>
    <row r="224" spans="1:31" ht="12.75" x14ac:dyDescent="0.2">
      <c r="A224" s="53">
        <f ca="1">IFERROR(__xludf.DUMMYFUNCTION("""COMPUTED_VALUE"""),11)</f>
        <v>11</v>
      </c>
      <c r="B224" s="53" t="str">
        <f ca="1">IFERROR(__xludf.DUMMYFUNCTION("""COMPUTED_VALUE"""),"Lớp MG Hoa Trạng Nguyên")</f>
        <v>Lớp MG Hoa Trạng Nguyên</v>
      </c>
      <c r="C224" s="53" t="str">
        <f ca="1">IFERROR(__xludf.DUMMYFUNCTION("""COMPUTED_VALUE"""),"MN")</f>
        <v>MN</v>
      </c>
      <c r="D224" s="53" t="str">
        <f ca="1">IFERROR(__xludf.DUMMYFUNCTION("""COMPUTED_VALUE"""),"Bình Tân")</f>
        <v>Bình Tân</v>
      </c>
      <c r="E224" s="53"/>
      <c r="F224" s="53"/>
      <c r="G224" s="53"/>
      <c r="H224" s="53"/>
      <c r="I224" s="53"/>
      <c r="J224" s="53"/>
      <c r="K224" s="53"/>
      <c r="L224" s="53"/>
      <c r="M224" s="53"/>
      <c r="N224" s="54">
        <f ca="1">IFERROR(__xludf.DUMMYFUNCTION("""COMPUTED_VALUE"""),6)</f>
        <v>6</v>
      </c>
      <c r="O224" s="54">
        <f ca="1">IFERROR(__xludf.DUMMYFUNCTION("""COMPUTED_VALUE"""),0)</f>
        <v>0</v>
      </c>
      <c r="P224" s="54"/>
      <c r="Q224" s="54">
        <f ca="1">IFERROR(__xludf.DUMMYFUNCTION("""COMPUTED_VALUE"""),0)</f>
        <v>0</v>
      </c>
      <c r="R224" s="54"/>
      <c r="S224" s="53"/>
      <c r="T224" s="53"/>
      <c r="U224" s="53"/>
      <c r="V224" s="53"/>
      <c r="W224" s="53"/>
      <c r="X224" s="53"/>
      <c r="Y224" s="53"/>
      <c r="Z224" s="2"/>
      <c r="AA224" s="2"/>
      <c r="AB224" s="2"/>
      <c r="AC224" s="2"/>
      <c r="AD224" s="2"/>
      <c r="AE224" s="2"/>
    </row>
    <row r="225" spans="1:31" ht="12.75" x14ac:dyDescent="0.2">
      <c r="A225" s="53">
        <f ca="1">IFERROR(__xludf.DUMMYFUNCTION("""COMPUTED_VALUE"""),12)</f>
        <v>12</v>
      </c>
      <c r="B225" s="53" t="str">
        <f ca="1">IFERROR(__xludf.DUMMYFUNCTION("""COMPUTED_VALUE"""),"Lớp MG Vương Quốc Trẻ Thơ")</f>
        <v>Lớp MG Vương Quốc Trẻ Thơ</v>
      </c>
      <c r="C225" s="53" t="str">
        <f ca="1">IFERROR(__xludf.DUMMYFUNCTION("""COMPUTED_VALUE"""),"MN")</f>
        <v>MN</v>
      </c>
      <c r="D225" s="53" t="str">
        <f ca="1">IFERROR(__xludf.DUMMYFUNCTION("""COMPUTED_VALUE"""),"Bình Tân")</f>
        <v>Bình Tân</v>
      </c>
      <c r="E225" s="53"/>
      <c r="F225" s="53"/>
      <c r="G225" s="53"/>
      <c r="H225" s="53"/>
      <c r="I225" s="53"/>
      <c r="J225" s="53"/>
      <c r="K225" s="53"/>
      <c r="L225" s="53"/>
      <c r="M225" s="53"/>
      <c r="N225" s="54">
        <f ca="1">IFERROR(__xludf.DUMMYFUNCTION("""COMPUTED_VALUE"""),19)</f>
        <v>19</v>
      </c>
      <c r="O225" s="54">
        <f ca="1">IFERROR(__xludf.DUMMYFUNCTION("""COMPUTED_VALUE"""),0)</f>
        <v>0</v>
      </c>
      <c r="P225" s="54"/>
      <c r="Q225" s="54">
        <f ca="1">IFERROR(__xludf.DUMMYFUNCTION("""COMPUTED_VALUE"""),0)</f>
        <v>0</v>
      </c>
      <c r="R225" s="54"/>
      <c r="S225" s="53"/>
      <c r="T225" s="53"/>
      <c r="U225" s="53"/>
      <c r="V225" s="53"/>
      <c r="W225" s="53"/>
      <c r="X225" s="53"/>
      <c r="Y225" s="53"/>
      <c r="Z225" s="2"/>
      <c r="AA225" s="2"/>
      <c r="AB225" s="2"/>
      <c r="AC225" s="2"/>
      <c r="AD225" s="2"/>
      <c r="AE225" s="2"/>
    </row>
    <row r="226" spans="1:31" ht="12.75" x14ac:dyDescent="0.2">
      <c r="A226" s="53">
        <f ca="1">IFERROR(__xludf.DUMMYFUNCTION("""COMPUTED_VALUE"""),13)</f>
        <v>13</v>
      </c>
      <c r="B226" s="53" t="str">
        <f ca="1">IFERROR(__xludf.DUMMYFUNCTION("""COMPUTED_VALUE"""),"LMN Vườn Ước Mơ")</f>
        <v>LMN Vườn Ước Mơ</v>
      </c>
      <c r="C226" s="53" t="str">
        <f ca="1">IFERROR(__xludf.DUMMYFUNCTION("""COMPUTED_VALUE"""),"MN")</f>
        <v>MN</v>
      </c>
      <c r="D226" s="53" t="str">
        <f ca="1">IFERROR(__xludf.DUMMYFUNCTION("""COMPUTED_VALUE"""),"Bình Tân")</f>
        <v>Bình Tân</v>
      </c>
      <c r="E226" s="53"/>
      <c r="F226" s="53"/>
      <c r="G226" s="53"/>
      <c r="H226" s="53"/>
      <c r="I226" s="53"/>
      <c r="J226" s="53"/>
      <c r="K226" s="53"/>
      <c r="L226" s="53"/>
      <c r="M226" s="53"/>
      <c r="N226" s="54">
        <f ca="1">IFERROR(__xludf.DUMMYFUNCTION("""COMPUTED_VALUE"""),15)</f>
        <v>15</v>
      </c>
      <c r="O226" s="54">
        <f ca="1">IFERROR(__xludf.DUMMYFUNCTION("""COMPUTED_VALUE"""),0)</f>
        <v>0</v>
      </c>
      <c r="P226" s="54"/>
      <c r="Q226" s="54">
        <f ca="1">IFERROR(__xludf.DUMMYFUNCTION("""COMPUTED_VALUE"""),0)</f>
        <v>0</v>
      </c>
      <c r="R226" s="54"/>
      <c r="S226" s="53"/>
      <c r="T226" s="53"/>
      <c r="U226" s="53"/>
      <c r="V226" s="53"/>
      <c r="W226" s="53"/>
      <c r="X226" s="53"/>
      <c r="Y226" s="53"/>
      <c r="Z226" s="2"/>
      <c r="AA226" s="2"/>
      <c r="AB226" s="2"/>
      <c r="AC226" s="2"/>
      <c r="AD226" s="2"/>
      <c r="AE226" s="2"/>
    </row>
    <row r="227" spans="1:31" ht="12.75" x14ac:dyDescent="0.2">
      <c r="A227" s="53">
        <f ca="1">IFERROR(__xludf.DUMMYFUNCTION("""COMPUTED_VALUE"""),14)</f>
        <v>14</v>
      </c>
      <c r="B227" s="53" t="str">
        <f ca="1">IFERROR(__xludf.DUMMYFUNCTION("""COMPUTED_VALUE"""),"Lớp MN Hoàng Trang")</f>
        <v>Lớp MN Hoàng Trang</v>
      </c>
      <c r="C227" s="53" t="str">
        <f ca="1">IFERROR(__xludf.DUMMYFUNCTION("""COMPUTED_VALUE"""),"MN")</f>
        <v>MN</v>
      </c>
      <c r="D227" s="53" t="str">
        <f ca="1">IFERROR(__xludf.DUMMYFUNCTION("""COMPUTED_VALUE"""),"Bình Tân")</f>
        <v>Bình Tân</v>
      </c>
      <c r="E227" s="53"/>
      <c r="F227" s="53"/>
      <c r="G227" s="53"/>
      <c r="H227" s="53"/>
      <c r="I227" s="53"/>
      <c r="J227" s="53"/>
      <c r="K227" s="53"/>
      <c r="L227" s="53"/>
      <c r="M227" s="53"/>
      <c r="N227" s="54">
        <f ca="1">IFERROR(__xludf.DUMMYFUNCTION("""COMPUTED_VALUE"""),23)</f>
        <v>23</v>
      </c>
      <c r="O227" s="54">
        <f ca="1">IFERROR(__xludf.DUMMYFUNCTION("""COMPUTED_VALUE"""),0)</f>
        <v>0</v>
      </c>
      <c r="P227" s="54"/>
      <c r="Q227" s="54">
        <f ca="1">IFERROR(__xludf.DUMMYFUNCTION("""COMPUTED_VALUE"""),0)</f>
        <v>0</v>
      </c>
      <c r="R227" s="54"/>
      <c r="S227" s="53"/>
      <c r="T227" s="53"/>
      <c r="U227" s="53"/>
      <c r="V227" s="53"/>
      <c r="W227" s="53"/>
      <c r="X227" s="53"/>
      <c r="Y227" s="53"/>
      <c r="Z227" s="2"/>
      <c r="AA227" s="2"/>
      <c r="AB227" s="2"/>
      <c r="AC227" s="2"/>
      <c r="AD227" s="2"/>
      <c r="AE227" s="2"/>
    </row>
    <row r="228" spans="1:31" ht="12.75" x14ac:dyDescent="0.2">
      <c r="A228" s="53">
        <f ca="1">IFERROR(__xludf.DUMMYFUNCTION("""COMPUTED_VALUE"""),15)</f>
        <v>15</v>
      </c>
      <c r="B228" s="53" t="str">
        <f ca="1">IFERROR(__xludf.DUMMYFUNCTION("""COMPUTED_VALUE"""),"Lớp MG Hồng Xuyến")</f>
        <v>Lớp MG Hồng Xuyến</v>
      </c>
      <c r="C228" s="53" t="str">
        <f ca="1">IFERROR(__xludf.DUMMYFUNCTION("""COMPUTED_VALUE"""),"MN")</f>
        <v>MN</v>
      </c>
      <c r="D228" s="53" t="str">
        <f ca="1">IFERROR(__xludf.DUMMYFUNCTION("""COMPUTED_VALUE"""),"Bình Tân")</f>
        <v>Bình Tân</v>
      </c>
      <c r="E228" s="53"/>
      <c r="F228" s="53"/>
      <c r="G228" s="53"/>
      <c r="H228" s="53"/>
      <c r="I228" s="53"/>
      <c r="J228" s="53"/>
      <c r="K228" s="53"/>
      <c r="L228" s="53"/>
      <c r="M228" s="53"/>
      <c r="N228" s="54">
        <f ca="1">IFERROR(__xludf.DUMMYFUNCTION("""COMPUTED_VALUE"""),11)</f>
        <v>11</v>
      </c>
      <c r="O228" s="54">
        <f ca="1">IFERROR(__xludf.DUMMYFUNCTION("""COMPUTED_VALUE"""),0)</f>
        <v>0</v>
      </c>
      <c r="P228" s="54"/>
      <c r="Q228" s="54">
        <f ca="1">IFERROR(__xludf.DUMMYFUNCTION("""COMPUTED_VALUE"""),0)</f>
        <v>0</v>
      </c>
      <c r="R228" s="54"/>
      <c r="S228" s="53"/>
      <c r="T228" s="53"/>
      <c r="U228" s="53"/>
      <c r="V228" s="53"/>
      <c r="W228" s="53"/>
      <c r="X228" s="53"/>
      <c r="Y228" s="53"/>
      <c r="Z228" s="2"/>
      <c r="AA228" s="2"/>
      <c r="AB228" s="2"/>
      <c r="AC228" s="2"/>
      <c r="AD228" s="2"/>
      <c r="AE228" s="2"/>
    </row>
    <row r="229" spans="1:31" ht="12.75" x14ac:dyDescent="0.2">
      <c r="A229" s="53">
        <f ca="1">IFERROR(__xludf.DUMMYFUNCTION("""COMPUTED_VALUE"""),16)</f>
        <v>16</v>
      </c>
      <c r="B229" s="53" t="str">
        <f ca="1">IFERROR(__xludf.DUMMYFUNCTION("""COMPUTED_VALUE"""),"Lớp MG Hương Quỳnh")</f>
        <v>Lớp MG Hương Quỳnh</v>
      </c>
      <c r="C229" s="53" t="str">
        <f ca="1">IFERROR(__xludf.DUMMYFUNCTION("""COMPUTED_VALUE"""),"MN")</f>
        <v>MN</v>
      </c>
      <c r="D229" s="53" t="str">
        <f ca="1">IFERROR(__xludf.DUMMYFUNCTION("""COMPUTED_VALUE"""),"Bình Tân")</f>
        <v>Bình Tân</v>
      </c>
      <c r="E229" s="53"/>
      <c r="F229" s="53"/>
      <c r="G229" s="53"/>
      <c r="H229" s="53"/>
      <c r="I229" s="53"/>
      <c r="J229" s="53"/>
      <c r="K229" s="53"/>
      <c r="L229" s="53"/>
      <c r="M229" s="53"/>
      <c r="N229" s="54">
        <f ca="1">IFERROR(__xludf.DUMMYFUNCTION("""COMPUTED_VALUE"""),15)</f>
        <v>15</v>
      </c>
      <c r="O229" s="54">
        <f ca="1">IFERROR(__xludf.DUMMYFUNCTION("""COMPUTED_VALUE"""),0)</f>
        <v>0</v>
      </c>
      <c r="P229" s="54"/>
      <c r="Q229" s="54">
        <f ca="1">IFERROR(__xludf.DUMMYFUNCTION("""COMPUTED_VALUE"""),0)</f>
        <v>0</v>
      </c>
      <c r="R229" s="54"/>
      <c r="S229" s="53"/>
      <c r="T229" s="53"/>
      <c r="U229" s="53"/>
      <c r="V229" s="53"/>
      <c r="W229" s="53"/>
      <c r="X229" s="53"/>
      <c r="Y229" s="53"/>
      <c r="Z229" s="2"/>
      <c r="AA229" s="2"/>
      <c r="AB229" s="2"/>
      <c r="AC229" s="2"/>
      <c r="AD229" s="2"/>
      <c r="AE229" s="2"/>
    </row>
    <row r="230" spans="1:31" ht="12.75" x14ac:dyDescent="0.2">
      <c r="A230" s="53">
        <f ca="1">IFERROR(__xludf.DUMMYFUNCTION("""COMPUTED_VALUE"""),17)</f>
        <v>17</v>
      </c>
      <c r="B230" s="53" t="str">
        <f ca="1">IFERROR(__xludf.DUMMYFUNCTION("""COMPUTED_VALUE"""),"Lớp MG Nhật Anh")</f>
        <v>Lớp MG Nhật Anh</v>
      </c>
      <c r="C230" s="53" t="str">
        <f ca="1">IFERROR(__xludf.DUMMYFUNCTION("""COMPUTED_VALUE"""),"MN")</f>
        <v>MN</v>
      </c>
      <c r="D230" s="53" t="str">
        <f ca="1">IFERROR(__xludf.DUMMYFUNCTION("""COMPUTED_VALUE"""),"Bình Tân")</f>
        <v>Bình Tân</v>
      </c>
      <c r="E230" s="53"/>
      <c r="F230" s="53"/>
      <c r="G230" s="53"/>
      <c r="H230" s="53"/>
      <c r="I230" s="53"/>
      <c r="J230" s="53"/>
      <c r="K230" s="53"/>
      <c r="L230" s="53"/>
      <c r="M230" s="53"/>
      <c r="N230" s="54">
        <f ca="1">IFERROR(__xludf.DUMMYFUNCTION("""COMPUTED_VALUE"""),4)</f>
        <v>4</v>
      </c>
      <c r="O230" s="54">
        <f ca="1">IFERROR(__xludf.DUMMYFUNCTION("""COMPUTED_VALUE"""),1)</f>
        <v>1</v>
      </c>
      <c r="P230" s="54"/>
      <c r="Q230" s="54">
        <f ca="1">IFERROR(__xludf.DUMMYFUNCTION("""COMPUTED_VALUE"""),1)</f>
        <v>1</v>
      </c>
      <c r="R230" s="54"/>
      <c r="S230" s="53"/>
      <c r="T230" s="53"/>
      <c r="U230" s="53"/>
      <c r="V230" s="53"/>
      <c r="W230" s="53"/>
      <c r="X230" s="53"/>
      <c r="Y230" s="53"/>
      <c r="Z230" s="2"/>
      <c r="AA230" s="2"/>
      <c r="AB230" s="2"/>
      <c r="AC230" s="2"/>
      <c r="AD230" s="2"/>
      <c r="AE230" s="2"/>
    </row>
    <row r="231" spans="1:31" ht="12.75" x14ac:dyDescent="0.2">
      <c r="A231" s="53">
        <f ca="1">IFERROR(__xludf.DUMMYFUNCTION("""COMPUTED_VALUE"""),18)</f>
        <v>18</v>
      </c>
      <c r="B231" s="53" t="str">
        <f ca="1">IFERROR(__xludf.DUMMYFUNCTION("""COMPUTED_VALUE"""),"Lớp MG Hoa sen Vàng")</f>
        <v>Lớp MG Hoa sen Vàng</v>
      </c>
      <c r="C231" s="53" t="str">
        <f ca="1">IFERROR(__xludf.DUMMYFUNCTION("""COMPUTED_VALUE"""),"MN")</f>
        <v>MN</v>
      </c>
      <c r="D231" s="53" t="str">
        <f ca="1">IFERROR(__xludf.DUMMYFUNCTION("""COMPUTED_VALUE"""),"Bình Tân")</f>
        <v>Bình Tân</v>
      </c>
      <c r="E231" s="53"/>
      <c r="F231" s="53"/>
      <c r="G231" s="53"/>
      <c r="H231" s="53"/>
      <c r="I231" s="53"/>
      <c r="J231" s="53"/>
      <c r="K231" s="53"/>
      <c r="L231" s="53"/>
      <c r="M231" s="53"/>
      <c r="N231" s="54">
        <f ca="1">IFERROR(__xludf.DUMMYFUNCTION("""COMPUTED_VALUE"""),7)</f>
        <v>7</v>
      </c>
      <c r="O231" s="54">
        <f ca="1">IFERROR(__xludf.DUMMYFUNCTION("""COMPUTED_VALUE"""),0)</f>
        <v>0</v>
      </c>
      <c r="P231" s="54"/>
      <c r="Q231" s="54">
        <f ca="1">IFERROR(__xludf.DUMMYFUNCTION("""COMPUTED_VALUE"""),0)</f>
        <v>0</v>
      </c>
      <c r="R231" s="54"/>
      <c r="S231" s="53"/>
      <c r="T231" s="53"/>
      <c r="U231" s="53"/>
      <c r="V231" s="53"/>
      <c r="W231" s="53"/>
      <c r="X231" s="53"/>
      <c r="Y231" s="53"/>
      <c r="Z231" s="2"/>
      <c r="AA231" s="2"/>
      <c r="AB231" s="2"/>
      <c r="AC231" s="2"/>
      <c r="AD231" s="2"/>
      <c r="AE231" s="2"/>
    </row>
    <row r="232" spans="1:31" ht="12.75" x14ac:dyDescent="0.2">
      <c r="A232" s="53">
        <f ca="1">IFERROR(__xludf.DUMMYFUNCTION("""COMPUTED_VALUE"""),19)</f>
        <v>19</v>
      </c>
      <c r="B232" s="53" t="str">
        <f ca="1">IFERROR(__xludf.DUMMYFUNCTION("""COMPUTED_VALUE"""),"MNTT Kim Đồng Anh")</f>
        <v>MNTT Kim Đồng Anh</v>
      </c>
      <c r="C232" s="53" t="str">
        <f ca="1">IFERROR(__xludf.DUMMYFUNCTION("""COMPUTED_VALUE"""),"MN")</f>
        <v>MN</v>
      </c>
      <c r="D232" s="53" t="str">
        <f ca="1">IFERROR(__xludf.DUMMYFUNCTION("""COMPUTED_VALUE"""),"Bình Tân")</f>
        <v>Bình Tân</v>
      </c>
      <c r="E232" s="53"/>
      <c r="F232" s="53"/>
      <c r="G232" s="53"/>
      <c r="H232" s="53"/>
      <c r="I232" s="53"/>
      <c r="J232" s="53"/>
      <c r="K232" s="53"/>
      <c r="L232" s="53"/>
      <c r="M232" s="53"/>
      <c r="N232" s="54">
        <f ca="1">IFERROR(__xludf.DUMMYFUNCTION("""COMPUTED_VALUE"""),26)</f>
        <v>26</v>
      </c>
      <c r="O232" s="54">
        <f ca="1">IFERROR(__xludf.DUMMYFUNCTION("""COMPUTED_VALUE"""),0)</f>
        <v>0</v>
      </c>
      <c r="P232" s="54"/>
      <c r="Q232" s="54">
        <f ca="1">IFERROR(__xludf.DUMMYFUNCTION("""COMPUTED_VALUE"""),0)</f>
        <v>0</v>
      </c>
      <c r="R232" s="54"/>
      <c r="S232" s="53"/>
      <c r="T232" s="53"/>
      <c r="U232" s="53"/>
      <c r="V232" s="53"/>
      <c r="W232" s="53"/>
      <c r="X232" s="53"/>
      <c r="Y232" s="53"/>
      <c r="Z232" s="2"/>
      <c r="AA232" s="2"/>
      <c r="AB232" s="2"/>
      <c r="AC232" s="2"/>
      <c r="AD232" s="2"/>
      <c r="AE232" s="2"/>
    </row>
    <row r="233" spans="1:31" ht="12.75" x14ac:dyDescent="0.2">
      <c r="A233" s="53">
        <f ca="1">IFERROR(__xludf.DUMMYFUNCTION("""COMPUTED_VALUE"""),20)</f>
        <v>20</v>
      </c>
      <c r="B233" s="53" t="str">
        <f ca="1">IFERROR(__xludf.DUMMYFUNCTION("""COMPUTED_VALUE"""),"MNTT Ngôi Sao Đỏ")</f>
        <v>MNTT Ngôi Sao Đỏ</v>
      </c>
      <c r="C233" s="53" t="str">
        <f ca="1">IFERROR(__xludf.DUMMYFUNCTION("""COMPUTED_VALUE"""),"MN")</f>
        <v>MN</v>
      </c>
      <c r="D233" s="53" t="str">
        <f ca="1">IFERROR(__xludf.DUMMYFUNCTION("""COMPUTED_VALUE"""),"Bình Tân")</f>
        <v>Bình Tân</v>
      </c>
      <c r="E233" s="53"/>
      <c r="F233" s="53"/>
      <c r="G233" s="53"/>
      <c r="H233" s="53"/>
      <c r="I233" s="53"/>
      <c r="J233" s="53"/>
      <c r="K233" s="53"/>
      <c r="L233" s="53"/>
      <c r="M233" s="53"/>
      <c r="N233" s="54">
        <f ca="1">IFERROR(__xludf.DUMMYFUNCTION("""COMPUTED_VALUE"""),58)</f>
        <v>58</v>
      </c>
      <c r="O233" s="54">
        <f ca="1">IFERROR(__xludf.DUMMYFUNCTION("""COMPUTED_VALUE"""),2)</f>
        <v>2</v>
      </c>
      <c r="P233" s="54"/>
      <c r="Q233" s="54">
        <f ca="1">IFERROR(__xludf.DUMMYFUNCTION("""COMPUTED_VALUE"""),2)</f>
        <v>2</v>
      </c>
      <c r="R233" s="54"/>
      <c r="S233" s="53"/>
      <c r="T233" s="53"/>
      <c r="U233" s="53"/>
      <c r="V233" s="53"/>
      <c r="W233" s="53"/>
      <c r="X233" s="53"/>
      <c r="Y233" s="53"/>
      <c r="Z233" s="2"/>
      <c r="AA233" s="2"/>
      <c r="AB233" s="2"/>
      <c r="AC233" s="2"/>
      <c r="AD233" s="2"/>
      <c r="AE233" s="2"/>
    </row>
    <row r="234" spans="1:31" ht="12.75" x14ac:dyDescent="0.2">
      <c r="A234" s="53"/>
      <c r="B234" s="53" t="str">
        <f ca="1">IFERROR(__xludf.DUMMYFUNCTION("""COMPUTED_VALUE"""),"8. Bình Trị Đông B")</f>
        <v>8. Bình Trị Đông B</v>
      </c>
      <c r="C234" s="53" t="str">
        <f ca="1">IFERROR(__xludf.DUMMYFUNCTION("""COMPUTED_VALUE"""),"MN")</f>
        <v>MN</v>
      </c>
      <c r="D234" s="53" t="str">
        <f ca="1">IFERROR(__xludf.DUMMYFUNCTION("""COMPUTED_VALUE"""),"Bình Tân")</f>
        <v>Bình Tân</v>
      </c>
      <c r="E234" s="53"/>
      <c r="F234" s="53"/>
      <c r="G234" s="53"/>
      <c r="H234" s="53"/>
      <c r="I234" s="53"/>
      <c r="J234" s="53"/>
      <c r="K234" s="53"/>
      <c r="L234" s="53"/>
      <c r="M234" s="53"/>
      <c r="N234" s="53"/>
      <c r="O234" s="53"/>
      <c r="P234" s="53"/>
      <c r="Q234" s="53"/>
      <c r="R234" s="53"/>
      <c r="S234" s="53"/>
      <c r="T234" s="53"/>
      <c r="U234" s="53"/>
      <c r="V234" s="53"/>
      <c r="W234" s="53"/>
      <c r="X234" s="53"/>
      <c r="Y234" s="53"/>
      <c r="Z234" s="2"/>
      <c r="AA234" s="2"/>
      <c r="AB234" s="2"/>
      <c r="AC234" s="2"/>
      <c r="AD234" s="2"/>
      <c r="AE234" s="2"/>
    </row>
    <row r="235" spans="1:31" ht="12.75" x14ac:dyDescent="0.2">
      <c r="A235" s="53">
        <f ca="1">IFERROR(__xludf.DUMMYFUNCTION("""COMPUTED_VALUE"""),1)</f>
        <v>1</v>
      </c>
      <c r="B235" s="53" t="str">
        <f ca="1">IFERROR(__xludf.DUMMYFUNCTION("""COMPUTED_VALUE"""),"MNTT Hoa Hồng Nhỏ")</f>
        <v>MNTT Hoa Hồng Nhỏ</v>
      </c>
      <c r="C235" s="53" t="str">
        <f ca="1">IFERROR(__xludf.DUMMYFUNCTION("""COMPUTED_VALUE"""),"MN")</f>
        <v>MN</v>
      </c>
      <c r="D235" s="53" t="str">
        <f ca="1">IFERROR(__xludf.DUMMYFUNCTION("""COMPUTED_VALUE"""),"Bình Tân")</f>
        <v>Bình Tân</v>
      </c>
      <c r="E235" s="53"/>
      <c r="F235" s="53"/>
      <c r="G235" s="53"/>
      <c r="H235" s="53"/>
      <c r="I235" s="53"/>
      <c r="J235" s="53"/>
      <c r="K235" s="53"/>
      <c r="L235" s="53"/>
      <c r="M235" s="53"/>
      <c r="N235" s="54">
        <f ca="1">IFERROR(__xludf.DUMMYFUNCTION("""COMPUTED_VALUE"""),107)</f>
        <v>107</v>
      </c>
      <c r="O235" s="54">
        <f ca="1">IFERROR(__xludf.DUMMYFUNCTION("""COMPUTED_VALUE"""),5)</f>
        <v>5</v>
      </c>
      <c r="P235" s="54"/>
      <c r="Q235" s="54">
        <f ca="1">IFERROR(__xludf.DUMMYFUNCTION("""COMPUTED_VALUE"""),4)</f>
        <v>4</v>
      </c>
      <c r="R235" s="54"/>
      <c r="S235" s="53"/>
      <c r="T235" s="53"/>
      <c r="U235" s="53"/>
      <c r="V235" s="53"/>
      <c r="W235" s="53"/>
      <c r="X235" s="53"/>
      <c r="Y235" s="53"/>
      <c r="Z235" s="2"/>
      <c r="AA235" s="2"/>
      <c r="AB235" s="2"/>
      <c r="AC235" s="2"/>
      <c r="AD235" s="2"/>
      <c r="AE235" s="2"/>
    </row>
    <row r="236" spans="1:31" ht="12.75" x14ac:dyDescent="0.2">
      <c r="A236" s="53">
        <f ca="1">IFERROR(__xludf.DUMMYFUNCTION("""COMPUTED_VALUE"""),2)</f>
        <v>2</v>
      </c>
      <c r="B236" s="53" t="str">
        <f ca="1">IFERROR(__xludf.DUMMYFUNCTION("""COMPUTED_VALUE"""),"MNTT Hoa Mai")</f>
        <v>MNTT Hoa Mai</v>
      </c>
      <c r="C236" s="53" t="str">
        <f ca="1">IFERROR(__xludf.DUMMYFUNCTION("""COMPUTED_VALUE"""),"MN")</f>
        <v>MN</v>
      </c>
      <c r="D236" s="53" t="str">
        <f ca="1">IFERROR(__xludf.DUMMYFUNCTION("""COMPUTED_VALUE"""),"Bình Tân")</f>
        <v>Bình Tân</v>
      </c>
      <c r="E236" s="53"/>
      <c r="F236" s="53"/>
      <c r="G236" s="53"/>
      <c r="H236" s="53"/>
      <c r="I236" s="53"/>
      <c r="J236" s="53"/>
      <c r="K236" s="53"/>
      <c r="L236" s="53"/>
      <c r="M236" s="53"/>
      <c r="N236" s="54">
        <f ca="1">IFERROR(__xludf.DUMMYFUNCTION("""COMPUTED_VALUE"""),91)</f>
        <v>91</v>
      </c>
      <c r="O236" s="54">
        <f ca="1">IFERROR(__xludf.DUMMYFUNCTION("""COMPUTED_VALUE"""),12)</f>
        <v>12</v>
      </c>
      <c r="P236" s="54"/>
      <c r="Q236" s="54">
        <f ca="1">IFERROR(__xludf.DUMMYFUNCTION("""COMPUTED_VALUE"""),6)</f>
        <v>6</v>
      </c>
      <c r="R236" s="54"/>
      <c r="S236" s="53"/>
      <c r="T236" s="53"/>
      <c r="U236" s="53"/>
      <c r="V236" s="53"/>
      <c r="W236" s="53"/>
      <c r="X236" s="53"/>
      <c r="Y236" s="53"/>
      <c r="Z236" s="2"/>
      <c r="AA236" s="2"/>
      <c r="AB236" s="2"/>
      <c r="AC236" s="2"/>
      <c r="AD236" s="2"/>
      <c r="AE236" s="2"/>
    </row>
    <row r="237" spans="1:31" ht="12.75" x14ac:dyDescent="0.2">
      <c r="A237" s="53">
        <f ca="1">IFERROR(__xludf.DUMMYFUNCTION("""COMPUTED_VALUE"""),3)</f>
        <v>3</v>
      </c>
      <c r="B237" s="53" t="str">
        <f ca="1">IFERROR(__xludf.DUMMYFUNCTION("""COMPUTED_VALUE"""),"MNTT Tuổi Thơ Việt")</f>
        <v>MNTT Tuổi Thơ Việt</v>
      </c>
      <c r="C237" s="53" t="str">
        <f ca="1">IFERROR(__xludf.DUMMYFUNCTION("""COMPUTED_VALUE"""),"MN")</f>
        <v>MN</v>
      </c>
      <c r="D237" s="53" t="str">
        <f ca="1">IFERROR(__xludf.DUMMYFUNCTION("""COMPUTED_VALUE"""),"Bình Tân")</f>
        <v>Bình Tân</v>
      </c>
      <c r="E237" s="53"/>
      <c r="F237" s="53"/>
      <c r="G237" s="53"/>
      <c r="H237" s="53"/>
      <c r="I237" s="53"/>
      <c r="J237" s="53"/>
      <c r="K237" s="53"/>
      <c r="L237" s="53"/>
      <c r="M237" s="53"/>
      <c r="N237" s="54">
        <f ca="1">IFERROR(__xludf.DUMMYFUNCTION("""COMPUTED_VALUE"""),12)</f>
        <v>12</v>
      </c>
      <c r="O237" s="54">
        <f ca="1">IFERROR(__xludf.DUMMYFUNCTION("""COMPUTED_VALUE"""),0)</f>
        <v>0</v>
      </c>
      <c r="P237" s="54"/>
      <c r="Q237" s="54">
        <f ca="1">IFERROR(__xludf.DUMMYFUNCTION("""COMPUTED_VALUE"""),0)</f>
        <v>0</v>
      </c>
      <c r="R237" s="54"/>
      <c r="S237" s="53"/>
      <c r="T237" s="53"/>
      <c r="U237" s="53"/>
      <c r="V237" s="53"/>
      <c r="W237" s="53"/>
      <c r="X237" s="53"/>
      <c r="Y237" s="53"/>
      <c r="Z237" s="2"/>
      <c r="AA237" s="2"/>
      <c r="AB237" s="2"/>
      <c r="AC237" s="2"/>
      <c r="AD237" s="2"/>
      <c r="AE237" s="2"/>
    </row>
    <row r="238" spans="1:31" ht="12.75" x14ac:dyDescent="0.2">
      <c r="A238" s="53">
        <f ca="1">IFERROR(__xludf.DUMMYFUNCTION("""COMPUTED_VALUE"""),4)</f>
        <v>4</v>
      </c>
      <c r="B238" s="53" t="str">
        <f ca="1">IFERROR(__xludf.DUMMYFUNCTION("""COMPUTED_VALUE"""),"MNTT Tuổi Thần Tiên")</f>
        <v>MNTT Tuổi Thần Tiên</v>
      </c>
      <c r="C238" s="53" t="str">
        <f ca="1">IFERROR(__xludf.DUMMYFUNCTION("""COMPUTED_VALUE"""),"MN")</f>
        <v>MN</v>
      </c>
      <c r="D238" s="53" t="str">
        <f ca="1">IFERROR(__xludf.DUMMYFUNCTION("""COMPUTED_VALUE"""),"Bình Tân")</f>
        <v>Bình Tân</v>
      </c>
      <c r="E238" s="53"/>
      <c r="F238" s="53"/>
      <c r="G238" s="53"/>
      <c r="H238" s="53"/>
      <c r="I238" s="53"/>
      <c r="J238" s="53"/>
      <c r="K238" s="53"/>
      <c r="L238" s="53"/>
      <c r="M238" s="53"/>
      <c r="N238" s="54">
        <f ca="1">IFERROR(__xludf.DUMMYFUNCTION("""COMPUTED_VALUE"""),23)</f>
        <v>23</v>
      </c>
      <c r="O238" s="54">
        <f ca="1">IFERROR(__xludf.DUMMYFUNCTION("""COMPUTED_VALUE"""),0)</f>
        <v>0</v>
      </c>
      <c r="P238" s="54"/>
      <c r="Q238" s="54">
        <f ca="1">IFERROR(__xludf.DUMMYFUNCTION("""COMPUTED_VALUE"""),0)</f>
        <v>0</v>
      </c>
      <c r="R238" s="54"/>
      <c r="S238" s="53"/>
      <c r="T238" s="53"/>
      <c r="U238" s="53"/>
      <c r="V238" s="53"/>
      <c r="W238" s="53"/>
      <c r="X238" s="53"/>
      <c r="Y238" s="53"/>
      <c r="Z238" s="2"/>
      <c r="AA238" s="2"/>
      <c r="AB238" s="2"/>
      <c r="AC238" s="2"/>
      <c r="AD238" s="2"/>
      <c r="AE238" s="2"/>
    </row>
    <row r="239" spans="1:31" ht="12.75" x14ac:dyDescent="0.2">
      <c r="A239" s="53">
        <f ca="1">IFERROR(__xludf.DUMMYFUNCTION("""COMPUTED_VALUE"""),5)</f>
        <v>5</v>
      </c>
      <c r="B239" s="53" t="str">
        <f ca="1">IFERROR(__xludf.DUMMYFUNCTION("""COMPUTED_VALUE"""),"MNTT Trúc Xanh")</f>
        <v>MNTT Trúc Xanh</v>
      </c>
      <c r="C239" s="53" t="str">
        <f ca="1">IFERROR(__xludf.DUMMYFUNCTION("""COMPUTED_VALUE"""),"MN")</f>
        <v>MN</v>
      </c>
      <c r="D239" s="53" t="str">
        <f ca="1">IFERROR(__xludf.DUMMYFUNCTION("""COMPUTED_VALUE"""),"Bình Tân")</f>
        <v>Bình Tân</v>
      </c>
      <c r="E239" s="53"/>
      <c r="F239" s="53"/>
      <c r="G239" s="53"/>
      <c r="H239" s="53"/>
      <c r="I239" s="53"/>
      <c r="J239" s="53"/>
      <c r="K239" s="53"/>
      <c r="L239" s="53"/>
      <c r="M239" s="53"/>
      <c r="N239" s="54">
        <f ca="1">IFERROR(__xludf.DUMMYFUNCTION("""COMPUTED_VALUE"""),192)</f>
        <v>192</v>
      </c>
      <c r="O239" s="54">
        <f ca="1">IFERROR(__xludf.DUMMYFUNCTION("""COMPUTED_VALUE"""),136)</f>
        <v>136</v>
      </c>
      <c r="P239" s="54"/>
      <c r="Q239" s="54">
        <f ca="1">IFERROR(__xludf.DUMMYFUNCTION("""COMPUTED_VALUE"""),122)</f>
        <v>122</v>
      </c>
      <c r="R239" s="54"/>
      <c r="S239" s="53"/>
      <c r="T239" s="53"/>
      <c r="U239" s="53"/>
      <c r="V239" s="53"/>
      <c r="W239" s="53"/>
      <c r="X239" s="53"/>
      <c r="Y239" s="53"/>
      <c r="Z239" s="2"/>
      <c r="AA239" s="2"/>
      <c r="AB239" s="2"/>
      <c r="AC239" s="2"/>
      <c r="AD239" s="2"/>
      <c r="AE239" s="2"/>
    </row>
    <row r="240" spans="1:31" ht="12.75" x14ac:dyDescent="0.2">
      <c r="A240" s="53">
        <f ca="1">IFERROR(__xludf.DUMMYFUNCTION("""COMPUTED_VALUE"""),6)</f>
        <v>6</v>
      </c>
      <c r="B240" s="53" t="str">
        <f ca="1">IFERROR(__xludf.DUMMYFUNCTION("""COMPUTED_VALUE"""),"MNTT Việt Mỹ Úc")</f>
        <v>MNTT Việt Mỹ Úc</v>
      </c>
      <c r="C240" s="53" t="str">
        <f ca="1">IFERROR(__xludf.DUMMYFUNCTION("""COMPUTED_VALUE"""),"MN")</f>
        <v>MN</v>
      </c>
      <c r="D240" s="53" t="str">
        <f ca="1">IFERROR(__xludf.DUMMYFUNCTION("""COMPUTED_VALUE"""),"Bình Tân")</f>
        <v>Bình Tân</v>
      </c>
      <c r="E240" s="53"/>
      <c r="F240" s="53"/>
      <c r="G240" s="53"/>
      <c r="H240" s="53"/>
      <c r="I240" s="53"/>
      <c r="J240" s="53"/>
      <c r="K240" s="53"/>
      <c r="L240" s="53"/>
      <c r="M240" s="53"/>
      <c r="N240" s="54">
        <f ca="1">IFERROR(__xludf.DUMMYFUNCTION("""COMPUTED_VALUE"""),0)</f>
        <v>0</v>
      </c>
      <c r="O240" s="54">
        <f ca="1">IFERROR(__xludf.DUMMYFUNCTION("""COMPUTED_VALUE"""),0)</f>
        <v>0</v>
      </c>
      <c r="P240" s="54"/>
      <c r="Q240" s="54">
        <f ca="1">IFERROR(__xludf.DUMMYFUNCTION("""COMPUTED_VALUE"""),0)</f>
        <v>0</v>
      </c>
      <c r="R240" s="54"/>
      <c r="S240" s="53"/>
      <c r="T240" s="53"/>
      <c r="U240" s="53"/>
      <c r="V240" s="53"/>
      <c r="W240" s="53"/>
      <c r="X240" s="53"/>
      <c r="Y240" s="53"/>
      <c r="Z240" s="2"/>
      <c r="AA240" s="2"/>
      <c r="AB240" s="2"/>
      <c r="AC240" s="2"/>
      <c r="AD240" s="2"/>
      <c r="AE240" s="2"/>
    </row>
    <row r="241" spans="1:31" ht="12.75" x14ac:dyDescent="0.2">
      <c r="A241" s="53">
        <f ca="1">IFERROR(__xludf.DUMMYFUNCTION("""COMPUTED_VALUE"""),7)</f>
        <v>7</v>
      </c>
      <c r="B241" s="53" t="str">
        <f ca="1">IFERROR(__xludf.DUMMYFUNCTION("""COMPUTED_VALUE"""),"MNTT Đông Nam Á")</f>
        <v>MNTT Đông Nam Á</v>
      </c>
      <c r="C241" s="53" t="str">
        <f ca="1">IFERROR(__xludf.DUMMYFUNCTION("""COMPUTED_VALUE"""),"MN")</f>
        <v>MN</v>
      </c>
      <c r="D241" s="53" t="str">
        <f ca="1">IFERROR(__xludf.DUMMYFUNCTION("""COMPUTED_VALUE"""),"Bình Tân")</f>
        <v>Bình Tân</v>
      </c>
      <c r="E241" s="53"/>
      <c r="F241" s="53"/>
      <c r="G241" s="53"/>
      <c r="H241" s="53"/>
      <c r="I241" s="53"/>
      <c r="J241" s="53"/>
      <c r="K241" s="53"/>
      <c r="L241" s="53"/>
      <c r="M241" s="53"/>
      <c r="N241" s="54">
        <f ca="1">IFERROR(__xludf.DUMMYFUNCTION("""COMPUTED_VALUE"""),40)</f>
        <v>40</v>
      </c>
      <c r="O241" s="54">
        <f ca="1">IFERROR(__xludf.DUMMYFUNCTION("""COMPUTED_VALUE"""),6)</f>
        <v>6</v>
      </c>
      <c r="P241" s="54"/>
      <c r="Q241" s="54">
        <f ca="1">IFERROR(__xludf.DUMMYFUNCTION("""COMPUTED_VALUE"""),6)</f>
        <v>6</v>
      </c>
      <c r="R241" s="54"/>
      <c r="S241" s="53"/>
      <c r="T241" s="53"/>
      <c r="U241" s="53"/>
      <c r="V241" s="53"/>
      <c r="W241" s="53"/>
      <c r="X241" s="53"/>
      <c r="Y241" s="53"/>
      <c r="Z241" s="2"/>
      <c r="AA241" s="2"/>
      <c r="AB241" s="2"/>
      <c r="AC241" s="2"/>
      <c r="AD241" s="2"/>
      <c r="AE241" s="2"/>
    </row>
    <row r="242" spans="1:31" ht="12.75" x14ac:dyDescent="0.2">
      <c r="A242" s="53">
        <f ca="1">IFERROR(__xludf.DUMMYFUNCTION("""COMPUTED_VALUE"""),8)</f>
        <v>8</v>
      </c>
      <c r="B242" s="53" t="str">
        <f ca="1">IFERROR(__xludf.DUMMYFUNCTION("""COMPUTED_VALUE"""),"MNTT Thành phố Tuổi Thơ")</f>
        <v>MNTT Thành phố Tuổi Thơ</v>
      </c>
      <c r="C242" s="53" t="str">
        <f ca="1">IFERROR(__xludf.DUMMYFUNCTION("""COMPUTED_VALUE"""),"MN")</f>
        <v>MN</v>
      </c>
      <c r="D242" s="53" t="str">
        <f ca="1">IFERROR(__xludf.DUMMYFUNCTION("""COMPUTED_VALUE"""),"Bình Tân")</f>
        <v>Bình Tân</v>
      </c>
      <c r="E242" s="53"/>
      <c r="F242" s="53"/>
      <c r="G242" s="53"/>
      <c r="H242" s="53"/>
      <c r="I242" s="53"/>
      <c r="J242" s="53"/>
      <c r="K242" s="53"/>
      <c r="L242" s="53"/>
      <c r="M242" s="53"/>
      <c r="N242" s="54">
        <f ca="1">IFERROR(__xludf.DUMMYFUNCTION("""COMPUTED_VALUE"""),0)</f>
        <v>0</v>
      </c>
      <c r="O242" s="54">
        <f ca="1">IFERROR(__xludf.DUMMYFUNCTION("""COMPUTED_VALUE"""),0)</f>
        <v>0</v>
      </c>
      <c r="P242" s="54"/>
      <c r="Q242" s="54">
        <f ca="1">IFERROR(__xludf.DUMMYFUNCTION("""COMPUTED_VALUE"""),0)</f>
        <v>0</v>
      </c>
      <c r="R242" s="54"/>
      <c r="S242" s="53"/>
      <c r="T242" s="53"/>
      <c r="U242" s="53"/>
      <c r="V242" s="53"/>
      <c r="W242" s="53"/>
      <c r="X242" s="53"/>
      <c r="Y242" s="53"/>
      <c r="Z242" s="2"/>
      <c r="AA242" s="2"/>
      <c r="AB242" s="2"/>
      <c r="AC242" s="2"/>
      <c r="AD242" s="2"/>
      <c r="AE242" s="2"/>
    </row>
    <row r="243" spans="1:31" ht="12.75" x14ac:dyDescent="0.2">
      <c r="A243" s="53">
        <f ca="1">IFERROR(__xludf.DUMMYFUNCTION("""COMPUTED_VALUE"""),9)</f>
        <v>9</v>
      </c>
      <c r="B243" s="53" t="str">
        <f ca="1">IFERROR(__xludf.DUMMYFUNCTION("""COMPUTED_VALUE"""),"MNTT Cánh Én Tuổi Thơ")</f>
        <v>MNTT Cánh Én Tuổi Thơ</v>
      </c>
      <c r="C243" s="53" t="str">
        <f ca="1">IFERROR(__xludf.DUMMYFUNCTION("""COMPUTED_VALUE"""),"MN")</f>
        <v>MN</v>
      </c>
      <c r="D243" s="53" t="str">
        <f ca="1">IFERROR(__xludf.DUMMYFUNCTION("""COMPUTED_VALUE"""),"Bình Tân")</f>
        <v>Bình Tân</v>
      </c>
      <c r="E243" s="53"/>
      <c r="F243" s="53"/>
      <c r="G243" s="53"/>
      <c r="H243" s="53"/>
      <c r="I243" s="53"/>
      <c r="J243" s="53"/>
      <c r="K243" s="53"/>
      <c r="L243" s="53"/>
      <c r="M243" s="53"/>
      <c r="N243" s="54">
        <f ca="1">IFERROR(__xludf.DUMMYFUNCTION("""COMPUTED_VALUE"""),0)</f>
        <v>0</v>
      </c>
      <c r="O243" s="54">
        <f ca="1">IFERROR(__xludf.DUMMYFUNCTION("""COMPUTED_VALUE"""),0)</f>
        <v>0</v>
      </c>
      <c r="P243" s="54"/>
      <c r="Q243" s="54">
        <f ca="1">IFERROR(__xludf.DUMMYFUNCTION("""COMPUTED_VALUE"""),0)</f>
        <v>0</v>
      </c>
      <c r="R243" s="54"/>
      <c r="S243" s="53"/>
      <c r="T243" s="53"/>
      <c r="U243" s="53"/>
      <c r="V243" s="53"/>
      <c r="W243" s="53"/>
      <c r="X243" s="53"/>
      <c r="Y243" s="53"/>
      <c r="Z243" s="2"/>
      <c r="AA243" s="2"/>
      <c r="AB243" s="2"/>
      <c r="AC243" s="2"/>
      <c r="AD243" s="2"/>
      <c r="AE243" s="2"/>
    </row>
    <row r="244" spans="1:31" ht="12.75" x14ac:dyDescent="0.2">
      <c r="A244" s="53">
        <f ca="1">IFERROR(__xludf.DUMMYFUNCTION("""COMPUTED_VALUE"""),10)</f>
        <v>10</v>
      </c>
      <c r="B244" s="53" t="str">
        <f ca="1">IFERROR(__xludf.DUMMYFUNCTION("""COMPUTED_VALUE"""),"MNTT Chìa Khóa Vàng")</f>
        <v>MNTT Chìa Khóa Vàng</v>
      </c>
      <c r="C244" s="53" t="str">
        <f ca="1">IFERROR(__xludf.DUMMYFUNCTION("""COMPUTED_VALUE"""),"MN")</f>
        <v>MN</v>
      </c>
      <c r="D244" s="53" t="str">
        <f ca="1">IFERROR(__xludf.DUMMYFUNCTION("""COMPUTED_VALUE"""),"Bình Tân")</f>
        <v>Bình Tân</v>
      </c>
      <c r="E244" s="53"/>
      <c r="F244" s="53"/>
      <c r="G244" s="53"/>
      <c r="H244" s="53"/>
      <c r="I244" s="53"/>
      <c r="J244" s="53"/>
      <c r="K244" s="53"/>
      <c r="L244" s="53"/>
      <c r="M244" s="53"/>
      <c r="N244" s="54">
        <f ca="1">IFERROR(__xludf.DUMMYFUNCTION("""COMPUTED_VALUE"""),20)</f>
        <v>20</v>
      </c>
      <c r="O244" s="54">
        <f ca="1">IFERROR(__xludf.DUMMYFUNCTION("""COMPUTED_VALUE"""),4)</f>
        <v>4</v>
      </c>
      <c r="P244" s="54"/>
      <c r="Q244" s="54">
        <f ca="1">IFERROR(__xludf.DUMMYFUNCTION("""COMPUTED_VALUE"""),2)</f>
        <v>2</v>
      </c>
      <c r="R244" s="54"/>
      <c r="S244" s="53"/>
      <c r="T244" s="53"/>
      <c r="U244" s="53"/>
      <c r="V244" s="53"/>
      <c r="W244" s="53"/>
      <c r="X244" s="53"/>
      <c r="Y244" s="53"/>
      <c r="Z244" s="2"/>
      <c r="AA244" s="2"/>
      <c r="AB244" s="2"/>
      <c r="AC244" s="2"/>
      <c r="AD244" s="2"/>
      <c r="AE244" s="2"/>
    </row>
    <row r="245" spans="1:31" ht="12.75" x14ac:dyDescent="0.2">
      <c r="A245" s="53">
        <f ca="1">IFERROR(__xludf.DUMMYFUNCTION("""COMPUTED_VALUE"""),11)</f>
        <v>11</v>
      </c>
      <c r="B245" s="53" t="str">
        <f ca="1">IFERROR(__xludf.DUMMYFUNCTION("""COMPUTED_VALUE"""),"LMG Đức Lan")</f>
        <v>LMG Đức Lan</v>
      </c>
      <c r="C245" s="53" t="str">
        <f ca="1">IFERROR(__xludf.DUMMYFUNCTION("""COMPUTED_VALUE"""),"MN")</f>
        <v>MN</v>
      </c>
      <c r="D245" s="53" t="str">
        <f ca="1">IFERROR(__xludf.DUMMYFUNCTION("""COMPUTED_VALUE"""),"Bình Tân")</f>
        <v>Bình Tân</v>
      </c>
      <c r="E245" s="53"/>
      <c r="F245" s="53"/>
      <c r="G245" s="53"/>
      <c r="H245" s="53"/>
      <c r="I245" s="53"/>
      <c r="J245" s="53"/>
      <c r="K245" s="53"/>
      <c r="L245" s="53"/>
      <c r="M245" s="53"/>
      <c r="N245" s="54">
        <f ca="1">IFERROR(__xludf.DUMMYFUNCTION("""COMPUTED_VALUE"""),0)</f>
        <v>0</v>
      </c>
      <c r="O245" s="54">
        <f ca="1">IFERROR(__xludf.DUMMYFUNCTION("""COMPUTED_VALUE"""),0)</f>
        <v>0</v>
      </c>
      <c r="P245" s="54"/>
      <c r="Q245" s="54">
        <f ca="1">IFERROR(__xludf.DUMMYFUNCTION("""COMPUTED_VALUE"""),0)</f>
        <v>0</v>
      </c>
      <c r="R245" s="54"/>
      <c r="S245" s="53"/>
      <c r="T245" s="53"/>
      <c r="U245" s="53"/>
      <c r="V245" s="53"/>
      <c r="W245" s="53"/>
      <c r="X245" s="53"/>
      <c r="Y245" s="53"/>
      <c r="Z245" s="2"/>
      <c r="AA245" s="2"/>
      <c r="AB245" s="2"/>
      <c r="AC245" s="2"/>
      <c r="AD245" s="2"/>
      <c r="AE245" s="2"/>
    </row>
    <row r="246" spans="1:31" ht="12.75" x14ac:dyDescent="0.2">
      <c r="A246" s="53">
        <f ca="1">IFERROR(__xludf.DUMMYFUNCTION("""COMPUTED_VALUE"""),12)</f>
        <v>12</v>
      </c>
      <c r="B246" s="53" t="str">
        <f ca="1">IFERROR(__xludf.DUMMYFUNCTION("""COMPUTED_VALUE"""),"LMG Hoa Hướng Dương")</f>
        <v>LMG Hoa Hướng Dương</v>
      </c>
      <c r="C246" s="53" t="str">
        <f ca="1">IFERROR(__xludf.DUMMYFUNCTION("""COMPUTED_VALUE"""),"MN")</f>
        <v>MN</v>
      </c>
      <c r="D246" s="53" t="str">
        <f ca="1">IFERROR(__xludf.DUMMYFUNCTION("""COMPUTED_VALUE"""),"Bình Tân")</f>
        <v>Bình Tân</v>
      </c>
      <c r="E246" s="53"/>
      <c r="F246" s="53"/>
      <c r="G246" s="53"/>
      <c r="H246" s="53"/>
      <c r="I246" s="53"/>
      <c r="J246" s="53"/>
      <c r="K246" s="53"/>
      <c r="L246" s="53"/>
      <c r="M246" s="53"/>
      <c r="N246" s="54">
        <f ca="1">IFERROR(__xludf.DUMMYFUNCTION("""COMPUTED_VALUE"""),10)</f>
        <v>10</v>
      </c>
      <c r="O246" s="54">
        <f ca="1">IFERROR(__xludf.DUMMYFUNCTION("""COMPUTED_VALUE"""),1)</f>
        <v>1</v>
      </c>
      <c r="P246" s="54"/>
      <c r="Q246" s="54">
        <f ca="1">IFERROR(__xludf.DUMMYFUNCTION("""COMPUTED_VALUE"""),1)</f>
        <v>1</v>
      </c>
      <c r="R246" s="54"/>
      <c r="S246" s="53"/>
      <c r="T246" s="53"/>
      <c r="U246" s="53"/>
      <c r="V246" s="53"/>
      <c r="W246" s="53"/>
      <c r="X246" s="53"/>
      <c r="Y246" s="53"/>
      <c r="Z246" s="2"/>
      <c r="AA246" s="2"/>
      <c r="AB246" s="2"/>
      <c r="AC246" s="2"/>
      <c r="AD246" s="2"/>
      <c r="AE246" s="2"/>
    </row>
    <row r="247" spans="1:31" ht="12.75" x14ac:dyDescent="0.2">
      <c r="A247" s="53">
        <f ca="1">IFERROR(__xludf.DUMMYFUNCTION("""COMPUTED_VALUE"""),13)</f>
        <v>13</v>
      </c>
      <c r="B247" s="53" t="str">
        <f ca="1">IFERROR(__xludf.DUMMYFUNCTION("""COMPUTED_VALUE"""),"LMG Mầm Xanh")</f>
        <v>LMG Mầm Xanh</v>
      </c>
      <c r="C247" s="53" t="str">
        <f ca="1">IFERROR(__xludf.DUMMYFUNCTION("""COMPUTED_VALUE"""),"MN")</f>
        <v>MN</v>
      </c>
      <c r="D247" s="53" t="str">
        <f ca="1">IFERROR(__xludf.DUMMYFUNCTION("""COMPUTED_VALUE"""),"Bình Tân")</f>
        <v>Bình Tân</v>
      </c>
      <c r="E247" s="53"/>
      <c r="F247" s="53"/>
      <c r="G247" s="53"/>
      <c r="H247" s="53"/>
      <c r="I247" s="53"/>
      <c r="J247" s="53"/>
      <c r="K247" s="53"/>
      <c r="L247" s="53"/>
      <c r="M247" s="53"/>
      <c r="N247" s="54">
        <f ca="1">IFERROR(__xludf.DUMMYFUNCTION("""COMPUTED_VALUE"""),0)</f>
        <v>0</v>
      </c>
      <c r="O247" s="54">
        <f ca="1">IFERROR(__xludf.DUMMYFUNCTION("""COMPUTED_VALUE"""),0)</f>
        <v>0</v>
      </c>
      <c r="P247" s="54"/>
      <c r="Q247" s="54">
        <f ca="1">IFERROR(__xludf.DUMMYFUNCTION("""COMPUTED_VALUE"""),0)</f>
        <v>0</v>
      </c>
      <c r="R247" s="54"/>
      <c r="S247" s="53"/>
      <c r="T247" s="53"/>
      <c r="U247" s="53"/>
      <c r="V247" s="53"/>
      <c r="W247" s="53"/>
      <c r="X247" s="53"/>
      <c r="Y247" s="53"/>
      <c r="Z247" s="2"/>
      <c r="AA247" s="2"/>
      <c r="AB247" s="2"/>
      <c r="AC247" s="2"/>
      <c r="AD247" s="2"/>
      <c r="AE247" s="2"/>
    </row>
    <row r="248" spans="1:31" ht="12.75" x14ac:dyDescent="0.2">
      <c r="A248" s="53">
        <f ca="1">IFERROR(__xludf.DUMMYFUNCTION("""COMPUTED_VALUE"""),14)</f>
        <v>14</v>
      </c>
      <c r="B248" s="53" t="str">
        <f ca="1">IFERROR(__xludf.DUMMYFUNCTION("""COMPUTED_VALUE"""),"LMG Thiên Ân")</f>
        <v>LMG Thiên Ân</v>
      </c>
      <c r="C248" s="53" t="str">
        <f ca="1">IFERROR(__xludf.DUMMYFUNCTION("""COMPUTED_VALUE"""),"MN")</f>
        <v>MN</v>
      </c>
      <c r="D248" s="53" t="str">
        <f ca="1">IFERROR(__xludf.DUMMYFUNCTION("""COMPUTED_VALUE"""),"Bình Tân")</f>
        <v>Bình Tân</v>
      </c>
      <c r="E248" s="53"/>
      <c r="F248" s="53"/>
      <c r="G248" s="53"/>
      <c r="H248" s="53"/>
      <c r="I248" s="53"/>
      <c r="J248" s="53"/>
      <c r="K248" s="53"/>
      <c r="L248" s="53"/>
      <c r="M248" s="53"/>
      <c r="N248" s="54">
        <f ca="1">IFERROR(__xludf.DUMMYFUNCTION("""COMPUTED_VALUE"""),0)</f>
        <v>0</v>
      </c>
      <c r="O248" s="54">
        <f ca="1">IFERROR(__xludf.DUMMYFUNCTION("""COMPUTED_VALUE"""),0)</f>
        <v>0</v>
      </c>
      <c r="P248" s="54"/>
      <c r="Q248" s="54">
        <f ca="1">IFERROR(__xludf.DUMMYFUNCTION("""COMPUTED_VALUE"""),0)</f>
        <v>0</v>
      </c>
      <c r="R248" s="54"/>
      <c r="S248" s="53"/>
      <c r="T248" s="53"/>
      <c r="U248" s="53"/>
      <c r="V248" s="53"/>
      <c r="W248" s="53"/>
      <c r="X248" s="53"/>
      <c r="Y248" s="53"/>
      <c r="Z248" s="2"/>
      <c r="AA248" s="2"/>
      <c r="AB248" s="2"/>
      <c r="AC248" s="2"/>
      <c r="AD248" s="2"/>
      <c r="AE248" s="2"/>
    </row>
    <row r="249" spans="1:31" ht="12.75" x14ac:dyDescent="0.2">
      <c r="A249" s="53">
        <f ca="1">IFERROR(__xludf.DUMMYFUNCTION("""COMPUTED_VALUE"""),15)</f>
        <v>15</v>
      </c>
      <c r="B249" s="53" t="str">
        <f ca="1">IFERROR(__xludf.DUMMYFUNCTION("""COMPUTED_VALUE"""),"LMG Ước Mơ")</f>
        <v>LMG Ước Mơ</v>
      </c>
      <c r="C249" s="53" t="str">
        <f ca="1">IFERROR(__xludf.DUMMYFUNCTION("""COMPUTED_VALUE"""),"MN")</f>
        <v>MN</v>
      </c>
      <c r="D249" s="53" t="str">
        <f ca="1">IFERROR(__xludf.DUMMYFUNCTION("""COMPUTED_VALUE"""),"Bình Tân")</f>
        <v>Bình Tân</v>
      </c>
      <c r="E249" s="53"/>
      <c r="F249" s="53"/>
      <c r="G249" s="53"/>
      <c r="H249" s="53"/>
      <c r="I249" s="53"/>
      <c r="J249" s="53"/>
      <c r="K249" s="53"/>
      <c r="L249" s="53"/>
      <c r="M249" s="53"/>
      <c r="N249" s="54">
        <f ca="1">IFERROR(__xludf.DUMMYFUNCTION("""COMPUTED_VALUE"""),31)</f>
        <v>31</v>
      </c>
      <c r="O249" s="54">
        <f ca="1">IFERROR(__xludf.DUMMYFUNCTION("""COMPUTED_VALUE"""),13)</f>
        <v>13</v>
      </c>
      <c r="P249" s="54"/>
      <c r="Q249" s="54">
        <f ca="1">IFERROR(__xludf.DUMMYFUNCTION("""COMPUTED_VALUE"""),10)</f>
        <v>10</v>
      </c>
      <c r="R249" s="54"/>
      <c r="S249" s="53"/>
      <c r="T249" s="53"/>
      <c r="U249" s="53"/>
      <c r="V249" s="53"/>
      <c r="W249" s="53"/>
      <c r="X249" s="53"/>
      <c r="Y249" s="53"/>
      <c r="Z249" s="2"/>
      <c r="AA249" s="2"/>
      <c r="AB249" s="2"/>
      <c r="AC249" s="2"/>
      <c r="AD249" s="2"/>
      <c r="AE249" s="2"/>
    </row>
    <row r="250" spans="1:31" ht="12.75" x14ac:dyDescent="0.2">
      <c r="A250" s="53">
        <f ca="1">IFERROR(__xludf.DUMMYFUNCTION("""COMPUTED_VALUE"""),16)</f>
        <v>16</v>
      </c>
      <c r="B250" s="53" t="str">
        <f ca="1">IFERROR(__xludf.DUMMYFUNCTION("""COMPUTED_VALUE"""),"LMG Xuân Hồng")</f>
        <v>LMG Xuân Hồng</v>
      </c>
      <c r="C250" s="53" t="str">
        <f ca="1">IFERROR(__xludf.DUMMYFUNCTION("""COMPUTED_VALUE"""),"MN")</f>
        <v>MN</v>
      </c>
      <c r="D250" s="53" t="str">
        <f ca="1">IFERROR(__xludf.DUMMYFUNCTION("""COMPUTED_VALUE"""),"Bình Tân")</f>
        <v>Bình Tân</v>
      </c>
      <c r="E250" s="53"/>
      <c r="F250" s="53"/>
      <c r="G250" s="53"/>
      <c r="H250" s="53"/>
      <c r="I250" s="53"/>
      <c r="J250" s="53"/>
      <c r="K250" s="53"/>
      <c r="L250" s="53"/>
      <c r="M250" s="53"/>
      <c r="N250" s="54">
        <f ca="1">IFERROR(__xludf.DUMMYFUNCTION("""COMPUTED_VALUE"""),29)</f>
        <v>29</v>
      </c>
      <c r="O250" s="54">
        <f ca="1">IFERROR(__xludf.DUMMYFUNCTION("""COMPUTED_VALUE"""),7)</f>
        <v>7</v>
      </c>
      <c r="P250" s="54"/>
      <c r="Q250" s="54">
        <f ca="1">IFERROR(__xludf.DUMMYFUNCTION("""COMPUTED_VALUE"""),4)</f>
        <v>4</v>
      </c>
      <c r="R250" s="54"/>
      <c r="S250" s="53"/>
      <c r="T250" s="53"/>
      <c r="U250" s="53"/>
      <c r="V250" s="53"/>
      <c r="W250" s="53"/>
      <c r="X250" s="53"/>
      <c r="Y250" s="53"/>
      <c r="Z250" s="2"/>
      <c r="AA250" s="2"/>
      <c r="AB250" s="2"/>
      <c r="AC250" s="2"/>
      <c r="AD250" s="2"/>
      <c r="AE250" s="2"/>
    </row>
    <row r="251" spans="1:31" ht="12.75" x14ac:dyDescent="0.2">
      <c r="A251" s="53">
        <f ca="1">IFERROR(__xludf.DUMMYFUNCTION("""COMPUTED_VALUE"""),17)</f>
        <v>17</v>
      </c>
      <c r="B251" s="53" t="str">
        <f ca="1">IFERROR(__xludf.DUMMYFUNCTION("""COMPUTED_VALUE"""),"MNTT Anh Sao")</f>
        <v>MNTT Anh Sao</v>
      </c>
      <c r="C251" s="53" t="str">
        <f ca="1">IFERROR(__xludf.DUMMYFUNCTION("""COMPUTED_VALUE"""),"MN")</f>
        <v>MN</v>
      </c>
      <c r="D251" s="53" t="str">
        <f ca="1">IFERROR(__xludf.DUMMYFUNCTION("""COMPUTED_VALUE"""),"Bình Tân")</f>
        <v>Bình Tân</v>
      </c>
      <c r="E251" s="53"/>
      <c r="F251" s="53"/>
      <c r="G251" s="53"/>
      <c r="H251" s="53"/>
      <c r="I251" s="53"/>
      <c r="J251" s="53"/>
      <c r="K251" s="53"/>
      <c r="L251" s="53"/>
      <c r="M251" s="53"/>
      <c r="N251" s="54">
        <f ca="1">IFERROR(__xludf.DUMMYFUNCTION("""COMPUTED_VALUE"""),21)</f>
        <v>21</v>
      </c>
      <c r="O251" s="54">
        <f ca="1">IFERROR(__xludf.DUMMYFUNCTION("""COMPUTED_VALUE"""),11)</f>
        <v>11</v>
      </c>
      <c r="P251" s="54"/>
      <c r="Q251" s="54">
        <f ca="1">IFERROR(__xludf.DUMMYFUNCTION("""COMPUTED_VALUE"""),6)</f>
        <v>6</v>
      </c>
      <c r="R251" s="54"/>
      <c r="S251" s="53"/>
      <c r="T251" s="53"/>
      <c r="U251" s="53"/>
      <c r="V251" s="53"/>
      <c r="W251" s="53"/>
      <c r="X251" s="53"/>
      <c r="Y251" s="53"/>
      <c r="Z251" s="2"/>
      <c r="AA251" s="2"/>
      <c r="AB251" s="2"/>
      <c r="AC251" s="2"/>
      <c r="AD251" s="2"/>
      <c r="AE251" s="2"/>
    </row>
    <row r="252" spans="1:31" ht="12.75" x14ac:dyDescent="0.2">
      <c r="A252" s="53">
        <f ca="1">IFERROR(__xludf.DUMMYFUNCTION("""COMPUTED_VALUE"""),18)</f>
        <v>18</v>
      </c>
      <c r="B252" s="53" t="str">
        <f ca="1">IFERROR(__xludf.DUMMYFUNCTION("""COMPUTED_VALUE"""),"MNTT Hoàn Mỹ")</f>
        <v>MNTT Hoàn Mỹ</v>
      </c>
      <c r="C252" s="53" t="str">
        <f ca="1">IFERROR(__xludf.DUMMYFUNCTION("""COMPUTED_VALUE"""),"MN")</f>
        <v>MN</v>
      </c>
      <c r="D252" s="53" t="str">
        <f ca="1">IFERROR(__xludf.DUMMYFUNCTION("""COMPUTED_VALUE"""),"Bình Tân")</f>
        <v>Bình Tân</v>
      </c>
      <c r="E252" s="53"/>
      <c r="F252" s="53"/>
      <c r="G252" s="53"/>
      <c r="H252" s="53"/>
      <c r="I252" s="53"/>
      <c r="J252" s="53"/>
      <c r="K252" s="53"/>
      <c r="L252" s="53"/>
      <c r="M252" s="53"/>
      <c r="N252" s="54">
        <f ca="1">IFERROR(__xludf.DUMMYFUNCTION("""COMPUTED_VALUE"""),77)</f>
        <v>77</v>
      </c>
      <c r="O252" s="54">
        <f ca="1">IFERROR(__xludf.DUMMYFUNCTION("""COMPUTED_VALUE"""),19)</f>
        <v>19</v>
      </c>
      <c r="P252" s="54"/>
      <c r="Q252" s="54">
        <f ca="1">IFERROR(__xludf.DUMMYFUNCTION("""COMPUTED_VALUE"""),19)</f>
        <v>19</v>
      </c>
      <c r="R252" s="54"/>
      <c r="S252" s="53"/>
      <c r="T252" s="53"/>
      <c r="U252" s="53"/>
      <c r="V252" s="53"/>
      <c r="W252" s="53"/>
      <c r="X252" s="53"/>
      <c r="Y252" s="53"/>
      <c r="Z252" s="2"/>
      <c r="AA252" s="2"/>
      <c r="AB252" s="2"/>
      <c r="AC252" s="2"/>
      <c r="AD252" s="2"/>
      <c r="AE252" s="2"/>
    </row>
    <row r="253" spans="1:31" ht="12.75" x14ac:dyDescent="0.2">
      <c r="A253" s="53">
        <f ca="1">IFERROR(__xludf.DUMMYFUNCTION("""COMPUTED_VALUE"""),19)</f>
        <v>19</v>
      </c>
      <c r="B253" s="53" t="str">
        <f ca="1">IFERROR(__xludf.DUMMYFUNCTION("""COMPUTED_VALUE"""),"LMG Hoa Mặt Trời")</f>
        <v>LMG Hoa Mặt Trời</v>
      </c>
      <c r="C253" s="53" t="str">
        <f ca="1">IFERROR(__xludf.DUMMYFUNCTION("""COMPUTED_VALUE"""),"MN")</f>
        <v>MN</v>
      </c>
      <c r="D253" s="53" t="str">
        <f ca="1">IFERROR(__xludf.DUMMYFUNCTION("""COMPUTED_VALUE"""),"Bình Tân")</f>
        <v>Bình Tân</v>
      </c>
      <c r="E253" s="53"/>
      <c r="F253" s="53"/>
      <c r="G253" s="53"/>
      <c r="H253" s="53"/>
      <c r="I253" s="53"/>
      <c r="J253" s="53"/>
      <c r="K253" s="53"/>
      <c r="L253" s="53"/>
      <c r="M253" s="53"/>
      <c r="N253" s="54">
        <f ca="1">IFERROR(__xludf.DUMMYFUNCTION("""COMPUTED_VALUE"""),0)</f>
        <v>0</v>
      </c>
      <c r="O253" s="54">
        <f ca="1">IFERROR(__xludf.DUMMYFUNCTION("""COMPUTED_VALUE"""),0)</f>
        <v>0</v>
      </c>
      <c r="P253" s="54"/>
      <c r="Q253" s="54">
        <f ca="1">IFERROR(__xludf.DUMMYFUNCTION("""COMPUTED_VALUE"""),0)</f>
        <v>0</v>
      </c>
      <c r="R253" s="54"/>
      <c r="S253" s="53"/>
      <c r="T253" s="53"/>
      <c r="U253" s="53"/>
      <c r="V253" s="53"/>
      <c r="W253" s="53"/>
      <c r="X253" s="53"/>
      <c r="Y253" s="53"/>
      <c r="Z253" s="2"/>
      <c r="AA253" s="2"/>
      <c r="AB253" s="2"/>
      <c r="AC253" s="2"/>
      <c r="AD253" s="2"/>
      <c r="AE253" s="2"/>
    </row>
    <row r="254" spans="1:31" ht="12.75" x14ac:dyDescent="0.2">
      <c r="A254" s="53">
        <f ca="1">IFERROR(__xludf.DUMMYFUNCTION("""COMPUTED_VALUE"""),20)</f>
        <v>20</v>
      </c>
      <c r="B254" s="53" t="str">
        <f ca="1">IFERROR(__xludf.DUMMYFUNCTION("""COMPUTED_VALUE"""),"MNTT Phú Sĩ")</f>
        <v>MNTT Phú Sĩ</v>
      </c>
      <c r="C254" s="53" t="str">
        <f ca="1">IFERROR(__xludf.DUMMYFUNCTION("""COMPUTED_VALUE"""),"MN")</f>
        <v>MN</v>
      </c>
      <c r="D254" s="53" t="str">
        <f ca="1">IFERROR(__xludf.DUMMYFUNCTION("""COMPUTED_VALUE"""),"Bình Tân")</f>
        <v>Bình Tân</v>
      </c>
      <c r="E254" s="53"/>
      <c r="F254" s="53"/>
      <c r="G254" s="53"/>
      <c r="H254" s="53"/>
      <c r="I254" s="53"/>
      <c r="J254" s="53"/>
      <c r="K254" s="53"/>
      <c r="L254" s="53"/>
      <c r="M254" s="53"/>
      <c r="N254" s="54">
        <f ca="1">IFERROR(__xludf.DUMMYFUNCTION("""COMPUTED_VALUE"""),0)</f>
        <v>0</v>
      </c>
      <c r="O254" s="54">
        <f ca="1">IFERROR(__xludf.DUMMYFUNCTION("""COMPUTED_VALUE"""),0)</f>
        <v>0</v>
      </c>
      <c r="P254" s="54"/>
      <c r="Q254" s="54">
        <f ca="1">IFERROR(__xludf.DUMMYFUNCTION("""COMPUTED_VALUE"""),0)</f>
        <v>0</v>
      </c>
      <c r="R254" s="54"/>
      <c r="S254" s="53"/>
      <c r="T254" s="53"/>
      <c r="U254" s="53"/>
      <c r="V254" s="53"/>
      <c r="W254" s="53"/>
      <c r="X254" s="53"/>
      <c r="Y254" s="53"/>
      <c r="Z254" s="2"/>
      <c r="AA254" s="2"/>
      <c r="AB254" s="2"/>
      <c r="AC254" s="2"/>
      <c r="AD254" s="2"/>
      <c r="AE254" s="2"/>
    </row>
    <row r="255" spans="1:31" ht="12.75" x14ac:dyDescent="0.2">
      <c r="A255" s="53"/>
      <c r="B255" s="53" t="str">
        <f ca="1">IFERROR(__xludf.DUMMYFUNCTION("""COMPUTED_VALUE"""),"9.Tân Tạo")</f>
        <v>9.Tân Tạo</v>
      </c>
      <c r="C255" s="53" t="str">
        <f ca="1">IFERROR(__xludf.DUMMYFUNCTION("""COMPUTED_VALUE"""),"MN")</f>
        <v>MN</v>
      </c>
      <c r="D255" s="53" t="str">
        <f ca="1">IFERROR(__xludf.DUMMYFUNCTION("""COMPUTED_VALUE"""),"Bình Tân")</f>
        <v>Bình Tân</v>
      </c>
      <c r="E255" s="53"/>
      <c r="F255" s="53"/>
      <c r="G255" s="53"/>
      <c r="H255" s="53"/>
      <c r="I255" s="53"/>
      <c r="J255" s="53"/>
      <c r="K255" s="53"/>
      <c r="L255" s="53"/>
      <c r="M255" s="53"/>
      <c r="N255" s="53"/>
      <c r="O255" s="53"/>
      <c r="P255" s="53"/>
      <c r="Q255" s="53"/>
      <c r="R255" s="53"/>
      <c r="S255" s="53"/>
      <c r="T255" s="53"/>
      <c r="U255" s="53"/>
      <c r="V255" s="53"/>
      <c r="W255" s="53"/>
      <c r="X255" s="53"/>
      <c r="Y255" s="53"/>
      <c r="Z255" s="2"/>
      <c r="AA255" s="2"/>
      <c r="AB255" s="2"/>
      <c r="AC255" s="2"/>
      <c r="AD255" s="2"/>
      <c r="AE255" s="2"/>
    </row>
    <row r="256" spans="1:31" ht="12.75" x14ac:dyDescent="0.2">
      <c r="A256" s="53">
        <f ca="1">IFERROR(__xludf.DUMMYFUNCTION("""COMPUTED_VALUE"""),1)</f>
        <v>1</v>
      </c>
      <c r="B256" s="53" t="str">
        <f ca="1">IFERROR(__xludf.DUMMYFUNCTION("""COMPUTED_VALUE"""),"MNTT Bảo Ngọc")</f>
        <v>MNTT Bảo Ngọc</v>
      </c>
      <c r="C256" s="53" t="str">
        <f ca="1">IFERROR(__xludf.DUMMYFUNCTION("""COMPUTED_VALUE"""),"MN")</f>
        <v>MN</v>
      </c>
      <c r="D256" s="53" t="str">
        <f ca="1">IFERROR(__xludf.DUMMYFUNCTION("""COMPUTED_VALUE"""),"Bình Tân")</f>
        <v>Bình Tân</v>
      </c>
      <c r="E256" s="53"/>
      <c r="F256" s="53"/>
      <c r="G256" s="53"/>
      <c r="H256" s="53"/>
      <c r="I256" s="53"/>
      <c r="J256" s="53"/>
      <c r="K256" s="53"/>
      <c r="L256" s="53"/>
      <c r="M256" s="53"/>
      <c r="N256" s="54">
        <f ca="1">IFERROR(__xludf.DUMMYFUNCTION("""COMPUTED_VALUE"""),65)</f>
        <v>65</v>
      </c>
      <c r="O256" s="54">
        <f ca="1">IFERROR(__xludf.DUMMYFUNCTION("""COMPUTED_VALUE"""),14)</f>
        <v>14</v>
      </c>
      <c r="P256" s="54"/>
      <c r="Q256" s="54">
        <f ca="1">IFERROR(__xludf.DUMMYFUNCTION("""COMPUTED_VALUE"""),12)</f>
        <v>12</v>
      </c>
      <c r="R256" s="54"/>
      <c r="S256" s="53"/>
      <c r="T256" s="53"/>
      <c r="U256" s="53"/>
      <c r="V256" s="53"/>
      <c r="W256" s="53"/>
      <c r="X256" s="53"/>
      <c r="Y256" s="53"/>
      <c r="Z256" s="2"/>
      <c r="AA256" s="2"/>
      <c r="AB256" s="2"/>
      <c r="AC256" s="2"/>
      <c r="AD256" s="2"/>
      <c r="AE256" s="2"/>
    </row>
    <row r="257" spans="1:31" ht="12.75" x14ac:dyDescent="0.2">
      <c r="A257" s="53">
        <f ca="1">IFERROR(__xludf.DUMMYFUNCTION("""COMPUTED_VALUE"""),2)</f>
        <v>2</v>
      </c>
      <c r="B257" s="53" t="str">
        <f ca="1">IFERROR(__xludf.DUMMYFUNCTION("""COMPUTED_VALUE"""),"MNTT Bình Minh")</f>
        <v>MNTT Bình Minh</v>
      </c>
      <c r="C257" s="53" t="str">
        <f ca="1">IFERROR(__xludf.DUMMYFUNCTION("""COMPUTED_VALUE"""),"MN")</f>
        <v>MN</v>
      </c>
      <c r="D257" s="53" t="str">
        <f ca="1">IFERROR(__xludf.DUMMYFUNCTION("""COMPUTED_VALUE"""),"Bình Tân")</f>
        <v>Bình Tân</v>
      </c>
      <c r="E257" s="53"/>
      <c r="F257" s="53"/>
      <c r="G257" s="53"/>
      <c r="H257" s="53"/>
      <c r="I257" s="53"/>
      <c r="J257" s="53"/>
      <c r="K257" s="53"/>
      <c r="L257" s="53"/>
      <c r="M257" s="53"/>
      <c r="N257" s="54">
        <f ca="1">IFERROR(__xludf.DUMMYFUNCTION("""COMPUTED_VALUE"""),64)</f>
        <v>64</v>
      </c>
      <c r="O257" s="54">
        <f ca="1">IFERROR(__xludf.DUMMYFUNCTION("""COMPUTED_VALUE"""),35)</f>
        <v>35</v>
      </c>
      <c r="P257" s="54"/>
      <c r="Q257" s="54">
        <f ca="1">IFERROR(__xludf.DUMMYFUNCTION("""COMPUTED_VALUE"""),31)</f>
        <v>31</v>
      </c>
      <c r="R257" s="54"/>
      <c r="S257" s="53"/>
      <c r="T257" s="53"/>
      <c r="U257" s="53"/>
      <c r="V257" s="53"/>
      <c r="W257" s="53"/>
      <c r="X257" s="53"/>
      <c r="Y257" s="53"/>
      <c r="Z257" s="2"/>
      <c r="AA257" s="2"/>
      <c r="AB257" s="2"/>
      <c r="AC257" s="2"/>
      <c r="AD257" s="2"/>
      <c r="AE257" s="2"/>
    </row>
    <row r="258" spans="1:31" ht="12.75" x14ac:dyDescent="0.2">
      <c r="A258" s="53">
        <f ca="1">IFERROR(__xludf.DUMMYFUNCTION("""COMPUTED_VALUE"""),3)</f>
        <v>3</v>
      </c>
      <c r="B258" s="53" t="str">
        <f ca="1">IFERROR(__xludf.DUMMYFUNCTION("""COMPUTED_VALUE"""),"MNTT Ngôi Sao")</f>
        <v>MNTT Ngôi Sao</v>
      </c>
      <c r="C258" s="53" t="str">
        <f ca="1">IFERROR(__xludf.DUMMYFUNCTION("""COMPUTED_VALUE"""),"MN")</f>
        <v>MN</v>
      </c>
      <c r="D258" s="53" t="str">
        <f ca="1">IFERROR(__xludf.DUMMYFUNCTION("""COMPUTED_VALUE"""),"Bình Tân")</f>
        <v>Bình Tân</v>
      </c>
      <c r="E258" s="53"/>
      <c r="F258" s="53"/>
      <c r="G258" s="53"/>
      <c r="H258" s="53"/>
      <c r="I258" s="53"/>
      <c r="J258" s="53"/>
      <c r="K258" s="53"/>
      <c r="L258" s="53"/>
      <c r="M258" s="53"/>
      <c r="N258" s="54">
        <f ca="1">IFERROR(__xludf.DUMMYFUNCTION("""COMPUTED_VALUE"""),52)</f>
        <v>52</v>
      </c>
      <c r="O258" s="54">
        <f ca="1">IFERROR(__xludf.DUMMYFUNCTION("""COMPUTED_VALUE"""),27)</f>
        <v>27</v>
      </c>
      <c r="P258" s="54"/>
      <c r="Q258" s="54">
        <f ca="1">IFERROR(__xludf.DUMMYFUNCTION("""COMPUTED_VALUE"""),19)</f>
        <v>19</v>
      </c>
      <c r="R258" s="54"/>
      <c r="S258" s="53"/>
      <c r="T258" s="53"/>
      <c r="U258" s="53"/>
      <c r="V258" s="53"/>
      <c r="W258" s="53"/>
      <c r="X258" s="53"/>
      <c r="Y258" s="53"/>
      <c r="Z258" s="2"/>
      <c r="AA258" s="2"/>
      <c r="AB258" s="2"/>
      <c r="AC258" s="2"/>
      <c r="AD258" s="2"/>
      <c r="AE258" s="2"/>
    </row>
    <row r="259" spans="1:31" ht="12.75" x14ac:dyDescent="0.2">
      <c r="A259" s="53">
        <f ca="1">IFERROR(__xludf.DUMMYFUNCTION("""COMPUTED_VALUE"""),4)</f>
        <v>4</v>
      </c>
      <c r="B259" s="53" t="str">
        <f ca="1">IFERROR(__xludf.DUMMYFUNCTION("""COMPUTED_VALUE"""),"MNTT Mặt Trời Nhỏ")</f>
        <v>MNTT Mặt Trời Nhỏ</v>
      </c>
      <c r="C259" s="53" t="str">
        <f ca="1">IFERROR(__xludf.DUMMYFUNCTION("""COMPUTED_VALUE"""),"MN")</f>
        <v>MN</v>
      </c>
      <c r="D259" s="53" t="str">
        <f ca="1">IFERROR(__xludf.DUMMYFUNCTION("""COMPUTED_VALUE"""),"Bình Tân")</f>
        <v>Bình Tân</v>
      </c>
      <c r="E259" s="53"/>
      <c r="F259" s="53"/>
      <c r="G259" s="53"/>
      <c r="H259" s="53"/>
      <c r="I259" s="53"/>
      <c r="J259" s="53"/>
      <c r="K259" s="53"/>
      <c r="L259" s="53"/>
      <c r="M259" s="53"/>
      <c r="N259" s="54">
        <f ca="1">IFERROR(__xludf.DUMMYFUNCTION("""COMPUTED_VALUE"""),135)</f>
        <v>135</v>
      </c>
      <c r="O259" s="54">
        <f ca="1">IFERROR(__xludf.DUMMYFUNCTION("""COMPUTED_VALUE"""),99)</f>
        <v>99</v>
      </c>
      <c r="P259" s="54"/>
      <c r="Q259" s="54">
        <f ca="1">IFERROR(__xludf.DUMMYFUNCTION("""COMPUTED_VALUE"""),79)</f>
        <v>79</v>
      </c>
      <c r="R259" s="54"/>
      <c r="S259" s="53"/>
      <c r="T259" s="53"/>
      <c r="U259" s="53"/>
      <c r="V259" s="53"/>
      <c r="W259" s="53"/>
      <c r="X259" s="53"/>
      <c r="Y259" s="53"/>
      <c r="Z259" s="2"/>
      <c r="AA259" s="2"/>
      <c r="AB259" s="2"/>
      <c r="AC259" s="2"/>
      <c r="AD259" s="2"/>
      <c r="AE259" s="2"/>
    </row>
    <row r="260" spans="1:31" ht="12.75" x14ac:dyDescent="0.2">
      <c r="A260" s="53">
        <f ca="1">IFERROR(__xludf.DUMMYFUNCTION("""COMPUTED_VALUE"""),5)</f>
        <v>5</v>
      </c>
      <c r="B260" s="53" t="str">
        <f ca="1">IFERROR(__xludf.DUMMYFUNCTION("""COMPUTED_VALUE"""),"MNTT Việt Mỹ 2")</f>
        <v>MNTT Việt Mỹ 2</v>
      </c>
      <c r="C260" s="53" t="str">
        <f ca="1">IFERROR(__xludf.DUMMYFUNCTION("""COMPUTED_VALUE"""),"MN")</f>
        <v>MN</v>
      </c>
      <c r="D260" s="53" t="str">
        <f ca="1">IFERROR(__xludf.DUMMYFUNCTION("""COMPUTED_VALUE"""),"Bình Tân")</f>
        <v>Bình Tân</v>
      </c>
      <c r="E260" s="53"/>
      <c r="F260" s="53"/>
      <c r="G260" s="53"/>
      <c r="H260" s="53"/>
      <c r="I260" s="53"/>
      <c r="J260" s="53"/>
      <c r="K260" s="53"/>
      <c r="L260" s="53"/>
      <c r="M260" s="53"/>
      <c r="N260" s="54">
        <f ca="1">IFERROR(__xludf.DUMMYFUNCTION("""COMPUTED_VALUE"""),57)</f>
        <v>57</v>
      </c>
      <c r="O260" s="54">
        <f ca="1">IFERROR(__xludf.DUMMYFUNCTION("""COMPUTED_VALUE"""),18)</f>
        <v>18</v>
      </c>
      <c r="P260" s="54"/>
      <c r="Q260" s="54">
        <f ca="1">IFERROR(__xludf.DUMMYFUNCTION("""COMPUTED_VALUE"""),12)</f>
        <v>12</v>
      </c>
      <c r="R260" s="54"/>
      <c r="S260" s="53"/>
      <c r="T260" s="53"/>
      <c r="U260" s="53"/>
      <c r="V260" s="53"/>
      <c r="W260" s="53"/>
      <c r="X260" s="53"/>
      <c r="Y260" s="53"/>
      <c r="Z260" s="2"/>
      <c r="AA260" s="2"/>
      <c r="AB260" s="2"/>
      <c r="AC260" s="2"/>
      <c r="AD260" s="2"/>
      <c r="AE260" s="2"/>
    </row>
    <row r="261" spans="1:31" ht="12.75" x14ac:dyDescent="0.2">
      <c r="A261" s="53">
        <f ca="1">IFERROR(__xludf.DUMMYFUNCTION("""COMPUTED_VALUE"""),6)</f>
        <v>6</v>
      </c>
      <c r="B261" s="53" t="str">
        <f ca="1">IFERROR(__xludf.DUMMYFUNCTION("""COMPUTED_VALUE"""),"LMN Anh Đào")</f>
        <v>LMN Anh Đào</v>
      </c>
      <c r="C261" s="53" t="str">
        <f ca="1">IFERROR(__xludf.DUMMYFUNCTION("""COMPUTED_VALUE"""),"MN")</f>
        <v>MN</v>
      </c>
      <c r="D261" s="53" t="str">
        <f ca="1">IFERROR(__xludf.DUMMYFUNCTION("""COMPUTED_VALUE"""),"Bình Tân")</f>
        <v>Bình Tân</v>
      </c>
      <c r="E261" s="53"/>
      <c r="F261" s="53"/>
      <c r="G261" s="53"/>
      <c r="H261" s="53"/>
      <c r="I261" s="53"/>
      <c r="J261" s="53"/>
      <c r="K261" s="53"/>
      <c r="L261" s="53"/>
      <c r="M261" s="53"/>
      <c r="N261" s="54">
        <f ca="1">IFERROR(__xludf.DUMMYFUNCTION("""COMPUTED_VALUE"""),12)</f>
        <v>12</v>
      </c>
      <c r="O261" s="54">
        <f ca="1">IFERROR(__xludf.DUMMYFUNCTION("""COMPUTED_VALUE"""),6)</f>
        <v>6</v>
      </c>
      <c r="P261" s="54"/>
      <c r="Q261" s="54">
        <f ca="1">IFERROR(__xludf.DUMMYFUNCTION("""COMPUTED_VALUE"""),3)</f>
        <v>3</v>
      </c>
      <c r="R261" s="54"/>
      <c r="S261" s="53"/>
      <c r="T261" s="53"/>
      <c r="U261" s="53"/>
      <c r="V261" s="53"/>
      <c r="W261" s="53"/>
      <c r="X261" s="53"/>
      <c r="Y261" s="53"/>
      <c r="Z261" s="2"/>
      <c r="AA261" s="2"/>
      <c r="AB261" s="2"/>
      <c r="AC261" s="2"/>
      <c r="AD261" s="2"/>
      <c r="AE261" s="2"/>
    </row>
    <row r="262" spans="1:31" ht="12.75" x14ac:dyDescent="0.2">
      <c r="A262" s="53">
        <f ca="1">IFERROR(__xludf.DUMMYFUNCTION("""COMPUTED_VALUE"""),7)</f>
        <v>7</v>
      </c>
      <c r="B262" s="53" t="str">
        <f ca="1">IFERROR(__xludf.DUMMYFUNCTION("""COMPUTED_VALUE"""),"LMN Bảo Thiện")</f>
        <v>LMN Bảo Thiện</v>
      </c>
      <c r="C262" s="53" t="str">
        <f ca="1">IFERROR(__xludf.DUMMYFUNCTION("""COMPUTED_VALUE"""),"MN")</f>
        <v>MN</v>
      </c>
      <c r="D262" s="53" t="str">
        <f ca="1">IFERROR(__xludf.DUMMYFUNCTION("""COMPUTED_VALUE"""),"Bình Tân")</f>
        <v>Bình Tân</v>
      </c>
      <c r="E262" s="53"/>
      <c r="F262" s="53"/>
      <c r="G262" s="53"/>
      <c r="H262" s="53"/>
      <c r="I262" s="53"/>
      <c r="J262" s="53"/>
      <c r="K262" s="53"/>
      <c r="L262" s="53"/>
      <c r="M262" s="53"/>
      <c r="N262" s="54">
        <f ca="1">IFERROR(__xludf.DUMMYFUNCTION("""COMPUTED_VALUE"""),15)</f>
        <v>15</v>
      </c>
      <c r="O262" s="54">
        <f ca="1">IFERROR(__xludf.DUMMYFUNCTION("""COMPUTED_VALUE"""),3)</f>
        <v>3</v>
      </c>
      <c r="P262" s="54"/>
      <c r="Q262" s="54">
        <f ca="1">IFERROR(__xludf.DUMMYFUNCTION("""COMPUTED_VALUE"""),2)</f>
        <v>2</v>
      </c>
      <c r="R262" s="54"/>
      <c r="S262" s="53"/>
      <c r="T262" s="53"/>
      <c r="U262" s="53"/>
      <c r="V262" s="53"/>
      <c r="W262" s="53"/>
      <c r="X262" s="53"/>
      <c r="Y262" s="53"/>
      <c r="Z262" s="2"/>
      <c r="AA262" s="2"/>
      <c r="AB262" s="2"/>
      <c r="AC262" s="2"/>
      <c r="AD262" s="2"/>
      <c r="AE262" s="2"/>
    </row>
    <row r="263" spans="1:31" ht="12.75" x14ac:dyDescent="0.2">
      <c r="A263" s="53">
        <f ca="1">IFERROR(__xludf.DUMMYFUNCTION("""COMPUTED_VALUE"""),8)</f>
        <v>8</v>
      </c>
      <c r="B263" s="53" t="str">
        <f ca="1">IFERROR(__xludf.DUMMYFUNCTION("""COMPUTED_VALUE"""),"LMG Con Kiến Vàng")</f>
        <v>LMG Con Kiến Vàng</v>
      </c>
      <c r="C263" s="53" t="str">
        <f ca="1">IFERROR(__xludf.DUMMYFUNCTION("""COMPUTED_VALUE"""),"MN")</f>
        <v>MN</v>
      </c>
      <c r="D263" s="53" t="str">
        <f ca="1">IFERROR(__xludf.DUMMYFUNCTION("""COMPUTED_VALUE"""),"Bình Tân")</f>
        <v>Bình Tân</v>
      </c>
      <c r="E263" s="53"/>
      <c r="F263" s="53"/>
      <c r="G263" s="53"/>
      <c r="H263" s="53"/>
      <c r="I263" s="53"/>
      <c r="J263" s="53"/>
      <c r="K263" s="53"/>
      <c r="L263" s="53"/>
      <c r="M263" s="53"/>
      <c r="N263" s="54">
        <f ca="1">IFERROR(__xludf.DUMMYFUNCTION("""COMPUTED_VALUE"""),15)</f>
        <v>15</v>
      </c>
      <c r="O263" s="54">
        <f ca="1">IFERROR(__xludf.DUMMYFUNCTION("""COMPUTED_VALUE"""),10)</f>
        <v>10</v>
      </c>
      <c r="P263" s="54"/>
      <c r="Q263" s="54">
        <f ca="1">IFERROR(__xludf.DUMMYFUNCTION("""COMPUTED_VALUE"""),7)</f>
        <v>7</v>
      </c>
      <c r="R263" s="54"/>
      <c r="S263" s="53"/>
      <c r="T263" s="53"/>
      <c r="U263" s="53"/>
      <c r="V263" s="53"/>
      <c r="W263" s="53"/>
      <c r="X263" s="53"/>
      <c r="Y263" s="53"/>
      <c r="Z263" s="2"/>
      <c r="AA263" s="2"/>
      <c r="AB263" s="2"/>
      <c r="AC263" s="2"/>
      <c r="AD263" s="2"/>
      <c r="AE263" s="2"/>
    </row>
    <row r="264" spans="1:31" ht="12.75" x14ac:dyDescent="0.2">
      <c r="A264" s="53">
        <f ca="1">IFERROR(__xludf.DUMMYFUNCTION("""COMPUTED_VALUE"""),9)</f>
        <v>9</v>
      </c>
      <c r="B264" s="53" t="str">
        <f ca="1">IFERROR(__xludf.DUMMYFUNCTION("""COMPUTED_VALUE"""),"LMG Gấu Trắng")</f>
        <v>LMG Gấu Trắng</v>
      </c>
      <c r="C264" s="53" t="str">
        <f ca="1">IFERROR(__xludf.DUMMYFUNCTION("""COMPUTED_VALUE"""),"MN")</f>
        <v>MN</v>
      </c>
      <c r="D264" s="53" t="str">
        <f ca="1">IFERROR(__xludf.DUMMYFUNCTION("""COMPUTED_VALUE"""),"Bình Tân")</f>
        <v>Bình Tân</v>
      </c>
      <c r="E264" s="53"/>
      <c r="F264" s="53"/>
      <c r="G264" s="53"/>
      <c r="H264" s="53"/>
      <c r="I264" s="53"/>
      <c r="J264" s="53"/>
      <c r="K264" s="53"/>
      <c r="L264" s="53"/>
      <c r="M264" s="53"/>
      <c r="N264" s="54">
        <f ca="1">IFERROR(__xludf.DUMMYFUNCTION("""COMPUTED_VALUE"""),3)</f>
        <v>3</v>
      </c>
      <c r="O264" s="54">
        <f ca="1">IFERROR(__xludf.DUMMYFUNCTION("""COMPUTED_VALUE"""),0)</f>
        <v>0</v>
      </c>
      <c r="P264" s="54"/>
      <c r="Q264" s="54">
        <f ca="1">IFERROR(__xludf.DUMMYFUNCTION("""COMPUTED_VALUE"""),0)</f>
        <v>0</v>
      </c>
      <c r="R264" s="54"/>
      <c r="S264" s="53"/>
      <c r="T264" s="53"/>
      <c r="U264" s="53"/>
      <c r="V264" s="53"/>
      <c r="W264" s="53"/>
      <c r="X264" s="53"/>
      <c r="Y264" s="53"/>
      <c r="Z264" s="2"/>
      <c r="AA264" s="2"/>
      <c r="AB264" s="2"/>
      <c r="AC264" s="2"/>
      <c r="AD264" s="2"/>
      <c r="AE264" s="2"/>
    </row>
    <row r="265" spans="1:31" ht="12.75" x14ac:dyDescent="0.2">
      <c r="A265" s="53">
        <f ca="1">IFERROR(__xludf.DUMMYFUNCTION("""COMPUTED_VALUE"""),10)</f>
        <v>10</v>
      </c>
      <c r="B265" s="53" t="str">
        <f ca="1">IFERROR(__xludf.DUMMYFUNCTION("""COMPUTED_VALUE"""),"LMN Gấu Trúc")</f>
        <v>LMN Gấu Trúc</v>
      </c>
      <c r="C265" s="53" t="str">
        <f ca="1">IFERROR(__xludf.DUMMYFUNCTION("""COMPUTED_VALUE"""),"MN")</f>
        <v>MN</v>
      </c>
      <c r="D265" s="53" t="str">
        <f ca="1">IFERROR(__xludf.DUMMYFUNCTION("""COMPUTED_VALUE"""),"Bình Tân")</f>
        <v>Bình Tân</v>
      </c>
      <c r="E265" s="53"/>
      <c r="F265" s="53"/>
      <c r="G265" s="53"/>
      <c r="H265" s="53"/>
      <c r="I265" s="53"/>
      <c r="J265" s="53"/>
      <c r="K265" s="53"/>
      <c r="L265" s="53"/>
      <c r="M265" s="53"/>
      <c r="N265" s="54">
        <f ca="1">IFERROR(__xludf.DUMMYFUNCTION("""COMPUTED_VALUE"""),12)</f>
        <v>12</v>
      </c>
      <c r="O265" s="54">
        <f ca="1">IFERROR(__xludf.DUMMYFUNCTION("""COMPUTED_VALUE"""),7)</f>
        <v>7</v>
      </c>
      <c r="P265" s="54"/>
      <c r="Q265" s="54">
        <f ca="1">IFERROR(__xludf.DUMMYFUNCTION("""COMPUTED_VALUE"""),0)</f>
        <v>0</v>
      </c>
      <c r="R265" s="54"/>
      <c r="S265" s="53"/>
      <c r="T265" s="53"/>
      <c r="U265" s="53"/>
      <c r="V265" s="53"/>
      <c r="W265" s="53"/>
      <c r="X265" s="53"/>
      <c r="Y265" s="53"/>
      <c r="Z265" s="2"/>
      <c r="AA265" s="2"/>
      <c r="AB265" s="2"/>
      <c r="AC265" s="2"/>
      <c r="AD265" s="2"/>
      <c r="AE265" s="2"/>
    </row>
    <row r="266" spans="1:31" ht="12.75" x14ac:dyDescent="0.2">
      <c r="A266" s="53">
        <f ca="1">IFERROR(__xludf.DUMMYFUNCTION("""COMPUTED_VALUE"""),11)</f>
        <v>11</v>
      </c>
      <c r="B266" s="53" t="str">
        <f ca="1">IFERROR(__xludf.DUMMYFUNCTION("""COMPUTED_VALUE"""),"LMG Lam Hồng")</f>
        <v>LMG Lam Hồng</v>
      </c>
      <c r="C266" s="53" t="str">
        <f ca="1">IFERROR(__xludf.DUMMYFUNCTION("""COMPUTED_VALUE"""),"MN")</f>
        <v>MN</v>
      </c>
      <c r="D266" s="53" t="str">
        <f ca="1">IFERROR(__xludf.DUMMYFUNCTION("""COMPUTED_VALUE"""),"Bình Tân")</f>
        <v>Bình Tân</v>
      </c>
      <c r="E266" s="53"/>
      <c r="F266" s="53"/>
      <c r="G266" s="53"/>
      <c r="H266" s="53"/>
      <c r="I266" s="53"/>
      <c r="J266" s="53"/>
      <c r="K266" s="53"/>
      <c r="L266" s="53"/>
      <c r="M266" s="53"/>
      <c r="N266" s="54">
        <f ca="1">IFERROR(__xludf.DUMMYFUNCTION("""COMPUTED_VALUE"""),18)</f>
        <v>18</v>
      </c>
      <c r="O266" s="54">
        <f ca="1">IFERROR(__xludf.DUMMYFUNCTION("""COMPUTED_VALUE"""),9)</f>
        <v>9</v>
      </c>
      <c r="P266" s="54"/>
      <c r="Q266" s="54">
        <f ca="1">IFERROR(__xludf.DUMMYFUNCTION("""COMPUTED_VALUE"""),6)</f>
        <v>6</v>
      </c>
      <c r="R266" s="54"/>
      <c r="S266" s="53"/>
      <c r="T266" s="53"/>
      <c r="U266" s="53"/>
      <c r="V266" s="53"/>
      <c r="W266" s="53"/>
      <c r="X266" s="53"/>
      <c r="Y266" s="53"/>
      <c r="Z266" s="2"/>
      <c r="AA266" s="2"/>
      <c r="AB266" s="2"/>
      <c r="AC266" s="2"/>
      <c r="AD266" s="2"/>
      <c r="AE266" s="2"/>
    </row>
    <row r="267" spans="1:31" ht="12.75" x14ac:dyDescent="0.2">
      <c r="A267" s="53">
        <f ca="1">IFERROR(__xludf.DUMMYFUNCTION("""COMPUTED_VALUE"""),12)</f>
        <v>12</v>
      </c>
      <c r="B267" s="53" t="str">
        <f ca="1">IFERROR(__xludf.DUMMYFUNCTION("""COMPUTED_VALUE"""),"LMN Ngôi Sao Việt")</f>
        <v>LMN Ngôi Sao Việt</v>
      </c>
      <c r="C267" s="53" t="str">
        <f ca="1">IFERROR(__xludf.DUMMYFUNCTION("""COMPUTED_VALUE"""),"MN")</f>
        <v>MN</v>
      </c>
      <c r="D267" s="53" t="str">
        <f ca="1">IFERROR(__xludf.DUMMYFUNCTION("""COMPUTED_VALUE"""),"Bình Tân")</f>
        <v>Bình Tân</v>
      </c>
      <c r="E267" s="53"/>
      <c r="F267" s="53"/>
      <c r="G267" s="53"/>
      <c r="H267" s="53"/>
      <c r="I267" s="53"/>
      <c r="J267" s="53"/>
      <c r="K267" s="53"/>
      <c r="L267" s="53"/>
      <c r="M267" s="53"/>
      <c r="N267" s="54">
        <f ca="1">IFERROR(__xludf.DUMMYFUNCTION("""COMPUTED_VALUE"""),26)</f>
        <v>26</v>
      </c>
      <c r="O267" s="54">
        <f ca="1">IFERROR(__xludf.DUMMYFUNCTION("""COMPUTED_VALUE"""),0)</f>
        <v>0</v>
      </c>
      <c r="P267" s="54"/>
      <c r="Q267" s="54">
        <f ca="1">IFERROR(__xludf.DUMMYFUNCTION("""COMPUTED_VALUE"""),0)</f>
        <v>0</v>
      </c>
      <c r="R267" s="54"/>
      <c r="S267" s="53"/>
      <c r="T267" s="53"/>
      <c r="U267" s="53"/>
      <c r="V267" s="53"/>
      <c r="W267" s="53"/>
      <c r="X267" s="53"/>
      <c r="Y267" s="53"/>
      <c r="Z267" s="2"/>
      <c r="AA267" s="2"/>
      <c r="AB267" s="2"/>
      <c r="AC267" s="2"/>
      <c r="AD267" s="2"/>
      <c r="AE267" s="2"/>
    </row>
    <row r="268" spans="1:31" ht="12.75" x14ac:dyDescent="0.2">
      <c r="A268" s="53">
        <f ca="1">IFERROR(__xludf.DUMMYFUNCTION("""COMPUTED_VALUE"""),13)</f>
        <v>13</v>
      </c>
      <c r="B268" s="53" t="str">
        <f ca="1">IFERROR(__xludf.DUMMYFUNCTION("""COMPUTED_VALUE"""),"LMN Sao Việt")</f>
        <v>LMN Sao Việt</v>
      </c>
      <c r="C268" s="53" t="str">
        <f ca="1">IFERROR(__xludf.DUMMYFUNCTION("""COMPUTED_VALUE"""),"MN")</f>
        <v>MN</v>
      </c>
      <c r="D268" s="53" t="str">
        <f ca="1">IFERROR(__xludf.DUMMYFUNCTION("""COMPUTED_VALUE"""),"Bình Tân")</f>
        <v>Bình Tân</v>
      </c>
      <c r="E268" s="53"/>
      <c r="F268" s="53"/>
      <c r="G268" s="53"/>
      <c r="H268" s="53"/>
      <c r="I268" s="53"/>
      <c r="J268" s="53"/>
      <c r="K268" s="53"/>
      <c r="L268" s="53"/>
      <c r="M268" s="53"/>
      <c r="N268" s="54">
        <f ca="1">IFERROR(__xludf.DUMMYFUNCTION("""COMPUTED_VALUE"""),10)</f>
        <v>10</v>
      </c>
      <c r="O268" s="54">
        <f ca="1">IFERROR(__xludf.DUMMYFUNCTION("""COMPUTED_VALUE"""),0)</f>
        <v>0</v>
      </c>
      <c r="P268" s="54"/>
      <c r="Q268" s="54">
        <f ca="1">IFERROR(__xludf.DUMMYFUNCTION("""COMPUTED_VALUE"""),0)</f>
        <v>0</v>
      </c>
      <c r="R268" s="54"/>
      <c r="S268" s="53"/>
      <c r="T268" s="53"/>
      <c r="U268" s="53"/>
      <c r="V268" s="53"/>
      <c r="W268" s="53"/>
      <c r="X268" s="53"/>
      <c r="Y268" s="53"/>
      <c r="Z268" s="2"/>
      <c r="AA268" s="2"/>
      <c r="AB268" s="2"/>
      <c r="AC268" s="2"/>
      <c r="AD268" s="2"/>
      <c r="AE268" s="2"/>
    </row>
    <row r="269" spans="1:31" ht="12.75" x14ac:dyDescent="0.2">
      <c r="A269" s="53">
        <f ca="1">IFERROR(__xludf.DUMMYFUNCTION("""COMPUTED_VALUE"""),14)</f>
        <v>14</v>
      </c>
      <c r="B269" s="53" t="str">
        <f ca="1">IFERROR(__xludf.DUMMYFUNCTION("""COMPUTED_VALUE"""),"LMN Tân Mai")</f>
        <v>LMN Tân Mai</v>
      </c>
      <c r="C269" s="53" t="str">
        <f ca="1">IFERROR(__xludf.DUMMYFUNCTION("""COMPUTED_VALUE"""),"MN")</f>
        <v>MN</v>
      </c>
      <c r="D269" s="53" t="str">
        <f ca="1">IFERROR(__xludf.DUMMYFUNCTION("""COMPUTED_VALUE"""),"Bình Tân")</f>
        <v>Bình Tân</v>
      </c>
      <c r="E269" s="53"/>
      <c r="F269" s="53"/>
      <c r="G269" s="53"/>
      <c r="H269" s="53"/>
      <c r="I269" s="53"/>
      <c r="J269" s="53"/>
      <c r="K269" s="53"/>
      <c r="L269" s="53"/>
      <c r="M269" s="53"/>
      <c r="N269" s="54">
        <f ca="1">IFERROR(__xludf.DUMMYFUNCTION("""COMPUTED_VALUE"""),12)</f>
        <v>12</v>
      </c>
      <c r="O269" s="54">
        <f ca="1">IFERROR(__xludf.DUMMYFUNCTION("""COMPUTED_VALUE"""),0)</f>
        <v>0</v>
      </c>
      <c r="P269" s="54"/>
      <c r="Q269" s="54">
        <f ca="1">IFERROR(__xludf.DUMMYFUNCTION("""COMPUTED_VALUE"""),0)</f>
        <v>0</v>
      </c>
      <c r="R269" s="54"/>
      <c r="S269" s="53"/>
      <c r="T269" s="53"/>
      <c r="U269" s="53"/>
      <c r="V269" s="53"/>
      <c r="W269" s="53"/>
      <c r="X269" s="53"/>
      <c r="Y269" s="53"/>
      <c r="Z269" s="2"/>
      <c r="AA269" s="2"/>
      <c r="AB269" s="2"/>
      <c r="AC269" s="2"/>
      <c r="AD269" s="2"/>
      <c r="AE269" s="2"/>
    </row>
    <row r="270" spans="1:31" ht="12.75" x14ac:dyDescent="0.2">
      <c r="A270" s="53">
        <f ca="1">IFERROR(__xludf.DUMMYFUNCTION("""COMPUTED_VALUE"""),15)</f>
        <v>15</v>
      </c>
      <c r="B270" s="53" t="str">
        <f ca="1">IFERROR(__xludf.DUMMYFUNCTION("""COMPUTED_VALUE"""),"LMG Tuổi Thơ Hồng")</f>
        <v>LMG Tuổi Thơ Hồng</v>
      </c>
      <c r="C270" s="53" t="str">
        <f ca="1">IFERROR(__xludf.DUMMYFUNCTION("""COMPUTED_VALUE"""),"MN")</f>
        <v>MN</v>
      </c>
      <c r="D270" s="53" t="str">
        <f ca="1">IFERROR(__xludf.DUMMYFUNCTION("""COMPUTED_VALUE"""),"Bình Tân")</f>
        <v>Bình Tân</v>
      </c>
      <c r="E270" s="53"/>
      <c r="F270" s="53"/>
      <c r="G270" s="53"/>
      <c r="H270" s="53"/>
      <c r="I270" s="53"/>
      <c r="J270" s="53"/>
      <c r="K270" s="53"/>
      <c r="L270" s="53"/>
      <c r="M270" s="53"/>
      <c r="N270" s="54">
        <f ca="1">IFERROR(__xludf.DUMMYFUNCTION("""COMPUTED_VALUE"""),18)</f>
        <v>18</v>
      </c>
      <c r="O270" s="54">
        <f ca="1">IFERROR(__xludf.DUMMYFUNCTION("""COMPUTED_VALUE"""),11)</f>
        <v>11</v>
      </c>
      <c r="P270" s="54"/>
      <c r="Q270" s="54">
        <f ca="1">IFERROR(__xludf.DUMMYFUNCTION("""COMPUTED_VALUE"""),9)</f>
        <v>9</v>
      </c>
      <c r="R270" s="54"/>
      <c r="S270" s="53"/>
      <c r="T270" s="53"/>
      <c r="U270" s="53"/>
      <c r="V270" s="53"/>
      <c r="W270" s="53"/>
      <c r="X270" s="53"/>
      <c r="Y270" s="53"/>
      <c r="Z270" s="2"/>
      <c r="AA270" s="2"/>
      <c r="AB270" s="2"/>
      <c r="AC270" s="2"/>
      <c r="AD270" s="2"/>
      <c r="AE270" s="2"/>
    </row>
    <row r="271" spans="1:31" ht="12.75" x14ac:dyDescent="0.2">
      <c r="A271" s="53">
        <f ca="1">IFERROR(__xludf.DUMMYFUNCTION("""COMPUTED_VALUE"""),16)</f>
        <v>16</v>
      </c>
      <c r="B271" s="53" t="str">
        <f ca="1">IFERROR(__xludf.DUMMYFUNCTION("""COMPUTED_VALUE"""),"LMG Tương Lai Việt")</f>
        <v>LMG Tương Lai Việt</v>
      </c>
      <c r="C271" s="53" t="str">
        <f ca="1">IFERROR(__xludf.DUMMYFUNCTION("""COMPUTED_VALUE"""),"MN")</f>
        <v>MN</v>
      </c>
      <c r="D271" s="53" t="str">
        <f ca="1">IFERROR(__xludf.DUMMYFUNCTION("""COMPUTED_VALUE"""),"Bình Tân")</f>
        <v>Bình Tân</v>
      </c>
      <c r="E271" s="53"/>
      <c r="F271" s="53"/>
      <c r="G271" s="53"/>
      <c r="H271" s="53"/>
      <c r="I271" s="53"/>
      <c r="J271" s="53"/>
      <c r="K271" s="53"/>
      <c r="L271" s="53"/>
      <c r="M271" s="53"/>
      <c r="N271" s="54">
        <f ca="1">IFERROR(__xludf.DUMMYFUNCTION("""COMPUTED_VALUE"""),20)</f>
        <v>20</v>
      </c>
      <c r="O271" s="54">
        <f ca="1">IFERROR(__xludf.DUMMYFUNCTION("""COMPUTED_VALUE"""),10)</f>
        <v>10</v>
      </c>
      <c r="P271" s="54"/>
      <c r="Q271" s="54">
        <f ca="1">IFERROR(__xludf.DUMMYFUNCTION("""COMPUTED_VALUE"""),7)</f>
        <v>7</v>
      </c>
      <c r="R271" s="54"/>
      <c r="S271" s="53"/>
      <c r="T271" s="53"/>
      <c r="U271" s="53"/>
      <c r="V271" s="53"/>
      <c r="W271" s="53"/>
      <c r="X271" s="53"/>
      <c r="Y271" s="53"/>
      <c r="Z271" s="2"/>
      <c r="AA271" s="2"/>
      <c r="AB271" s="2"/>
      <c r="AC271" s="2"/>
      <c r="AD271" s="2"/>
      <c r="AE271" s="2"/>
    </row>
    <row r="272" spans="1:31" ht="12.75" x14ac:dyDescent="0.2">
      <c r="A272" s="53">
        <f ca="1">IFERROR(__xludf.DUMMYFUNCTION("""COMPUTED_VALUE"""),17)</f>
        <v>17</v>
      </c>
      <c r="B272" s="53" t="str">
        <f ca="1">IFERROR(__xludf.DUMMYFUNCTION("""COMPUTED_VALUE"""),"LMG Thỏ Bông")</f>
        <v>LMG Thỏ Bông</v>
      </c>
      <c r="C272" s="53" t="str">
        <f ca="1">IFERROR(__xludf.DUMMYFUNCTION("""COMPUTED_VALUE"""),"MN")</f>
        <v>MN</v>
      </c>
      <c r="D272" s="53" t="str">
        <f ca="1">IFERROR(__xludf.DUMMYFUNCTION("""COMPUTED_VALUE"""),"Bình Tân")</f>
        <v>Bình Tân</v>
      </c>
      <c r="E272" s="53"/>
      <c r="F272" s="53"/>
      <c r="G272" s="53"/>
      <c r="H272" s="53"/>
      <c r="I272" s="53"/>
      <c r="J272" s="53"/>
      <c r="K272" s="53"/>
      <c r="L272" s="53"/>
      <c r="M272" s="53"/>
      <c r="N272" s="54">
        <f ca="1">IFERROR(__xludf.DUMMYFUNCTION("""COMPUTED_VALUE"""),13)</f>
        <v>13</v>
      </c>
      <c r="O272" s="54">
        <f ca="1">IFERROR(__xludf.DUMMYFUNCTION("""COMPUTED_VALUE"""),7)</f>
        <v>7</v>
      </c>
      <c r="P272" s="54"/>
      <c r="Q272" s="54">
        <f ca="1">IFERROR(__xludf.DUMMYFUNCTION("""COMPUTED_VALUE"""),6)</f>
        <v>6</v>
      </c>
      <c r="R272" s="54"/>
      <c r="S272" s="53"/>
      <c r="T272" s="53"/>
      <c r="U272" s="53"/>
      <c r="V272" s="53"/>
      <c r="W272" s="53"/>
      <c r="X272" s="53"/>
      <c r="Y272" s="53"/>
      <c r="Z272" s="2"/>
      <c r="AA272" s="2"/>
      <c r="AB272" s="2"/>
      <c r="AC272" s="2"/>
      <c r="AD272" s="2"/>
      <c r="AE272" s="2"/>
    </row>
    <row r="273" spans="1:31" ht="12.75" x14ac:dyDescent="0.2">
      <c r="A273" s="53">
        <f ca="1">IFERROR(__xludf.DUMMYFUNCTION("""COMPUTED_VALUE"""),18)</f>
        <v>18</v>
      </c>
      <c r="B273" s="53" t="str">
        <f ca="1">IFERROR(__xludf.DUMMYFUNCTION("""COMPUTED_VALUE"""),"LMG Chú Ong Nhỏ")</f>
        <v>LMG Chú Ong Nhỏ</v>
      </c>
      <c r="C273" s="53" t="str">
        <f ca="1">IFERROR(__xludf.DUMMYFUNCTION("""COMPUTED_VALUE"""),"MN")</f>
        <v>MN</v>
      </c>
      <c r="D273" s="53" t="str">
        <f ca="1">IFERROR(__xludf.DUMMYFUNCTION("""COMPUTED_VALUE"""),"Bình Tân")</f>
        <v>Bình Tân</v>
      </c>
      <c r="E273" s="53"/>
      <c r="F273" s="53"/>
      <c r="G273" s="53"/>
      <c r="H273" s="53"/>
      <c r="I273" s="53"/>
      <c r="J273" s="53"/>
      <c r="K273" s="53"/>
      <c r="L273" s="53"/>
      <c r="M273" s="53"/>
      <c r="N273" s="54">
        <f ca="1">IFERROR(__xludf.DUMMYFUNCTION("""COMPUTED_VALUE"""),14)</f>
        <v>14</v>
      </c>
      <c r="O273" s="54">
        <f ca="1">IFERROR(__xludf.DUMMYFUNCTION("""COMPUTED_VALUE"""),11)</f>
        <v>11</v>
      </c>
      <c r="P273" s="54"/>
      <c r="Q273" s="54">
        <f ca="1">IFERROR(__xludf.DUMMYFUNCTION("""COMPUTED_VALUE"""),8)</f>
        <v>8</v>
      </c>
      <c r="R273" s="54"/>
      <c r="S273" s="53"/>
      <c r="T273" s="53"/>
      <c r="U273" s="53"/>
      <c r="V273" s="53"/>
      <c r="W273" s="53"/>
      <c r="X273" s="53"/>
      <c r="Y273" s="53"/>
      <c r="Z273" s="2"/>
      <c r="AA273" s="2"/>
      <c r="AB273" s="2"/>
      <c r="AC273" s="2"/>
      <c r="AD273" s="2"/>
      <c r="AE273" s="2"/>
    </row>
    <row r="274" spans="1:31" ht="12.75" x14ac:dyDescent="0.2">
      <c r="A274" s="53">
        <f ca="1">IFERROR(__xludf.DUMMYFUNCTION("""COMPUTED_VALUE"""),19)</f>
        <v>19</v>
      </c>
      <c r="B274" s="53" t="str">
        <f ca="1">IFERROR(__xludf.DUMMYFUNCTION("""COMPUTED_VALUE"""),"LMG Dâu Tây")</f>
        <v>LMG Dâu Tây</v>
      </c>
      <c r="C274" s="53" t="str">
        <f ca="1">IFERROR(__xludf.DUMMYFUNCTION("""COMPUTED_VALUE"""),"MN")</f>
        <v>MN</v>
      </c>
      <c r="D274" s="53" t="str">
        <f ca="1">IFERROR(__xludf.DUMMYFUNCTION("""COMPUTED_VALUE"""),"Bình Tân")</f>
        <v>Bình Tân</v>
      </c>
      <c r="E274" s="53"/>
      <c r="F274" s="53"/>
      <c r="G274" s="53"/>
      <c r="H274" s="53"/>
      <c r="I274" s="53"/>
      <c r="J274" s="53"/>
      <c r="K274" s="53"/>
      <c r="L274" s="53"/>
      <c r="M274" s="53"/>
      <c r="N274" s="54">
        <f ca="1">IFERROR(__xludf.DUMMYFUNCTION("""COMPUTED_VALUE"""),4)</f>
        <v>4</v>
      </c>
      <c r="O274" s="54">
        <f ca="1">IFERROR(__xludf.DUMMYFUNCTION("""COMPUTED_VALUE"""),2)</f>
        <v>2</v>
      </c>
      <c r="P274" s="54"/>
      <c r="Q274" s="54">
        <f ca="1">IFERROR(__xludf.DUMMYFUNCTION("""COMPUTED_VALUE"""),2)</f>
        <v>2</v>
      </c>
      <c r="R274" s="54"/>
      <c r="S274" s="53"/>
      <c r="T274" s="53"/>
      <c r="U274" s="53"/>
      <c r="V274" s="53"/>
      <c r="W274" s="53"/>
      <c r="X274" s="53"/>
      <c r="Y274" s="53"/>
      <c r="Z274" s="2"/>
      <c r="AA274" s="2"/>
      <c r="AB274" s="2"/>
      <c r="AC274" s="2"/>
      <c r="AD274" s="2"/>
      <c r="AE274" s="2"/>
    </row>
    <row r="275" spans="1:31" ht="12.75" x14ac:dyDescent="0.2">
      <c r="A275" s="53"/>
      <c r="B275" s="53" t="str">
        <f ca="1">IFERROR(__xludf.DUMMYFUNCTION("""COMPUTED_VALUE"""),"10. Tân Tạo A")</f>
        <v>10. Tân Tạo A</v>
      </c>
      <c r="C275" s="53" t="str">
        <f ca="1">IFERROR(__xludf.DUMMYFUNCTION("""COMPUTED_VALUE"""),"MN")</f>
        <v>MN</v>
      </c>
      <c r="D275" s="53" t="str">
        <f ca="1">IFERROR(__xludf.DUMMYFUNCTION("""COMPUTED_VALUE"""),"Bình Tân")</f>
        <v>Bình Tân</v>
      </c>
      <c r="E275" s="53"/>
      <c r="F275" s="53"/>
      <c r="G275" s="53"/>
      <c r="H275" s="53"/>
      <c r="I275" s="53"/>
      <c r="J275" s="53"/>
      <c r="K275" s="53"/>
      <c r="L275" s="53"/>
      <c r="M275" s="53"/>
      <c r="N275" s="53"/>
      <c r="O275" s="53"/>
      <c r="P275" s="53"/>
      <c r="Q275" s="53"/>
      <c r="R275" s="53"/>
      <c r="S275" s="53"/>
      <c r="T275" s="53"/>
      <c r="U275" s="53"/>
      <c r="V275" s="53"/>
      <c r="W275" s="53"/>
      <c r="X275" s="53"/>
      <c r="Y275" s="53"/>
      <c r="Z275" s="2"/>
      <c r="AA275" s="2"/>
      <c r="AB275" s="2"/>
      <c r="AC275" s="2"/>
      <c r="AD275" s="2"/>
      <c r="AE275" s="2"/>
    </row>
    <row r="276" spans="1:31" ht="12.75" x14ac:dyDescent="0.2">
      <c r="A276" s="53">
        <f ca="1">IFERROR(__xludf.DUMMYFUNCTION("""COMPUTED_VALUE"""),1)</f>
        <v>1</v>
      </c>
      <c r="B276" s="53" t="str">
        <f ca="1">IFERROR(__xludf.DUMMYFUNCTION("""COMPUTED_VALUE"""),"MNTT BI BI")</f>
        <v>MNTT BI BI</v>
      </c>
      <c r="C276" s="53" t="str">
        <f ca="1">IFERROR(__xludf.DUMMYFUNCTION("""COMPUTED_VALUE"""),"MN")</f>
        <v>MN</v>
      </c>
      <c r="D276" s="53" t="str">
        <f ca="1">IFERROR(__xludf.DUMMYFUNCTION("""COMPUTED_VALUE"""),"Bình Tân")</f>
        <v>Bình Tân</v>
      </c>
      <c r="E276" s="53"/>
      <c r="F276" s="53"/>
      <c r="G276" s="53"/>
      <c r="H276" s="53"/>
      <c r="I276" s="53"/>
      <c r="J276" s="53"/>
      <c r="K276" s="53"/>
      <c r="L276" s="53"/>
      <c r="M276" s="53"/>
      <c r="N276" s="54">
        <f ca="1">IFERROR(__xludf.DUMMYFUNCTION("""COMPUTED_VALUE"""),27)</f>
        <v>27</v>
      </c>
      <c r="O276" s="54">
        <f ca="1">IFERROR(__xludf.DUMMYFUNCTION("""COMPUTED_VALUE"""),12)</f>
        <v>12</v>
      </c>
      <c r="P276" s="54"/>
      <c r="Q276" s="54">
        <f ca="1">IFERROR(__xludf.DUMMYFUNCTION("""COMPUTED_VALUE"""),12)</f>
        <v>12</v>
      </c>
      <c r="R276" s="54"/>
      <c r="S276" s="53"/>
      <c r="T276" s="53"/>
      <c r="U276" s="53"/>
      <c r="V276" s="53"/>
      <c r="W276" s="53"/>
      <c r="X276" s="53"/>
      <c r="Y276" s="53"/>
      <c r="Z276" s="2"/>
      <c r="AA276" s="2"/>
      <c r="AB276" s="2"/>
      <c r="AC276" s="2"/>
      <c r="AD276" s="2"/>
      <c r="AE276" s="2"/>
    </row>
    <row r="277" spans="1:31" ht="12.75" x14ac:dyDescent="0.2">
      <c r="A277" s="53">
        <f ca="1">IFERROR(__xludf.DUMMYFUNCTION("""COMPUTED_VALUE"""),2)</f>
        <v>2</v>
      </c>
      <c r="B277" s="53" t="str">
        <f ca="1">IFERROR(__xludf.DUMMYFUNCTION("""COMPUTED_VALUE"""),"MNTT VY VY")</f>
        <v>MNTT VY VY</v>
      </c>
      <c r="C277" s="53" t="str">
        <f ca="1">IFERROR(__xludf.DUMMYFUNCTION("""COMPUTED_VALUE"""),"MN")</f>
        <v>MN</v>
      </c>
      <c r="D277" s="53" t="str">
        <f ca="1">IFERROR(__xludf.DUMMYFUNCTION("""COMPUTED_VALUE"""),"Bình Tân")</f>
        <v>Bình Tân</v>
      </c>
      <c r="E277" s="53"/>
      <c r="F277" s="53"/>
      <c r="G277" s="53"/>
      <c r="H277" s="53"/>
      <c r="I277" s="53"/>
      <c r="J277" s="53"/>
      <c r="K277" s="53"/>
      <c r="L277" s="53"/>
      <c r="M277" s="53"/>
      <c r="N277" s="54">
        <f ca="1">IFERROR(__xludf.DUMMYFUNCTION("""COMPUTED_VALUE"""),56)</f>
        <v>56</v>
      </c>
      <c r="O277" s="54">
        <f ca="1">IFERROR(__xludf.DUMMYFUNCTION("""COMPUTED_VALUE"""),23)</f>
        <v>23</v>
      </c>
      <c r="P277" s="54"/>
      <c r="Q277" s="54">
        <f ca="1">IFERROR(__xludf.DUMMYFUNCTION("""COMPUTED_VALUE"""),16)</f>
        <v>16</v>
      </c>
      <c r="R277" s="54"/>
      <c r="S277" s="53"/>
      <c r="T277" s="53"/>
      <c r="U277" s="53"/>
      <c r="V277" s="53"/>
      <c r="W277" s="53"/>
      <c r="X277" s="53"/>
      <c r="Y277" s="53"/>
      <c r="Z277" s="2"/>
      <c r="AA277" s="2"/>
      <c r="AB277" s="2"/>
      <c r="AC277" s="2"/>
      <c r="AD277" s="2"/>
      <c r="AE277" s="2"/>
    </row>
    <row r="278" spans="1:31" ht="12.75" x14ac:dyDescent="0.2">
      <c r="A278" s="53">
        <f ca="1">IFERROR(__xludf.DUMMYFUNCTION("""COMPUTED_VALUE"""),3)</f>
        <v>3</v>
      </c>
      <c r="B278" s="53" t="str">
        <f ca="1">IFERROR(__xludf.DUMMYFUNCTION("""COMPUTED_VALUE"""),"MNTT Sóc Nâu")</f>
        <v>MNTT Sóc Nâu</v>
      </c>
      <c r="C278" s="53" t="str">
        <f ca="1">IFERROR(__xludf.DUMMYFUNCTION("""COMPUTED_VALUE"""),"MN")</f>
        <v>MN</v>
      </c>
      <c r="D278" s="53" t="str">
        <f ca="1">IFERROR(__xludf.DUMMYFUNCTION("""COMPUTED_VALUE"""),"Bình Tân")</f>
        <v>Bình Tân</v>
      </c>
      <c r="E278" s="53"/>
      <c r="F278" s="53"/>
      <c r="G278" s="53"/>
      <c r="H278" s="53"/>
      <c r="I278" s="53"/>
      <c r="J278" s="53"/>
      <c r="K278" s="53"/>
      <c r="L278" s="53"/>
      <c r="M278" s="53"/>
      <c r="N278" s="54">
        <f ca="1">IFERROR(__xludf.DUMMYFUNCTION("""COMPUTED_VALUE"""),44)</f>
        <v>44</v>
      </c>
      <c r="O278" s="54">
        <f ca="1">IFERROR(__xludf.DUMMYFUNCTION("""COMPUTED_VALUE"""),16)</f>
        <v>16</v>
      </c>
      <c r="P278" s="54"/>
      <c r="Q278" s="54">
        <f ca="1">IFERROR(__xludf.DUMMYFUNCTION("""COMPUTED_VALUE"""),14)</f>
        <v>14</v>
      </c>
      <c r="R278" s="54"/>
      <c r="S278" s="53"/>
      <c r="T278" s="53"/>
      <c r="U278" s="53"/>
      <c r="V278" s="53"/>
      <c r="W278" s="53"/>
      <c r="X278" s="53"/>
      <c r="Y278" s="53"/>
      <c r="Z278" s="2"/>
      <c r="AA278" s="2"/>
      <c r="AB278" s="2"/>
      <c r="AC278" s="2"/>
      <c r="AD278" s="2"/>
      <c r="AE278" s="2"/>
    </row>
    <row r="279" spans="1:31" ht="12.75" x14ac:dyDescent="0.2">
      <c r="A279" s="53">
        <f ca="1">IFERROR(__xludf.DUMMYFUNCTION("""COMPUTED_VALUE"""),4)</f>
        <v>4</v>
      </c>
      <c r="B279" s="53" t="str">
        <f ca="1">IFERROR(__xludf.DUMMYFUNCTION("""COMPUTED_VALUE"""),"MNTT Chim Non")</f>
        <v>MNTT Chim Non</v>
      </c>
      <c r="C279" s="53" t="str">
        <f ca="1">IFERROR(__xludf.DUMMYFUNCTION("""COMPUTED_VALUE"""),"MN")</f>
        <v>MN</v>
      </c>
      <c r="D279" s="53" t="str">
        <f ca="1">IFERROR(__xludf.DUMMYFUNCTION("""COMPUTED_VALUE"""),"Bình Tân")</f>
        <v>Bình Tân</v>
      </c>
      <c r="E279" s="53"/>
      <c r="F279" s="53"/>
      <c r="G279" s="53"/>
      <c r="H279" s="53"/>
      <c r="I279" s="53"/>
      <c r="J279" s="53"/>
      <c r="K279" s="53"/>
      <c r="L279" s="53"/>
      <c r="M279" s="53"/>
      <c r="N279" s="54">
        <f ca="1">IFERROR(__xludf.DUMMYFUNCTION("""COMPUTED_VALUE"""),25)</f>
        <v>25</v>
      </c>
      <c r="O279" s="54">
        <f ca="1">IFERROR(__xludf.DUMMYFUNCTION("""COMPUTED_VALUE"""),22)</f>
        <v>22</v>
      </c>
      <c r="P279" s="54"/>
      <c r="Q279" s="54">
        <f ca="1">IFERROR(__xludf.DUMMYFUNCTION("""COMPUTED_VALUE"""),22)</f>
        <v>22</v>
      </c>
      <c r="R279" s="54"/>
      <c r="S279" s="53"/>
      <c r="T279" s="53"/>
      <c r="U279" s="53"/>
      <c r="V279" s="53"/>
      <c r="W279" s="53"/>
      <c r="X279" s="53"/>
      <c r="Y279" s="53"/>
      <c r="Z279" s="2"/>
      <c r="AA279" s="2"/>
      <c r="AB279" s="2"/>
      <c r="AC279" s="2"/>
      <c r="AD279" s="2"/>
      <c r="AE279" s="2"/>
    </row>
    <row r="280" spans="1:31" ht="12.75" x14ac:dyDescent="0.2">
      <c r="A280" s="53">
        <f ca="1">IFERROR(__xludf.DUMMYFUNCTION("""COMPUTED_VALUE"""),5)</f>
        <v>5</v>
      </c>
      <c r="B280" s="53" t="str">
        <f ca="1">IFERROR(__xludf.DUMMYFUNCTION("""COMPUTED_VALUE"""),"MNTT Phượng Hoàng")</f>
        <v>MNTT Phượng Hoàng</v>
      </c>
      <c r="C280" s="53" t="str">
        <f ca="1">IFERROR(__xludf.DUMMYFUNCTION("""COMPUTED_VALUE"""),"MN")</f>
        <v>MN</v>
      </c>
      <c r="D280" s="53" t="str">
        <f ca="1">IFERROR(__xludf.DUMMYFUNCTION("""COMPUTED_VALUE"""),"Bình Tân")</f>
        <v>Bình Tân</v>
      </c>
      <c r="E280" s="53"/>
      <c r="F280" s="53"/>
      <c r="G280" s="53"/>
      <c r="H280" s="53"/>
      <c r="I280" s="53"/>
      <c r="J280" s="53"/>
      <c r="K280" s="53"/>
      <c r="L280" s="53"/>
      <c r="M280" s="53"/>
      <c r="N280" s="54">
        <f ca="1">IFERROR(__xludf.DUMMYFUNCTION("""COMPUTED_VALUE"""),25)</f>
        <v>25</v>
      </c>
      <c r="O280" s="54">
        <f ca="1">IFERROR(__xludf.DUMMYFUNCTION("""COMPUTED_VALUE"""),20)</f>
        <v>20</v>
      </c>
      <c r="P280" s="54"/>
      <c r="Q280" s="54">
        <f ca="1">IFERROR(__xludf.DUMMYFUNCTION("""COMPUTED_VALUE"""),17)</f>
        <v>17</v>
      </c>
      <c r="R280" s="54"/>
      <c r="S280" s="53"/>
      <c r="T280" s="53"/>
      <c r="U280" s="53"/>
      <c r="V280" s="53"/>
      <c r="W280" s="53"/>
      <c r="X280" s="53"/>
      <c r="Y280" s="53"/>
      <c r="Z280" s="2"/>
      <c r="AA280" s="2"/>
      <c r="AB280" s="2"/>
      <c r="AC280" s="2"/>
      <c r="AD280" s="2"/>
      <c r="AE280" s="2"/>
    </row>
    <row r="281" spans="1:31" ht="12.75" x14ac:dyDescent="0.2">
      <c r="A281" s="53">
        <f ca="1">IFERROR(__xludf.DUMMYFUNCTION("""COMPUTED_VALUE"""),6)</f>
        <v>6</v>
      </c>
      <c r="B281" s="53" t="str">
        <f ca="1">IFERROR(__xludf.DUMMYFUNCTION("""COMPUTED_VALUE"""),"MNTT Chuỗi Ngọc")</f>
        <v>MNTT Chuỗi Ngọc</v>
      </c>
      <c r="C281" s="53" t="str">
        <f ca="1">IFERROR(__xludf.DUMMYFUNCTION("""COMPUTED_VALUE"""),"MN")</f>
        <v>MN</v>
      </c>
      <c r="D281" s="53" t="str">
        <f ca="1">IFERROR(__xludf.DUMMYFUNCTION("""COMPUTED_VALUE"""),"Bình Tân")</f>
        <v>Bình Tân</v>
      </c>
      <c r="E281" s="53"/>
      <c r="F281" s="53"/>
      <c r="G281" s="53"/>
      <c r="H281" s="53"/>
      <c r="I281" s="53"/>
      <c r="J281" s="53"/>
      <c r="K281" s="53"/>
      <c r="L281" s="53"/>
      <c r="M281" s="53"/>
      <c r="N281" s="54">
        <f ca="1">IFERROR(__xludf.DUMMYFUNCTION("""COMPUTED_VALUE"""),20)</f>
        <v>20</v>
      </c>
      <c r="O281" s="54">
        <f ca="1">IFERROR(__xludf.DUMMYFUNCTION("""COMPUTED_VALUE"""),2)</f>
        <v>2</v>
      </c>
      <c r="P281" s="54"/>
      <c r="Q281" s="54">
        <f ca="1">IFERROR(__xludf.DUMMYFUNCTION("""COMPUTED_VALUE"""),1)</f>
        <v>1</v>
      </c>
      <c r="R281" s="54"/>
      <c r="S281" s="53"/>
      <c r="T281" s="53"/>
      <c r="U281" s="53"/>
      <c r="V281" s="53"/>
      <c r="W281" s="53"/>
      <c r="X281" s="53"/>
      <c r="Y281" s="53"/>
      <c r="Z281" s="2"/>
      <c r="AA281" s="2"/>
      <c r="AB281" s="2"/>
      <c r="AC281" s="2"/>
      <c r="AD281" s="2"/>
      <c r="AE281" s="2"/>
    </row>
    <row r="282" spans="1:31" ht="12.75" x14ac:dyDescent="0.2">
      <c r="A282" s="53">
        <f ca="1">IFERROR(__xludf.DUMMYFUNCTION("""COMPUTED_VALUE"""),7)</f>
        <v>7</v>
      </c>
      <c r="B282" s="53" t="str">
        <f ca="1">IFERROR(__xludf.DUMMYFUNCTION("""COMPUTED_VALUE"""),"MNTT An Nông")</f>
        <v>MNTT An Nông</v>
      </c>
      <c r="C282" s="53" t="str">
        <f ca="1">IFERROR(__xludf.DUMMYFUNCTION("""COMPUTED_VALUE"""),"MN")</f>
        <v>MN</v>
      </c>
      <c r="D282" s="53" t="str">
        <f ca="1">IFERROR(__xludf.DUMMYFUNCTION("""COMPUTED_VALUE"""),"Bình Tân")</f>
        <v>Bình Tân</v>
      </c>
      <c r="E282" s="53"/>
      <c r="F282" s="53"/>
      <c r="G282" s="53"/>
      <c r="H282" s="53"/>
      <c r="I282" s="53"/>
      <c r="J282" s="53"/>
      <c r="K282" s="53"/>
      <c r="L282" s="53"/>
      <c r="M282" s="53"/>
      <c r="N282" s="54">
        <f ca="1">IFERROR(__xludf.DUMMYFUNCTION("""COMPUTED_VALUE"""),49)</f>
        <v>49</v>
      </c>
      <c r="O282" s="54">
        <f ca="1">IFERROR(__xludf.DUMMYFUNCTION("""COMPUTED_VALUE"""),24)</f>
        <v>24</v>
      </c>
      <c r="P282" s="54"/>
      <c r="Q282" s="54">
        <f ca="1">IFERROR(__xludf.DUMMYFUNCTION("""COMPUTED_VALUE"""),21)</f>
        <v>21</v>
      </c>
      <c r="R282" s="54"/>
      <c r="S282" s="53"/>
      <c r="T282" s="53"/>
      <c r="U282" s="53"/>
      <c r="V282" s="53"/>
      <c r="W282" s="53"/>
      <c r="X282" s="53"/>
      <c r="Y282" s="53"/>
      <c r="Z282" s="2"/>
      <c r="AA282" s="2"/>
      <c r="AB282" s="2"/>
      <c r="AC282" s="2"/>
      <c r="AD282" s="2"/>
      <c r="AE282" s="2"/>
    </row>
    <row r="283" spans="1:31" ht="12.75" x14ac:dyDescent="0.2">
      <c r="A283" s="53">
        <f ca="1">IFERROR(__xludf.DUMMYFUNCTION("""COMPUTED_VALUE"""),8)</f>
        <v>8</v>
      </c>
      <c r="B283" s="53" t="str">
        <f ca="1">IFERROR(__xludf.DUMMYFUNCTION("""COMPUTED_VALUE"""),"MNTT Cá Vàng")</f>
        <v>MNTT Cá Vàng</v>
      </c>
      <c r="C283" s="53" t="str">
        <f ca="1">IFERROR(__xludf.DUMMYFUNCTION("""COMPUTED_VALUE"""),"MN")</f>
        <v>MN</v>
      </c>
      <c r="D283" s="53" t="str">
        <f ca="1">IFERROR(__xludf.DUMMYFUNCTION("""COMPUTED_VALUE"""),"Bình Tân")</f>
        <v>Bình Tân</v>
      </c>
      <c r="E283" s="53"/>
      <c r="F283" s="53"/>
      <c r="G283" s="53"/>
      <c r="H283" s="53"/>
      <c r="I283" s="53"/>
      <c r="J283" s="53"/>
      <c r="K283" s="53"/>
      <c r="L283" s="53"/>
      <c r="M283" s="53"/>
      <c r="N283" s="54">
        <f ca="1">IFERROR(__xludf.DUMMYFUNCTION("""COMPUTED_VALUE"""),46)</f>
        <v>46</v>
      </c>
      <c r="O283" s="54">
        <f ca="1">IFERROR(__xludf.DUMMYFUNCTION("""COMPUTED_VALUE"""),28)</f>
        <v>28</v>
      </c>
      <c r="P283" s="54"/>
      <c r="Q283" s="54">
        <f ca="1">IFERROR(__xludf.DUMMYFUNCTION("""COMPUTED_VALUE"""),24)</f>
        <v>24</v>
      </c>
      <c r="R283" s="54"/>
      <c r="S283" s="53"/>
      <c r="T283" s="53"/>
      <c r="U283" s="53"/>
      <c r="V283" s="53"/>
      <c r="W283" s="53"/>
      <c r="X283" s="53"/>
      <c r="Y283" s="53"/>
      <c r="Z283" s="2"/>
      <c r="AA283" s="2"/>
      <c r="AB283" s="2"/>
      <c r="AC283" s="2"/>
      <c r="AD283" s="2"/>
      <c r="AE283" s="2"/>
    </row>
    <row r="284" spans="1:31" ht="12.75" x14ac:dyDescent="0.2">
      <c r="A284" s="53">
        <f ca="1">IFERROR(__xludf.DUMMYFUNCTION("""COMPUTED_VALUE"""),9)</f>
        <v>9</v>
      </c>
      <c r="B284" s="53" t="str">
        <f ca="1">IFERROR(__xludf.DUMMYFUNCTION("""COMPUTED_VALUE"""),"MNTT CLB Trẻ Thơ")</f>
        <v>MNTT CLB Trẻ Thơ</v>
      </c>
      <c r="C284" s="53" t="str">
        <f ca="1">IFERROR(__xludf.DUMMYFUNCTION("""COMPUTED_VALUE"""),"MN")</f>
        <v>MN</v>
      </c>
      <c r="D284" s="53" t="str">
        <f ca="1">IFERROR(__xludf.DUMMYFUNCTION("""COMPUTED_VALUE"""),"Bình Tân")</f>
        <v>Bình Tân</v>
      </c>
      <c r="E284" s="53"/>
      <c r="F284" s="53"/>
      <c r="G284" s="53"/>
      <c r="H284" s="53"/>
      <c r="I284" s="53"/>
      <c r="J284" s="53"/>
      <c r="K284" s="53"/>
      <c r="L284" s="53"/>
      <c r="M284" s="53"/>
      <c r="N284" s="54">
        <f ca="1">IFERROR(__xludf.DUMMYFUNCTION("""COMPUTED_VALUE"""),20)</f>
        <v>20</v>
      </c>
      <c r="O284" s="54">
        <f ca="1">IFERROR(__xludf.DUMMYFUNCTION("""COMPUTED_VALUE"""),2)</f>
        <v>2</v>
      </c>
      <c r="P284" s="54"/>
      <c r="Q284" s="54">
        <f ca="1">IFERROR(__xludf.DUMMYFUNCTION("""COMPUTED_VALUE"""),1)</f>
        <v>1</v>
      </c>
      <c r="R284" s="54"/>
      <c r="S284" s="53"/>
      <c r="T284" s="53"/>
      <c r="U284" s="53"/>
      <c r="V284" s="53"/>
      <c r="W284" s="53"/>
      <c r="X284" s="53"/>
      <c r="Y284" s="53"/>
      <c r="Z284" s="2"/>
      <c r="AA284" s="2"/>
      <c r="AB284" s="2"/>
      <c r="AC284" s="2"/>
      <c r="AD284" s="2"/>
      <c r="AE284" s="2"/>
    </row>
    <row r="285" spans="1:31" ht="12.75" x14ac:dyDescent="0.2">
      <c r="A285" s="53">
        <f ca="1">IFERROR(__xludf.DUMMYFUNCTION("""COMPUTED_VALUE"""),10)</f>
        <v>10</v>
      </c>
      <c r="B285" s="53" t="str">
        <f ca="1">IFERROR(__xludf.DUMMYFUNCTION("""COMPUTED_VALUE"""),"MNTT Sao Mai Vàng")</f>
        <v>MNTT Sao Mai Vàng</v>
      </c>
      <c r="C285" s="53" t="str">
        <f ca="1">IFERROR(__xludf.DUMMYFUNCTION("""COMPUTED_VALUE"""),"MN")</f>
        <v>MN</v>
      </c>
      <c r="D285" s="53" t="str">
        <f ca="1">IFERROR(__xludf.DUMMYFUNCTION("""COMPUTED_VALUE"""),"Bình Tân")</f>
        <v>Bình Tân</v>
      </c>
      <c r="E285" s="53"/>
      <c r="F285" s="53"/>
      <c r="G285" s="53"/>
      <c r="H285" s="53"/>
      <c r="I285" s="53"/>
      <c r="J285" s="53"/>
      <c r="K285" s="53"/>
      <c r="L285" s="53"/>
      <c r="M285" s="53"/>
      <c r="N285" s="54">
        <f ca="1">IFERROR(__xludf.DUMMYFUNCTION("""COMPUTED_VALUE"""),33)</f>
        <v>33</v>
      </c>
      <c r="O285" s="54">
        <f ca="1">IFERROR(__xludf.DUMMYFUNCTION("""COMPUTED_VALUE"""),11)</f>
        <v>11</v>
      </c>
      <c r="P285" s="54"/>
      <c r="Q285" s="54">
        <f ca="1">IFERROR(__xludf.DUMMYFUNCTION("""COMPUTED_VALUE"""),7)</f>
        <v>7</v>
      </c>
      <c r="R285" s="54"/>
      <c r="S285" s="53"/>
      <c r="T285" s="53"/>
      <c r="U285" s="53"/>
      <c r="V285" s="53"/>
      <c r="W285" s="53"/>
      <c r="X285" s="53"/>
      <c r="Y285" s="53"/>
      <c r="Z285" s="2"/>
      <c r="AA285" s="2"/>
      <c r="AB285" s="2"/>
      <c r="AC285" s="2"/>
      <c r="AD285" s="2"/>
      <c r="AE285" s="2"/>
    </row>
    <row r="286" spans="1:31" ht="12.75" x14ac:dyDescent="0.2">
      <c r="A286" s="53">
        <f ca="1">IFERROR(__xludf.DUMMYFUNCTION("""COMPUTED_VALUE"""),11)</f>
        <v>11</v>
      </c>
      <c r="B286" s="53" t="str">
        <f ca="1">IFERROR(__xludf.DUMMYFUNCTION("""COMPUTED_VALUE"""),"LMG Anh Mỹ")</f>
        <v>LMG Anh Mỹ</v>
      </c>
      <c r="C286" s="53" t="str">
        <f ca="1">IFERROR(__xludf.DUMMYFUNCTION("""COMPUTED_VALUE"""),"MN")</f>
        <v>MN</v>
      </c>
      <c r="D286" s="53" t="str">
        <f ca="1">IFERROR(__xludf.DUMMYFUNCTION("""COMPUTED_VALUE"""),"Bình Tân")</f>
        <v>Bình Tân</v>
      </c>
      <c r="E286" s="53"/>
      <c r="F286" s="53"/>
      <c r="G286" s="53"/>
      <c r="H286" s="53"/>
      <c r="I286" s="53"/>
      <c r="J286" s="53"/>
      <c r="K286" s="53"/>
      <c r="L286" s="53"/>
      <c r="M286" s="53"/>
      <c r="N286" s="54">
        <f ca="1">IFERROR(__xludf.DUMMYFUNCTION("""COMPUTED_VALUE"""),7)</f>
        <v>7</v>
      </c>
      <c r="O286" s="54">
        <f ca="1">IFERROR(__xludf.DUMMYFUNCTION("""COMPUTED_VALUE"""),5)</f>
        <v>5</v>
      </c>
      <c r="P286" s="54"/>
      <c r="Q286" s="54">
        <f ca="1">IFERROR(__xludf.DUMMYFUNCTION("""COMPUTED_VALUE"""),5)</f>
        <v>5</v>
      </c>
      <c r="R286" s="54"/>
      <c r="S286" s="53"/>
      <c r="T286" s="53"/>
      <c r="U286" s="53"/>
      <c r="V286" s="53"/>
      <c r="W286" s="53"/>
      <c r="X286" s="53"/>
      <c r="Y286" s="53"/>
      <c r="Z286" s="2"/>
      <c r="AA286" s="2"/>
      <c r="AB286" s="2"/>
      <c r="AC286" s="2"/>
      <c r="AD286" s="2"/>
      <c r="AE286" s="2"/>
    </row>
    <row r="287" spans="1:31" ht="12.75" x14ac:dyDescent="0.2">
      <c r="A287" s="53">
        <f ca="1">IFERROR(__xludf.DUMMYFUNCTION("""COMPUTED_VALUE"""),12)</f>
        <v>12</v>
      </c>
      <c r="B287" s="53" t="str">
        <f ca="1">IFERROR(__xludf.DUMMYFUNCTION("""COMPUTED_VALUE"""),"LMN Búp Bê Xinh")</f>
        <v>LMN Búp Bê Xinh</v>
      </c>
      <c r="C287" s="53" t="str">
        <f ca="1">IFERROR(__xludf.DUMMYFUNCTION("""COMPUTED_VALUE"""),"MN")</f>
        <v>MN</v>
      </c>
      <c r="D287" s="53" t="str">
        <f ca="1">IFERROR(__xludf.DUMMYFUNCTION("""COMPUTED_VALUE"""),"Bình Tân")</f>
        <v>Bình Tân</v>
      </c>
      <c r="E287" s="53"/>
      <c r="F287" s="53"/>
      <c r="G287" s="53"/>
      <c r="H287" s="53"/>
      <c r="I287" s="53"/>
      <c r="J287" s="53"/>
      <c r="K287" s="53"/>
      <c r="L287" s="53"/>
      <c r="M287" s="53"/>
      <c r="N287" s="54">
        <f ca="1">IFERROR(__xludf.DUMMYFUNCTION("""COMPUTED_VALUE"""),34)</f>
        <v>34</v>
      </c>
      <c r="O287" s="54">
        <f ca="1">IFERROR(__xludf.DUMMYFUNCTION("""COMPUTED_VALUE"""),11)</f>
        <v>11</v>
      </c>
      <c r="P287" s="54"/>
      <c r="Q287" s="54">
        <f ca="1">IFERROR(__xludf.DUMMYFUNCTION("""COMPUTED_VALUE"""),10)</f>
        <v>10</v>
      </c>
      <c r="R287" s="54"/>
      <c r="S287" s="53"/>
      <c r="T287" s="53"/>
      <c r="U287" s="53"/>
      <c r="V287" s="53"/>
      <c r="W287" s="53"/>
      <c r="X287" s="53"/>
      <c r="Y287" s="53"/>
      <c r="Z287" s="2"/>
      <c r="AA287" s="2"/>
      <c r="AB287" s="2"/>
      <c r="AC287" s="2"/>
      <c r="AD287" s="2"/>
      <c r="AE287" s="2"/>
    </row>
    <row r="288" spans="1:31" ht="12.75" x14ac:dyDescent="0.2">
      <c r="A288" s="53">
        <f ca="1">IFERROR(__xludf.DUMMYFUNCTION("""COMPUTED_VALUE"""),13)</f>
        <v>13</v>
      </c>
      <c r="B288" s="53" t="str">
        <f ca="1">IFERROR(__xludf.DUMMYFUNCTION("""COMPUTED_VALUE"""),"LMG Con Mèo Vàng")</f>
        <v>LMG Con Mèo Vàng</v>
      </c>
      <c r="C288" s="53" t="str">
        <f ca="1">IFERROR(__xludf.DUMMYFUNCTION("""COMPUTED_VALUE"""),"MN")</f>
        <v>MN</v>
      </c>
      <c r="D288" s="53" t="str">
        <f ca="1">IFERROR(__xludf.DUMMYFUNCTION("""COMPUTED_VALUE"""),"Bình Tân")</f>
        <v>Bình Tân</v>
      </c>
      <c r="E288" s="53"/>
      <c r="F288" s="53"/>
      <c r="G288" s="53"/>
      <c r="H288" s="53"/>
      <c r="I288" s="53"/>
      <c r="J288" s="53"/>
      <c r="K288" s="53"/>
      <c r="L288" s="53"/>
      <c r="M288" s="53"/>
      <c r="N288" s="54">
        <f ca="1">IFERROR(__xludf.DUMMYFUNCTION("""COMPUTED_VALUE"""),5)</f>
        <v>5</v>
      </c>
      <c r="O288" s="54">
        <f ca="1">IFERROR(__xludf.DUMMYFUNCTION("""COMPUTED_VALUE"""),5)</f>
        <v>5</v>
      </c>
      <c r="P288" s="54"/>
      <c r="Q288" s="54">
        <f ca="1">IFERROR(__xludf.DUMMYFUNCTION("""COMPUTED_VALUE"""),5)</f>
        <v>5</v>
      </c>
      <c r="R288" s="54"/>
      <c r="S288" s="53"/>
      <c r="T288" s="53"/>
      <c r="U288" s="53"/>
      <c r="V288" s="53"/>
      <c r="W288" s="53"/>
      <c r="X288" s="53"/>
      <c r="Y288" s="53"/>
      <c r="Z288" s="2"/>
      <c r="AA288" s="2"/>
      <c r="AB288" s="2"/>
      <c r="AC288" s="2"/>
      <c r="AD288" s="2"/>
      <c r="AE288" s="2"/>
    </row>
    <row r="289" spans="1:31" ht="12.75" x14ac:dyDescent="0.2">
      <c r="A289" s="53">
        <f ca="1">IFERROR(__xludf.DUMMYFUNCTION("""COMPUTED_VALUE"""),14)</f>
        <v>14</v>
      </c>
      <c r="B289" s="53" t="str">
        <f ca="1">IFERROR(__xludf.DUMMYFUNCTION("""COMPUTED_VALUE"""),"NT Cô và Bé")</f>
        <v>NT Cô và Bé</v>
      </c>
      <c r="C289" s="53" t="str">
        <f ca="1">IFERROR(__xludf.DUMMYFUNCTION("""COMPUTED_VALUE"""),"MN")</f>
        <v>MN</v>
      </c>
      <c r="D289" s="53" t="str">
        <f ca="1">IFERROR(__xludf.DUMMYFUNCTION("""COMPUTED_VALUE"""),"Bình Tân")</f>
        <v>Bình Tân</v>
      </c>
      <c r="E289" s="53"/>
      <c r="F289" s="53"/>
      <c r="G289" s="53"/>
      <c r="H289" s="53"/>
      <c r="I289" s="53"/>
      <c r="J289" s="53"/>
      <c r="K289" s="53"/>
      <c r="L289" s="53"/>
      <c r="M289" s="53"/>
      <c r="N289" s="54">
        <f ca="1">IFERROR(__xludf.DUMMYFUNCTION("""COMPUTED_VALUE"""),12)</f>
        <v>12</v>
      </c>
      <c r="O289" s="54">
        <f ca="1">IFERROR(__xludf.DUMMYFUNCTION("""COMPUTED_VALUE"""),1)</f>
        <v>1</v>
      </c>
      <c r="P289" s="54"/>
      <c r="Q289" s="54">
        <f ca="1">IFERROR(__xludf.DUMMYFUNCTION("""COMPUTED_VALUE"""),1)</f>
        <v>1</v>
      </c>
      <c r="R289" s="54"/>
      <c r="S289" s="53"/>
      <c r="T289" s="53"/>
      <c r="U289" s="53"/>
      <c r="V289" s="53"/>
      <c r="W289" s="53"/>
      <c r="X289" s="53"/>
      <c r="Y289" s="53"/>
      <c r="Z289" s="2"/>
      <c r="AA289" s="2"/>
      <c r="AB289" s="2"/>
      <c r="AC289" s="2"/>
      <c r="AD289" s="2"/>
      <c r="AE289" s="2"/>
    </row>
    <row r="290" spans="1:31" ht="12.75" x14ac:dyDescent="0.2">
      <c r="A290" s="53">
        <f ca="1">IFERROR(__xludf.DUMMYFUNCTION("""COMPUTED_VALUE"""),15)</f>
        <v>15</v>
      </c>
      <c r="B290" s="53" t="str">
        <f ca="1">IFERROR(__xludf.DUMMYFUNCTION("""COMPUTED_VALUE"""),"NT Hoa Bình Minh")</f>
        <v>NT Hoa Bình Minh</v>
      </c>
      <c r="C290" s="53" t="str">
        <f ca="1">IFERROR(__xludf.DUMMYFUNCTION("""COMPUTED_VALUE"""),"MN")</f>
        <v>MN</v>
      </c>
      <c r="D290" s="53" t="str">
        <f ca="1">IFERROR(__xludf.DUMMYFUNCTION("""COMPUTED_VALUE"""),"Bình Tân")</f>
        <v>Bình Tân</v>
      </c>
      <c r="E290" s="53"/>
      <c r="F290" s="53"/>
      <c r="G290" s="53"/>
      <c r="H290" s="53"/>
      <c r="I290" s="53"/>
      <c r="J290" s="53"/>
      <c r="K290" s="53"/>
      <c r="L290" s="53"/>
      <c r="M290" s="53"/>
      <c r="N290" s="54">
        <f ca="1">IFERROR(__xludf.DUMMYFUNCTION("""COMPUTED_VALUE"""),10)</f>
        <v>10</v>
      </c>
      <c r="O290" s="54">
        <f ca="1">IFERROR(__xludf.DUMMYFUNCTION("""COMPUTED_VALUE"""),3)</f>
        <v>3</v>
      </c>
      <c r="P290" s="54"/>
      <c r="Q290" s="54">
        <f ca="1">IFERROR(__xludf.DUMMYFUNCTION("""COMPUTED_VALUE"""),3)</f>
        <v>3</v>
      </c>
      <c r="R290" s="54"/>
      <c r="S290" s="53"/>
      <c r="T290" s="53"/>
      <c r="U290" s="53"/>
      <c r="V290" s="53"/>
      <c r="W290" s="53"/>
      <c r="X290" s="53"/>
      <c r="Y290" s="53"/>
      <c r="Z290" s="2"/>
      <c r="AA290" s="2"/>
      <c r="AB290" s="2"/>
      <c r="AC290" s="2"/>
      <c r="AD290" s="2"/>
      <c r="AE290" s="2"/>
    </row>
    <row r="291" spans="1:31" ht="12.75" x14ac:dyDescent="0.2">
      <c r="A291" s="53">
        <f ca="1">IFERROR(__xludf.DUMMYFUNCTION("""COMPUTED_VALUE"""),16)</f>
        <v>16</v>
      </c>
      <c r="B291" s="53" t="str">
        <f ca="1">IFERROR(__xludf.DUMMYFUNCTION("""COMPUTED_VALUE"""),"LMG Hoa Vàng Anh")</f>
        <v>LMG Hoa Vàng Anh</v>
      </c>
      <c r="C291" s="53" t="str">
        <f ca="1">IFERROR(__xludf.DUMMYFUNCTION("""COMPUTED_VALUE"""),"MN")</f>
        <v>MN</v>
      </c>
      <c r="D291" s="53" t="str">
        <f ca="1">IFERROR(__xludf.DUMMYFUNCTION("""COMPUTED_VALUE"""),"Bình Tân")</f>
        <v>Bình Tân</v>
      </c>
      <c r="E291" s="53"/>
      <c r="F291" s="53"/>
      <c r="G291" s="53"/>
      <c r="H291" s="53"/>
      <c r="I291" s="53"/>
      <c r="J291" s="53"/>
      <c r="K291" s="53"/>
      <c r="L291" s="53"/>
      <c r="M291" s="53"/>
      <c r="N291" s="54">
        <f ca="1">IFERROR(__xludf.DUMMYFUNCTION("""COMPUTED_VALUE"""),13)</f>
        <v>13</v>
      </c>
      <c r="O291" s="54">
        <f ca="1">IFERROR(__xludf.DUMMYFUNCTION("""COMPUTED_VALUE"""),2)</f>
        <v>2</v>
      </c>
      <c r="P291" s="54"/>
      <c r="Q291" s="54">
        <f ca="1">IFERROR(__xludf.DUMMYFUNCTION("""COMPUTED_VALUE"""),1)</f>
        <v>1</v>
      </c>
      <c r="R291" s="54"/>
      <c r="S291" s="53"/>
      <c r="T291" s="53"/>
      <c r="U291" s="53"/>
      <c r="V291" s="53"/>
      <c r="W291" s="53"/>
      <c r="X291" s="53"/>
      <c r="Y291" s="53"/>
      <c r="Z291" s="2"/>
      <c r="AA291" s="2"/>
      <c r="AB291" s="2"/>
      <c r="AC291" s="2"/>
      <c r="AD291" s="2"/>
      <c r="AE291" s="2"/>
    </row>
    <row r="292" spans="1:31" ht="12.75" x14ac:dyDescent="0.2">
      <c r="A292" s="53">
        <f ca="1">IFERROR(__xludf.DUMMYFUNCTION("""COMPUTED_VALUE"""),17)</f>
        <v>17</v>
      </c>
      <c r="B292" s="53" t="str">
        <f ca="1">IFERROR(__xludf.DUMMYFUNCTION("""COMPUTED_VALUE"""),"LMG Hồng Minh")</f>
        <v>LMG Hồng Minh</v>
      </c>
      <c r="C292" s="53" t="str">
        <f ca="1">IFERROR(__xludf.DUMMYFUNCTION("""COMPUTED_VALUE"""),"MN")</f>
        <v>MN</v>
      </c>
      <c r="D292" s="53" t="str">
        <f ca="1">IFERROR(__xludf.DUMMYFUNCTION("""COMPUTED_VALUE"""),"Bình Tân")</f>
        <v>Bình Tân</v>
      </c>
      <c r="E292" s="53"/>
      <c r="F292" s="53"/>
      <c r="G292" s="53"/>
      <c r="H292" s="53"/>
      <c r="I292" s="53"/>
      <c r="J292" s="53"/>
      <c r="K292" s="53"/>
      <c r="L292" s="53"/>
      <c r="M292" s="53"/>
      <c r="N292" s="54">
        <f ca="1">IFERROR(__xludf.DUMMYFUNCTION("""COMPUTED_VALUE"""),17)</f>
        <v>17</v>
      </c>
      <c r="O292" s="54">
        <f ca="1">IFERROR(__xludf.DUMMYFUNCTION("""COMPUTED_VALUE"""),17)</f>
        <v>17</v>
      </c>
      <c r="P292" s="54"/>
      <c r="Q292" s="54">
        <f ca="1">IFERROR(__xludf.DUMMYFUNCTION("""COMPUTED_VALUE"""),17)</f>
        <v>17</v>
      </c>
      <c r="R292" s="54"/>
      <c r="S292" s="53"/>
      <c r="T292" s="53"/>
      <c r="U292" s="53"/>
      <c r="V292" s="53"/>
      <c r="W292" s="53"/>
      <c r="X292" s="53"/>
      <c r="Y292" s="53"/>
      <c r="Z292" s="2"/>
      <c r="AA292" s="2"/>
      <c r="AB292" s="2"/>
      <c r="AC292" s="2"/>
      <c r="AD292" s="2"/>
      <c r="AE292" s="2"/>
    </row>
    <row r="293" spans="1:31" ht="12.75" x14ac:dyDescent="0.2">
      <c r="A293" s="53">
        <f ca="1">IFERROR(__xludf.DUMMYFUNCTION("""COMPUTED_VALUE"""),18)</f>
        <v>18</v>
      </c>
      <c r="B293" s="53" t="str">
        <f ca="1">IFERROR(__xludf.DUMMYFUNCTION("""COMPUTED_VALUE"""),"LMG Kiều Châu")</f>
        <v>LMG Kiều Châu</v>
      </c>
      <c r="C293" s="53" t="str">
        <f ca="1">IFERROR(__xludf.DUMMYFUNCTION("""COMPUTED_VALUE"""),"MN")</f>
        <v>MN</v>
      </c>
      <c r="D293" s="53" t="str">
        <f ca="1">IFERROR(__xludf.DUMMYFUNCTION("""COMPUTED_VALUE"""),"Bình Tân")</f>
        <v>Bình Tân</v>
      </c>
      <c r="E293" s="53"/>
      <c r="F293" s="53"/>
      <c r="G293" s="53"/>
      <c r="H293" s="53"/>
      <c r="I293" s="53"/>
      <c r="J293" s="53"/>
      <c r="K293" s="53"/>
      <c r="L293" s="53"/>
      <c r="M293" s="53"/>
      <c r="N293" s="54">
        <f ca="1">IFERROR(__xludf.DUMMYFUNCTION("""COMPUTED_VALUE"""),17)</f>
        <v>17</v>
      </c>
      <c r="O293" s="54">
        <f ca="1">IFERROR(__xludf.DUMMYFUNCTION("""COMPUTED_VALUE"""),13)</f>
        <v>13</v>
      </c>
      <c r="P293" s="54"/>
      <c r="Q293" s="54">
        <f ca="1">IFERROR(__xludf.DUMMYFUNCTION("""COMPUTED_VALUE"""),11)</f>
        <v>11</v>
      </c>
      <c r="R293" s="54"/>
      <c r="S293" s="53"/>
      <c r="T293" s="53"/>
      <c r="U293" s="53"/>
      <c r="V293" s="53"/>
      <c r="W293" s="53"/>
      <c r="X293" s="53"/>
      <c r="Y293" s="53"/>
      <c r="Z293" s="2"/>
      <c r="AA293" s="2"/>
      <c r="AB293" s="2"/>
      <c r="AC293" s="2"/>
      <c r="AD293" s="2"/>
      <c r="AE293" s="2"/>
    </row>
    <row r="294" spans="1:31" ht="12.75" x14ac:dyDescent="0.2">
      <c r="A294" s="53">
        <f ca="1">IFERROR(__xludf.DUMMYFUNCTION("""COMPUTED_VALUE"""),19)</f>
        <v>19</v>
      </c>
      <c r="B294" s="53" t="str">
        <f ca="1">IFERROR(__xludf.DUMMYFUNCTION("""COMPUTED_VALUE"""),"LMG Lá Xanh")</f>
        <v>LMG Lá Xanh</v>
      </c>
      <c r="C294" s="53" t="str">
        <f ca="1">IFERROR(__xludf.DUMMYFUNCTION("""COMPUTED_VALUE"""),"MN")</f>
        <v>MN</v>
      </c>
      <c r="D294" s="53" t="str">
        <f ca="1">IFERROR(__xludf.DUMMYFUNCTION("""COMPUTED_VALUE"""),"Bình Tân")</f>
        <v>Bình Tân</v>
      </c>
      <c r="E294" s="53"/>
      <c r="F294" s="53"/>
      <c r="G294" s="53"/>
      <c r="H294" s="53"/>
      <c r="I294" s="53"/>
      <c r="J294" s="53"/>
      <c r="K294" s="53"/>
      <c r="L294" s="53"/>
      <c r="M294" s="53"/>
      <c r="N294" s="54">
        <f ca="1">IFERROR(__xludf.DUMMYFUNCTION("""COMPUTED_VALUE"""),19)</f>
        <v>19</v>
      </c>
      <c r="O294" s="54">
        <f ca="1">IFERROR(__xludf.DUMMYFUNCTION("""COMPUTED_VALUE"""),8)</f>
        <v>8</v>
      </c>
      <c r="P294" s="54"/>
      <c r="Q294" s="54">
        <f ca="1">IFERROR(__xludf.DUMMYFUNCTION("""COMPUTED_VALUE"""),8)</f>
        <v>8</v>
      </c>
      <c r="R294" s="54"/>
      <c r="S294" s="53"/>
      <c r="T294" s="53"/>
      <c r="U294" s="53"/>
      <c r="V294" s="53"/>
      <c r="W294" s="53"/>
      <c r="X294" s="53"/>
      <c r="Y294" s="53"/>
      <c r="Z294" s="2"/>
      <c r="AA294" s="2"/>
      <c r="AB294" s="2"/>
      <c r="AC294" s="2"/>
      <c r="AD294" s="2"/>
      <c r="AE294" s="2"/>
    </row>
    <row r="295" spans="1:31" ht="12.75" x14ac:dyDescent="0.2">
      <c r="A295" s="53">
        <f ca="1">IFERROR(__xludf.DUMMYFUNCTION("""COMPUTED_VALUE"""),20)</f>
        <v>20</v>
      </c>
      <c r="B295" s="53" t="str">
        <f ca="1">IFERROR(__xludf.DUMMYFUNCTION("""COMPUTED_VALUE"""),"LMG Ngôi sao xanh")</f>
        <v>LMG Ngôi sao xanh</v>
      </c>
      <c r="C295" s="53" t="str">
        <f ca="1">IFERROR(__xludf.DUMMYFUNCTION("""COMPUTED_VALUE"""),"MN")</f>
        <v>MN</v>
      </c>
      <c r="D295" s="53" t="str">
        <f ca="1">IFERROR(__xludf.DUMMYFUNCTION("""COMPUTED_VALUE"""),"Bình Tân")</f>
        <v>Bình Tân</v>
      </c>
      <c r="E295" s="53"/>
      <c r="F295" s="53"/>
      <c r="G295" s="53"/>
      <c r="H295" s="53"/>
      <c r="I295" s="53"/>
      <c r="J295" s="53"/>
      <c r="K295" s="53"/>
      <c r="L295" s="53"/>
      <c r="M295" s="53"/>
      <c r="N295" s="54">
        <f ca="1">IFERROR(__xludf.DUMMYFUNCTION("""COMPUTED_VALUE"""),16)</f>
        <v>16</v>
      </c>
      <c r="O295" s="54">
        <f ca="1">IFERROR(__xludf.DUMMYFUNCTION("""COMPUTED_VALUE"""),8)</f>
        <v>8</v>
      </c>
      <c r="P295" s="54"/>
      <c r="Q295" s="54">
        <f ca="1">IFERROR(__xludf.DUMMYFUNCTION("""COMPUTED_VALUE"""),6)</f>
        <v>6</v>
      </c>
      <c r="R295" s="54"/>
      <c r="S295" s="53"/>
      <c r="T295" s="53"/>
      <c r="U295" s="53"/>
      <c r="V295" s="53"/>
      <c r="W295" s="53"/>
      <c r="X295" s="53"/>
      <c r="Y295" s="53"/>
      <c r="Z295" s="2"/>
      <c r="AA295" s="2"/>
      <c r="AB295" s="2"/>
      <c r="AC295" s="2"/>
      <c r="AD295" s="2"/>
      <c r="AE295" s="2"/>
    </row>
    <row r="296" spans="1:31" ht="12.75" x14ac:dyDescent="0.2">
      <c r="A296" s="53">
        <f ca="1">IFERROR(__xludf.DUMMYFUNCTION("""COMPUTED_VALUE"""),21)</f>
        <v>21</v>
      </c>
      <c r="B296" s="53" t="str">
        <f ca="1">IFERROR(__xludf.DUMMYFUNCTION("""COMPUTED_VALUE"""),"LMG Nhật Đoan")</f>
        <v>LMG Nhật Đoan</v>
      </c>
      <c r="C296" s="53" t="str">
        <f ca="1">IFERROR(__xludf.DUMMYFUNCTION("""COMPUTED_VALUE"""),"MN")</f>
        <v>MN</v>
      </c>
      <c r="D296" s="53" t="str">
        <f ca="1">IFERROR(__xludf.DUMMYFUNCTION("""COMPUTED_VALUE"""),"Bình Tân")</f>
        <v>Bình Tân</v>
      </c>
      <c r="E296" s="53"/>
      <c r="F296" s="53"/>
      <c r="G296" s="53"/>
      <c r="H296" s="53"/>
      <c r="I296" s="53"/>
      <c r="J296" s="53"/>
      <c r="K296" s="53"/>
      <c r="L296" s="53"/>
      <c r="M296" s="53"/>
      <c r="N296" s="54">
        <f ca="1">IFERROR(__xludf.DUMMYFUNCTION("""COMPUTED_VALUE"""),21)</f>
        <v>21</v>
      </c>
      <c r="O296" s="54">
        <f ca="1">IFERROR(__xludf.DUMMYFUNCTION("""COMPUTED_VALUE"""),10)</f>
        <v>10</v>
      </c>
      <c r="P296" s="54"/>
      <c r="Q296" s="54">
        <f ca="1">IFERROR(__xludf.DUMMYFUNCTION("""COMPUTED_VALUE"""),7)</f>
        <v>7</v>
      </c>
      <c r="R296" s="54"/>
      <c r="S296" s="53"/>
      <c r="T296" s="53"/>
      <c r="U296" s="53"/>
      <c r="V296" s="53"/>
      <c r="W296" s="53"/>
      <c r="X296" s="53"/>
      <c r="Y296" s="53"/>
      <c r="Z296" s="2"/>
      <c r="AA296" s="2"/>
      <c r="AB296" s="2"/>
      <c r="AC296" s="2"/>
      <c r="AD296" s="2"/>
      <c r="AE296" s="2"/>
    </row>
    <row r="297" spans="1:31" ht="12.75" x14ac:dyDescent="0.2">
      <c r="A297" s="53">
        <f ca="1">IFERROR(__xludf.DUMMYFUNCTION("""COMPUTED_VALUE"""),22)</f>
        <v>22</v>
      </c>
      <c r="B297" s="53" t="str">
        <f ca="1">IFERROR(__xludf.DUMMYFUNCTION("""COMPUTED_VALUE"""),"LMG Nhất Lan")</f>
        <v>LMG Nhất Lan</v>
      </c>
      <c r="C297" s="53" t="str">
        <f ca="1">IFERROR(__xludf.DUMMYFUNCTION("""COMPUTED_VALUE"""),"MN")</f>
        <v>MN</v>
      </c>
      <c r="D297" s="53" t="str">
        <f ca="1">IFERROR(__xludf.DUMMYFUNCTION("""COMPUTED_VALUE"""),"Bình Tân")</f>
        <v>Bình Tân</v>
      </c>
      <c r="E297" s="53"/>
      <c r="F297" s="53"/>
      <c r="G297" s="53"/>
      <c r="H297" s="53"/>
      <c r="I297" s="53"/>
      <c r="J297" s="53"/>
      <c r="K297" s="53"/>
      <c r="L297" s="53"/>
      <c r="M297" s="53"/>
      <c r="N297" s="54">
        <f ca="1">IFERROR(__xludf.DUMMYFUNCTION("""COMPUTED_VALUE"""),19)</f>
        <v>19</v>
      </c>
      <c r="O297" s="54">
        <f ca="1">IFERROR(__xludf.DUMMYFUNCTION("""COMPUTED_VALUE"""),9)</f>
        <v>9</v>
      </c>
      <c r="P297" s="54"/>
      <c r="Q297" s="54">
        <f ca="1">IFERROR(__xludf.DUMMYFUNCTION("""COMPUTED_VALUE"""),8)</f>
        <v>8</v>
      </c>
      <c r="R297" s="54"/>
      <c r="S297" s="53"/>
      <c r="T297" s="53"/>
      <c r="U297" s="53"/>
      <c r="V297" s="53"/>
      <c r="W297" s="53"/>
      <c r="X297" s="53"/>
      <c r="Y297" s="53"/>
      <c r="Z297" s="2"/>
      <c r="AA297" s="2"/>
      <c r="AB297" s="2"/>
      <c r="AC297" s="2"/>
      <c r="AD297" s="2"/>
      <c r="AE297" s="2"/>
    </row>
    <row r="298" spans="1:31" ht="12.75" x14ac:dyDescent="0.2">
      <c r="A298" s="53">
        <f ca="1">IFERROR(__xludf.DUMMYFUNCTION("""COMPUTED_VALUE"""),23)</f>
        <v>23</v>
      </c>
      <c r="B298" s="53" t="str">
        <f ca="1">IFERROR(__xludf.DUMMYFUNCTION("""COMPUTED_VALUE"""),"LMG Ti Ti")</f>
        <v>LMG Ti Ti</v>
      </c>
      <c r="C298" s="53" t="str">
        <f ca="1">IFERROR(__xludf.DUMMYFUNCTION("""COMPUTED_VALUE"""),"MN")</f>
        <v>MN</v>
      </c>
      <c r="D298" s="53" t="str">
        <f ca="1">IFERROR(__xludf.DUMMYFUNCTION("""COMPUTED_VALUE"""),"Bình Tân")</f>
        <v>Bình Tân</v>
      </c>
      <c r="E298" s="53"/>
      <c r="F298" s="53"/>
      <c r="G298" s="53"/>
      <c r="H298" s="53"/>
      <c r="I298" s="53"/>
      <c r="J298" s="53"/>
      <c r="K298" s="53"/>
      <c r="L298" s="53"/>
      <c r="M298" s="53"/>
      <c r="N298" s="54">
        <f ca="1">IFERROR(__xludf.DUMMYFUNCTION("""COMPUTED_VALUE"""),0)</f>
        <v>0</v>
      </c>
      <c r="O298" s="54">
        <f ca="1">IFERROR(__xludf.DUMMYFUNCTION("""COMPUTED_VALUE"""),0)</f>
        <v>0</v>
      </c>
      <c r="P298" s="54"/>
      <c r="Q298" s="54">
        <f ca="1">IFERROR(__xludf.DUMMYFUNCTION("""COMPUTED_VALUE"""),0)</f>
        <v>0</v>
      </c>
      <c r="R298" s="54"/>
      <c r="S298" s="53"/>
      <c r="T298" s="53"/>
      <c r="U298" s="53"/>
      <c r="V298" s="53"/>
      <c r="W298" s="53"/>
      <c r="X298" s="53"/>
      <c r="Y298" s="53"/>
      <c r="Z298" s="2"/>
      <c r="AA298" s="2"/>
      <c r="AB298" s="2"/>
      <c r="AC298" s="2"/>
      <c r="AD298" s="2"/>
      <c r="AE298" s="2"/>
    </row>
    <row r="299" spans="1:31" ht="12.75" x14ac:dyDescent="0.2">
      <c r="A299" s="53">
        <f ca="1">IFERROR(__xludf.DUMMYFUNCTION("""COMPUTED_VALUE"""),24)</f>
        <v>24</v>
      </c>
      <c r="B299" s="53" t="str">
        <f ca="1">IFERROR(__xludf.DUMMYFUNCTION("""COMPUTED_VALUE"""),"NT Táo Xanh")</f>
        <v>NT Táo Xanh</v>
      </c>
      <c r="C299" s="53" t="str">
        <f ca="1">IFERROR(__xludf.DUMMYFUNCTION("""COMPUTED_VALUE"""),"MN")</f>
        <v>MN</v>
      </c>
      <c r="D299" s="53" t="str">
        <f ca="1">IFERROR(__xludf.DUMMYFUNCTION("""COMPUTED_VALUE"""),"Bình Tân")</f>
        <v>Bình Tân</v>
      </c>
      <c r="E299" s="53"/>
      <c r="F299" s="53"/>
      <c r="G299" s="53"/>
      <c r="H299" s="53"/>
      <c r="I299" s="53"/>
      <c r="J299" s="53"/>
      <c r="K299" s="53"/>
      <c r="L299" s="53"/>
      <c r="M299" s="53"/>
      <c r="N299" s="54">
        <f ca="1">IFERROR(__xludf.DUMMYFUNCTION("""COMPUTED_VALUE"""),5)</f>
        <v>5</v>
      </c>
      <c r="O299" s="54">
        <f ca="1">IFERROR(__xludf.DUMMYFUNCTION("""COMPUTED_VALUE"""),5)</f>
        <v>5</v>
      </c>
      <c r="P299" s="54"/>
      <c r="Q299" s="54">
        <f ca="1">IFERROR(__xludf.DUMMYFUNCTION("""COMPUTED_VALUE"""),4)</f>
        <v>4</v>
      </c>
      <c r="R299" s="54"/>
      <c r="S299" s="53"/>
      <c r="T299" s="53"/>
      <c r="U299" s="53"/>
      <c r="V299" s="53"/>
      <c r="W299" s="53"/>
      <c r="X299" s="53"/>
      <c r="Y299" s="53"/>
      <c r="Z299" s="2"/>
      <c r="AA299" s="2"/>
      <c r="AB299" s="2"/>
      <c r="AC299" s="2"/>
      <c r="AD299" s="2"/>
      <c r="AE299" s="2"/>
    </row>
    <row r="300" spans="1:31" ht="12.75" x14ac:dyDescent="0.2">
      <c r="A300" s="53">
        <f ca="1">IFERROR(__xludf.DUMMYFUNCTION("""COMPUTED_VALUE"""),25)</f>
        <v>25</v>
      </c>
      <c r="B300" s="53" t="str">
        <f ca="1">IFERROR(__xludf.DUMMYFUNCTION("""COMPUTED_VALUE"""),"LMG Nhật Hy")</f>
        <v>LMG Nhật Hy</v>
      </c>
      <c r="C300" s="53" t="str">
        <f ca="1">IFERROR(__xludf.DUMMYFUNCTION("""COMPUTED_VALUE"""),"MN")</f>
        <v>MN</v>
      </c>
      <c r="D300" s="53" t="str">
        <f ca="1">IFERROR(__xludf.DUMMYFUNCTION("""COMPUTED_VALUE"""),"Bình Tân")</f>
        <v>Bình Tân</v>
      </c>
      <c r="E300" s="53"/>
      <c r="F300" s="53"/>
      <c r="G300" s="53"/>
      <c r="H300" s="53"/>
      <c r="I300" s="53"/>
      <c r="J300" s="53"/>
      <c r="K300" s="53"/>
      <c r="L300" s="53"/>
      <c r="M300" s="53"/>
      <c r="N300" s="54">
        <f ca="1">IFERROR(__xludf.DUMMYFUNCTION("""COMPUTED_VALUE"""),21)</f>
        <v>21</v>
      </c>
      <c r="O300" s="54">
        <f ca="1">IFERROR(__xludf.DUMMYFUNCTION("""COMPUTED_VALUE"""),7)</f>
        <v>7</v>
      </c>
      <c r="P300" s="54"/>
      <c r="Q300" s="54">
        <f ca="1">IFERROR(__xludf.DUMMYFUNCTION("""COMPUTED_VALUE"""),5)</f>
        <v>5</v>
      </c>
      <c r="R300" s="54"/>
      <c r="S300" s="53"/>
      <c r="T300" s="53"/>
      <c r="U300" s="53"/>
      <c r="V300" s="53"/>
      <c r="W300" s="53"/>
      <c r="X300" s="53"/>
      <c r="Y300" s="53"/>
      <c r="Z300" s="2"/>
      <c r="AA300" s="2"/>
      <c r="AB300" s="2"/>
      <c r="AC300" s="2"/>
      <c r="AD300" s="2"/>
      <c r="AE300" s="2"/>
    </row>
    <row r="301" spans="1:31" ht="12.75" x14ac:dyDescent="0.2">
      <c r="A301" s="53">
        <f ca="1">IFERROR(__xludf.DUMMYFUNCTION("""COMPUTED_VALUE"""),26)</f>
        <v>26</v>
      </c>
      <c r="B301" s="53" t="str">
        <f ca="1">IFERROR(__xludf.DUMMYFUNCTION("""COMPUTED_VALUE"""),"LMG Phương My")</f>
        <v>LMG Phương My</v>
      </c>
      <c r="C301" s="53" t="str">
        <f ca="1">IFERROR(__xludf.DUMMYFUNCTION("""COMPUTED_VALUE"""),"MN")</f>
        <v>MN</v>
      </c>
      <c r="D301" s="53" t="str">
        <f ca="1">IFERROR(__xludf.DUMMYFUNCTION("""COMPUTED_VALUE"""),"Bình Tân")</f>
        <v>Bình Tân</v>
      </c>
      <c r="E301" s="53"/>
      <c r="F301" s="53"/>
      <c r="G301" s="53"/>
      <c r="H301" s="53"/>
      <c r="I301" s="53"/>
      <c r="J301" s="53"/>
      <c r="K301" s="53"/>
      <c r="L301" s="53"/>
      <c r="M301" s="53"/>
      <c r="N301" s="54">
        <f ca="1">IFERROR(__xludf.DUMMYFUNCTION("""COMPUTED_VALUE"""),14)</f>
        <v>14</v>
      </c>
      <c r="O301" s="54">
        <f ca="1">IFERROR(__xludf.DUMMYFUNCTION("""COMPUTED_VALUE"""),8)</f>
        <v>8</v>
      </c>
      <c r="P301" s="54"/>
      <c r="Q301" s="54">
        <f ca="1">IFERROR(__xludf.DUMMYFUNCTION("""COMPUTED_VALUE"""),3)</f>
        <v>3</v>
      </c>
      <c r="R301" s="54"/>
      <c r="S301" s="53"/>
      <c r="T301" s="53"/>
      <c r="U301" s="53"/>
      <c r="V301" s="53"/>
      <c r="W301" s="53"/>
      <c r="X301" s="53"/>
      <c r="Y301" s="53"/>
      <c r="Z301" s="2"/>
      <c r="AA301" s="2"/>
      <c r="AB301" s="2"/>
      <c r="AC301" s="2"/>
      <c r="AD301" s="2"/>
      <c r="AE301" s="2"/>
    </row>
    <row r="302" spans="1:31" ht="12.75" x14ac:dyDescent="0.2">
      <c r="A302" s="53">
        <f ca="1">IFERROR(__xludf.DUMMYFUNCTION("""COMPUTED_VALUE"""),27)</f>
        <v>27</v>
      </c>
      <c r="B302" s="53" t="str">
        <f ca="1">IFERROR(__xludf.DUMMYFUNCTION("""COMPUTED_VALUE"""),"LMG Khánh Vy(mới)")</f>
        <v>LMG Khánh Vy(mới)</v>
      </c>
      <c r="C302" s="53" t="str">
        <f ca="1">IFERROR(__xludf.DUMMYFUNCTION("""COMPUTED_VALUE"""),"MN")</f>
        <v>MN</v>
      </c>
      <c r="D302" s="53" t="str">
        <f ca="1">IFERROR(__xludf.DUMMYFUNCTION("""COMPUTED_VALUE"""),"Bình Tân")</f>
        <v>Bình Tân</v>
      </c>
      <c r="E302" s="53"/>
      <c r="F302" s="53"/>
      <c r="G302" s="53"/>
      <c r="H302" s="53"/>
      <c r="I302" s="53"/>
      <c r="J302" s="53"/>
      <c r="K302" s="53"/>
      <c r="L302" s="53"/>
      <c r="M302" s="53"/>
      <c r="N302" s="54">
        <f ca="1">IFERROR(__xludf.DUMMYFUNCTION("""COMPUTED_VALUE"""),10)</f>
        <v>10</v>
      </c>
      <c r="O302" s="54">
        <f ca="1">IFERROR(__xludf.DUMMYFUNCTION("""COMPUTED_VALUE"""),5)</f>
        <v>5</v>
      </c>
      <c r="P302" s="54"/>
      <c r="Q302" s="54">
        <f ca="1">IFERROR(__xludf.DUMMYFUNCTION("""COMPUTED_VALUE"""),4)</f>
        <v>4</v>
      </c>
      <c r="R302" s="54"/>
      <c r="S302" s="53"/>
      <c r="T302" s="53"/>
      <c r="U302" s="53"/>
      <c r="V302" s="53"/>
      <c r="W302" s="53"/>
      <c r="X302" s="53"/>
      <c r="Y302" s="53"/>
      <c r="Z302" s="2"/>
      <c r="AA302" s="2"/>
      <c r="AB302" s="2"/>
      <c r="AC302" s="2"/>
      <c r="AD302" s="2"/>
      <c r="AE302" s="2"/>
    </row>
    <row r="303" spans="1:31" ht="12.75" x14ac:dyDescent="0.2">
      <c r="A303" s="53">
        <f ca="1">IFERROR(__xludf.DUMMYFUNCTION("""COMPUTED_VALUE"""),1)</f>
        <v>1</v>
      </c>
      <c r="B303" s="53" t="str">
        <f ca="1">IFERROR(__xludf.DUMMYFUNCTION("""COMPUTED_VALUE"""),"Chuyên biệt Bình Tân")</f>
        <v>Chuyên biệt Bình Tân</v>
      </c>
      <c r="C303" s="53" t="str">
        <f ca="1">IFERROR(__xludf.DUMMYFUNCTION("""COMPUTED_VALUE"""),"CB")</f>
        <v>CB</v>
      </c>
      <c r="D303" s="53" t="str">
        <f ca="1">IFERROR(__xludf.DUMMYFUNCTION("""COMPUTED_VALUE"""),"Bình Tân")</f>
        <v>Bình Tân</v>
      </c>
      <c r="E303" s="53"/>
      <c r="F303" s="53"/>
      <c r="G303" s="53"/>
      <c r="H303" s="53"/>
      <c r="I303" s="53"/>
      <c r="J303" s="53"/>
      <c r="K303" s="53"/>
      <c r="L303" s="53"/>
      <c r="M303" s="53"/>
      <c r="N303" s="54">
        <f ca="1">IFERROR(__xludf.DUMMYFUNCTION("""COMPUTED_VALUE"""),137)</f>
        <v>137</v>
      </c>
      <c r="O303" s="54">
        <f ca="1">IFERROR(__xludf.DUMMYFUNCTION("""COMPUTED_VALUE"""),93)</f>
        <v>93</v>
      </c>
      <c r="P303" s="54"/>
      <c r="Q303" s="54">
        <f ca="1">IFERROR(__xludf.DUMMYFUNCTION("""COMPUTED_VALUE"""),49)</f>
        <v>49</v>
      </c>
      <c r="R303" s="54"/>
      <c r="S303" s="53"/>
      <c r="T303" s="53"/>
      <c r="U303" s="53"/>
      <c r="V303" s="53"/>
      <c r="W303" s="53"/>
      <c r="X303" s="53"/>
      <c r="Y303" s="53"/>
      <c r="Z303" s="2"/>
      <c r="AA303" s="2"/>
      <c r="AB303" s="2"/>
      <c r="AC303" s="2"/>
      <c r="AD303" s="2"/>
      <c r="AE303" s="2"/>
    </row>
    <row r="304" spans="1:31" ht="12.75" x14ac:dyDescent="0.2">
      <c r="A304" s="53">
        <f ca="1">IFERROR(__xludf.DUMMYFUNCTION("""COMPUTED_VALUE"""),1)</f>
        <v>1</v>
      </c>
      <c r="B304" s="53" t="str">
        <f ca="1">IFERROR(__xludf.DUMMYFUNCTION("""COMPUTED_VALUE"""),"THPT An Lạc")</f>
        <v>THPT An Lạc</v>
      </c>
      <c r="C304" s="53" t="str">
        <f ca="1">IFERROR(__xludf.DUMMYFUNCTION("""COMPUTED_VALUE"""),"THPT")</f>
        <v>THPT</v>
      </c>
      <c r="D304" s="53" t="str">
        <f ca="1">IFERROR(__xludf.DUMMYFUNCTION("""COMPUTED_VALUE"""),"Bình Tân")</f>
        <v>Bình Tân</v>
      </c>
      <c r="E304" s="53"/>
      <c r="F304" s="53"/>
      <c r="G304" s="53"/>
      <c r="H304" s="53"/>
      <c r="I304" s="53"/>
      <c r="J304" s="53"/>
      <c r="K304" s="53"/>
      <c r="L304" s="53"/>
      <c r="M304" s="53"/>
      <c r="N304" s="53"/>
      <c r="O304" s="53"/>
      <c r="P304" s="53"/>
      <c r="Q304" s="53"/>
      <c r="R304" s="53"/>
      <c r="S304" s="54">
        <f ca="1">IFERROR(__xludf.DUMMYFUNCTION("""COMPUTED_VALUE"""),2001)</f>
        <v>2001</v>
      </c>
      <c r="T304" s="54">
        <f ca="1">IFERROR(__xludf.DUMMYFUNCTION("""COMPUTED_VALUE"""),1996)</f>
        <v>1996</v>
      </c>
      <c r="U304" s="54"/>
      <c r="V304" s="54">
        <f ca="1">IFERROR(__xludf.DUMMYFUNCTION("""COMPUTED_VALUE"""),1994)</f>
        <v>1994</v>
      </c>
      <c r="W304" s="54"/>
      <c r="X304" s="54">
        <f ca="1">IFERROR(__xludf.DUMMYFUNCTION("""COMPUTED_VALUE"""),920)</f>
        <v>920</v>
      </c>
      <c r="Y304" s="54"/>
      <c r="Z304" s="2"/>
      <c r="AA304" s="2"/>
      <c r="AB304" s="2"/>
      <c r="AC304" s="2"/>
      <c r="AD304" s="2"/>
      <c r="AE304" s="2"/>
    </row>
    <row r="305" spans="1:31" ht="12.75" x14ac:dyDescent="0.2">
      <c r="A305" s="53">
        <f ca="1">IFERROR(__xludf.DUMMYFUNCTION("""COMPUTED_VALUE"""),2)</f>
        <v>2</v>
      </c>
      <c r="B305" s="53" t="str">
        <f ca="1">IFERROR(__xludf.DUMMYFUNCTION("""COMPUTED_VALUE"""),"THPT Phú Lâm")</f>
        <v>THPT Phú Lâm</v>
      </c>
      <c r="C305" s="53" t="str">
        <f ca="1">IFERROR(__xludf.DUMMYFUNCTION("""COMPUTED_VALUE"""),"THPT")</f>
        <v>THPT</v>
      </c>
      <c r="D305" s="53" t="str">
        <f ca="1">IFERROR(__xludf.DUMMYFUNCTION("""COMPUTED_VALUE"""),"Bình Tân")</f>
        <v>Bình Tân</v>
      </c>
      <c r="E305" s="53"/>
      <c r="F305" s="53"/>
      <c r="G305" s="53"/>
      <c r="H305" s="53"/>
      <c r="I305" s="53"/>
      <c r="J305" s="53"/>
      <c r="K305" s="53"/>
      <c r="L305" s="53"/>
      <c r="M305" s="53"/>
      <c r="N305" s="53"/>
      <c r="O305" s="53"/>
      <c r="P305" s="53"/>
      <c r="Q305" s="53"/>
      <c r="R305" s="53"/>
      <c r="S305" s="54">
        <f ca="1">IFERROR(__xludf.DUMMYFUNCTION("""COMPUTED_VALUE"""),836)</f>
        <v>836</v>
      </c>
      <c r="T305" s="54">
        <f ca="1">IFERROR(__xludf.DUMMYFUNCTION("""COMPUTED_VALUE"""),836)</f>
        <v>836</v>
      </c>
      <c r="U305" s="54"/>
      <c r="V305" s="54">
        <f ca="1">IFERROR(__xludf.DUMMYFUNCTION("""COMPUTED_VALUE"""),836)</f>
        <v>836</v>
      </c>
      <c r="W305" s="54"/>
      <c r="X305" s="54">
        <f ca="1">IFERROR(__xludf.DUMMYFUNCTION("""COMPUTED_VALUE"""),167)</f>
        <v>167</v>
      </c>
      <c r="Y305" s="54"/>
      <c r="Z305" s="2"/>
      <c r="AA305" s="2"/>
      <c r="AB305" s="2"/>
      <c r="AC305" s="2"/>
      <c r="AD305" s="2"/>
      <c r="AE305" s="2"/>
    </row>
    <row r="306" spans="1:31" ht="12.75" x14ac:dyDescent="0.2">
      <c r="A306" s="53">
        <f ca="1">IFERROR(__xludf.DUMMYFUNCTION("""COMPUTED_VALUE"""),3)</f>
        <v>3</v>
      </c>
      <c r="B306" s="53" t="str">
        <f ca="1">IFERROR(__xludf.DUMMYFUNCTION("""COMPUTED_VALUE"""),"THPT Bình Tân")</f>
        <v>THPT Bình Tân</v>
      </c>
      <c r="C306" s="53" t="str">
        <f ca="1">IFERROR(__xludf.DUMMYFUNCTION("""COMPUTED_VALUE"""),"THPT")</f>
        <v>THPT</v>
      </c>
      <c r="D306" s="53" t="str">
        <f ca="1">IFERROR(__xludf.DUMMYFUNCTION("""COMPUTED_VALUE"""),"Bình Tân")</f>
        <v>Bình Tân</v>
      </c>
      <c r="E306" s="53"/>
      <c r="F306" s="53"/>
      <c r="G306" s="53"/>
      <c r="H306" s="53"/>
      <c r="I306" s="53"/>
      <c r="J306" s="53"/>
      <c r="K306" s="53"/>
      <c r="L306" s="53"/>
      <c r="M306" s="53"/>
      <c r="N306" s="53"/>
      <c r="O306" s="53"/>
      <c r="P306" s="53"/>
      <c r="Q306" s="53"/>
      <c r="R306" s="53"/>
      <c r="S306" s="54">
        <f ca="1">IFERROR(__xludf.DUMMYFUNCTION("""COMPUTED_VALUE"""),1704)</f>
        <v>1704</v>
      </c>
      <c r="T306" s="54">
        <f ca="1">IFERROR(__xludf.DUMMYFUNCTION("""COMPUTED_VALUE"""),1700)</f>
        <v>1700</v>
      </c>
      <c r="U306" s="54"/>
      <c r="V306" s="54">
        <f ca="1">IFERROR(__xludf.DUMMYFUNCTION("""COMPUTED_VALUE"""),1448)</f>
        <v>1448</v>
      </c>
      <c r="W306" s="54"/>
      <c r="X306" s="54">
        <f ca="1">IFERROR(__xludf.DUMMYFUNCTION("""COMPUTED_VALUE"""),510)</f>
        <v>510</v>
      </c>
      <c r="Y306" s="54"/>
      <c r="Z306" s="2"/>
      <c r="AA306" s="2"/>
      <c r="AB306" s="2"/>
      <c r="AC306" s="2"/>
      <c r="AD306" s="2"/>
      <c r="AE306" s="2"/>
    </row>
    <row r="307" spans="1:31" ht="12.75" x14ac:dyDescent="0.2">
      <c r="A307" s="53">
        <f ca="1">IFERROR(__xludf.DUMMYFUNCTION("""COMPUTED_VALUE"""),4)</f>
        <v>4</v>
      </c>
      <c r="B307" s="53" t="str">
        <f ca="1">IFERROR(__xludf.DUMMYFUNCTION("""COMPUTED_VALUE"""),"THPT Trần Nhân Tông")</f>
        <v>THPT Trần Nhân Tông</v>
      </c>
      <c r="C307" s="53" t="str">
        <f ca="1">IFERROR(__xludf.DUMMYFUNCTION("""COMPUTED_VALUE"""),"THPT")</f>
        <v>THPT</v>
      </c>
      <c r="D307" s="53" t="str">
        <f ca="1">IFERROR(__xludf.DUMMYFUNCTION("""COMPUTED_VALUE"""),"Bình Tân")</f>
        <v>Bình Tân</v>
      </c>
      <c r="E307" s="53"/>
      <c r="F307" s="53"/>
      <c r="G307" s="53"/>
      <c r="H307" s="53"/>
      <c r="I307" s="53"/>
      <c r="J307" s="53"/>
      <c r="K307" s="53"/>
      <c r="L307" s="53"/>
      <c r="M307" s="53"/>
      <c r="N307" s="53"/>
      <c r="O307" s="53"/>
      <c r="P307" s="53"/>
      <c r="Q307" s="53"/>
      <c r="R307" s="53"/>
      <c r="S307" s="54">
        <f ca="1">IFERROR(__xludf.DUMMYFUNCTION("""COMPUTED_VALUE"""),210)</f>
        <v>210</v>
      </c>
      <c r="T307" s="54">
        <f ca="1">IFERROR(__xludf.DUMMYFUNCTION("""COMPUTED_VALUE"""),210)</f>
        <v>210</v>
      </c>
      <c r="U307" s="54"/>
      <c r="V307" s="54">
        <f ca="1">IFERROR(__xludf.DUMMYFUNCTION("""COMPUTED_VALUE"""),180)</f>
        <v>180</v>
      </c>
      <c r="W307" s="54"/>
      <c r="X307" s="54">
        <f ca="1">IFERROR(__xludf.DUMMYFUNCTION("""COMPUTED_VALUE"""),55)</f>
        <v>55</v>
      </c>
      <c r="Y307" s="54"/>
      <c r="Z307" s="2"/>
      <c r="AA307" s="2"/>
      <c r="AB307" s="2"/>
      <c r="AC307" s="2"/>
      <c r="AD307" s="2"/>
      <c r="AE307" s="2"/>
    </row>
    <row r="308" spans="1:31" ht="12.75" x14ac:dyDescent="0.2">
      <c r="A308" s="53">
        <f ca="1">IFERROR(__xludf.DUMMYFUNCTION("""COMPUTED_VALUE"""),5)</f>
        <v>5</v>
      </c>
      <c r="B308" s="53" t="str">
        <f ca="1">IFERROR(__xludf.DUMMYFUNCTION("""COMPUTED_VALUE"""),"THPT Nguyễn Hữu Cảnh")</f>
        <v>THPT Nguyễn Hữu Cảnh</v>
      </c>
      <c r="C308" s="53" t="str">
        <f ca="1">IFERROR(__xludf.DUMMYFUNCTION("""COMPUTED_VALUE"""),"THPT")</f>
        <v>THPT</v>
      </c>
      <c r="D308" s="53" t="str">
        <f ca="1">IFERROR(__xludf.DUMMYFUNCTION("""COMPUTED_VALUE"""),"Bình Tân")</f>
        <v>Bình Tân</v>
      </c>
      <c r="E308" s="53"/>
      <c r="F308" s="53"/>
      <c r="G308" s="53"/>
      <c r="H308" s="53"/>
      <c r="I308" s="53"/>
      <c r="J308" s="53"/>
      <c r="K308" s="53"/>
      <c r="L308" s="53"/>
      <c r="M308" s="53"/>
      <c r="N308" s="53"/>
      <c r="O308" s="53"/>
      <c r="P308" s="53"/>
      <c r="Q308" s="53"/>
      <c r="R308" s="53"/>
      <c r="S308" s="54">
        <f ca="1">IFERROR(__xludf.DUMMYFUNCTION("""COMPUTED_VALUE"""),1858)</f>
        <v>1858</v>
      </c>
      <c r="T308" s="54">
        <f ca="1">IFERROR(__xludf.DUMMYFUNCTION("""COMPUTED_VALUE"""),1858)</f>
        <v>1858</v>
      </c>
      <c r="U308" s="54"/>
      <c r="V308" s="54">
        <f ca="1">IFERROR(__xludf.DUMMYFUNCTION("""COMPUTED_VALUE"""),1854)</f>
        <v>1854</v>
      </c>
      <c r="W308" s="54"/>
      <c r="X308" s="54">
        <f ca="1">IFERROR(__xludf.DUMMYFUNCTION("""COMPUTED_VALUE"""),499)</f>
        <v>499</v>
      </c>
      <c r="Y308" s="54"/>
      <c r="Z308" s="2"/>
      <c r="AA308" s="2"/>
      <c r="AB308" s="2"/>
      <c r="AC308" s="2"/>
      <c r="AD308" s="2"/>
      <c r="AE308" s="2"/>
    </row>
    <row r="309" spans="1:31" ht="12.75" x14ac:dyDescent="0.2">
      <c r="A309" s="53">
        <f ca="1">IFERROR(__xludf.DUMMYFUNCTION("""COMPUTED_VALUE"""),6)</f>
        <v>6</v>
      </c>
      <c r="B309" s="53" t="str">
        <f ca="1">IFERROR(__xludf.DUMMYFUNCTION("""COMPUTED_VALUE"""),"THPT Bình Hưng Hòa")</f>
        <v>THPT Bình Hưng Hòa</v>
      </c>
      <c r="C309" s="53" t="str">
        <f ca="1">IFERROR(__xludf.DUMMYFUNCTION("""COMPUTED_VALUE"""),"THPT")</f>
        <v>THPT</v>
      </c>
      <c r="D309" s="53" t="str">
        <f ca="1">IFERROR(__xludf.DUMMYFUNCTION("""COMPUTED_VALUE"""),"Bình Tân")</f>
        <v>Bình Tân</v>
      </c>
      <c r="E309" s="53"/>
      <c r="F309" s="53"/>
      <c r="G309" s="53"/>
      <c r="H309" s="53"/>
      <c r="I309" s="53"/>
      <c r="J309" s="53"/>
      <c r="K309" s="53"/>
      <c r="L309" s="53"/>
      <c r="M309" s="53"/>
      <c r="N309" s="53"/>
      <c r="O309" s="53"/>
      <c r="P309" s="53"/>
      <c r="Q309" s="53"/>
      <c r="R309" s="53"/>
      <c r="S309" s="54">
        <f ca="1">IFERROR(__xludf.DUMMYFUNCTION("""COMPUTED_VALUE"""),2033)</f>
        <v>2033</v>
      </c>
      <c r="T309" s="54">
        <f ca="1">IFERROR(__xludf.DUMMYFUNCTION("""COMPUTED_VALUE"""),2033)</f>
        <v>2033</v>
      </c>
      <c r="U309" s="54"/>
      <c r="V309" s="54">
        <f ca="1">IFERROR(__xludf.DUMMYFUNCTION("""COMPUTED_VALUE"""),2033)</f>
        <v>2033</v>
      </c>
      <c r="W309" s="54"/>
      <c r="X309" s="54">
        <f ca="1">IFERROR(__xludf.DUMMYFUNCTION("""COMPUTED_VALUE"""),622)</f>
        <v>622</v>
      </c>
      <c r="Y309" s="54"/>
      <c r="Z309" s="2"/>
      <c r="AA309" s="2"/>
      <c r="AB309" s="2"/>
      <c r="AC309" s="2"/>
      <c r="AD309" s="2"/>
      <c r="AE309" s="2"/>
    </row>
    <row r="310" spans="1:31" ht="12.75" x14ac:dyDescent="0.2">
      <c r="A310" s="53">
        <f ca="1">IFERROR(__xludf.DUMMYFUNCTION("""COMPUTED_VALUE"""),7)</f>
        <v>7</v>
      </c>
      <c r="B310" s="53" t="str">
        <f ca="1">IFERROR(__xludf.DUMMYFUNCTION("""COMPUTED_VALUE"""),"THPT Vĩnh Lộc")</f>
        <v>THPT Vĩnh Lộc</v>
      </c>
      <c r="C310" s="53" t="str">
        <f ca="1">IFERROR(__xludf.DUMMYFUNCTION("""COMPUTED_VALUE"""),"THPT")</f>
        <v>THPT</v>
      </c>
      <c r="D310" s="53" t="str">
        <f ca="1">IFERROR(__xludf.DUMMYFUNCTION("""COMPUTED_VALUE"""),"Bình Tân")</f>
        <v>Bình Tân</v>
      </c>
      <c r="E310" s="53"/>
      <c r="F310" s="53"/>
      <c r="G310" s="53"/>
      <c r="H310" s="53"/>
      <c r="I310" s="53"/>
      <c r="J310" s="53"/>
      <c r="K310" s="53"/>
      <c r="L310" s="53"/>
      <c r="M310" s="53"/>
      <c r="N310" s="53"/>
      <c r="O310" s="53"/>
      <c r="P310" s="53"/>
      <c r="Q310" s="53"/>
      <c r="R310" s="53"/>
      <c r="S310" s="54">
        <f ca="1">IFERROR(__xludf.DUMMYFUNCTION("""COMPUTED_VALUE"""),1348)</f>
        <v>1348</v>
      </c>
      <c r="T310" s="54">
        <f ca="1">IFERROR(__xludf.DUMMYFUNCTION("""COMPUTED_VALUE"""),1348)</f>
        <v>1348</v>
      </c>
      <c r="U310" s="54"/>
      <c r="V310" s="54">
        <f ca="1">IFERROR(__xludf.DUMMYFUNCTION("""COMPUTED_VALUE"""),1348)</f>
        <v>1348</v>
      </c>
      <c r="W310" s="54"/>
      <c r="X310" s="54">
        <f ca="1">IFERROR(__xludf.DUMMYFUNCTION("""COMPUTED_VALUE"""),372)</f>
        <v>372</v>
      </c>
      <c r="Y310" s="54"/>
      <c r="Z310" s="2"/>
      <c r="AA310" s="2"/>
      <c r="AB310" s="2"/>
      <c r="AC310" s="2"/>
      <c r="AD310" s="2"/>
      <c r="AE310" s="2"/>
    </row>
    <row r="311" spans="1:31" ht="12.75" x14ac:dyDescent="0.2">
      <c r="A311" s="53">
        <f ca="1">IFERROR(__xludf.DUMMYFUNCTION("""COMPUTED_VALUE"""),8)</f>
        <v>8</v>
      </c>
      <c r="B311" s="53" t="str">
        <f ca="1">IFERROR(__xludf.DUMMYFUNCTION("""COMPUTED_VALUE"""),"THCS Lê Tấn Bê")</f>
        <v>THCS Lê Tấn Bê</v>
      </c>
      <c r="C311" s="53" t="str">
        <f ca="1">IFERROR(__xludf.DUMMYFUNCTION("""COMPUTED_VALUE"""),"THPT")</f>
        <v>THPT</v>
      </c>
      <c r="D311" s="53" t="str">
        <f ca="1">IFERROR(__xludf.DUMMYFUNCTION("""COMPUTED_VALUE"""),"Bình Tân")</f>
        <v>Bình Tân</v>
      </c>
      <c r="E311" s="53"/>
      <c r="F311" s="53"/>
      <c r="G311" s="53"/>
      <c r="H311" s="53"/>
      <c r="I311" s="53"/>
      <c r="J311" s="53"/>
      <c r="K311" s="53"/>
      <c r="L311" s="53"/>
      <c r="M311" s="53"/>
      <c r="N311" s="53"/>
      <c r="O311" s="53"/>
      <c r="P311" s="53"/>
      <c r="Q311" s="53"/>
      <c r="R311" s="53"/>
      <c r="S311" s="54">
        <f ca="1">IFERROR(__xludf.DUMMYFUNCTION("""COMPUTED_VALUE"""),1500)</f>
        <v>1500</v>
      </c>
      <c r="T311" s="54">
        <f ca="1">IFERROR(__xludf.DUMMYFUNCTION("""COMPUTED_VALUE"""),1414)</f>
        <v>1414</v>
      </c>
      <c r="U311" s="54"/>
      <c r="V311" s="54">
        <f ca="1">IFERROR(__xludf.DUMMYFUNCTION("""COMPUTED_VALUE"""),1270)</f>
        <v>1270</v>
      </c>
      <c r="W311" s="54"/>
      <c r="X311" s="54">
        <f ca="1">IFERROR(__xludf.DUMMYFUNCTION("""COMPUTED_VALUE"""),334)</f>
        <v>334</v>
      </c>
      <c r="Y311" s="54"/>
      <c r="Z311" s="2"/>
      <c r="AA311" s="2"/>
      <c r="AB311" s="2"/>
      <c r="AC311" s="2"/>
      <c r="AD311" s="2"/>
      <c r="AE311" s="2"/>
    </row>
    <row r="312" spans="1:31" ht="12.75" x14ac:dyDescent="0.2">
      <c r="A312" s="53">
        <f ca="1">IFERROR(__xludf.DUMMYFUNCTION("""COMPUTED_VALUE"""),9)</f>
        <v>9</v>
      </c>
      <c r="B312" s="53" t="str">
        <f ca="1">IFERROR(__xludf.DUMMYFUNCTION("""COMPUTED_VALUE"""),"THCS Bình Tân")</f>
        <v>THCS Bình Tân</v>
      </c>
      <c r="C312" s="53" t="str">
        <f ca="1">IFERROR(__xludf.DUMMYFUNCTION("""COMPUTED_VALUE"""),"THPT")</f>
        <v>THPT</v>
      </c>
      <c r="D312" s="53" t="str">
        <f ca="1">IFERROR(__xludf.DUMMYFUNCTION("""COMPUTED_VALUE"""),"Bình Tân")</f>
        <v>Bình Tân</v>
      </c>
      <c r="E312" s="53"/>
      <c r="F312" s="53"/>
      <c r="G312" s="53"/>
      <c r="H312" s="53"/>
      <c r="I312" s="53"/>
      <c r="J312" s="53"/>
      <c r="K312" s="53"/>
      <c r="L312" s="53"/>
      <c r="M312" s="53"/>
      <c r="N312" s="53"/>
      <c r="O312" s="53"/>
      <c r="P312" s="53"/>
      <c r="Q312" s="53"/>
      <c r="R312" s="53"/>
      <c r="S312" s="54">
        <f ca="1">IFERROR(__xludf.DUMMYFUNCTION("""COMPUTED_VALUE"""),1255)</f>
        <v>1255</v>
      </c>
      <c r="T312" s="54">
        <f ca="1">IFERROR(__xludf.DUMMYFUNCTION("""COMPUTED_VALUE"""),1175)</f>
        <v>1175</v>
      </c>
      <c r="U312" s="54"/>
      <c r="V312" s="54">
        <f ca="1">IFERROR(__xludf.DUMMYFUNCTION("""COMPUTED_VALUE"""),1060)</f>
        <v>1060</v>
      </c>
      <c r="W312" s="54"/>
      <c r="X312" s="54">
        <f ca="1">IFERROR(__xludf.DUMMYFUNCTION("""COMPUTED_VALUE"""),347)</f>
        <v>347</v>
      </c>
      <c r="Y312" s="54"/>
      <c r="Z312" s="2"/>
      <c r="AA312" s="2"/>
      <c r="AB312" s="2"/>
      <c r="AC312" s="2"/>
      <c r="AD312" s="2"/>
      <c r="AE312" s="2"/>
    </row>
    <row r="313" spans="1:31" ht="12.75" x14ac:dyDescent="0.2">
      <c r="A313" s="53">
        <f ca="1">IFERROR(__xludf.DUMMYFUNCTION("""COMPUTED_VALUE"""),10)</f>
        <v>10</v>
      </c>
      <c r="B313" s="53" t="str">
        <f ca="1">IFERROR(__xludf.DUMMYFUNCTION("""COMPUTED_VALUE"""),"THCS An Lạc")</f>
        <v>THCS An Lạc</v>
      </c>
      <c r="C313" s="53" t="str">
        <f ca="1">IFERROR(__xludf.DUMMYFUNCTION("""COMPUTED_VALUE"""),"THPT")</f>
        <v>THPT</v>
      </c>
      <c r="D313" s="53" t="str">
        <f ca="1">IFERROR(__xludf.DUMMYFUNCTION("""COMPUTED_VALUE"""),"Bình Tân")</f>
        <v>Bình Tân</v>
      </c>
      <c r="E313" s="53"/>
      <c r="F313" s="53"/>
      <c r="G313" s="53"/>
      <c r="H313" s="53"/>
      <c r="I313" s="53"/>
      <c r="J313" s="53"/>
      <c r="K313" s="53"/>
      <c r="L313" s="53"/>
      <c r="M313" s="53"/>
      <c r="N313" s="53"/>
      <c r="O313" s="53"/>
      <c r="P313" s="53"/>
      <c r="Q313" s="53"/>
      <c r="R313" s="53"/>
      <c r="S313" s="54">
        <f ca="1">IFERROR(__xludf.DUMMYFUNCTION("""COMPUTED_VALUE"""),1121)</f>
        <v>1121</v>
      </c>
      <c r="T313" s="54">
        <f ca="1">IFERROR(__xludf.DUMMYFUNCTION("""COMPUTED_VALUE"""),1024)</f>
        <v>1024</v>
      </c>
      <c r="U313" s="54"/>
      <c r="V313" s="54">
        <f ca="1">IFERROR(__xludf.DUMMYFUNCTION("""COMPUTED_VALUE"""),903)</f>
        <v>903</v>
      </c>
      <c r="W313" s="54"/>
      <c r="X313" s="54">
        <f ca="1">IFERROR(__xludf.DUMMYFUNCTION("""COMPUTED_VALUE"""),349)</f>
        <v>349</v>
      </c>
      <c r="Y313" s="54"/>
      <c r="Z313" s="2"/>
      <c r="AA313" s="2"/>
      <c r="AB313" s="2"/>
      <c r="AC313" s="2"/>
      <c r="AD313" s="2"/>
      <c r="AE313" s="2"/>
    </row>
    <row r="314" spans="1:31" ht="12.75" x14ac:dyDescent="0.2">
      <c r="A314" s="53">
        <f ca="1">IFERROR(__xludf.DUMMYFUNCTION("""COMPUTED_VALUE"""),11)</f>
        <v>11</v>
      </c>
      <c r="B314" s="53" t="str">
        <f ca="1">IFERROR(__xludf.DUMMYFUNCTION("""COMPUTED_VALUE"""),"THCS Bình Trị Đông")</f>
        <v>THCS Bình Trị Đông</v>
      </c>
      <c r="C314" s="53" t="str">
        <f ca="1">IFERROR(__xludf.DUMMYFUNCTION("""COMPUTED_VALUE"""),"THCS")</f>
        <v>THCS</v>
      </c>
      <c r="D314" s="53" t="str">
        <f ca="1">IFERROR(__xludf.DUMMYFUNCTION("""COMPUTED_VALUE"""),"Bình Tân")</f>
        <v>Bình Tân</v>
      </c>
      <c r="E314" s="53"/>
      <c r="F314" s="53"/>
      <c r="G314" s="53"/>
      <c r="H314" s="53"/>
      <c r="I314" s="53"/>
      <c r="J314" s="53"/>
      <c r="K314" s="53"/>
      <c r="L314" s="53"/>
      <c r="M314" s="53"/>
      <c r="N314" s="53"/>
      <c r="O314" s="53"/>
      <c r="P314" s="53"/>
      <c r="Q314" s="53"/>
      <c r="R314" s="53"/>
      <c r="S314" s="54">
        <f ca="1">IFERROR(__xludf.DUMMYFUNCTION("""COMPUTED_VALUE"""),1391)</f>
        <v>1391</v>
      </c>
      <c r="T314" s="54">
        <f ca="1">IFERROR(__xludf.DUMMYFUNCTION("""COMPUTED_VALUE"""),1290)</f>
        <v>1290</v>
      </c>
      <c r="U314" s="54"/>
      <c r="V314" s="54">
        <f ca="1">IFERROR(__xludf.DUMMYFUNCTION("""COMPUTED_VALUE"""),1190)</f>
        <v>1190</v>
      </c>
      <c r="W314" s="54"/>
      <c r="X314" s="54">
        <f ca="1">IFERROR(__xludf.DUMMYFUNCTION("""COMPUTED_VALUE"""),305)</f>
        <v>305</v>
      </c>
      <c r="Y314" s="54"/>
      <c r="Z314" s="2"/>
      <c r="AA314" s="2"/>
      <c r="AB314" s="2"/>
      <c r="AC314" s="2"/>
      <c r="AD314" s="2"/>
      <c r="AE314" s="2"/>
    </row>
    <row r="315" spans="1:31" ht="12.75" x14ac:dyDescent="0.2">
      <c r="A315" s="53">
        <f ca="1">IFERROR(__xludf.DUMMYFUNCTION("""COMPUTED_VALUE"""),12)</f>
        <v>12</v>
      </c>
      <c r="B315" s="53" t="str">
        <f ca="1">IFERROR(__xludf.DUMMYFUNCTION("""COMPUTED_VALUE"""),"THCS Lý Thường Kiệt")</f>
        <v>THCS Lý Thường Kiệt</v>
      </c>
      <c r="C315" s="53" t="str">
        <f ca="1">IFERROR(__xludf.DUMMYFUNCTION("""COMPUTED_VALUE"""),"THCS")</f>
        <v>THCS</v>
      </c>
      <c r="D315" s="53" t="str">
        <f ca="1">IFERROR(__xludf.DUMMYFUNCTION("""COMPUTED_VALUE"""),"Bình Tân")</f>
        <v>Bình Tân</v>
      </c>
      <c r="E315" s="53"/>
      <c r="F315" s="53"/>
      <c r="G315" s="53"/>
      <c r="H315" s="53"/>
      <c r="I315" s="53"/>
      <c r="J315" s="53"/>
      <c r="K315" s="53"/>
      <c r="L315" s="53"/>
      <c r="M315" s="53"/>
      <c r="N315" s="53"/>
      <c r="O315" s="53"/>
      <c r="P315" s="53"/>
      <c r="Q315" s="53"/>
      <c r="R315" s="53"/>
      <c r="S315" s="54">
        <f ca="1">IFERROR(__xludf.DUMMYFUNCTION("""COMPUTED_VALUE"""),2588)</f>
        <v>2588</v>
      </c>
      <c r="T315" s="54">
        <f ca="1">IFERROR(__xludf.DUMMYFUNCTION("""COMPUTED_VALUE"""),2486)</f>
        <v>2486</v>
      </c>
      <c r="U315" s="54"/>
      <c r="V315" s="54">
        <f ca="1">IFERROR(__xludf.DUMMYFUNCTION("""COMPUTED_VALUE"""),2311)</f>
        <v>2311</v>
      </c>
      <c r="W315" s="54"/>
      <c r="X315" s="54">
        <f ca="1">IFERROR(__xludf.DUMMYFUNCTION("""COMPUTED_VALUE"""),500)</f>
        <v>500</v>
      </c>
      <c r="Y315" s="54"/>
      <c r="Z315" s="2"/>
      <c r="AA315" s="2"/>
      <c r="AB315" s="2"/>
      <c r="AC315" s="2"/>
      <c r="AD315" s="2"/>
      <c r="AE315" s="2"/>
    </row>
    <row r="316" spans="1:31" ht="12.75" x14ac:dyDescent="0.2">
      <c r="A316" s="53">
        <f ca="1">IFERROR(__xludf.DUMMYFUNCTION("""COMPUTED_VALUE"""),13)</f>
        <v>13</v>
      </c>
      <c r="B316" s="53" t="str">
        <f ca="1">IFERROR(__xludf.DUMMYFUNCTION("""COMPUTED_VALUE"""),"THCS Bình Trị Đông A")</f>
        <v>THCS Bình Trị Đông A</v>
      </c>
      <c r="C316" s="53" t="str">
        <f ca="1">IFERROR(__xludf.DUMMYFUNCTION("""COMPUTED_VALUE"""),"THCS")</f>
        <v>THCS</v>
      </c>
      <c r="D316" s="53" t="str">
        <f ca="1">IFERROR(__xludf.DUMMYFUNCTION("""COMPUTED_VALUE"""),"Bình Tân")</f>
        <v>Bình Tân</v>
      </c>
      <c r="E316" s="53"/>
      <c r="F316" s="53"/>
      <c r="G316" s="53"/>
      <c r="H316" s="53"/>
      <c r="I316" s="53"/>
      <c r="J316" s="53"/>
      <c r="K316" s="53"/>
      <c r="L316" s="53"/>
      <c r="M316" s="53"/>
      <c r="N316" s="53"/>
      <c r="O316" s="53"/>
      <c r="P316" s="53"/>
      <c r="Q316" s="53"/>
      <c r="R316" s="53"/>
      <c r="S316" s="54">
        <f ca="1">IFERROR(__xludf.DUMMYFUNCTION("""COMPUTED_VALUE"""),2031)</f>
        <v>2031</v>
      </c>
      <c r="T316" s="54">
        <f ca="1">IFERROR(__xludf.DUMMYFUNCTION("""COMPUTED_VALUE"""),1951)</f>
        <v>1951</v>
      </c>
      <c r="U316" s="54"/>
      <c r="V316" s="54">
        <f ca="1">IFERROR(__xludf.DUMMYFUNCTION("""COMPUTED_VALUE"""),1739)</f>
        <v>1739</v>
      </c>
      <c r="W316" s="54"/>
      <c r="X316" s="54">
        <f ca="1">IFERROR(__xludf.DUMMYFUNCTION("""COMPUTED_VALUE"""),401)</f>
        <v>401</v>
      </c>
      <c r="Y316" s="54"/>
      <c r="Z316" s="2"/>
      <c r="AA316" s="2"/>
      <c r="AB316" s="2"/>
      <c r="AC316" s="2"/>
      <c r="AD316" s="2"/>
      <c r="AE316" s="2"/>
    </row>
    <row r="317" spans="1:31" ht="12.75" x14ac:dyDescent="0.2">
      <c r="A317" s="53">
        <f ca="1">IFERROR(__xludf.DUMMYFUNCTION("""COMPUTED_VALUE"""),14)</f>
        <v>14</v>
      </c>
      <c r="B317" s="53" t="str">
        <f ca="1">IFERROR(__xludf.DUMMYFUNCTION("""COMPUTED_VALUE"""),"THCS Lạc Long Quân")</f>
        <v>THCS Lạc Long Quân</v>
      </c>
      <c r="C317" s="53" t="str">
        <f ca="1">IFERROR(__xludf.DUMMYFUNCTION("""COMPUTED_VALUE"""),"THCS")</f>
        <v>THCS</v>
      </c>
      <c r="D317" s="53" t="str">
        <f ca="1">IFERROR(__xludf.DUMMYFUNCTION("""COMPUTED_VALUE"""),"Bình Tân")</f>
        <v>Bình Tân</v>
      </c>
      <c r="E317" s="53"/>
      <c r="F317" s="53"/>
      <c r="G317" s="53"/>
      <c r="H317" s="53"/>
      <c r="I317" s="53"/>
      <c r="J317" s="53"/>
      <c r="K317" s="53"/>
      <c r="L317" s="53"/>
      <c r="M317" s="53"/>
      <c r="N317" s="53"/>
      <c r="O317" s="53"/>
      <c r="P317" s="53"/>
      <c r="Q317" s="53"/>
      <c r="R317" s="53"/>
      <c r="S317" s="54">
        <f ca="1">IFERROR(__xludf.DUMMYFUNCTION("""COMPUTED_VALUE"""),846)</f>
        <v>846</v>
      </c>
      <c r="T317" s="54">
        <f ca="1">IFERROR(__xludf.DUMMYFUNCTION("""COMPUTED_VALUE"""),740)</f>
        <v>740</v>
      </c>
      <c r="U317" s="54"/>
      <c r="V317" s="54">
        <f ca="1">IFERROR(__xludf.DUMMYFUNCTION("""COMPUTED_VALUE"""),727)</f>
        <v>727</v>
      </c>
      <c r="W317" s="54"/>
      <c r="X317" s="54">
        <f ca="1">IFERROR(__xludf.DUMMYFUNCTION("""COMPUTED_VALUE"""),69)</f>
        <v>69</v>
      </c>
      <c r="Y317" s="54"/>
      <c r="Z317" s="2"/>
      <c r="AA317" s="2"/>
      <c r="AB317" s="2"/>
      <c r="AC317" s="2"/>
      <c r="AD317" s="2"/>
      <c r="AE317" s="2"/>
    </row>
    <row r="318" spans="1:31" ht="12.75" x14ac:dyDescent="0.2">
      <c r="A318" s="53">
        <f ca="1">IFERROR(__xludf.DUMMYFUNCTION("""COMPUTED_VALUE"""),15)</f>
        <v>15</v>
      </c>
      <c r="B318" s="53" t="str">
        <f ca="1">IFERROR(__xludf.DUMMYFUNCTION("""COMPUTED_VALUE"""),"THCS Nguyễn Trãi")</f>
        <v>THCS Nguyễn Trãi</v>
      </c>
      <c r="C318" s="53" t="str">
        <f ca="1">IFERROR(__xludf.DUMMYFUNCTION("""COMPUTED_VALUE"""),"THCS")</f>
        <v>THCS</v>
      </c>
      <c r="D318" s="53" t="str">
        <f ca="1">IFERROR(__xludf.DUMMYFUNCTION("""COMPUTED_VALUE"""),"Bình Tân")</f>
        <v>Bình Tân</v>
      </c>
      <c r="E318" s="53"/>
      <c r="F318" s="53"/>
      <c r="G318" s="53"/>
      <c r="H318" s="53"/>
      <c r="I318" s="53"/>
      <c r="J318" s="53"/>
      <c r="K318" s="53"/>
      <c r="L318" s="53"/>
      <c r="M318" s="53"/>
      <c r="N318" s="53"/>
      <c r="O318" s="53"/>
      <c r="P318" s="53"/>
      <c r="Q318" s="53"/>
      <c r="R318" s="53"/>
      <c r="S318" s="54">
        <f ca="1">IFERROR(__xludf.DUMMYFUNCTION("""COMPUTED_VALUE"""),2420)</f>
        <v>2420</v>
      </c>
      <c r="T318" s="54">
        <f ca="1">IFERROR(__xludf.DUMMYFUNCTION("""COMPUTED_VALUE"""),2418)</f>
        <v>2418</v>
      </c>
      <c r="U318" s="54"/>
      <c r="V318" s="54">
        <f ca="1">IFERROR(__xludf.DUMMYFUNCTION("""COMPUTED_VALUE"""),2309)</f>
        <v>2309</v>
      </c>
      <c r="W318" s="54"/>
      <c r="X318" s="54">
        <f ca="1">IFERROR(__xludf.DUMMYFUNCTION("""COMPUTED_VALUE"""),494)</f>
        <v>494</v>
      </c>
      <c r="Y318" s="54"/>
      <c r="Z318" s="2"/>
      <c r="AA318" s="2"/>
      <c r="AB318" s="2"/>
      <c r="AC318" s="2"/>
      <c r="AD318" s="2"/>
      <c r="AE318" s="2"/>
    </row>
    <row r="319" spans="1:31" ht="12.75" x14ac:dyDescent="0.2">
      <c r="A319" s="53">
        <f ca="1">IFERROR(__xludf.DUMMYFUNCTION("""COMPUTED_VALUE"""),16)</f>
        <v>16</v>
      </c>
      <c r="B319" s="53" t="str">
        <f ca="1">IFERROR(__xludf.DUMMYFUNCTION("""COMPUTED_VALUE"""),"THCS Trần Quốc Toản")</f>
        <v>THCS Trần Quốc Toản</v>
      </c>
      <c r="C319" s="53" t="str">
        <f ca="1">IFERROR(__xludf.DUMMYFUNCTION("""COMPUTED_VALUE"""),"THCS")</f>
        <v>THCS</v>
      </c>
      <c r="D319" s="53" t="str">
        <f ca="1">IFERROR(__xludf.DUMMYFUNCTION("""COMPUTED_VALUE"""),"Bình Tân")</f>
        <v>Bình Tân</v>
      </c>
      <c r="E319" s="53"/>
      <c r="F319" s="53"/>
      <c r="G319" s="53"/>
      <c r="H319" s="53"/>
      <c r="I319" s="53"/>
      <c r="J319" s="53"/>
      <c r="K319" s="53"/>
      <c r="L319" s="53"/>
      <c r="M319" s="53"/>
      <c r="N319" s="53"/>
      <c r="O319" s="53"/>
      <c r="P319" s="53"/>
      <c r="Q319" s="53"/>
      <c r="R319" s="53"/>
      <c r="S319" s="54">
        <f ca="1">IFERROR(__xludf.DUMMYFUNCTION("""COMPUTED_VALUE"""),1641)</f>
        <v>1641</v>
      </c>
      <c r="T319" s="54">
        <f ca="1">IFERROR(__xludf.DUMMYFUNCTION("""COMPUTED_VALUE"""),1470)</f>
        <v>1470</v>
      </c>
      <c r="U319" s="54"/>
      <c r="V319" s="54">
        <f ca="1">IFERROR(__xludf.DUMMYFUNCTION("""COMPUTED_VALUE"""),1330)</f>
        <v>1330</v>
      </c>
      <c r="W319" s="54"/>
      <c r="X319" s="54">
        <f ca="1">IFERROR(__xludf.DUMMYFUNCTION("""COMPUTED_VALUE"""),255)</f>
        <v>255</v>
      </c>
      <c r="Y319" s="54"/>
      <c r="Z319" s="2"/>
      <c r="AA319" s="2"/>
      <c r="AB319" s="2"/>
      <c r="AC319" s="2"/>
      <c r="AD319" s="2"/>
      <c r="AE319" s="2"/>
    </row>
    <row r="320" spans="1:31" ht="12.75" x14ac:dyDescent="0.2">
      <c r="A320" s="53">
        <f ca="1">IFERROR(__xludf.DUMMYFUNCTION("""COMPUTED_VALUE"""),17)</f>
        <v>17</v>
      </c>
      <c r="B320" s="53" t="str">
        <f ca="1">IFERROR(__xludf.DUMMYFUNCTION("""COMPUTED_VALUE"""),"THCS Bình Hưng Hòa")</f>
        <v>THCS Bình Hưng Hòa</v>
      </c>
      <c r="C320" s="53" t="str">
        <f ca="1">IFERROR(__xludf.DUMMYFUNCTION("""COMPUTED_VALUE"""),"THCS")</f>
        <v>THCS</v>
      </c>
      <c r="D320" s="53" t="str">
        <f ca="1">IFERROR(__xludf.DUMMYFUNCTION("""COMPUTED_VALUE"""),"Bình Tân")</f>
        <v>Bình Tân</v>
      </c>
      <c r="E320" s="53"/>
      <c r="F320" s="53"/>
      <c r="G320" s="53"/>
      <c r="H320" s="53"/>
      <c r="I320" s="53"/>
      <c r="J320" s="53"/>
      <c r="K320" s="53"/>
      <c r="L320" s="53"/>
      <c r="M320" s="53"/>
      <c r="N320" s="53"/>
      <c r="O320" s="53"/>
      <c r="P320" s="53"/>
      <c r="Q320" s="53"/>
      <c r="R320" s="53"/>
      <c r="S320" s="54">
        <f ca="1">IFERROR(__xludf.DUMMYFUNCTION("""COMPUTED_VALUE"""),1728)</f>
        <v>1728</v>
      </c>
      <c r="T320" s="54">
        <f ca="1">IFERROR(__xludf.DUMMYFUNCTION("""COMPUTED_VALUE"""),1709)</f>
        <v>1709</v>
      </c>
      <c r="U320" s="54"/>
      <c r="V320" s="54">
        <f ca="1">IFERROR(__xludf.DUMMYFUNCTION("""COMPUTED_VALUE"""),1674)</f>
        <v>1674</v>
      </c>
      <c r="W320" s="54"/>
      <c r="X320" s="54">
        <f ca="1">IFERROR(__xludf.DUMMYFUNCTION("""COMPUTED_VALUE"""),424)</f>
        <v>424</v>
      </c>
      <c r="Y320" s="54"/>
      <c r="Z320" s="2"/>
      <c r="AA320" s="2"/>
      <c r="AB320" s="2"/>
      <c r="AC320" s="2"/>
      <c r="AD320" s="2"/>
      <c r="AE320" s="2"/>
    </row>
    <row r="321" spans="1:31" ht="12.75" x14ac:dyDescent="0.2">
      <c r="A321" s="53">
        <f ca="1">IFERROR(__xludf.DUMMYFUNCTION("""COMPUTED_VALUE"""),18)</f>
        <v>18</v>
      </c>
      <c r="B321" s="53" t="str">
        <f ca="1">IFERROR(__xludf.DUMMYFUNCTION("""COMPUTED_VALUE"""),"THCS Huỳnh Văn Nghệ")</f>
        <v>THCS Huỳnh Văn Nghệ</v>
      </c>
      <c r="C321" s="53" t="str">
        <f ca="1">IFERROR(__xludf.DUMMYFUNCTION("""COMPUTED_VALUE"""),"THCS")</f>
        <v>THCS</v>
      </c>
      <c r="D321" s="53" t="str">
        <f ca="1">IFERROR(__xludf.DUMMYFUNCTION("""COMPUTED_VALUE"""),"Bình Tân")</f>
        <v>Bình Tân</v>
      </c>
      <c r="E321" s="53"/>
      <c r="F321" s="53"/>
      <c r="G321" s="53"/>
      <c r="H321" s="53"/>
      <c r="I321" s="53"/>
      <c r="J321" s="53"/>
      <c r="K321" s="53"/>
      <c r="L321" s="53"/>
      <c r="M321" s="53"/>
      <c r="N321" s="53"/>
      <c r="O321" s="53"/>
      <c r="P321" s="53"/>
      <c r="Q321" s="53"/>
      <c r="R321" s="53"/>
      <c r="S321" s="54">
        <f ca="1">IFERROR(__xludf.DUMMYFUNCTION("""COMPUTED_VALUE"""),2497)</f>
        <v>2497</v>
      </c>
      <c r="T321" s="54">
        <f ca="1">IFERROR(__xludf.DUMMYFUNCTION("""COMPUTED_VALUE"""),2283)</f>
        <v>2283</v>
      </c>
      <c r="U321" s="54"/>
      <c r="V321" s="54">
        <f ca="1">IFERROR(__xludf.DUMMYFUNCTION("""COMPUTED_VALUE"""),2012)</f>
        <v>2012</v>
      </c>
      <c r="W321" s="54"/>
      <c r="X321" s="54">
        <f ca="1">IFERROR(__xludf.DUMMYFUNCTION("""COMPUTED_VALUE"""),494)</f>
        <v>494</v>
      </c>
      <c r="Y321" s="54"/>
      <c r="Z321" s="2"/>
      <c r="AA321" s="2"/>
      <c r="AB321" s="2"/>
      <c r="AC321" s="2"/>
      <c r="AD321" s="2"/>
      <c r="AE321" s="2"/>
    </row>
    <row r="322" spans="1:31" ht="12.75" x14ac:dyDescent="0.2">
      <c r="A322" s="53">
        <f ca="1">IFERROR(__xludf.DUMMYFUNCTION("""COMPUTED_VALUE"""),19)</f>
        <v>19</v>
      </c>
      <c r="B322" s="53" t="str">
        <f ca="1">IFERROR(__xludf.DUMMYFUNCTION("""COMPUTED_VALUE"""),"THCS Hồ Văn Long")</f>
        <v>THCS Hồ Văn Long</v>
      </c>
      <c r="C322" s="53" t="str">
        <f ca="1">IFERROR(__xludf.DUMMYFUNCTION("""COMPUTED_VALUE"""),"THCS")</f>
        <v>THCS</v>
      </c>
      <c r="D322" s="53" t="str">
        <f ca="1">IFERROR(__xludf.DUMMYFUNCTION("""COMPUTED_VALUE"""),"Bình Tân")</f>
        <v>Bình Tân</v>
      </c>
      <c r="E322" s="53"/>
      <c r="F322" s="53"/>
      <c r="G322" s="53"/>
      <c r="H322" s="53"/>
      <c r="I322" s="53"/>
      <c r="J322" s="53"/>
      <c r="K322" s="53"/>
      <c r="L322" s="53"/>
      <c r="M322" s="53"/>
      <c r="N322" s="53"/>
      <c r="O322" s="53"/>
      <c r="P322" s="53"/>
      <c r="Q322" s="53"/>
      <c r="R322" s="53"/>
      <c r="S322" s="54">
        <f ca="1">IFERROR(__xludf.DUMMYFUNCTION("""COMPUTED_VALUE"""),1520)</f>
        <v>1520</v>
      </c>
      <c r="T322" s="54">
        <f ca="1">IFERROR(__xludf.DUMMYFUNCTION("""COMPUTED_VALUE"""),1373)</f>
        <v>1373</v>
      </c>
      <c r="U322" s="54"/>
      <c r="V322" s="54">
        <f ca="1">IFERROR(__xludf.DUMMYFUNCTION("""COMPUTED_VALUE"""),1230)</f>
        <v>1230</v>
      </c>
      <c r="W322" s="54"/>
      <c r="X322" s="54">
        <f ca="1">IFERROR(__xludf.DUMMYFUNCTION("""COMPUTED_VALUE"""),338)</f>
        <v>338</v>
      </c>
      <c r="Y322" s="54"/>
      <c r="Z322" s="2"/>
      <c r="AA322" s="2"/>
      <c r="AB322" s="2"/>
      <c r="AC322" s="2"/>
      <c r="AD322" s="2"/>
      <c r="AE322" s="2"/>
    </row>
    <row r="323" spans="1:31" ht="12.75" x14ac:dyDescent="0.2">
      <c r="A323" s="53">
        <f ca="1">IFERROR(__xludf.DUMMYFUNCTION("""COMPUTED_VALUE"""),20)</f>
        <v>20</v>
      </c>
      <c r="B323" s="53" t="str">
        <f ca="1">IFERROR(__xludf.DUMMYFUNCTION("""COMPUTED_VALUE"""),"THCS Tân Tạo")</f>
        <v>THCS Tân Tạo</v>
      </c>
      <c r="C323" s="53" t="str">
        <f ca="1">IFERROR(__xludf.DUMMYFUNCTION("""COMPUTED_VALUE"""),"THCS")</f>
        <v>THCS</v>
      </c>
      <c r="D323" s="53" t="str">
        <f ca="1">IFERROR(__xludf.DUMMYFUNCTION("""COMPUTED_VALUE"""),"Bình Tân")</f>
        <v>Bình Tân</v>
      </c>
      <c r="E323" s="53"/>
      <c r="F323" s="53"/>
      <c r="G323" s="53"/>
      <c r="H323" s="53"/>
      <c r="I323" s="53"/>
      <c r="J323" s="53"/>
      <c r="K323" s="53"/>
      <c r="L323" s="53"/>
      <c r="M323" s="53"/>
      <c r="N323" s="53"/>
      <c r="O323" s="53"/>
      <c r="P323" s="53"/>
      <c r="Q323" s="53"/>
      <c r="R323" s="53"/>
      <c r="S323" s="54">
        <f ca="1">IFERROR(__xludf.DUMMYFUNCTION("""COMPUTED_VALUE"""),1221)</f>
        <v>1221</v>
      </c>
      <c r="T323" s="54">
        <f ca="1">IFERROR(__xludf.DUMMYFUNCTION("""COMPUTED_VALUE"""),1101)</f>
        <v>1101</v>
      </c>
      <c r="U323" s="54"/>
      <c r="V323" s="54">
        <f ca="1">IFERROR(__xludf.DUMMYFUNCTION("""COMPUTED_VALUE"""),628)</f>
        <v>628</v>
      </c>
      <c r="W323" s="54"/>
      <c r="X323" s="54">
        <f ca="1">IFERROR(__xludf.DUMMYFUNCTION("""COMPUTED_VALUE"""),376)</f>
        <v>376</v>
      </c>
      <c r="Y323" s="54"/>
      <c r="Z323" s="2"/>
      <c r="AA323" s="2"/>
      <c r="AB323" s="2"/>
      <c r="AC323" s="2"/>
      <c r="AD323" s="2"/>
      <c r="AE323" s="2"/>
    </row>
    <row r="324" spans="1:31" ht="12.75" x14ac:dyDescent="0.2">
      <c r="A324" s="53">
        <f ca="1">IFERROR(__xludf.DUMMYFUNCTION("""COMPUTED_VALUE"""),21)</f>
        <v>21</v>
      </c>
      <c r="B324" s="53" t="str">
        <f ca="1">IFERROR(__xludf.DUMMYFUNCTION("""COMPUTED_VALUE"""),"THCS Tân Tạo A")</f>
        <v>THCS Tân Tạo A</v>
      </c>
      <c r="C324" s="53" t="str">
        <f ca="1">IFERROR(__xludf.DUMMYFUNCTION("""COMPUTED_VALUE"""),"THCS")</f>
        <v>THCS</v>
      </c>
      <c r="D324" s="53" t="str">
        <f ca="1">IFERROR(__xludf.DUMMYFUNCTION("""COMPUTED_VALUE"""),"Bình Tân")</f>
        <v>Bình Tân</v>
      </c>
      <c r="E324" s="53"/>
      <c r="F324" s="53"/>
      <c r="G324" s="53"/>
      <c r="H324" s="53"/>
      <c r="I324" s="53"/>
      <c r="J324" s="53"/>
      <c r="K324" s="53"/>
      <c r="L324" s="53"/>
      <c r="M324" s="53"/>
      <c r="N324" s="53"/>
      <c r="O324" s="53"/>
      <c r="P324" s="53"/>
      <c r="Q324" s="53"/>
      <c r="R324" s="53"/>
      <c r="S324" s="54">
        <f ca="1">IFERROR(__xludf.DUMMYFUNCTION("""COMPUTED_VALUE"""),1399)</f>
        <v>1399</v>
      </c>
      <c r="T324" s="54">
        <f ca="1">IFERROR(__xludf.DUMMYFUNCTION("""COMPUTED_VALUE"""),1394)</f>
        <v>1394</v>
      </c>
      <c r="U324" s="54"/>
      <c r="V324" s="54">
        <f ca="1">IFERROR(__xludf.DUMMYFUNCTION("""COMPUTED_VALUE"""),1365)</f>
        <v>1365</v>
      </c>
      <c r="W324" s="54"/>
      <c r="X324" s="54">
        <f ca="1">IFERROR(__xludf.DUMMYFUNCTION("""COMPUTED_VALUE"""),396)</f>
        <v>396</v>
      </c>
      <c r="Y324" s="54"/>
      <c r="Z324" s="2"/>
      <c r="AA324" s="2"/>
      <c r="AB324" s="2"/>
      <c r="AC324" s="2"/>
      <c r="AD324" s="2"/>
      <c r="AE324" s="2"/>
    </row>
    <row r="325" spans="1:31" ht="12.75" x14ac:dyDescent="0.2">
      <c r="A325" s="53">
        <f ca="1">IFERROR(__xludf.DUMMYFUNCTION("""COMPUTED_VALUE"""),22)</f>
        <v>22</v>
      </c>
      <c r="B325" s="53" t="str">
        <f ca="1">IFERROR(__xludf.DUMMYFUNCTION("""COMPUTED_VALUE"""),"TT.GDNN - GDTX")</f>
        <v>TT.GDNN - GDTX</v>
      </c>
      <c r="C325" s="53" t="str">
        <f ca="1">IFERROR(__xludf.DUMMYFUNCTION("""COMPUTED_VALUE"""),"THCS")</f>
        <v>THCS</v>
      </c>
      <c r="D325" s="53" t="str">
        <f ca="1">IFERROR(__xludf.DUMMYFUNCTION("""COMPUTED_VALUE"""),"Bình Tân")</f>
        <v>Bình Tân</v>
      </c>
      <c r="E325" s="53"/>
      <c r="F325" s="53"/>
      <c r="G325" s="53"/>
      <c r="H325" s="53"/>
      <c r="I325" s="53"/>
      <c r="J325" s="53"/>
      <c r="K325" s="53"/>
      <c r="L325" s="53"/>
      <c r="M325" s="53"/>
      <c r="N325" s="53"/>
      <c r="O325" s="53"/>
      <c r="P325" s="53"/>
      <c r="Q325" s="53"/>
      <c r="R325" s="53"/>
      <c r="S325" s="54">
        <f ca="1">IFERROR(__xludf.DUMMYFUNCTION("""COMPUTED_VALUE"""),980)</f>
        <v>980</v>
      </c>
      <c r="T325" s="54">
        <f ca="1">IFERROR(__xludf.DUMMYFUNCTION("""COMPUTED_VALUE"""),972)</f>
        <v>972</v>
      </c>
      <c r="U325" s="54"/>
      <c r="V325" s="54">
        <f ca="1">IFERROR(__xludf.DUMMYFUNCTION("""COMPUTED_VALUE"""),964)</f>
        <v>964</v>
      </c>
      <c r="W325" s="54"/>
      <c r="X325" s="54">
        <f ca="1">IFERROR(__xludf.DUMMYFUNCTION("""COMPUTED_VALUE"""),243)</f>
        <v>243</v>
      </c>
      <c r="Y325" s="54"/>
      <c r="Z325" s="2"/>
      <c r="AA325" s="2"/>
      <c r="AB325" s="2"/>
      <c r="AC325" s="2"/>
      <c r="AD325" s="2"/>
      <c r="AE325" s="2"/>
    </row>
    <row r="326" spans="1:31" ht="12.75" x14ac:dyDescent="0.2">
      <c r="A326" s="53">
        <f ca="1">IFERROR(__xludf.DUMMYFUNCTION("""COMPUTED_VALUE"""),23)</f>
        <v>23</v>
      </c>
      <c r="B326" s="53" t="str">
        <f ca="1">IFERROR(__xludf.DUMMYFUNCTION("""COMPUTED_VALUE"""),"THCS-THPT Ngôi Sao")</f>
        <v>THCS-THPT Ngôi Sao</v>
      </c>
      <c r="C326" s="53" t="str">
        <f ca="1">IFERROR(__xludf.DUMMYFUNCTION("""COMPUTED_VALUE"""),"THCS")</f>
        <v>THCS</v>
      </c>
      <c r="D326" s="53" t="str">
        <f ca="1">IFERROR(__xludf.DUMMYFUNCTION("""COMPUTED_VALUE"""),"Bình Tân")</f>
        <v>Bình Tân</v>
      </c>
      <c r="E326" s="53"/>
      <c r="F326" s="53"/>
      <c r="G326" s="53"/>
      <c r="H326" s="53"/>
      <c r="I326" s="53"/>
      <c r="J326" s="53"/>
      <c r="K326" s="53"/>
      <c r="L326" s="53"/>
      <c r="M326" s="53"/>
      <c r="N326" s="53"/>
      <c r="O326" s="53"/>
      <c r="P326" s="53"/>
      <c r="Q326" s="53"/>
      <c r="R326" s="53"/>
      <c r="S326" s="54">
        <f ca="1">IFERROR(__xludf.DUMMYFUNCTION("""COMPUTED_VALUE"""),506)</f>
        <v>506</v>
      </c>
      <c r="T326" s="54">
        <f ca="1">IFERROR(__xludf.DUMMYFUNCTION("""COMPUTED_VALUE"""),492)</f>
        <v>492</v>
      </c>
      <c r="U326" s="54"/>
      <c r="V326" s="54">
        <f ca="1">IFERROR(__xludf.DUMMYFUNCTION("""COMPUTED_VALUE"""),470)</f>
        <v>470</v>
      </c>
      <c r="W326" s="54"/>
      <c r="X326" s="54">
        <f ca="1">IFERROR(__xludf.DUMMYFUNCTION("""COMPUTED_VALUE"""),262)</f>
        <v>262</v>
      </c>
      <c r="Y326" s="54"/>
      <c r="Z326" s="2"/>
      <c r="AA326" s="2"/>
      <c r="AB326" s="2"/>
      <c r="AC326" s="2"/>
      <c r="AD326" s="2"/>
      <c r="AE326" s="2"/>
    </row>
    <row r="327" spans="1:31" ht="12.75" x14ac:dyDescent="0.2">
      <c r="A327" s="53">
        <f ca="1">IFERROR(__xludf.DUMMYFUNCTION("""COMPUTED_VALUE"""),24)</f>
        <v>24</v>
      </c>
      <c r="B327" s="53" t="str">
        <f ca="1">IFERROR(__xludf.DUMMYFUNCTION("""COMPUTED_VALUE"""),"TH-THCS Ngôi Sao Nhỏ")</f>
        <v>TH-THCS Ngôi Sao Nhỏ</v>
      </c>
      <c r="C327" s="53" t="str">
        <f ca="1">IFERROR(__xludf.DUMMYFUNCTION("""COMPUTED_VALUE"""),"THCS")</f>
        <v>THCS</v>
      </c>
      <c r="D327" s="53" t="str">
        <f ca="1">IFERROR(__xludf.DUMMYFUNCTION("""COMPUTED_VALUE"""),"Bình Tân")</f>
        <v>Bình Tân</v>
      </c>
      <c r="E327" s="53"/>
      <c r="F327" s="53"/>
      <c r="G327" s="53"/>
      <c r="H327" s="53"/>
      <c r="I327" s="53"/>
      <c r="J327" s="53"/>
      <c r="K327" s="53"/>
      <c r="L327" s="53"/>
      <c r="M327" s="53"/>
      <c r="N327" s="53"/>
      <c r="O327" s="53"/>
      <c r="P327" s="53"/>
      <c r="Q327" s="53"/>
      <c r="R327" s="53"/>
      <c r="S327" s="54">
        <f ca="1">IFERROR(__xludf.DUMMYFUNCTION("""COMPUTED_VALUE"""),6)</f>
        <v>6</v>
      </c>
      <c r="T327" s="54">
        <f ca="1">IFERROR(__xludf.DUMMYFUNCTION("""COMPUTED_VALUE"""),2)</f>
        <v>2</v>
      </c>
      <c r="U327" s="54"/>
      <c r="V327" s="54">
        <f ca="1">IFERROR(__xludf.DUMMYFUNCTION("""COMPUTED_VALUE"""),2)</f>
        <v>2</v>
      </c>
      <c r="W327" s="54"/>
      <c r="X327" s="54">
        <f ca="1">IFERROR(__xludf.DUMMYFUNCTION("""COMPUTED_VALUE"""),2)</f>
        <v>2</v>
      </c>
      <c r="Y327" s="54"/>
      <c r="Z327" s="2"/>
      <c r="AA327" s="2"/>
      <c r="AB327" s="2"/>
      <c r="AC327" s="2"/>
      <c r="AD327" s="2"/>
      <c r="AE327" s="2"/>
    </row>
    <row r="328" spans="1:31" ht="12.75" x14ac:dyDescent="0.2">
      <c r="A328" s="53">
        <f ca="1">IFERROR(__xludf.DUMMYFUNCTION("""COMPUTED_VALUE"""),25)</f>
        <v>25</v>
      </c>
      <c r="B328" s="53" t="str">
        <f ca="1">IFERROR(__xludf.DUMMYFUNCTION("""COMPUTED_VALUE"""),"THPT-THCS Trí Tuệ Việt")</f>
        <v>THPT-THCS Trí Tuệ Việt</v>
      </c>
      <c r="C328" s="53" t="str">
        <f ca="1">IFERROR(__xludf.DUMMYFUNCTION("""COMPUTED_VALUE"""),"THCS")</f>
        <v>THCS</v>
      </c>
      <c r="D328" s="53" t="str">
        <f ca="1">IFERROR(__xludf.DUMMYFUNCTION("""COMPUTED_VALUE"""),"Bình Tân")</f>
        <v>Bình Tân</v>
      </c>
      <c r="E328" s="53"/>
      <c r="F328" s="53"/>
      <c r="G328" s="53"/>
      <c r="H328" s="53"/>
      <c r="I328" s="53"/>
      <c r="J328" s="53"/>
      <c r="K328" s="53"/>
      <c r="L328" s="53"/>
      <c r="M328" s="53"/>
      <c r="N328" s="53"/>
      <c r="O328" s="53"/>
      <c r="P328" s="53"/>
      <c r="Q328" s="53"/>
      <c r="R328" s="53"/>
      <c r="S328" s="54">
        <f ca="1">IFERROR(__xludf.DUMMYFUNCTION("""COMPUTED_VALUE"""),130)</f>
        <v>130</v>
      </c>
      <c r="T328" s="54">
        <f ca="1">IFERROR(__xludf.DUMMYFUNCTION("""COMPUTED_VALUE"""),118)</f>
        <v>118</v>
      </c>
      <c r="U328" s="54"/>
      <c r="V328" s="54">
        <f ca="1">IFERROR(__xludf.DUMMYFUNCTION("""COMPUTED_VALUE"""),110)</f>
        <v>110</v>
      </c>
      <c r="W328" s="54"/>
      <c r="X328" s="54">
        <f ca="1">IFERROR(__xludf.DUMMYFUNCTION("""COMPUTED_VALUE"""),20)</f>
        <v>20</v>
      </c>
      <c r="Y328" s="54"/>
      <c r="Z328" s="2"/>
      <c r="AA328" s="2"/>
      <c r="AB328" s="2"/>
      <c r="AC328" s="2"/>
      <c r="AD328" s="2"/>
      <c r="AE328" s="2"/>
    </row>
    <row r="329" spans="1:31" ht="12.75" x14ac:dyDescent="0.2">
      <c r="A329" s="53">
        <f ca="1">IFERROR(__xludf.DUMMYFUNCTION("""COMPUTED_VALUE"""),26)</f>
        <v>26</v>
      </c>
      <c r="B329" s="53" t="str">
        <f ca="1">IFERROR(__xludf.DUMMYFUNCTION("""COMPUTED_VALUE"""),"THPT-THCS Phan Châu Trinh")</f>
        <v>THPT-THCS Phan Châu Trinh</v>
      </c>
      <c r="C329" s="53" t="str">
        <f ca="1">IFERROR(__xludf.DUMMYFUNCTION("""COMPUTED_VALUE"""),"THCS")</f>
        <v>THCS</v>
      </c>
      <c r="D329" s="53" t="str">
        <f ca="1">IFERROR(__xludf.DUMMYFUNCTION("""COMPUTED_VALUE"""),"Bình Tân")</f>
        <v>Bình Tân</v>
      </c>
      <c r="E329" s="53"/>
      <c r="F329" s="53"/>
      <c r="G329" s="53"/>
      <c r="H329" s="53"/>
      <c r="I329" s="53"/>
      <c r="J329" s="53"/>
      <c r="K329" s="53"/>
      <c r="L329" s="53"/>
      <c r="M329" s="53"/>
      <c r="N329" s="53"/>
      <c r="O329" s="53"/>
      <c r="P329" s="53"/>
      <c r="Q329" s="53"/>
      <c r="R329" s="53"/>
      <c r="S329" s="54">
        <f ca="1">IFERROR(__xludf.DUMMYFUNCTION("""COMPUTED_VALUE"""),973)</f>
        <v>973</v>
      </c>
      <c r="T329" s="54">
        <f ca="1">IFERROR(__xludf.DUMMYFUNCTION("""COMPUTED_VALUE"""),972)</f>
        <v>972</v>
      </c>
      <c r="U329" s="54"/>
      <c r="V329" s="54">
        <f ca="1">IFERROR(__xludf.DUMMYFUNCTION("""COMPUTED_VALUE"""),971)</f>
        <v>971</v>
      </c>
      <c r="W329" s="54"/>
      <c r="X329" s="54">
        <f ca="1">IFERROR(__xludf.DUMMYFUNCTION("""COMPUTED_VALUE"""),826)</f>
        <v>826</v>
      </c>
      <c r="Y329" s="54"/>
      <c r="Z329" s="2"/>
      <c r="AA329" s="2"/>
      <c r="AB329" s="2"/>
      <c r="AC329" s="2"/>
      <c r="AD329" s="2"/>
      <c r="AE329" s="2"/>
    </row>
    <row r="330" spans="1:31" ht="12.75" x14ac:dyDescent="0.2">
      <c r="A330" s="53">
        <f ca="1">IFERROR(__xludf.DUMMYFUNCTION("""COMPUTED_VALUE"""),27)</f>
        <v>27</v>
      </c>
      <c r="B330" s="53" t="str">
        <f ca="1">IFERROR(__xludf.DUMMYFUNCTION("""COMPUTED_VALUE"""),"THCS-THPT Chu Văn An")</f>
        <v>THCS-THPT Chu Văn An</v>
      </c>
      <c r="C330" s="53" t="str">
        <f ca="1">IFERROR(__xludf.DUMMYFUNCTION("""COMPUTED_VALUE"""),"THCS")</f>
        <v>THCS</v>
      </c>
      <c r="D330" s="53" t="str">
        <f ca="1">IFERROR(__xludf.DUMMYFUNCTION("""COMPUTED_VALUE"""),"Bình Tân")</f>
        <v>Bình Tân</v>
      </c>
      <c r="E330" s="53"/>
      <c r="F330" s="53"/>
      <c r="G330" s="53"/>
      <c r="H330" s="53"/>
      <c r="I330" s="53"/>
      <c r="J330" s="53"/>
      <c r="K330" s="53"/>
      <c r="L330" s="53"/>
      <c r="M330" s="53"/>
      <c r="N330" s="53"/>
      <c r="O330" s="53"/>
      <c r="P330" s="53"/>
      <c r="Q330" s="53"/>
      <c r="R330" s="53"/>
      <c r="S330" s="54">
        <f ca="1">IFERROR(__xludf.DUMMYFUNCTION("""COMPUTED_VALUE"""),495)</f>
        <v>495</v>
      </c>
      <c r="T330" s="54">
        <f ca="1">IFERROR(__xludf.DUMMYFUNCTION("""COMPUTED_VALUE"""),489)</f>
        <v>489</v>
      </c>
      <c r="U330" s="54"/>
      <c r="V330" s="54">
        <f ca="1">IFERROR(__xludf.DUMMYFUNCTION("""COMPUTED_VALUE"""),342)</f>
        <v>342</v>
      </c>
      <c r="W330" s="54"/>
      <c r="X330" s="54">
        <f ca="1">IFERROR(__xludf.DUMMYFUNCTION("""COMPUTED_VALUE"""),130)</f>
        <v>130</v>
      </c>
      <c r="Y330" s="54"/>
      <c r="Z330" s="2"/>
      <c r="AA330" s="2"/>
      <c r="AB330" s="2"/>
      <c r="AC330" s="2"/>
      <c r="AD330" s="2"/>
      <c r="AE330" s="2"/>
    </row>
    <row r="331" spans="1:31" ht="12.75" x14ac:dyDescent="0.2">
      <c r="A331" s="53">
        <f ca="1">IFERROR(__xludf.DUMMYFUNCTION("""COMPUTED_VALUE"""),28)</f>
        <v>28</v>
      </c>
      <c r="B331" s="53" t="str">
        <f ca="1">IFERROR(__xludf.DUMMYFUNCTION("""COMPUTED_VALUE"""),"THCS-THPT Ngô Thời Nhiệm")</f>
        <v>THCS-THPT Ngô Thời Nhiệm</v>
      </c>
      <c r="C331" s="53" t="str">
        <f ca="1">IFERROR(__xludf.DUMMYFUNCTION("""COMPUTED_VALUE"""),"GDTX")</f>
        <v>GDTX</v>
      </c>
      <c r="D331" s="53" t="str">
        <f ca="1">IFERROR(__xludf.DUMMYFUNCTION("""COMPUTED_VALUE"""),"Bình Tân")</f>
        <v>Bình Tân</v>
      </c>
      <c r="E331" s="53"/>
      <c r="F331" s="53"/>
      <c r="G331" s="53"/>
      <c r="H331" s="53"/>
      <c r="I331" s="53"/>
      <c r="J331" s="53"/>
      <c r="K331" s="53"/>
      <c r="L331" s="53"/>
      <c r="M331" s="53"/>
      <c r="N331" s="53"/>
      <c r="O331" s="53"/>
      <c r="P331" s="53"/>
      <c r="Q331" s="53"/>
      <c r="R331" s="53"/>
      <c r="S331" s="54">
        <f ca="1">IFERROR(__xludf.DUMMYFUNCTION("""COMPUTED_VALUE"""),260)</f>
        <v>260</v>
      </c>
      <c r="T331" s="54">
        <f ca="1">IFERROR(__xludf.DUMMYFUNCTION("""COMPUTED_VALUE"""),245)</f>
        <v>245</v>
      </c>
      <c r="U331" s="54"/>
      <c r="V331" s="54">
        <f ca="1">IFERROR(__xludf.DUMMYFUNCTION("""COMPUTED_VALUE"""),162)</f>
        <v>162</v>
      </c>
      <c r="W331" s="54"/>
      <c r="X331" s="54">
        <f ca="1">IFERROR(__xludf.DUMMYFUNCTION("""COMPUTED_VALUE"""),82)</f>
        <v>82</v>
      </c>
      <c r="Y331" s="54"/>
      <c r="Z331" s="2"/>
      <c r="AA331" s="2"/>
      <c r="AB331" s="2"/>
      <c r="AC331" s="2"/>
      <c r="AD331" s="2"/>
      <c r="AE331" s="2"/>
    </row>
    <row r="332" spans="1:31" ht="12.75" x14ac:dyDescent="0.2">
      <c r="A332" s="53">
        <f ca="1">IFERROR(__xludf.DUMMYFUNCTION("""COMPUTED_VALUE"""),29)</f>
        <v>29</v>
      </c>
      <c r="B332" s="53" t="str">
        <f ca="1">IFERROR(__xludf.DUMMYFUNCTION("""COMPUTED_VALUE"""),"Chuyên biệt Bình Tân")</f>
        <v>Chuyên biệt Bình Tân</v>
      </c>
      <c r="C332" s="53" t="str">
        <f ca="1">IFERROR(__xludf.DUMMYFUNCTION("""COMPUTED_VALUE"""),"CB")</f>
        <v>CB</v>
      </c>
      <c r="D332" s="53" t="str">
        <f ca="1">IFERROR(__xludf.DUMMYFUNCTION("""COMPUTED_VALUE"""),"Bình Tân")</f>
        <v>Bình Tân</v>
      </c>
      <c r="E332" s="53"/>
      <c r="F332" s="53"/>
      <c r="G332" s="53"/>
      <c r="H332" s="53"/>
      <c r="I332" s="53"/>
      <c r="J332" s="53"/>
      <c r="K332" s="53"/>
      <c r="L332" s="53"/>
      <c r="M332" s="53"/>
      <c r="N332" s="53"/>
      <c r="O332" s="53"/>
      <c r="P332" s="53"/>
      <c r="Q332" s="53"/>
      <c r="R332" s="53"/>
      <c r="S332" s="54">
        <f ca="1">IFERROR(__xludf.DUMMYFUNCTION("""COMPUTED_VALUE"""),81)</f>
        <v>81</v>
      </c>
      <c r="T332" s="54">
        <f ca="1">IFERROR(__xludf.DUMMYFUNCTION("""COMPUTED_VALUE"""),81)</f>
        <v>81</v>
      </c>
      <c r="U332" s="54"/>
      <c r="V332" s="54">
        <f ca="1">IFERROR(__xludf.DUMMYFUNCTION("""COMPUTED_VALUE"""),78)</f>
        <v>78</v>
      </c>
      <c r="W332" s="54"/>
      <c r="X332" s="54">
        <f ca="1">IFERROR(__xludf.DUMMYFUNCTION("""COMPUTED_VALUE"""),22)</f>
        <v>22</v>
      </c>
      <c r="Y332" s="54"/>
      <c r="Z332" s="2"/>
      <c r="AA332" s="2"/>
      <c r="AB332" s="2"/>
      <c r="AC332" s="2"/>
      <c r="AD332" s="2"/>
      <c r="AE332" s="2"/>
    </row>
    <row r="333" spans="1:31" ht="12.75" x14ac:dyDescent="0.2">
      <c r="A333" s="53">
        <f ca="1">IFERROR(__xludf.DUMMYFUNCTION("""COMPUTED_VALUE"""),1)</f>
        <v>1</v>
      </c>
      <c r="B333" s="53" t="str">
        <f ca="1">IFERROR(__xludf.DUMMYFUNCTION("""COMPUTED_VALUE"""),"THCS An Lạc")</f>
        <v>THCS An Lạc</v>
      </c>
      <c r="C333" s="53" t="str">
        <f ca="1">IFERROR(__xludf.DUMMYFUNCTION("""COMPUTED_VALUE"""),"THCS")</f>
        <v>THCS</v>
      </c>
      <c r="D333" s="53" t="str">
        <f ca="1">IFERROR(__xludf.DUMMYFUNCTION("""COMPUTED_VALUE"""),"Bình Tân")</f>
        <v>Bình Tân</v>
      </c>
      <c r="E333" s="54">
        <f ca="1">IFERROR(__xludf.DUMMYFUNCTION("""COMPUTED_VALUE"""),64)</f>
        <v>64</v>
      </c>
      <c r="F333" s="54">
        <f ca="1">IFERROR(__xludf.DUMMYFUNCTION("""COMPUTED_VALUE"""),63)</f>
        <v>63</v>
      </c>
      <c r="G333" s="54"/>
      <c r="H333" s="54">
        <f ca="1">IFERROR(__xludf.DUMMYFUNCTION("""COMPUTED_VALUE"""),62)</f>
        <v>62</v>
      </c>
      <c r="I333" s="54"/>
      <c r="J333" s="54">
        <f ca="1">IFERROR(__xludf.DUMMYFUNCTION("""COMPUTED_VALUE"""),52)</f>
        <v>52</v>
      </c>
      <c r="K333" s="54"/>
      <c r="L333" s="54">
        <f ca="1">IFERROR(__xludf.DUMMYFUNCTION("""COMPUTED_VALUE"""),26)</f>
        <v>26</v>
      </c>
      <c r="M333" s="54"/>
      <c r="N333" s="53"/>
      <c r="O333" s="53"/>
      <c r="P333" s="53"/>
      <c r="Q333" s="53"/>
      <c r="R333" s="53"/>
      <c r="S333" s="53"/>
      <c r="T333" s="53"/>
      <c r="U333" s="53"/>
      <c r="V333" s="53"/>
      <c r="W333" s="53"/>
      <c r="X333" s="53"/>
      <c r="Y333" s="53"/>
      <c r="Z333" s="2"/>
      <c r="AA333" s="2"/>
      <c r="AB333" s="2"/>
      <c r="AC333" s="2"/>
      <c r="AD333" s="2"/>
      <c r="AE333" s="2"/>
    </row>
    <row r="334" spans="1:31" ht="12.75" x14ac:dyDescent="0.2">
      <c r="A334" s="53">
        <f ca="1">IFERROR(__xludf.DUMMYFUNCTION("""COMPUTED_VALUE"""),2)</f>
        <v>2</v>
      </c>
      <c r="B334" s="53" t="str">
        <f ca="1">IFERROR(__xludf.DUMMYFUNCTION("""COMPUTED_VALUE"""),"THCS Bình Hưng Hòa")</f>
        <v>THCS Bình Hưng Hòa</v>
      </c>
      <c r="C334" s="53" t="str">
        <f ca="1">IFERROR(__xludf.DUMMYFUNCTION("""COMPUTED_VALUE"""),"THCS")</f>
        <v>THCS</v>
      </c>
      <c r="D334" s="53" t="str">
        <f ca="1">IFERROR(__xludf.DUMMYFUNCTION("""COMPUTED_VALUE"""),"Bình Tân")</f>
        <v>Bình Tân</v>
      </c>
      <c r="E334" s="54">
        <f ca="1">IFERROR(__xludf.DUMMYFUNCTION("""COMPUTED_VALUE"""),95)</f>
        <v>95</v>
      </c>
      <c r="F334" s="54">
        <f ca="1">IFERROR(__xludf.DUMMYFUNCTION("""COMPUTED_VALUE"""),95)</f>
        <v>95</v>
      </c>
      <c r="G334" s="54"/>
      <c r="H334" s="54">
        <f ca="1">IFERROR(__xludf.DUMMYFUNCTION("""COMPUTED_VALUE"""),93)</f>
        <v>93</v>
      </c>
      <c r="I334" s="54"/>
      <c r="J334" s="54">
        <f ca="1">IFERROR(__xludf.DUMMYFUNCTION("""COMPUTED_VALUE"""),93)</f>
        <v>93</v>
      </c>
      <c r="K334" s="54"/>
      <c r="L334" s="54">
        <f ca="1">IFERROR(__xludf.DUMMYFUNCTION("""COMPUTED_VALUE"""),58)</f>
        <v>58</v>
      </c>
      <c r="M334" s="54"/>
      <c r="N334" s="53"/>
      <c r="O334" s="53"/>
      <c r="P334" s="53"/>
      <c r="Q334" s="53"/>
      <c r="R334" s="53"/>
      <c r="S334" s="53"/>
      <c r="T334" s="53"/>
      <c r="U334" s="53"/>
      <c r="V334" s="53"/>
      <c r="W334" s="53"/>
      <c r="X334" s="53"/>
      <c r="Y334" s="53"/>
      <c r="Z334" s="2"/>
      <c r="AA334" s="2"/>
      <c r="AB334" s="2"/>
      <c r="AC334" s="2"/>
      <c r="AD334" s="2"/>
      <c r="AE334" s="2"/>
    </row>
    <row r="335" spans="1:31" ht="12.75" x14ac:dyDescent="0.2">
      <c r="A335" s="53">
        <f ca="1">IFERROR(__xludf.DUMMYFUNCTION("""COMPUTED_VALUE"""),3)</f>
        <v>3</v>
      </c>
      <c r="B335" s="53" t="str">
        <f ca="1">IFERROR(__xludf.DUMMYFUNCTION("""COMPUTED_VALUE"""),"THCS Bình Tân")</f>
        <v>THCS Bình Tân</v>
      </c>
      <c r="C335" s="53" t="str">
        <f ca="1">IFERROR(__xludf.DUMMYFUNCTION("""COMPUTED_VALUE"""),"THCS")</f>
        <v>THCS</v>
      </c>
      <c r="D335" s="53" t="str">
        <f ca="1">IFERROR(__xludf.DUMMYFUNCTION("""COMPUTED_VALUE"""),"Bình Tân")</f>
        <v>Bình Tân</v>
      </c>
      <c r="E335" s="54">
        <f ca="1">IFERROR(__xludf.DUMMYFUNCTION("""COMPUTED_VALUE"""),79)</f>
        <v>79</v>
      </c>
      <c r="F335" s="54">
        <f ca="1">IFERROR(__xludf.DUMMYFUNCTION("""COMPUTED_VALUE"""),79)</f>
        <v>79</v>
      </c>
      <c r="G335" s="54"/>
      <c r="H335" s="54">
        <f ca="1">IFERROR(__xludf.DUMMYFUNCTION("""COMPUTED_VALUE"""),79)</f>
        <v>79</v>
      </c>
      <c r="I335" s="54"/>
      <c r="J335" s="54">
        <f ca="1">IFERROR(__xludf.DUMMYFUNCTION("""COMPUTED_VALUE"""),76)</f>
        <v>76</v>
      </c>
      <c r="K335" s="54"/>
      <c r="L335" s="54">
        <f ca="1">IFERROR(__xludf.DUMMYFUNCTION("""COMPUTED_VALUE"""),47)</f>
        <v>47</v>
      </c>
      <c r="M335" s="54"/>
      <c r="N335" s="53"/>
      <c r="O335" s="53"/>
      <c r="P335" s="53"/>
      <c r="Q335" s="53"/>
      <c r="R335" s="53"/>
      <c r="S335" s="53"/>
      <c r="T335" s="53"/>
      <c r="U335" s="53"/>
      <c r="V335" s="53"/>
      <c r="W335" s="53"/>
      <c r="X335" s="53"/>
      <c r="Y335" s="53"/>
      <c r="Z335" s="2"/>
      <c r="AA335" s="2"/>
      <c r="AB335" s="2"/>
      <c r="AC335" s="2"/>
      <c r="AD335" s="2"/>
      <c r="AE335" s="2"/>
    </row>
    <row r="336" spans="1:31" ht="12.75" x14ac:dyDescent="0.2">
      <c r="A336" s="53">
        <f ca="1">IFERROR(__xludf.DUMMYFUNCTION("""COMPUTED_VALUE"""),4)</f>
        <v>4</v>
      </c>
      <c r="B336" s="53" t="str">
        <f ca="1">IFERROR(__xludf.DUMMYFUNCTION("""COMPUTED_VALUE"""),"THCS Bình Trị Đông")</f>
        <v>THCS Bình Trị Đông</v>
      </c>
      <c r="C336" s="53" t="str">
        <f ca="1">IFERROR(__xludf.DUMMYFUNCTION("""COMPUTED_VALUE"""),"THCS")</f>
        <v>THCS</v>
      </c>
      <c r="D336" s="53" t="str">
        <f ca="1">IFERROR(__xludf.DUMMYFUNCTION("""COMPUTED_VALUE"""),"Bình Tân")</f>
        <v>Bình Tân</v>
      </c>
      <c r="E336" s="54">
        <f ca="1">IFERROR(__xludf.DUMMYFUNCTION("""COMPUTED_VALUE"""),109)</f>
        <v>109</v>
      </c>
      <c r="F336" s="54">
        <f ca="1">IFERROR(__xludf.DUMMYFUNCTION("""COMPUTED_VALUE"""),109)</f>
        <v>109</v>
      </c>
      <c r="G336" s="54"/>
      <c r="H336" s="54">
        <f ca="1">IFERROR(__xludf.DUMMYFUNCTION("""COMPUTED_VALUE"""),109)</f>
        <v>109</v>
      </c>
      <c r="I336" s="54"/>
      <c r="J336" s="54">
        <f ca="1">IFERROR(__xludf.DUMMYFUNCTION("""COMPUTED_VALUE"""),106)</f>
        <v>106</v>
      </c>
      <c r="K336" s="54"/>
      <c r="L336" s="54">
        <f ca="1">IFERROR(__xludf.DUMMYFUNCTION("""COMPUTED_VALUE"""),87)</f>
        <v>87</v>
      </c>
      <c r="M336" s="54"/>
      <c r="N336" s="53"/>
      <c r="O336" s="53"/>
      <c r="P336" s="53"/>
      <c r="Q336" s="53"/>
      <c r="R336" s="53"/>
      <c r="S336" s="53"/>
      <c r="T336" s="53"/>
      <c r="U336" s="53"/>
      <c r="V336" s="53"/>
      <c r="W336" s="53"/>
      <c r="X336" s="53"/>
      <c r="Y336" s="53"/>
      <c r="Z336" s="2"/>
      <c r="AA336" s="2"/>
      <c r="AB336" s="2"/>
      <c r="AC336" s="2"/>
      <c r="AD336" s="2"/>
      <c r="AE336" s="2"/>
    </row>
    <row r="337" spans="1:31" ht="12.75" x14ac:dyDescent="0.2">
      <c r="A337" s="53">
        <f ca="1">IFERROR(__xludf.DUMMYFUNCTION("""COMPUTED_VALUE"""),5)</f>
        <v>5</v>
      </c>
      <c r="B337" s="53" t="str">
        <f ca="1">IFERROR(__xludf.DUMMYFUNCTION("""COMPUTED_VALUE"""),"THCS Bình Trị Đông A")</f>
        <v>THCS Bình Trị Đông A</v>
      </c>
      <c r="C337" s="53" t="str">
        <f ca="1">IFERROR(__xludf.DUMMYFUNCTION("""COMPUTED_VALUE"""),"THCS")</f>
        <v>THCS</v>
      </c>
      <c r="D337" s="53" t="str">
        <f ca="1">IFERROR(__xludf.DUMMYFUNCTION("""COMPUTED_VALUE"""),"Bình Tân")</f>
        <v>Bình Tân</v>
      </c>
      <c r="E337" s="54">
        <f ca="1">IFERROR(__xludf.DUMMYFUNCTION("""COMPUTED_VALUE"""),107)</f>
        <v>107</v>
      </c>
      <c r="F337" s="54">
        <f ca="1">IFERROR(__xludf.DUMMYFUNCTION("""COMPUTED_VALUE"""),107)</f>
        <v>107</v>
      </c>
      <c r="G337" s="54"/>
      <c r="H337" s="54">
        <f ca="1">IFERROR(__xludf.DUMMYFUNCTION("""COMPUTED_VALUE"""),107)</f>
        <v>107</v>
      </c>
      <c r="I337" s="54"/>
      <c r="J337" s="54">
        <f ca="1">IFERROR(__xludf.DUMMYFUNCTION("""COMPUTED_VALUE"""),103)</f>
        <v>103</v>
      </c>
      <c r="K337" s="54"/>
      <c r="L337" s="54">
        <f ca="1">IFERROR(__xludf.DUMMYFUNCTION("""COMPUTED_VALUE"""),54)</f>
        <v>54</v>
      </c>
      <c r="M337" s="54"/>
      <c r="N337" s="53"/>
      <c r="O337" s="53"/>
      <c r="P337" s="53"/>
      <c r="Q337" s="53"/>
      <c r="R337" s="53"/>
      <c r="S337" s="53"/>
      <c r="T337" s="53"/>
      <c r="U337" s="53"/>
      <c r="V337" s="53"/>
      <c r="W337" s="53"/>
      <c r="X337" s="53"/>
      <c r="Y337" s="53"/>
      <c r="Z337" s="2"/>
      <c r="AA337" s="2"/>
      <c r="AB337" s="2"/>
      <c r="AC337" s="2"/>
      <c r="AD337" s="2"/>
      <c r="AE337" s="2"/>
    </row>
    <row r="338" spans="1:31" ht="12.75" x14ac:dyDescent="0.2">
      <c r="A338" s="53">
        <f ca="1">IFERROR(__xludf.DUMMYFUNCTION("""COMPUTED_VALUE"""),6)</f>
        <v>6</v>
      </c>
      <c r="B338" s="53" t="str">
        <f ca="1">IFERROR(__xludf.DUMMYFUNCTION("""COMPUTED_VALUE"""),"THCS Hồ Văn Long")</f>
        <v>THCS Hồ Văn Long</v>
      </c>
      <c r="C338" s="53" t="str">
        <f ca="1">IFERROR(__xludf.DUMMYFUNCTION("""COMPUTED_VALUE"""),"THCS")</f>
        <v>THCS</v>
      </c>
      <c r="D338" s="53" t="str">
        <f ca="1">IFERROR(__xludf.DUMMYFUNCTION("""COMPUTED_VALUE"""),"Bình Tân")</f>
        <v>Bình Tân</v>
      </c>
      <c r="E338" s="54">
        <f ca="1">IFERROR(__xludf.DUMMYFUNCTION("""COMPUTED_VALUE"""),88)</f>
        <v>88</v>
      </c>
      <c r="F338" s="54">
        <f ca="1">IFERROR(__xludf.DUMMYFUNCTION("""COMPUTED_VALUE"""),88)</f>
        <v>88</v>
      </c>
      <c r="G338" s="54"/>
      <c r="H338" s="54">
        <f ca="1">IFERROR(__xludf.DUMMYFUNCTION("""COMPUTED_VALUE"""),88)</f>
        <v>88</v>
      </c>
      <c r="I338" s="54"/>
      <c r="J338" s="54">
        <f ca="1">IFERROR(__xludf.DUMMYFUNCTION("""COMPUTED_VALUE"""),81)</f>
        <v>81</v>
      </c>
      <c r="K338" s="54"/>
      <c r="L338" s="54">
        <f ca="1">IFERROR(__xludf.DUMMYFUNCTION("""COMPUTED_VALUE"""),45)</f>
        <v>45</v>
      </c>
      <c r="M338" s="54"/>
      <c r="N338" s="53"/>
      <c r="O338" s="53"/>
      <c r="P338" s="53"/>
      <c r="Q338" s="53"/>
      <c r="R338" s="53"/>
      <c r="S338" s="53"/>
      <c r="T338" s="53"/>
      <c r="U338" s="53"/>
      <c r="V338" s="53"/>
      <c r="W338" s="53"/>
      <c r="X338" s="53"/>
      <c r="Y338" s="53"/>
      <c r="Z338" s="2"/>
      <c r="AA338" s="2"/>
      <c r="AB338" s="2"/>
      <c r="AC338" s="2"/>
      <c r="AD338" s="2"/>
      <c r="AE338" s="2"/>
    </row>
    <row r="339" spans="1:31" ht="12.75" x14ac:dyDescent="0.2">
      <c r="A339" s="53">
        <f ca="1">IFERROR(__xludf.DUMMYFUNCTION("""COMPUTED_VALUE"""),7)</f>
        <v>7</v>
      </c>
      <c r="B339" s="53" t="str">
        <f ca="1">IFERROR(__xludf.DUMMYFUNCTION("""COMPUTED_VALUE"""),"THCS Huỳnh Văn Nghệ")</f>
        <v>THCS Huỳnh Văn Nghệ</v>
      </c>
      <c r="C339" s="53" t="str">
        <f ca="1">IFERROR(__xludf.DUMMYFUNCTION("""COMPUTED_VALUE"""),"THCS")</f>
        <v>THCS</v>
      </c>
      <c r="D339" s="53" t="str">
        <f ca="1">IFERROR(__xludf.DUMMYFUNCTION("""COMPUTED_VALUE"""),"Bình Tân")</f>
        <v>Bình Tân</v>
      </c>
      <c r="E339" s="54">
        <f ca="1">IFERROR(__xludf.DUMMYFUNCTION("""COMPUTED_VALUE"""),146)</f>
        <v>146</v>
      </c>
      <c r="F339" s="54">
        <f ca="1">IFERROR(__xludf.DUMMYFUNCTION("""COMPUTED_VALUE"""),146)</f>
        <v>146</v>
      </c>
      <c r="G339" s="54"/>
      <c r="H339" s="54">
        <f ca="1">IFERROR(__xludf.DUMMYFUNCTION("""COMPUTED_VALUE"""),146)</f>
        <v>146</v>
      </c>
      <c r="I339" s="54"/>
      <c r="J339" s="54">
        <f ca="1">IFERROR(__xludf.DUMMYFUNCTION("""COMPUTED_VALUE"""),131)</f>
        <v>131</v>
      </c>
      <c r="K339" s="54"/>
      <c r="L339" s="54">
        <f ca="1">IFERROR(__xludf.DUMMYFUNCTION("""COMPUTED_VALUE"""),70)</f>
        <v>70</v>
      </c>
      <c r="M339" s="54"/>
      <c r="N339" s="53"/>
      <c r="O339" s="53"/>
      <c r="P339" s="53"/>
      <c r="Q339" s="53"/>
      <c r="R339" s="53"/>
      <c r="S339" s="53"/>
      <c r="T339" s="53"/>
      <c r="U339" s="53"/>
      <c r="V339" s="53"/>
      <c r="W339" s="53"/>
      <c r="X339" s="53"/>
      <c r="Y339" s="53"/>
      <c r="Z339" s="2"/>
      <c r="AA339" s="2"/>
      <c r="AB339" s="2"/>
      <c r="AC339" s="2"/>
      <c r="AD339" s="2"/>
      <c r="AE339" s="2"/>
    </row>
    <row r="340" spans="1:31" ht="12.75" x14ac:dyDescent="0.2">
      <c r="A340" s="53">
        <f ca="1">IFERROR(__xludf.DUMMYFUNCTION("""COMPUTED_VALUE"""),8)</f>
        <v>8</v>
      </c>
      <c r="B340" s="53" t="str">
        <f ca="1">IFERROR(__xludf.DUMMYFUNCTION("""COMPUTED_VALUE"""),"THCS Lạc Long Quân")</f>
        <v>THCS Lạc Long Quân</v>
      </c>
      <c r="C340" s="53" t="str">
        <f ca="1">IFERROR(__xludf.DUMMYFUNCTION("""COMPUTED_VALUE"""),"THCS")</f>
        <v>THCS</v>
      </c>
      <c r="D340" s="53" t="str">
        <f ca="1">IFERROR(__xludf.DUMMYFUNCTION("""COMPUTED_VALUE"""),"Bình Tân")</f>
        <v>Bình Tân</v>
      </c>
      <c r="E340" s="54">
        <f ca="1">IFERROR(__xludf.DUMMYFUNCTION("""COMPUTED_VALUE"""),63)</f>
        <v>63</v>
      </c>
      <c r="F340" s="54">
        <f ca="1">IFERROR(__xludf.DUMMYFUNCTION("""COMPUTED_VALUE"""),63)</f>
        <v>63</v>
      </c>
      <c r="G340" s="54"/>
      <c r="H340" s="54">
        <f ca="1">IFERROR(__xludf.DUMMYFUNCTION("""COMPUTED_VALUE"""),63)</f>
        <v>63</v>
      </c>
      <c r="I340" s="54"/>
      <c r="J340" s="54">
        <f ca="1">IFERROR(__xludf.DUMMYFUNCTION("""COMPUTED_VALUE"""),63)</f>
        <v>63</v>
      </c>
      <c r="K340" s="54"/>
      <c r="L340" s="54">
        <f ca="1">IFERROR(__xludf.DUMMYFUNCTION("""COMPUTED_VALUE"""),44)</f>
        <v>44</v>
      </c>
      <c r="M340" s="54"/>
      <c r="N340" s="53"/>
      <c r="O340" s="53"/>
      <c r="P340" s="53"/>
      <c r="Q340" s="53"/>
      <c r="R340" s="53"/>
      <c r="S340" s="53"/>
      <c r="T340" s="53"/>
      <c r="U340" s="53"/>
      <c r="V340" s="53"/>
      <c r="W340" s="53"/>
      <c r="X340" s="53"/>
      <c r="Y340" s="53"/>
      <c r="Z340" s="2"/>
      <c r="AA340" s="2"/>
      <c r="AB340" s="2"/>
      <c r="AC340" s="2"/>
      <c r="AD340" s="2"/>
      <c r="AE340" s="2"/>
    </row>
    <row r="341" spans="1:31" ht="12.75" x14ac:dyDescent="0.2">
      <c r="A341" s="53">
        <f ca="1">IFERROR(__xludf.DUMMYFUNCTION("""COMPUTED_VALUE"""),9)</f>
        <v>9</v>
      </c>
      <c r="B341" s="53" t="str">
        <f ca="1">IFERROR(__xludf.DUMMYFUNCTION("""COMPUTED_VALUE"""),"THCS Lê Tấn Bê")</f>
        <v>THCS Lê Tấn Bê</v>
      </c>
      <c r="C341" s="53" t="str">
        <f ca="1">IFERROR(__xludf.DUMMYFUNCTION("""COMPUTED_VALUE"""),"THCS")</f>
        <v>THCS</v>
      </c>
      <c r="D341" s="53" t="str">
        <f ca="1">IFERROR(__xludf.DUMMYFUNCTION("""COMPUTED_VALUE"""),"Bình Tân")</f>
        <v>Bình Tân</v>
      </c>
      <c r="E341" s="54">
        <f ca="1">IFERROR(__xludf.DUMMYFUNCTION("""COMPUTED_VALUE"""),87)</f>
        <v>87</v>
      </c>
      <c r="F341" s="54">
        <f ca="1">IFERROR(__xludf.DUMMYFUNCTION("""COMPUTED_VALUE"""),87)</f>
        <v>87</v>
      </c>
      <c r="G341" s="54"/>
      <c r="H341" s="54">
        <f ca="1">IFERROR(__xludf.DUMMYFUNCTION("""COMPUTED_VALUE"""),87)</f>
        <v>87</v>
      </c>
      <c r="I341" s="54"/>
      <c r="J341" s="54">
        <f ca="1">IFERROR(__xludf.DUMMYFUNCTION("""COMPUTED_VALUE"""),80)</f>
        <v>80</v>
      </c>
      <c r="K341" s="54"/>
      <c r="L341" s="54">
        <f ca="1">IFERROR(__xludf.DUMMYFUNCTION("""COMPUTED_VALUE"""),33)</f>
        <v>33</v>
      </c>
      <c r="M341" s="54"/>
      <c r="N341" s="53"/>
      <c r="O341" s="53"/>
      <c r="P341" s="53"/>
      <c r="Q341" s="53"/>
      <c r="R341" s="53"/>
      <c r="S341" s="53"/>
      <c r="T341" s="53"/>
      <c r="U341" s="53"/>
      <c r="V341" s="53"/>
      <c r="W341" s="53"/>
      <c r="X341" s="53"/>
      <c r="Y341" s="53"/>
      <c r="Z341" s="2"/>
      <c r="AA341" s="2"/>
      <c r="AB341" s="2"/>
      <c r="AC341" s="2"/>
      <c r="AD341" s="2"/>
      <c r="AE341" s="2"/>
    </row>
    <row r="342" spans="1:31" ht="12.75" x14ac:dyDescent="0.2">
      <c r="A342" s="53">
        <f ca="1">IFERROR(__xludf.DUMMYFUNCTION("""COMPUTED_VALUE"""),10)</f>
        <v>10</v>
      </c>
      <c r="B342" s="53" t="str">
        <f ca="1">IFERROR(__xludf.DUMMYFUNCTION("""COMPUTED_VALUE"""),"THCS Lý Thường Kiệt")</f>
        <v>THCS Lý Thường Kiệt</v>
      </c>
      <c r="C342" s="53" t="str">
        <f ca="1">IFERROR(__xludf.DUMMYFUNCTION("""COMPUTED_VALUE"""),"THCS")</f>
        <v>THCS</v>
      </c>
      <c r="D342" s="53" t="str">
        <f ca="1">IFERROR(__xludf.DUMMYFUNCTION("""COMPUTED_VALUE"""),"Bình Tân")</f>
        <v>Bình Tân</v>
      </c>
      <c r="E342" s="54">
        <f ca="1">IFERROR(__xludf.DUMMYFUNCTION("""COMPUTED_VALUE"""),108)</f>
        <v>108</v>
      </c>
      <c r="F342" s="54">
        <f ca="1">IFERROR(__xludf.DUMMYFUNCTION("""COMPUTED_VALUE"""),106)</f>
        <v>106</v>
      </c>
      <c r="G342" s="54"/>
      <c r="H342" s="54">
        <f ca="1">IFERROR(__xludf.DUMMYFUNCTION("""COMPUTED_VALUE"""),105)</f>
        <v>105</v>
      </c>
      <c r="I342" s="54"/>
      <c r="J342" s="54">
        <f ca="1">IFERROR(__xludf.DUMMYFUNCTION("""COMPUTED_VALUE"""),97)</f>
        <v>97</v>
      </c>
      <c r="K342" s="54"/>
      <c r="L342" s="54">
        <f ca="1">IFERROR(__xludf.DUMMYFUNCTION("""COMPUTED_VALUE"""),65)</f>
        <v>65</v>
      </c>
      <c r="M342" s="54"/>
      <c r="N342" s="53"/>
      <c r="O342" s="53"/>
      <c r="P342" s="53"/>
      <c r="Q342" s="53"/>
      <c r="R342" s="53"/>
      <c r="S342" s="53"/>
      <c r="T342" s="53"/>
      <c r="U342" s="53"/>
      <c r="V342" s="53"/>
      <c r="W342" s="53"/>
      <c r="X342" s="53"/>
      <c r="Y342" s="53"/>
      <c r="Z342" s="2"/>
      <c r="AA342" s="2"/>
      <c r="AB342" s="2"/>
      <c r="AC342" s="2"/>
      <c r="AD342" s="2"/>
      <c r="AE342" s="2"/>
    </row>
    <row r="343" spans="1:31" ht="12.75" x14ac:dyDescent="0.2">
      <c r="A343" s="53">
        <f ca="1">IFERROR(__xludf.DUMMYFUNCTION("""COMPUTED_VALUE"""),11)</f>
        <v>11</v>
      </c>
      <c r="B343" s="53" t="str">
        <f ca="1">IFERROR(__xludf.DUMMYFUNCTION("""COMPUTED_VALUE"""),"THCS Nguyễn Trãi")</f>
        <v>THCS Nguyễn Trãi</v>
      </c>
      <c r="C343" s="53" t="str">
        <f ca="1">IFERROR(__xludf.DUMMYFUNCTION("""COMPUTED_VALUE"""),"THCS")</f>
        <v>THCS</v>
      </c>
      <c r="D343" s="53" t="str">
        <f ca="1">IFERROR(__xludf.DUMMYFUNCTION("""COMPUTED_VALUE"""),"Bình Tân")</f>
        <v>Bình Tân</v>
      </c>
      <c r="E343" s="54">
        <f ca="1">IFERROR(__xludf.DUMMYFUNCTION("""COMPUTED_VALUE"""),144)</f>
        <v>144</v>
      </c>
      <c r="F343" s="54">
        <f ca="1">IFERROR(__xludf.DUMMYFUNCTION("""COMPUTED_VALUE"""),144)</f>
        <v>144</v>
      </c>
      <c r="G343" s="54"/>
      <c r="H343" s="54">
        <f ca="1">IFERROR(__xludf.DUMMYFUNCTION("""COMPUTED_VALUE"""),144)</f>
        <v>144</v>
      </c>
      <c r="I343" s="54"/>
      <c r="J343" s="54">
        <f ca="1">IFERROR(__xludf.DUMMYFUNCTION("""COMPUTED_VALUE"""),133)</f>
        <v>133</v>
      </c>
      <c r="K343" s="54"/>
      <c r="L343" s="54">
        <f ca="1">IFERROR(__xludf.DUMMYFUNCTION("""COMPUTED_VALUE"""),47)</f>
        <v>47</v>
      </c>
      <c r="M343" s="54"/>
      <c r="N343" s="53"/>
      <c r="O343" s="53"/>
      <c r="P343" s="53"/>
      <c r="Q343" s="53"/>
      <c r="R343" s="53"/>
      <c r="S343" s="53"/>
      <c r="T343" s="53"/>
      <c r="U343" s="53"/>
      <c r="V343" s="53"/>
      <c r="W343" s="53"/>
      <c r="X343" s="53"/>
      <c r="Y343" s="53"/>
      <c r="Z343" s="2"/>
      <c r="AA343" s="2"/>
      <c r="AB343" s="2"/>
      <c r="AC343" s="2"/>
      <c r="AD343" s="2"/>
      <c r="AE343" s="2"/>
    </row>
    <row r="344" spans="1:31" ht="12.75" x14ac:dyDescent="0.2">
      <c r="A344" s="53">
        <f ca="1">IFERROR(__xludf.DUMMYFUNCTION("""COMPUTED_VALUE"""),12)</f>
        <v>12</v>
      </c>
      <c r="B344" s="53" t="str">
        <f ca="1">IFERROR(__xludf.DUMMYFUNCTION("""COMPUTED_VALUE"""),"THCS Tân Tạo")</f>
        <v>THCS Tân Tạo</v>
      </c>
      <c r="C344" s="53" t="str">
        <f ca="1">IFERROR(__xludf.DUMMYFUNCTION("""COMPUTED_VALUE"""),"THCS")</f>
        <v>THCS</v>
      </c>
      <c r="D344" s="53" t="str">
        <f ca="1">IFERROR(__xludf.DUMMYFUNCTION("""COMPUTED_VALUE"""),"Bình Tân")</f>
        <v>Bình Tân</v>
      </c>
      <c r="E344" s="54">
        <f ca="1">IFERROR(__xludf.DUMMYFUNCTION("""COMPUTED_VALUE"""),67)</f>
        <v>67</v>
      </c>
      <c r="F344" s="54">
        <f ca="1">IFERROR(__xludf.DUMMYFUNCTION("""COMPUTED_VALUE"""),67)</f>
        <v>67</v>
      </c>
      <c r="G344" s="54"/>
      <c r="H344" s="54">
        <f ca="1">IFERROR(__xludf.DUMMYFUNCTION("""COMPUTED_VALUE"""),67)</f>
        <v>67</v>
      </c>
      <c r="I344" s="54"/>
      <c r="J344" s="54">
        <f ca="1">IFERROR(__xludf.DUMMYFUNCTION("""COMPUTED_VALUE"""),67)</f>
        <v>67</v>
      </c>
      <c r="K344" s="54"/>
      <c r="L344" s="54">
        <f ca="1">IFERROR(__xludf.DUMMYFUNCTION("""COMPUTED_VALUE"""),63)</f>
        <v>63</v>
      </c>
      <c r="M344" s="54"/>
      <c r="N344" s="53"/>
      <c r="O344" s="53"/>
      <c r="P344" s="53"/>
      <c r="Q344" s="53"/>
      <c r="R344" s="53"/>
      <c r="S344" s="53"/>
      <c r="T344" s="53"/>
      <c r="U344" s="53"/>
      <c r="V344" s="53"/>
      <c r="W344" s="53"/>
      <c r="X344" s="53"/>
      <c r="Y344" s="53"/>
      <c r="Z344" s="2"/>
      <c r="AA344" s="2"/>
      <c r="AB344" s="2"/>
      <c r="AC344" s="2"/>
      <c r="AD344" s="2"/>
      <c r="AE344" s="2"/>
    </row>
    <row r="345" spans="1:31" ht="12.75" x14ac:dyDescent="0.2">
      <c r="A345" s="53">
        <f ca="1">IFERROR(__xludf.DUMMYFUNCTION("""COMPUTED_VALUE"""),13)</f>
        <v>13</v>
      </c>
      <c r="B345" s="53" t="str">
        <f ca="1">IFERROR(__xludf.DUMMYFUNCTION("""COMPUTED_VALUE"""),"THCS Tân Tạo A")</f>
        <v>THCS Tân Tạo A</v>
      </c>
      <c r="C345" s="53" t="str">
        <f ca="1">IFERROR(__xludf.DUMMYFUNCTION("""COMPUTED_VALUE"""),"THCS")</f>
        <v>THCS</v>
      </c>
      <c r="D345" s="53" t="str">
        <f ca="1">IFERROR(__xludf.DUMMYFUNCTION("""COMPUTED_VALUE"""),"Bình Tân")</f>
        <v>Bình Tân</v>
      </c>
      <c r="E345" s="54">
        <f ca="1">IFERROR(__xludf.DUMMYFUNCTION("""COMPUTED_VALUE"""),103)</f>
        <v>103</v>
      </c>
      <c r="F345" s="54">
        <f ca="1">IFERROR(__xludf.DUMMYFUNCTION("""COMPUTED_VALUE"""),103)</f>
        <v>103</v>
      </c>
      <c r="G345" s="54"/>
      <c r="H345" s="54">
        <f ca="1">IFERROR(__xludf.DUMMYFUNCTION("""COMPUTED_VALUE"""),103)</f>
        <v>103</v>
      </c>
      <c r="I345" s="54"/>
      <c r="J345" s="54">
        <f ca="1">IFERROR(__xludf.DUMMYFUNCTION("""COMPUTED_VALUE"""),96)</f>
        <v>96</v>
      </c>
      <c r="K345" s="54"/>
      <c r="L345" s="54">
        <f ca="1">IFERROR(__xludf.DUMMYFUNCTION("""COMPUTED_VALUE"""),65)</f>
        <v>65</v>
      </c>
      <c r="M345" s="54"/>
      <c r="N345" s="53"/>
      <c r="O345" s="53"/>
      <c r="P345" s="53"/>
      <c r="Q345" s="53"/>
      <c r="R345" s="53"/>
      <c r="S345" s="53"/>
      <c r="T345" s="53"/>
      <c r="U345" s="53"/>
      <c r="V345" s="53"/>
      <c r="W345" s="53"/>
      <c r="X345" s="53"/>
      <c r="Y345" s="53"/>
      <c r="Z345" s="2"/>
      <c r="AA345" s="2"/>
      <c r="AB345" s="2"/>
      <c r="AC345" s="2"/>
      <c r="AD345" s="2"/>
      <c r="AE345" s="2"/>
    </row>
    <row r="346" spans="1:31" ht="12.75" x14ac:dyDescent="0.2">
      <c r="A346" s="53">
        <f ca="1">IFERROR(__xludf.DUMMYFUNCTION("""COMPUTED_VALUE"""),14)</f>
        <v>14</v>
      </c>
      <c r="B346" s="53" t="str">
        <f ca="1">IFERROR(__xludf.DUMMYFUNCTION("""COMPUTED_VALUE"""),"THCS Trần Quốc Toản")</f>
        <v>THCS Trần Quốc Toản</v>
      </c>
      <c r="C346" s="53" t="str">
        <f ca="1">IFERROR(__xludf.DUMMYFUNCTION("""COMPUTED_VALUE"""),"THCS")</f>
        <v>THCS</v>
      </c>
      <c r="D346" s="53" t="str">
        <f ca="1">IFERROR(__xludf.DUMMYFUNCTION("""COMPUTED_VALUE"""),"Bình Tân")</f>
        <v>Bình Tân</v>
      </c>
      <c r="E346" s="54">
        <f ca="1">IFERROR(__xludf.DUMMYFUNCTION("""COMPUTED_VALUE"""),112)</f>
        <v>112</v>
      </c>
      <c r="F346" s="54">
        <f ca="1">IFERROR(__xludf.DUMMYFUNCTION("""COMPUTED_VALUE"""),112)</f>
        <v>112</v>
      </c>
      <c r="G346" s="54"/>
      <c r="H346" s="54">
        <f ca="1">IFERROR(__xludf.DUMMYFUNCTION("""COMPUTED_VALUE"""),112)</f>
        <v>112</v>
      </c>
      <c r="I346" s="54"/>
      <c r="J346" s="54">
        <f ca="1">IFERROR(__xludf.DUMMYFUNCTION("""COMPUTED_VALUE"""),104)</f>
        <v>104</v>
      </c>
      <c r="K346" s="54"/>
      <c r="L346" s="54">
        <f ca="1">IFERROR(__xludf.DUMMYFUNCTION("""COMPUTED_VALUE"""),70)</f>
        <v>70</v>
      </c>
      <c r="M346" s="54"/>
      <c r="N346" s="53"/>
      <c r="O346" s="53"/>
      <c r="P346" s="53"/>
      <c r="Q346" s="53"/>
      <c r="R346" s="53"/>
      <c r="S346" s="53"/>
      <c r="T346" s="53"/>
      <c r="U346" s="53"/>
      <c r="V346" s="53"/>
      <c r="W346" s="53"/>
      <c r="X346" s="53"/>
      <c r="Y346" s="53"/>
      <c r="Z346" s="2"/>
      <c r="AA346" s="2"/>
      <c r="AB346" s="2"/>
      <c r="AC346" s="2"/>
      <c r="AD346" s="2"/>
      <c r="AE346" s="2"/>
    </row>
    <row r="347" spans="1:31" ht="12.75" x14ac:dyDescent="0.2">
      <c r="A347" s="53"/>
      <c r="B347" s="53"/>
      <c r="C347" s="53" t="str">
        <f ca="1">IFERROR(__xludf.DUMMYFUNCTION("""COMPUTED_VALUE"""),"THCS")</f>
        <v>THCS</v>
      </c>
      <c r="D347" s="53" t="str">
        <f ca="1">IFERROR(__xludf.DUMMYFUNCTION("""COMPUTED_VALUE"""),"Bình Tân")</f>
        <v>Bình Tân</v>
      </c>
      <c r="E347" s="54">
        <f ca="1">IFERROR(__xludf.DUMMYFUNCTION("""COMPUTED_VALUE"""),1372)</f>
        <v>1372</v>
      </c>
      <c r="F347" s="54">
        <f ca="1">IFERROR(__xludf.DUMMYFUNCTION("""COMPUTED_VALUE"""),1369)</f>
        <v>1369</v>
      </c>
      <c r="G347" s="54"/>
      <c r="H347" s="54">
        <f ca="1">IFERROR(__xludf.DUMMYFUNCTION("""COMPUTED_VALUE"""),1365)</f>
        <v>1365</v>
      </c>
      <c r="I347" s="54"/>
      <c r="J347" s="54">
        <f ca="1">IFERROR(__xludf.DUMMYFUNCTION("""COMPUTED_VALUE"""),1282)</f>
        <v>1282</v>
      </c>
      <c r="K347" s="54"/>
      <c r="L347" s="54">
        <f ca="1">IFERROR(__xludf.DUMMYFUNCTION("""COMPUTED_VALUE"""),774)</f>
        <v>774</v>
      </c>
      <c r="M347" s="54"/>
      <c r="N347" s="53"/>
      <c r="O347" s="53"/>
      <c r="P347" s="53"/>
      <c r="Q347" s="53"/>
      <c r="R347" s="53"/>
      <c r="S347" s="53"/>
      <c r="T347" s="53"/>
      <c r="U347" s="53"/>
      <c r="V347" s="53"/>
      <c r="W347" s="53"/>
      <c r="X347" s="53"/>
      <c r="Y347" s="53"/>
      <c r="Z347" s="2"/>
      <c r="AA347" s="2"/>
      <c r="AB347" s="2"/>
      <c r="AC347" s="2"/>
      <c r="AD347" s="2"/>
      <c r="AE347" s="2"/>
    </row>
    <row r="348" spans="1:31" ht="12.75" x14ac:dyDescent="0.2">
      <c r="A348" s="53">
        <f ca="1">IFERROR(__xludf.DUMMYFUNCTION("""COMPUTED_VALUE"""),1)</f>
        <v>1</v>
      </c>
      <c r="B348" s="53" t="str">
        <f ca="1">IFERROR(__xludf.DUMMYFUNCTION("""COMPUTED_VALUE"""),"THPT An Lạc")</f>
        <v>THPT An Lạc</v>
      </c>
      <c r="C348" s="53" t="str">
        <f ca="1">IFERROR(__xludf.DUMMYFUNCTION("""COMPUTED_VALUE"""),"THPT")</f>
        <v>THPT</v>
      </c>
      <c r="D348" s="53" t="str">
        <f ca="1">IFERROR(__xludf.DUMMYFUNCTION("""COMPUTED_VALUE"""),"Bình Tân")</f>
        <v>Bình Tân</v>
      </c>
      <c r="E348" s="54">
        <f ca="1">IFERROR(__xludf.DUMMYFUNCTION("""COMPUTED_VALUE"""),106)</f>
        <v>106</v>
      </c>
      <c r="F348" s="54">
        <f ca="1">IFERROR(__xludf.DUMMYFUNCTION("""COMPUTED_VALUE"""),102)</f>
        <v>102</v>
      </c>
      <c r="G348" s="54"/>
      <c r="H348" s="54">
        <f ca="1">IFERROR(__xludf.DUMMYFUNCTION("""COMPUTED_VALUE"""),101)</f>
        <v>101</v>
      </c>
      <c r="I348" s="54"/>
      <c r="J348" s="54">
        <f ca="1">IFERROR(__xludf.DUMMYFUNCTION("""COMPUTED_VALUE"""),93)</f>
        <v>93</v>
      </c>
      <c r="K348" s="54"/>
      <c r="L348" s="54">
        <f ca="1">IFERROR(__xludf.DUMMYFUNCTION("""COMPUTED_VALUE"""),53)</f>
        <v>53</v>
      </c>
      <c r="M348" s="54"/>
      <c r="N348" s="53"/>
      <c r="O348" s="53"/>
      <c r="P348" s="53"/>
      <c r="Q348" s="53"/>
      <c r="R348" s="53"/>
      <c r="S348" s="53"/>
      <c r="T348" s="53"/>
      <c r="U348" s="53"/>
      <c r="V348" s="53"/>
      <c r="W348" s="53"/>
      <c r="X348" s="53"/>
      <c r="Y348" s="53"/>
      <c r="Z348" s="2"/>
      <c r="AA348" s="2"/>
      <c r="AB348" s="2"/>
      <c r="AC348" s="2"/>
      <c r="AD348" s="2"/>
      <c r="AE348" s="2"/>
    </row>
    <row r="349" spans="1:31" ht="12.75" x14ac:dyDescent="0.2">
      <c r="A349" s="53">
        <f ca="1">IFERROR(__xludf.DUMMYFUNCTION("""COMPUTED_VALUE"""),2)</f>
        <v>2</v>
      </c>
      <c r="B349" s="53" t="str">
        <f ca="1">IFERROR(__xludf.DUMMYFUNCTION("""COMPUTED_VALUE"""),"THPT Bình Hưng Hòa")</f>
        <v>THPT Bình Hưng Hòa</v>
      </c>
      <c r="C349" s="53" t="str">
        <f ca="1">IFERROR(__xludf.DUMMYFUNCTION("""COMPUTED_VALUE"""),"THPT")</f>
        <v>THPT</v>
      </c>
      <c r="D349" s="53" t="str">
        <f ca="1">IFERROR(__xludf.DUMMYFUNCTION("""COMPUTED_VALUE"""),"Bình Tân")</f>
        <v>Bình Tân</v>
      </c>
      <c r="E349" s="54">
        <f ca="1">IFERROR(__xludf.DUMMYFUNCTION("""COMPUTED_VALUE"""),111)</f>
        <v>111</v>
      </c>
      <c r="F349" s="54">
        <f ca="1">IFERROR(__xludf.DUMMYFUNCTION("""COMPUTED_VALUE"""),111)</f>
        <v>111</v>
      </c>
      <c r="G349" s="54"/>
      <c r="H349" s="54">
        <f ca="1">IFERROR(__xludf.DUMMYFUNCTION("""COMPUTED_VALUE"""),99)</f>
        <v>99</v>
      </c>
      <c r="I349" s="54"/>
      <c r="J349" s="54">
        <f ca="1">IFERROR(__xludf.DUMMYFUNCTION("""COMPUTED_VALUE"""),99)</f>
        <v>99</v>
      </c>
      <c r="K349" s="54"/>
      <c r="L349" s="54">
        <f ca="1">IFERROR(__xludf.DUMMYFUNCTION("""COMPUTED_VALUE"""),25)</f>
        <v>25</v>
      </c>
      <c r="M349" s="54"/>
      <c r="N349" s="53"/>
      <c r="O349" s="53"/>
      <c r="P349" s="53"/>
      <c r="Q349" s="53"/>
      <c r="R349" s="53"/>
      <c r="S349" s="53"/>
      <c r="T349" s="53"/>
      <c r="U349" s="53"/>
      <c r="V349" s="53"/>
      <c r="W349" s="53"/>
      <c r="X349" s="53"/>
      <c r="Y349" s="53"/>
      <c r="Z349" s="2"/>
      <c r="AA349" s="2"/>
      <c r="AB349" s="2"/>
      <c r="AC349" s="2"/>
      <c r="AD349" s="2"/>
      <c r="AE349" s="2"/>
    </row>
    <row r="350" spans="1:31" ht="12.75" x14ac:dyDescent="0.2">
      <c r="A350" s="53">
        <f ca="1">IFERROR(__xludf.DUMMYFUNCTION("""COMPUTED_VALUE"""),3)</f>
        <v>3</v>
      </c>
      <c r="B350" s="53" t="str">
        <f ca="1">IFERROR(__xludf.DUMMYFUNCTION("""COMPUTED_VALUE"""),"THPT Bình Tân")</f>
        <v>THPT Bình Tân</v>
      </c>
      <c r="C350" s="53" t="str">
        <f ca="1">IFERROR(__xludf.DUMMYFUNCTION("""COMPUTED_VALUE"""),"THPT")</f>
        <v>THPT</v>
      </c>
      <c r="D350" s="53" t="str">
        <f ca="1">IFERROR(__xludf.DUMMYFUNCTION("""COMPUTED_VALUE"""),"Bình Tân")</f>
        <v>Bình Tân</v>
      </c>
      <c r="E350" s="54">
        <f ca="1">IFERROR(__xludf.DUMMYFUNCTION("""COMPUTED_VALUE"""),88)</f>
        <v>88</v>
      </c>
      <c r="F350" s="54">
        <f ca="1">IFERROR(__xludf.DUMMYFUNCTION("""COMPUTED_VALUE"""),88)</f>
        <v>88</v>
      </c>
      <c r="G350" s="54"/>
      <c r="H350" s="54">
        <f ca="1">IFERROR(__xludf.DUMMYFUNCTION("""COMPUTED_VALUE"""),88)</f>
        <v>88</v>
      </c>
      <c r="I350" s="54"/>
      <c r="J350" s="54">
        <f ca="1">IFERROR(__xludf.DUMMYFUNCTION("""COMPUTED_VALUE"""),83)</f>
        <v>83</v>
      </c>
      <c r="K350" s="54"/>
      <c r="L350" s="54">
        <f ca="1">IFERROR(__xludf.DUMMYFUNCTION("""COMPUTED_VALUE"""),30)</f>
        <v>30</v>
      </c>
      <c r="M350" s="54"/>
      <c r="N350" s="53"/>
      <c r="O350" s="53"/>
      <c r="P350" s="53"/>
      <c r="Q350" s="53"/>
      <c r="R350" s="53"/>
      <c r="S350" s="53"/>
      <c r="T350" s="53"/>
      <c r="U350" s="53"/>
      <c r="V350" s="53"/>
      <c r="W350" s="53"/>
      <c r="X350" s="53"/>
      <c r="Y350" s="53"/>
      <c r="Z350" s="2"/>
      <c r="AA350" s="2"/>
      <c r="AB350" s="2"/>
      <c r="AC350" s="2"/>
      <c r="AD350" s="2"/>
      <c r="AE350" s="2"/>
    </row>
    <row r="351" spans="1:31" ht="12.75" x14ac:dyDescent="0.2">
      <c r="A351" s="53">
        <f ca="1">IFERROR(__xludf.DUMMYFUNCTION("""COMPUTED_VALUE"""),4)</f>
        <v>4</v>
      </c>
      <c r="B351" s="53" t="str">
        <f ca="1">IFERROR(__xludf.DUMMYFUNCTION("""COMPUTED_VALUE"""),"THPT Nguyễn Hữu Cảnh")</f>
        <v>THPT Nguyễn Hữu Cảnh</v>
      </c>
      <c r="C351" s="53" t="str">
        <f ca="1">IFERROR(__xludf.DUMMYFUNCTION("""COMPUTED_VALUE"""),"THPT")</f>
        <v>THPT</v>
      </c>
      <c r="D351" s="53" t="str">
        <f ca="1">IFERROR(__xludf.DUMMYFUNCTION("""COMPUTED_VALUE"""),"Bình Tân")</f>
        <v>Bình Tân</v>
      </c>
      <c r="E351" s="54">
        <f ca="1">IFERROR(__xludf.DUMMYFUNCTION("""COMPUTED_VALUE"""),97)</f>
        <v>97</v>
      </c>
      <c r="F351" s="54">
        <f ca="1">IFERROR(__xludf.DUMMYFUNCTION("""COMPUTED_VALUE"""),97)</f>
        <v>97</v>
      </c>
      <c r="G351" s="54"/>
      <c r="H351" s="54">
        <f ca="1">IFERROR(__xludf.DUMMYFUNCTION("""COMPUTED_VALUE"""),97)</f>
        <v>97</v>
      </c>
      <c r="I351" s="54"/>
      <c r="J351" s="54">
        <f ca="1">IFERROR(__xludf.DUMMYFUNCTION("""COMPUTED_VALUE"""),90)</f>
        <v>90</v>
      </c>
      <c r="K351" s="54"/>
      <c r="L351" s="54">
        <f ca="1">IFERROR(__xludf.DUMMYFUNCTION("""COMPUTED_VALUE"""),37)</f>
        <v>37</v>
      </c>
      <c r="M351" s="54"/>
      <c r="N351" s="53"/>
      <c r="O351" s="53"/>
      <c r="P351" s="53"/>
      <c r="Q351" s="53"/>
      <c r="R351" s="53"/>
      <c r="S351" s="53"/>
      <c r="T351" s="53"/>
      <c r="U351" s="53"/>
      <c r="V351" s="53"/>
      <c r="W351" s="53"/>
      <c r="X351" s="53"/>
      <c r="Y351" s="53"/>
      <c r="Z351" s="2"/>
      <c r="AA351" s="2"/>
      <c r="AB351" s="2"/>
      <c r="AC351" s="2"/>
      <c r="AD351" s="2"/>
      <c r="AE351" s="2"/>
    </row>
    <row r="352" spans="1:31" ht="12.75" x14ac:dyDescent="0.2">
      <c r="A352" s="53">
        <f ca="1">IFERROR(__xludf.DUMMYFUNCTION("""COMPUTED_VALUE"""),5)</f>
        <v>5</v>
      </c>
      <c r="B352" s="53" t="str">
        <f ca="1">IFERROR(__xludf.DUMMYFUNCTION("""COMPUTED_VALUE"""),"THPT Vĩnh Lộc")</f>
        <v>THPT Vĩnh Lộc</v>
      </c>
      <c r="C352" s="53" t="str">
        <f ca="1">IFERROR(__xludf.DUMMYFUNCTION("""COMPUTED_VALUE"""),"THPT")</f>
        <v>THPT</v>
      </c>
      <c r="D352" s="53" t="str">
        <f ca="1">IFERROR(__xludf.DUMMYFUNCTION("""COMPUTED_VALUE"""),"Bình Tân")</f>
        <v>Bình Tân</v>
      </c>
      <c r="E352" s="54">
        <f ca="1">IFERROR(__xludf.DUMMYFUNCTION("""COMPUTED_VALUE"""),79)</f>
        <v>79</v>
      </c>
      <c r="F352" s="54">
        <f ca="1">IFERROR(__xludf.DUMMYFUNCTION("""COMPUTED_VALUE"""),79)</f>
        <v>79</v>
      </c>
      <c r="G352" s="54"/>
      <c r="H352" s="54">
        <f ca="1">IFERROR(__xludf.DUMMYFUNCTION("""COMPUTED_VALUE"""),64)</f>
        <v>64</v>
      </c>
      <c r="I352" s="54"/>
      <c r="J352" s="54">
        <f ca="1">IFERROR(__xludf.DUMMYFUNCTION("""COMPUTED_VALUE"""),64)</f>
        <v>64</v>
      </c>
      <c r="K352" s="54"/>
      <c r="L352" s="54">
        <f ca="1">IFERROR(__xludf.DUMMYFUNCTION("""COMPUTED_VALUE"""),14)</f>
        <v>14</v>
      </c>
      <c r="M352" s="54"/>
      <c r="N352" s="53"/>
      <c r="O352" s="53"/>
      <c r="P352" s="53"/>
      <c r="Q352" s="53"/>
      <c r="R352" s="53"/>
      <c r="S352" s="53"/>
      <c r="T352" s="53"/>
      <c r="U352" s="53"/>
      <c r="V352" s="53"/>
      <c r="W352" s="53"/>
      <c r="X352" s="53"/>
      <c r="Y352" s="53"/>
      <c r="Z352" s="2"/>
      <c r="AA352" s="2"/>
      <c r="AB352" s="2"/>
      <c r="AC352" s="2"/>
      <c r="AD352" s="2"/>
      <c r="AE352" s="2"/>
    </row>
    <row r="353" spans="1:31" ht="12.75" x14ac:dyDescent="0.2">
      <c r="A353" s="53">
        <f ca="1">IFERROR(__xludf.DUMMYFUNCTION("""COMPUTED_VALUE"""),6)</f>
        <v>6</v>
      </c>
      <c r="B353" s="53" t="str">
        <f ca="1">IFERROR(__xludf.DUMMYFUNCTION("""COMPUTED_VALUE"""),"THPT Trần Nhân Tông")</f>
        <v>THPT Trần Nhân Tông</v>
      </c>
      <c r="C353" s="53" t="str">
        <f ca="1">IFERROR(__xludf.DUMMYFUNCTION("""COMPUTED_VALUE"""),"THPT")</f>
        <v>THPT</v>
      </c>
      <c r="D353" s="53" t="str">
        <f ca="1">IFERROR(__xludf.DUMMYFUNCTION("""COMPUTED_VALUE"""),"Bình Tân")</f>
        <v>Bình Tân</v>
      </c>
      <c r="E353" s="54">
        <f ca="1">IFERROR(__xludf.DUMMYFUNCTION("""COMPUTED_VALUE"""),16)</f>
        <v>16</v>
      </c>
      <c r="F353" s="54">
        <f ca="1">IFERROR(__xludf.DUMMYFUNCTION("""COMPUTED_VALUE"""),0)</f>
        <v>0</v>
      </c>
      <c r="G353" s="54"/>
      <c r="H353" s="54">
        <f ca="1">IFERROR(__xludf.DUMMYFUNCTION("""COMPUTED_VALUE"""),0)</f>
        <v>0</v>
      </c>
      <c r="I353" s="54"/>
      <c r="J353" s="54">
        <f ca="1">IFERROR(__xludf.DUMMYFUNCTION("""COMPUTED_VALUE"""),14)</f>
        <v>14</v>
      </c>
      <c r="K353" s="54"/>
      <c r="L353" s="54">
        <f ca="1">IFERROR(__xludf.DUMMYFUNCTION("""COMPUTED_VALUE"""),2)</f>
        <v>2</v>
      </c>
      <c r="M353" s="54"/>
      <c r="N353" s="53"/>
      <c r="O353" s="53"/>
      <c r="P353" s="53"/>
      <c r="Q353" s="53"/>
      <c r="R353" s="53"/>
      <c r="S353" s="53"/>
      <c r="T353" s="53"/>
      <c r="U353" s="53"/>
      <c r="V353" s="53"/>
      <c r="W353" s="53"/>
      <c r="X353" s="53"/>
      <c r="Y353" s="53"/>
      <c r="Z353" s="2"/>
      <c r="AA353" s="2"/>
      <c r="AB353" s="2"/>
      <c r="AC353" s="2"/>
      <c r="AD353" s="2"/>
      <c r="AE353" s="2"/>
    </row>
    <row r="354" spans="1:31" ht="12.75" x14ac:dyDescent="0.2">
      <c r="A354" s="53">
        <f ca="1">IFERROR(__xludf.DUMMYFUNCTION("""COMPUTED_VALUE"""),7)</f>
        <v>7</v>
      </c>
      <c r="B354" s="53" t="str">
        <f ca="1">IFERROR(__xludf.DUMMYFUNCTION("""COMPUTED_VALUE"""),"THPT Phú Lâm")</f>
        <v>THPT Phú Lâm</v>
      </c>
      <c r="C354" s="53" t="str">
        <f ca="1">IFERROR(__xludf.DUMMYFUNCTION("""COMPUTED_VALUE"""),"THPT")</f>
        <v>THPT</v>
      </c>
      <c r="D354" s="53" t="str">
        <f ca="1">IFERROR(__xludf.DUMMYFUNCTION("""COMPUTED_VALUE"""),"Bình Tân")</f>
        <v>Bình Tân</v>
      </c>
      <c r="E354" s="54">
        <f ca="1">IFERROR(__xludf.DUMMYFUNCTION("""COMPUTED_VALUE"""),31)</f>
        <v>31</v>
      </c>
      <c r="F354" s="54">
        <f ca="1">IFERROR(__xludf.DUMMYFUNCTION("""COMPUTED_VALUE"""),31)</f>
        <v>31</v>
      </c>
      <c r="G354" s="54"/>
      <c r="H354" s="54">
        <f ca="1">IFERROR(__xludf.DUMMYFUNCTION("""COMPUTED_VALUE"""),31)</f>
        <v>31</v>
      </c>
      <c r="I354" s="54"/>
      <c r="J354" s="54">
        <f ca="1">IFERROR(__xludf.DUMMYFUNCTION("""COMPUTED_VALUE"""),31)</f>
        <v>31</v>
      </c>
      <c r="K354" s="54"/>
      <c r="L354" s="54">
        <f ca="1">IFERROR(__xludf.DUMMYFUNCTION("""COMPUTED_VALUE"""),14)</f>
        <v>14</v>
      </c>
      <c r="M354" s="54"/>
      <c r="N354" s="53"/>
      <c r="O354" s="53"/>
      <c r="P354" s="53"/>
      <c r="Q354" s="53"/>
      <c r="R354" s="53"/>
      <c r="S354" s="53"/>
      <c r="T354" s="53"/>
      <c r="U354" s="53"/>
      <c r="V354" s="53"/>
      <c r="W354" s="53"/>
      <c r="X354" s="53"/>
      <c r="Y354" s="53"/>
      <c r="Z354" s="2"/>
      <c r="AA354" s="2"/>
      <c r="AB354" s="2"/>
      <c r="AC354" s="2"/>
      <c r="AD354" s="2"/>
      <c r="AE354" s="2"/>
    </row>
    <row r="355" spans="1:31" ht="12.75" x14ac:dyDescent="0.2">
      <c r="A355" s="53"/>
      <c r="B355" s="53"/>
      <c r="C355" s="53"/>
      <c r="D355" s="53" t="str">
        <f ca="1">IFERROR(__xludf.DUMMYFUNCTION("""COMPUTED_VALUE"""),"Bình Tân")</f>
        <v>Bình Tân</v>
      </c>
      <c r="E355" s="54">
        <f ca="1">IFERROR(__xludf.DUMMYFUNCTION("""COMPUTED_VALUE"""),528)</f>
        <v>528</v>
      </c>
      <c r="F355" s="54">
        <f ca="1">IFERROR(__xludf.DUMMYFUNCTION("""COMPUTED_VALUE"""),508)</f>
        <v>508</v>
      </c>
      <c r="G355" s="54"/>
      <c r="H355" s="54">
        <f ca="1">IFERROR(__xludf.DUMMYFUNCTION("""COMPUTED_VALUE"""),480)</f>
        <v>480</v>
      </c>
      <c r="I355" s="54"/>
      <c r="J355" s="54">
        <f ca="1">IFERROR(__xludf.DUMMYFUNCTION("""COMPUTED_VALUE"""),474)</f>
        <v>474</v>
      </c>
      <c r="K355" s="54"/>
      <c r="L355" s="54">
        <f ca="1">IFERROR(__xludf.DUMMYFUNCTION("""COMPUTED_VALUE"""),175)</f>
        <v>175</v>
      </c>
      <c r="M355" s="54"/>
      <c r="N355" s="53"/>
      <c r="O355" s="53"/>
      <c r="P355" s="53"/>
      <c r="Q355" s="53"/>
      <c r="R355" s="53"/>
      <c r="S355" s="53"/>
      <c r="T355" s="53"/>
      <c r="U355" s="53"/>
      <c r="V355" s="53"/>
      <c r="W355" s="53"/>
      <c r="X355" s="53"/>
      <c r="Y355" s="53"/>
      <c r="Z355" s="2"/>
      <c r="AA355" s="2"/>
      <c r="AB355" s="2"/>
      <c r="AC355" s="2"/>
      <c r="AD355" s="2"/>
      <c r="AE355" s="2"/>
    </row>
    <row r="356" spans="1:31" ht="12.75" x14ac:dyDescent="0.2">
      <c r="A356" s="53">
        <f ca="1">IFERROR(__xludf.DUMMYFUNCTION("""COMPUTED_VALUE"""),1)</f>
        <v>1</v>
      </c>
      <c r="B356" s="53" t="str">
        <f ca="1">IFERROR(__xludf.DUMMYFUNCTION("""COMPUTED_VALUE"""),"THCL An Lạc 1")</f>
        <v>THCL An Lạc 1</v>
      </c>
      <c r="C356" s="53" t="str">
        <f ca="1">IFERROR(__xludf.DUMMYFUNCTION("""COMPUTED_VALUE"""),"TH")</f>
        <v>TH</v>
      </c>
      <c r="D356" s="53" t="str">
        <f ca="1">IFERROR(__xludf.DUMMYFUNCTION("""COMPUTED_VALUE"""),"Bình Tân")</f>
        <v>Bình Tân</v>
      </c>
      <c r="E356" s="54">
        <f ca="1">IFERROR(__xludf.DUMMYFUNCTION("""COMPUTED_VALUE"""),89)</f>
        <v>89</v>
      </c>
      <c r="F356" s="54">
        <f ca="1">IFERROR(__xludf.DUMMYFUNCTION("""COMPUTED_VALUE"""),89)</f>
        <v>89</v>
      </c>
      <c r="G356" s="54"/>
      <c r="H356" s="54">
        <f ca="1">IFERROR(__xludf.DUMMYFUNCTION("""COMPUTED_VALUE"""),87)</f>
        <v>87</v>
      </c>
      <c r="I356" s="54"/>
      <c r="J356" s="54">
        <f ca="1">IFERROR(__xludf.DUMMYFUNCTION("""COMPUTED_VALUE"""),87)</f>
        <v>87</v>
      </c>
      <c r="K356" s="54"/>
      <c r="L356" s="54">
        <f ca="1">IFERROR(__xludf.DUMMYFUNCTION("""COMPUTED_VALUE"""),51)</f>
        <v>51</v>
      </c>
      <c r="M356" s="54"/>
      <c r="N356" s="53"/>
      <c r="O356" s="53"/>
      <c r="P356" s="53"/>
      <c r="Q356" s="53"/>
      <c r="R356" s="53"/>
      <c r="S356" s="53"/>
      <c r="T356" s="53"/>
      <c r="U356" s="53"/>
      <c r="V356" s="53"/>
      <c r="W356" s="53"/>
      <c r="X356" s="53"/>
      <c r="Y356" s="53"/>
      <c r="Z356" s="2"/>
      <c r="AA356" s="2"/>
      <c r="AB356" s="2"/>
      <c r="AC356" s="2"/>
      <c r="AD356" s="2"/>
      <c r="AE356" s="2"/>
    </row>
    <row r="357" spans="1:31" ht="12.75" x14ac:dyDescent="0.2">
      <c r="A357" s="53">
        <f ca="1">IFERROR(__xludf.DUMMYFUNCTION("""COMPUTED_VALUE"""),2)</f>
        <v>2</v>
      </c>
      <c r="B357" s="53" t="str">
        <f ca="1">IFERROR(__xludf.DUMMYFUNCTION("""COMPUTED_VALUE"""),"THCL An Lạc 2")</f>
        <v>THCL An Lạc 2</v>
      </c>
      <c r="C357" s="53" t="str">
        <f ca="1">IFERROR(__xludf.DUMMYFUNCTION("""COMPUTED_VALUE"""),"TH")</f>
        <v>TH</v>
      </c>
      <c r="D357" s="53" t="str">
        <f ca="1">IFERROR(__xludf.DUMMYFUNCTION("""COMPUTED_VALUE"""),"Bình Tân")</f>
        <v>Bình Tân</v>
      </c>
      <c r="E357" s="54">
        <f ca="1">IFERROR(__xludf.DUMMYFUNCTION("""COMPUTED_VALUE"""),58)</f>
        <v>58</v>
      </c>
      <c r="F357" s="54">
        <f ca="1">IFERROR(__xludf.DUMMYFUNCTION("""COMPUTED_VALUE"""),58)</f>
        <v>58</v>
      </c>
      <c r="G357" s="54"/>
      <c r="H357" s="54">
        <f ca="1">IFERROR(__xludf.DUMMYFUNCTION("""COMPUTED_VALUE"""),58)</f>
        <v>58</v>
      </c>
      <c r="I357" s="54"/>
      <c r="J357" s="54">
        <f ca="1">IFERROR(__xludf.DUMMYFUNCTION("""COMPUTED_VALUE"""),58)</f>
        <v>58</v>
      </c>
      <c r="K357" s="54"/>
      <c r="L357" s="54">
        <f ca="1">IFERROR(__xludf.DUMMYFUNCTION("""COMPUTED_VALUE"""),37)</f>
        <v>37</v>
      </c>
      <c r="M357" s="54"/>
      <c r="N357" s="53"/>
      <c r="O357" s="53"/>
      <c r="P357" s="53"/>
      <c r="Q357" s="53"/>
      <c r="R357" s="53"/>
      <c r="S357" s="53"/>
      <c r="T357" s="53"/>
      <c r="U357" s="53"/>
      <c r="V357" s="53"/>
      <c r="W357" s="53"/>
      <c r="X357" s="53"/>
      <c r="Y357" s="53"/>
      <c r="Z357" s="2"/>
      <c r="AA357" s="2"/>
      <c r="AB357" s="2"/>
      <c r="AC357" s="2"/>
      <c r="AD357" s="2"/>
      <c r="AE357" s="2"/>
    </row>
    <row r="358" spans="1:31" ht="12.75" x14ac:dyDescent="0.2">
      <c r="A358" s="53">
        <f ca="1">IFERROR(__xludf.DUMMYFUNCTION("""COMPUTED_VALUE"""),3)</f>
        <v>3</v>
      </c>
      <c r="B358" s="53" t="str">
        <f ca="1">IFERROR(__xludf.DUMMYFUNCTION("""COMPUTED_VALUE"""),"THCL An Lạc 3")</f>
        <v>THCL An Lạc 3</v>
      </c>
      <c r="C358" s="53" t="str">
        <f ca="1">IFERROR(__xludf.DUMMYFUNCTION("""COMPUTED_VALUE"""),"TH")</f>
        <v>TH</v>
      </c>
      <c r="D358" s="53" t="str">
        <f ca="1">IFERROR(__xludf.DUMMYFUNCTION("""COMPUTED_VALUE"""),"Bình Tân")</f>
        <v>Bình Tân</v>
      </c>
      <c r="E358" s="54">
        <f ca="1">IFERROR(__xludf.DUMMYFUNCTION("""COMPUTED_VALUE"""),46)</f>
        <v>46</v>
      </c>
      <c r="F358" s="54">
        <f ca="1">IFERROR(__xludf.DUMMYFUNCTION("""COMPUTED_VALUE"""),46)</f>
        <v>46</v>
      </c>
      <c r="G358" s="54"/>
      <c r="H358" s="54">
        <f ca="1">IFERROR(__xludf.DUMMYFUNCTION("""COMPUTED_VALUE"""),46)</f>
        <v>46</v>
      </c>
      <c r="I358" s="54"/>
      <c r="J358" s="54">
        <f ca="1">IFERROR(__xludf.DUMMYFUNCTION("""COMPUTED_VALUE"""),44)</f>
        <v>44</v>
      </c>
      <c r="K358" s="54"/>
      <c r="L358" s="54">
        <f ca="1">IFERROR(__xludf.DUMMYFUNCTION("""COMPUTED_VALUE"""),34)</f>
        <v>34</v>
      </c>
      <c r="M358" s="54"/>
      <c r="N358" s="53"/>
      <c r="O358" s="53"/>
      <c r="P358" s="53"/>
      <c r="Q358" s="53"/>
      <c r="R358" s="53"/>
      <c r="S358" s="53"/>
      <c r="T358" s="53"/>
      <c r="U358" s="53"/>
      <c r="V358" s="53"/>
      <c r="W358" s="53"/>
      <c r="X358" s="53"/>
      <c r="Y358" s="53"/>
      <c r="Z358" s="2"/>
      <c r="AA358" s="2"/>
      <c r="AB358" s="2"/>
      <c r="AC358" s="2"/>
      <c r="AD358" s="2"/>
      <c r="AE358" s="2"/>
    </row>
    <row r="359" spans="1:31" ht="12.75" x14ac:dyDescent="0.2">
      <c r="A359" s="53">
        <f ca="1">IFERROR(__xludf.DUMMYFUNCTION("""COMPUTED_VALUE"""),4)</f>
        <v>4</v>
      </c>
      <c r="B359" s="53" t="str">
        <f ca="1">IFERROR(__xludf.DUMMYFUNCTION("""COMPUTED_VALUE"""),"THCL Bình Hưng Hòa")</f>
        <v>THCL Bình Hưng Hòa</v>
      </c>
      <c r="C359" s="53" t="str">
        <f ca="1">IFERROR(__xludf.DUMMYFUNCTION("""COMPUTED_VALUE"""),"TH")</f>
        <v>TH</v>
      </c>
      <c r="D359" s="53" t="str">
        <f ca="1">IFERROR(__xludf.DUMMYFUNCTION("""COMPUTED_VALUE"""),"Bình Tân")</f>
        <v>Bình Tân</v>
      </c>
      <c r="E359" s="53">
        <f ca="1">IFERROR(__xludf.DUMMYFUNCTION("""COMPUTED_VALUE"""),87)</f>
        <v>87</v>
      </c>
      <c r="F359" s="53">
        <f ca="1">IFERROR(__xludf.DUMMYFUNCTION("""COMPUTED_VALUE"""),87)</f>
        <v>87</v>
      </c>
      <c r="G359" s="53"/>
      <c r="H359" s="53">
        <f ca="1">IFERROR(__xludf.DUMMYFUNCTION("""COMPUTED_VALUE"""),87)</f>
        <v>87</v>
      </c>
      <c r="I359" s="53"/>
      <c r="J359" s="53">
        <f ca="1">IFERROR(__xludf.DUMMYFUNCTION("""COMPUTED_VALUE"""),85)</f>
        <v>85</v>
      </c>
      <c r="K359" s="53"/>
      <c r="L359" s="53">
        <f ca="1">IFERROR(__xludf.DUMMYFUNCTION("""COMPUTED_VALUE"""),71)</f>
        <v>71</v>
      </c>
      <c r="M359" s="53"/>
      <c r="N359" s="53"/>
      <c r="O359" s="53"/>
      <c r="P359" s="53"/>
      <c r="Q359" s="53"/>
      <c r="R359" s="53"/>
      <c r="S359" s="53"/>
      <c r="T359" s="53"/>
      <c r="U359" s="53"/>
      <c r="V359" s="53"/>
      <c r="W359" s="53"/>
      <c r="X359" s="53"/>
      <c r="Y359" s="53"/>
      <c r="Z359" s="2"/>
      <c r="AA359" s="2"/>
      <c r="AB359" s="2"/>
      <c r="AC359" s="2"/>
      <c r="AD359" s="2"/>
      <c r="AE359" s="2"/>
    </row>
    <row r="360" spans="1:31" ht="12.75" x14ac:dyDescent="0.2">
      <c r="A360" s="53">
        <f ca="1">IFERROR(__xludf.DUMMYFUNCTION("""COMPUTED_VALUE"""),5)</f>
        <v>5</v>
      </c>
      <c r="B360" s="53" t="str">
        <f ca="1">IFERROR(__xludf.DUMMYFUNCTION("""COMPUTED_VALUE"""),"THCL Bình Hưng Hòa 1")</f>
        <v>THCL Bình Hưng Hòa 1</v>
      </c>
      <c r="C360" s="53" t="str">
        <f ca="1">IFERROR(__xludf.DUMMYFUNCTION("""COMPUTED_VALUE"""),"TH")</f>
        <v>TH</v>
      </c>
      <c r="D360" s="53" t="str">
        <f ca="1">IFERROR(__xludf.DUMMYFUNCTION("""COMPUTED_VALUE"""),"Bình Tân")</f>
        <v>Bình Tân</v>
      </c>
      <c r="E360" s="54">
        <f ca="1">IFERROR(__xludf.DUMMYFUNCTION("""COMPUTED_VALUE"""),49)</f>
        <v>49</v>
      </c>
      <c r="F360" s="54">
        <f ca="1">IFERROR(__xludf.DUMMYFUNCTION("""COMPUTED_VALUE"""),49)</f>
        <v>49</v>
      </c>
      <c r="G360" s="54"/>
      <c r="H360" s="54">
        <f ca="1">IFERROR(__xludf.DUMMYFUNCTION("""COMPUTED_VALUE"""),49)</f>
        <v>49</v>
      </c>
      <c r="I360" s="54"/>
      <c r="J360" s="54">
        <f ca="1">IFERROR(__xludf.DUMMYFUNCTION("""COMPUTED_VALUE"""),45)</f>
        <v>45</v>
      </c>
      <c r="K360" s="54"/>
      <c r="L360" s="54">
        <f ca="1">IFERROR(__xludf.DUMMYFUNCTION("""COMPUTED_VALUE"""),26)</f>
        <v>26</v>
      </c>
      <c r="M360" s="54"/>
      <c r="N360" s="53"/>
      <c r="O360" s="53"/>
      <c r="P360" s="53"/>
      <c r="Q360" s="53"/>
      <c r="R360" s="53"/>
      <c r="S360" s="53"/>
      <c r="T360" s="53"/>
      <c r="U360" s="53"/>
      <c r="V360" s="53"/>
      <c r="W360" s="53"/>
      <c r="X360" s="53"/>
      <c r="Y360" s="53"/>
      <c r="Z360" s="2"/>
      <c r="AA360" s="2"/>
      <c r="AB360" s="2"/>
      <c r="AC360" s="2"/>
      <c r="AD360" s="2"/>
      <c r="AE360" s="2"/>
    </row>
    <row r="361" spans="1:31" ht="12.75" x14ac:dyDescent="0.2">
      <c r="A361" s="53">
        <f ca="1">IFERROR(__xludf.DUMMYFUNCTION("""COMPUTED_VALUE"""),6)</f>
        <v>6</v>
      </c>
      <c r="B361" s="53" t="str">
        <f ca="1">IFERROR(__xludf.DUMMYFUNCTION("""COMPUTED_VALUE"""),"THCL Bình Long")</f>
        <v>THCL Bình Long</v>
      </c>
      <c r="C361" s="53" t="str">
        <f ca="1">IFERROR(__xludf.DUMMYFUNCTION("""COMPUTED_VALUE"""),"TH")</f>
        <v>TH</v>
      </c>
      <c r="D361" s="53" t="str">
        <f ca="1">IFERROR(__xludf.DUMMYFUNCTION("""COMPUTED_VALUE"""),"Bình Tân")</f>
        <v>Bình Tân</v>
      </c>
      <c r="E361" s="54">
        <f ca="1">IFERROR(__xludf.DUMMYFUNCTION("""COMPUTED_VALUE"""),53)</f>
        <v>53</v>
      </c>
      <c r="F361" s="54">
        <f ca="1">IFERROR(__xludf.DUMMYFUNCTION("""COMPUTED_VALUE"""),53)</f>
        <v>53</v>
      </c>
      <c r="G361" s="54"/>
      <c r="H361" s="54">
        <f ca="1">IFERROR(__xludf.DUMMYFUNCTION("""COMPUTED_VALUE"""),53)</f>
        <v>53</v>
      </c>
      <c r="I361" s="54"/>
      <c r="J361" s="54">
        <f ca="1">IFERROR(__xludf.DUMMYFUNCTION("""COMPUTED_VALUE"""),53)</f>
        <v>53</v>
      </c>
      <c r="K361" s="54"/>
      <c r="L361" s="54">
        <f ca="1">IFERROR(__xludf.DUMMYFUNCTION("""COMPUTED_VALUE"""),50)</f>
        <v>50</v>
      </c>
      <c r="M361" s="54"/>
      <c r="N361" s="53"/>
      <c r="O361" s="53"/>
      <c r="P361" s="53"/>
      <c r="Q361" s="53"/>
      <c r="R361" s="53"/>
      <c r="S361" s="53"/>
      <c r="T361" s="53"/>
      <c r="U361" s="53"/>
      <c r="V361" s="53"/>
      <c r="W361" s="53"/>
      <c r="X361" s="53"/>
      <c r="Y361" s="53"/>
      <c r="Z361" s="2"/>
      <c r="AA361" s="2"/>
      <c r="AB361" s="2"/>
      <c r="AC361" s="2"/>
      <c r="AD361" s="2"/>
      <c r="AE361" s="2"/>
    </row>
    <row r="362" spans="1:31" ht="12.75" x14ac:dyDescent="0.2">
      <c r="A362" s="53">
        <f ca="1">IFERROR(__xludf.DUMMYFUNCTION("""COMPUTED_VALUE"""),7)</f>
        <v>7</v>
      </c>
      <c r="B362" s="53" t="str">
        <f ca="1">IFERROR(__xludf.DUMMYFUNCTION("""COMPUTED_VALUE"""),"THCL Bình Tân")</f>
        <v>THCL Bình Tân</v>
      </c>
      <c r="C362" s="53" t="str">
        <f ca="1">IFERROR(__xludf.DUMMYFUNCTION("""COMPUTED_VALUE"""),"TH")</f>
        <v>TH</v>
      </c>
      <c r="D362" s="53" t="str">
        <f ca="1">IFERROR(__xludf.DUMMYFUNCTION("""COMPUTED_VALUE"""),"Bình Tân")</f>
        <v>Bình Tân</v>
      </c>
      <c r="E362" s="54">
        <f ca="1">IFERROR(__xludf.DUMMYFUNCTION("""COMPUTED_VALUE"""),100)</f>
        <v>100</v>
      </c>
      <c r="F362" s="54">
        <f ca="1">IFERROR(__xludf.DUMMYFUNCTION("""COMPUTED_VALUE"""),100)</f>
        <v>100</v>
      </c>
      <c r="G362" s="54"/>
      <c r="H362" s="54">
        <f ca="1">IFERROR(__xludf.DUMMYFUNCTION("""COMPUTED_VALUE"""),100)</f>
        <v>100</v>
      </c>
      <c r="I362" s="54"/>
      <c r="J362" s="54">
        <f ca="1">IFERROR(__xludf.DUMMYFUNCTION("""COMPUTED_VALUE"""),100)</f>
        <v>100</v>
      </c>
      <c r="K362" s="54"/>
      <c r="L362" s="54">
        <f ca="1">IFERROR(__xludf.DUMMYFUNCTION("""COMPUTED_VALUE"""),91)</f>
        <v>91</v>
      </c>
      <c r="M362" s="54"/>
      <c r="N362" s="53"/>
      <c r="O362" s="53"/>
      <c r="P362" s="53"/>
      <c r="Q362" s="53"/>
      <c r="R362" s="53"/>
      <c r="S362" s="53"/>
      <c r="T362" s="53"/>
      <c r="U362" s="53"/>
      <c r="V362" s="53"/>
      <c r="W362" s="53"/>
      <c r="X362" s="53"/>
      <c r="Y362" s="53"/>
      <c r="Z362" s="2"/>
      <c r="AA362" s="2"/>
      <c r="AB362" s="2"/>
      <c r="AC362" s="2"/>
      <c r="AD362" s="2"/>
      <c r="AE362" s="2"/>
    </row>
    <row r="363" spans="1:31" ht="12.75" x14ac:dyDescent="0.2">
      <c r="A363" s="53">
        <f ca="1">IFERROR(__xludf.DUMMYFUNCTION("""COMPUTED_VALUE"""),8)</f>
        <v>8</v>
      </c>
      <c r="B363" s="53" t="str">
        <f ca="1">IFERROR(__xludf.DUMMYFUNCTION("""COMPUTED_VALUE"""),"THCL Bình Thuận")</f>
        <v>THCL Bình Thuận</v>
      </c>
      <c r="C363" s="53" t="str">
        <f ca="1">IFERROR(__xludf.DUMMYFUNCTION("""COMPUTED_VALUE"""),"TH")</f>
        <v>TH</v>
      </c>
      <c r="D363" s="53" t="str">
        <f ca="1">IFERROR(__xludf.DUMMYFUNCTION("""COMPUTED_VALUE"""),"Bình Tân")</f>
        <v>Bình Tân</v>
      </c>
      <c r="E363" s="54">
        <f ca="1">IFERROR(__xludf.DUMMYFUNCTION("""COMPUTED_VALUE"""),72)</f>
        <v>72</v>
      </c>
      <c r="F363" s="54">
        <f ca="1">IFERROR(__xludf.DUMMYFUNCTION("""COMPUTED_VALUE"""),72)</f>
        <v>72</v>
      </c>
      <c r="G363" s="54"/>
      <c r="H363" s="54">
        <f ca="1">IFERROR(__xludf.DUMMYFUNCTION("""COMPUTED_VALUE"""),72)</f>
        <v>72</v>
      </c>
      <c r="I363" s="54"/>
      <c r="J363" s="54">
        <f ca="1">IFERROR(__xludf.DUMMYFUNCTION("""COMPUTED_VALUE"""),71)</f>
        <v>71</v>
      </c>
      <c r="K363" s="54"/>
      <c r="L363" s="54">
        <f ca="1">IFERROR(__xludf.DUMMYFUNCTION("""COMPUTED_VALUE"""),63)</f>
        <v>63</v>
      </c>
      <c r="M363" s="54"/>
      <c r="N363" s="53"/>
      <c r="O363" s="53"/>
      <c r="P363" s="53"/>
      <c r="Q363" s="53"/>
      <c r="R363" s="53"/>
      <c r="S363" s="53"/>
      <c r="T363" s="53"/>
      <c r="U363" s="53"/>
      <c r="V363" s="53"/>
      <c r="W363" s="53"/>
      <c r="X363" s="53"/>
      <c r="Y363" s="53"/>
      <c r="Z363" s="2"/>
      <c r="AA363" s="2"/>
      <c r="AB363" s="2"/>
      <c r="AC363" s="2"/>
      <c r="AD363" s="2"/>
      <c r="AE363" s="2"/>
    </row>
    <row r="364" spans="1:31" ht="12.75" x14ac:dyDescent="0.2">
      <c r="A364" s="53">
        <f ca="1">IFERROR(__xludf.DUMMYFUNCTION("""COMPUTED_VALUE"""),9)</f>
        <v>9</v>
      </c>
      <c r="B364" s="53" t="str">
        <f ca="1">IFERROR(__xludf.DUMMYFUNCTION("""COMPUTED_VALUE"""),"THCL Bình Trị 1")</f>
        <v>THCL Bình Trị 1</v>
      </c>
      <c r="C364" s="53" t="str">
        <f ca="1">IFERROR(__xludf.DUMMYFUNCTION("""COMPUTED_VALUE"""),"TH")</f>
        <v>TH</v>
      </c>
      <c r="D364" s="53" t="str">
        <f ca="1">IFERROR(__xludf.DUMMYFUNCTION("""COMPUTED_VALUE"""),"Bình Tân")</f>
        <v>Bình Tân</v>
      </c>
      <c r="E364" s="54">
        <f ca="1">IFERROR(__xludf.DUMMYFUNCTION("""COMPUTED_VALUE"""),113)</f>
        <v>113</v>
      </c>
      <c r="F364" s="54">
        <f ca="1">IFERROR(__xludf.DUMMYFUNCTION("""COMPUTED_VALUE"""),113)</f>
        <v>113</v>
      </c>
      <c r="G364" s="54"/>
      <c r="H364" s="54">
        <f ca="1">IFERROR(__xludf.DUMMYFUNCTION("""COMPUTED_VALUE"""),113)</f>
        <v>113</v>
      </c>
      <c r="I364" s="54"/>
      <c r="J364" s="54">
        <f ca="1">IFERROR(__xludf.DUMMYFUNCTION("""COMPUTED_VALUE"""),113)</f>
        <v>113</v>
      </c>
      <c r="K364" s="54"/>
      <c r="L364" s="54">
        <f ca="1">IFERROR(__xludf.DUMMYFUNCTION("""COMPUTED_VALUE"""),104)</f>
        <v>104</v>
      </c>
      <c r="M364" s="54"/>
      <c r="N364" s="53"/>
      <c r="O364" s="53"/>
      <c r="P364" s="53"/>
      <c r="Q364" s="53"/>
      <c r="R364" s="53"/>
      <c r="S364" s="53"/>
      <c r="T364" s="53"/>
      <c r="U364" s="53"/>
      <c r="V364" s="53"/>
      <c r="W364" s="53"/>
      <c r="X364" s="53"/>
      <c r="Y364" s="53"/>
      <c r="Z364" s="2"/>
      <c r="AA364" s="2"/>
      <c r="AB364" s="2"/>
      <c r="AC364" s="2"/>
      <c r="AD364" s="2"/>
      <c r="AE364" s="2"/>
    </row>
    <row r="365" spans="1:31" ht="12.75" x14ac:dyDescent="0.2">
      <c r="A365" s="53">
        <f ca="1">IFERROR(__xludf.DUMMYFUNCTION("""COMPUTED_VALUE"""),10)</f>
        <v>10</v>
      </c>
      <c r="B365" s="53" t="str">
        <f ca="1">IFERROR(__xludf.DUMMYFUNCTION("""COMPUTED_VALUE"""),"THCL Bình Trị 2")</f>
        <v>THCL Bình Trị 2</v>
      </c>
      <c r="C365" s="53" t="str">
        <f ca="1">IFERROR(__xludf.DUMMYFUNCTION("""COMPUTED_VALUE"""),"TH")</f>
        <v>TH</v>
      </c>
      <c r="D365" s="53" t="str">
        <f ca="1">IFERROR(__xludf.DUMMYFUNCTION("""COMPUTED_VALUE"""),"Bình Tân")</f>
        <v>Bình Tân</v>
      </c>
      <c r="E365" s="54">
        <f ca="1">IFERROR(__xludf.DUMMYFUNCTION("""COMPUTED_VALUE"""),126)</f>
        <v>126</v>
      </c>
      <c r="F365" s="54">
        <f ca="1">IFERROR(__xludf.DUMMYFUNCTION("""COMPUTED_VALUE"""),126)</f>
        <v>126</v>
      </c>
      <c r="G365" s="54"/>
      <c r="H365" s="54">
        <f ca="1">IFERROR(__xludf.DUMMYFUNCTION("""COMPUTED_VALUE"""),126)</f>
        <v>126</v>
      </c>
      <c r="I365" s="54"/>
      <c r="J365" s="54">
        <f ca="1">IFERROR(__xludf.DUMMYFUNCTION("""COMPUTED_VALUE"""),125)</f>
        <v>125</v>
      </c>
      <c r="K365" s="54"/>
      <c r="L365" s="54">
        <f ca="1">IFERROR(__xludf.DUMMYFUNCTION("""COMPUTED_VALUE"""),111)</f>
        <v>111</v>
      </c>
      <c r="M365" s="54"/>
      <c r="N365" s="53"/>
      <c r="O365" s="53"/>
      <c r="P365" s="53"/>
      <c r="Q365" s="53"/>
      <c r="R365" s="53"/>
      <c r="S365" s="53"/>
      <c r="T365" s="53"/>
      <c r="U365" s="53"/>
      <c r="V365" s="53"/>
      <c r="W365" s="53"/>
      <c r="X365" s="53"/>
      <c r="Y365" s="53"/>
      <c r="Z365" s="2"/>
      <c r="AA365" s="2"/>
      <c r="AB365" s="2"/>
      <c r="AC365" s="2"/>
      <c r="AD365" s="2"/>
      <c r="AE365" s="2"/>
    </row>
    <row r="366" spans="1:31" ht="12.75" x14ac:dyDescent="0.2">
      <c r="A366" s="53">
        <f ca="1">IFERROR(__xludf.DUMMYFUNCTION("""COMPUTED_VALUE"""),11)</f>
        <v>11</v>
      </c>
      <c r="B366" s="53" t="str">
        <f ca="1">IFERROR(__xludf.DUMMYFUNCTION("""COMPUTED_VALUE"""),"THCL Bình Trị Đông")</f>
        <v>THCL Bình Trị Đông</v>
      </c>
      <c r="C366" s="53" t="str">
        <f ca="1">IFERROR(__xludf.DUMMYFUNCTION("""COMPUTED_VALUE"""),"TH")</f>
        <v>TH</v>
      </c>
      <c r="D366" s="53" t="str">
        <f ca="1">IFERROR(__xludf.DUMMYFUNCTION("""COMPUTED_VALUE"""),"Bình Tân")</f>
        <v>Bình Tân</v>
      </c>
      <c r="E366" s="54">
        <f ca="1">IFERROR(__xludf.DUMMYFUNCTION("""COMPUTED_VALUE"""),97)</f>
        <v>97</v>
      </c>
      <c r="F366" s="54">
        <f ca="1">IFERROR(__xludf.DUMMYFUNCTION("""COMPUTED_VALUE"""),97)</f>
        <v>97</v>
      </c>
      <c r="G366" s="54"/>
      <c r="H366" s="54">
        <f ca="1">IFERROR(__xludf.DUMMYFUNCTION("""COMPUTED_VALUE"""),97)</f>
        <v>97</v>
      </c>
      <c r="I366" s="54"/>
      <c r="J366" s="54">
        <f ca="1">IFERROR(__xludf.DUMMYFUNCTION("""COMPUTED_VALUE"""),97)</f>
        <v>97</v>
      </c>
      <c r="K366" s="54"/>
      <c r="L366" s="54">
        <f ca="1">IFERROR(__xludf.DUMMYFUNCTION("""COMPUTED_VALUE"""),86)</f>
        <v>86</v>
      </c>
      <c r="M366" s="54"/>
      <c r="N366" s="53"/>
      <c r="O366" s="53"/>
      <c r="P366" s="53"/>
      <c r="Q366" s="53"/>
      <c r="R366" s="53"/>
      <c r="S366" s="53"/>
      <c r="T366" s="53"/>
      <c r="U366" s="53"/>
      <c r="V366" s="53"/>
      <c r="W366" s="53"/>
      <c r="X366" s="53"/>
      <c r="Y366" s="53"/>
      <c r="Z366" s="2"/>
      <c r="AA366" s="2"/>
      <c r="AB366" s="2"/>
      <c r="AC366" s="2"/>
      <c r="AD366" s="2"/>
      <c r="AE366" s="2"/>
    </row>
    <row r="367" spans="1:31" ht="12.75" x14ac:dyDescent="0.2">
      <c r="A367" s="53">
        <f ca="1">IFERROR(__xludf.DUMMYFUNCTION("""COMPUTED_VALUE"""),12)</f>
        <v>12</v>
      </c>
      <c r="B367" s="53" t="str">
        <f ca="1">IFERROR(__xludf.DUMMYFUNCTION("""COMPUTED_VALUE"""),"THCL Bình Trị Đông A")</f>
        <v>THCL Bình Trị Đông A</v>
      </c>
      <c r="C367" s="53" t="str">
        <f ca="1">IFERROR(__xludf.DUMMYFUNCTION("""COMPUTED_VALUE"""),"TH")</f>
        <v>TH</v>
      </c>
      <c r="D367" s="53" t="str">
        <f ca="1">IFERROR(__xludf.DUMMYFUNCTION("""COMPUTED_VALUE"""),"Bình Tân")</f>
        <v>Bình Tân</v>
      </c>
      <c r="E367" s="54">
        <f ca="1">IFERROR(__xludf.DUMMYFUNCTION("""COMPUTED_VALUE"""),45)</f>
        <v>45</v>
      </c>
      <c r="F367" s="54">
        <f ca="1">IFERROR(__xludf.DUMMYFUNCTION("""COMPUTED_VALUE"""),45)</f>
        <v>45</v>
      </c>
      <c r="G367" s="54"/>
      <c r="H367" s="54">
        <f ca="1">IFERROR(__xludf.DUMMYFUNCTION("""COMPUTED_VALUE"""),45)</f>
        <v>45</v>
      </c>
      <c r="I367" s="54"/>
      <c r="J367" s="54">
        <f ca="1">IFERROR(__xludf.DUMMYFUNCTION("""COMPUTED_VALUE"""),45)</f>
        <v>45</v>
      </c>
      <c r="K367" s="54"/>
      <c r="L367" s="54">
        <f ca="1">IFERROR(__xludf.DUMMYFUNCTION("""COMPUTED_VALUE"""),37)</f>
        <v>37</v>
      </c>
      <c r="M367" s="54"/>
      <c r="N367" s="53"/>
      <c r="O367" s="53"/>
      <c r="P367" s="53"/>
      <c r="Q367" s="53"/>
      <c r="R367" s="53"/>
      <c r="S367" s="53"/>
      <c r="T367" s="53"/>
      <c r="U367" s="53"/>
      <c r="V367" s="53"/>
      <c r="W367" s="53"/>
      <c r="X367" s="53"/>
      <c r="Y367" s="53"/>
      <c r="Z367" s="2"/>
      <c r="AA367" s="2"/>
      <c r="AB367" s="2"/>
      <c r="AC367" s="2"/>
      <c r="AD367" s="2"/>
      <c r="AE367" s="2"/>
    </row>
    <row r="368" spans="1:31" ht="12.75" x14ac:dyDescent="0.2">
      <c r="A368" s="53">
        <f ca="1">IFERROR(__xludf.DUMMYFUNCTION("""COMPUTED_VALUE"""),13)</f>
        <v>13</v>
      </c>
      <c r="B368" s="53" t="str">
        <f ca="1">IFERROR(__xludf.DUMMYFUNCTION("""COMPUTED_VALUE"""),"THCL Lạc Hồng")</f>
        <v>THCL Lạc Hồng</v>
      </c>
      <c r="C368" s="53" t="str">
        <f ca="1">IFERROR(__xludf.DUMMYFUNCTION("""COMPUTED_VALUE"""),"TH")</f>
        <v>TH</v>
      </c>
      <c r="D368" s="53" t="str">
        <f ca="1">IFERROR(__xludf.DUMMYFUNCTION("""COMPUTED_VALUE"""),"Bình Tân")</f>
        <v>Bình Tân</v>
      </c>
      <c r="E368" s="54">
        <f ca="1">IFERROR(__xludf.DUMMYFUNCTION("""COMPUTED_VALUE"""),70)</f>
        <v>70</v>
      </c>
      <c r="F368" s="54">
        <f ca="1">IFERROR(__xludf.DUMMYFUNCTION("""COMPUTED_VALUE"""),70)</f>
        <v>70</v>
      </c>
      <c r="G368" s="54"/>
      <c r="H368" s="54">
        <f ca="1">IFERROR(__xludf.DUMMYFUNCTION("""COMPUTED_VALUE"""),70)</f>
        <v>70</v>
      </c>
      <c r="I368" s="54"/>
      <c r="J368" s="54">
        <f ca="1">IFERROR(__xludf.DUMMYFUNCTION("""COMPUTED_VALUE"""),66)</f>
        <v>66</v>
      </c>
      <c r="K368" s="54"/>
      <c r="L368" s="54">
        <f ca="1">IFERROR(__xludf.DUMMYFUNCTION("""COMPUTED_VALUE"""),51)</f>
        <v>51</v>
      </c>
      <c r="M368" s="54"/>
      <c r="N368" s="53"/>
      <c r="O368" s="53"/>
      <c r="P368" s="53"/>
      <c r="Q368" s="53"/>
      <c r="R368" s="53"/>
      <c r="S368" s="53"/>
      <c r="T368" s="53"/>
      <c r="U368" s="53"/>
      <c r="V368" s="53"/>
      <c r="W368" s="53"/>
      <c r="X368" s="53"/>
      <c r="Y368" s="53"/>
      <c r="Z368" s="2"/>
      <c r="AA368" s="2"/>
      <c r="AB368" s="2"/>
      <c r="AC368" s="2"/>
      <c r="AD368" s="2"/>
      <c r="AE368" s="2"/>
    </row>
    <row r="369" spans="1:31" ht="12.75" x14ac:dyDescent="0.2">
      <c r="A369" s="53">
        <f ca="1">IFERROR(__xludf.DUMMYFUNCTION("""COMPUTED_VALUE"""),14)</f>
        <v>14</v>
      </c>
      <c r="B369" s="53" t="str">
        <f ca="1">IFERROR(__xludf.DUMMYFUNCTION("""COMPUTED_VALUE"""),"THCL Lê Công Phép")</f>
        <v>THCL Lê Công Phép</v>
      </c>
      <c r="C369" s="53" t="str">
        <f ca="1">IFERROR(__xludf.DUMMYFUNCTION("""COMPUTED_VALUE"""),"TH")</f>
        <v>TH</v>
      </c>
      <c r="D369" s="53" t="str">
        <f ca="1">IFERROR(__xludf.DUMMYFUNCTION("""COMPUTED_VALUE"""),"Bình Tân")</f>
        <v>Bình Tân</v>
      </c>
      <c r="E369" s="54">
        <f ca="1">IFERROR(__xludf.DUMMYFUNCTION("""COMPUTED_VALUE"""),101)</f>
        <v>101</v>
      </c>
      <c r="F369" s="54">
        <f ca="1">IFERROR(__xludf.DUMMYFUNCTION("""COMPUTED_VALUE"""),101)</f>
        <v>101</v>
      </c>
      <c r="G369" s="54"/>
      <c r="H369" s="54">
        <f ca="1">IFERROR(__xludf.DUMMYFUNCTION("""COMPUTED_VALUE"""),101)</f>
        <v>101</v>
      </c>
      <c r="I369" s="54"/>
      <c r="J369" s="54">
        <f ca="1">IFERROR(__xludf.DUMMYFUNCTION("""COMPUTED_VALUE"""),101)</f>
        <v>101</v>
      </c>
      <c r="K369" s="54"/>
      <c r="L369" s="54">
        <f ca="1">IFERROR(__xludf.DUMMYFUNCTION("""COMPUTED_VALUE"""),93)</f>
        <v>93</v>
      </c>
      <c r="M369" s="54"/>
      <c r="N369" s="53"/>
      <c r="O369" s="53"/>
      <c r="P369" s="53"/>
      <c r="Q369" s="53"/>
      <c r="R369" s="53"/>
      <c r="S369" s="53"/>
      <c r="T369" s="53"/>
      <c r="U369" s="53"/>
      <c r="V369" s="53"/>
      <c r="W369" s="53"/>
      <c r="X369" s="53"/>
      <c r="Y369" s="53"/>
      <c r="Z369" s="2"/>
      <c r="AA369" s="2"/>
      <c r="AB369" s="2"/>
      <c r="AC369" s="2"/>
      <c r="AD369" s="2"/>
      <c r="AE369" s="2"/>
    </row>
    <row r="370" spans="1:31" ht="12.75" x14ac:dyDescent="0.2">
      <c r="A370" s="53">
        <f ca="1">IFERROR(__xludf.DUMMYFUNCTION("""COMPUTED_VALUE"""),15)</f>
        <v>15</v>
      </c>
      <c r="B370" s="53" t="str">
        <f ca="1">IFERROR(__xludf.DUMMYFUNCTION("""COMPUTED_VALUE"""),"THCL Lê Quý Đôn")</f>
        <v>THCL Lê Quý Đôn</v>
      </c>
      <c r="C370" s="53" t="str">
        <f ca="1">IFERROR(__xludf.DUMMYFUNCTION("""COMPUTED_VALUE"""),"TH")</f>
        <v>TH</v>
      </c>
      <c r="D370" s="53" t="str">
        <f ca="1">IFERROR(__xludf.DUMMYFUNCTION("""COMPUTED_VALUE"""),"Bình Tân")</f>
        <v>Bình Tân</v>
      </c>
      <c r="E370" s="54">
        <f ca="1">IFERROR(__xludf.DUMMYFUNCTION("""COMPUTED_VALUE"""),85)</f>
        <v>85</v>
      </c>
      <c r="F370" s="54">
        <f ca="1">IFERROR(__xludf.DUMMYFUNCTION("""COMPUTED_VALUE"""),85)</f>
        <v>85</v>
      </c>
      <c r="G370" s="54"/>
      <c r="H370" s="54">
        <f ca="1">IFERROR(__xludf.DUMMYFUNCTION("""COMPUTED_VALUE"""),85)</f>
        <v>85</v>
      </c>
      <c r="I370" s="54"/>
      <c r="J370" s="54">
        <f ca="1">IFERROR(__xludf.DUMMYFUNCTION("""COMPUTED_VALUE"""),85)</f>
        <v>85</v>
      </c>
      <c r="K370" s="54"/>
      <c r="L370" s="54">
        <f ca="1">IFERROR(__xludf.DUMMYFUNCTION("""COMPUTED_VALUE"""),78)</f>
        <v>78</v>
      </c>
      <c r="M370" s="54"/>
      <c r="N370" s="53"/>
      <c r="O370" s="53"/>
      <c r="P370" s="53"/>
      <c r="Q370" s="53"/>
      <c r="R370" s="53"/>
      <c r="S370" s="53"/>
      <c r="T370" s="53"/>
      <c r="U370" s="53"/>
      <c r="V370" s="53"/>
      <c r="W370" s="53"/>
      <c r="X370" s="53"/>
      <c r="Y370" s="53"/>
      <c r="Z370" s="2"/>
      <c r="AA370" s="2"/>
      <c r="AB370" s="2"/>
      <c r="AC370" s="2"/>
      <c r="AD370" s="2"/>
      <c r="AE370" s="2"/>
    </row>
    <row r="371" spans="1:31" ht="12.75" x14ac:dyDescent="0.2">
      <c r="A371" s="53">
        <f ca="1">IFERROR(__xludf.DUMMYFUNCTION("""COMPUTED_VALUE"""),16)</f>
        <v>16</v>
      </c>
      <c r="B371" s="53" t="str">
        <f ca="1">IFERROR(__xludf.DUMMYFUNCTION("""COMPUTED_VALUE"""),"THCL Lê Trọng Tấn")</f>
        <v>THCL Lê Trọng Tấn</v>
      </c>
      <c r="C371" s="53" t="str">
        <f ca="1">IFERROR(__xludf.DUMMYFUNCTION("""COMPUTED_VALUE"""),"TH")</f>
        <v>TH</v>
      </c>
      <c r="D371" s="53" t="str">
        <f ca="1">IFERROR(__xludf.DUMMYFUNCTION("""COMPUTED_VALUE"""),"Bình Tân")</f>
        <v>Bình Tân</v>
      </c>
      <c r="E371" s="54">
        <f ca="1">IFERROR(__xludf.DUMMYFUNCTION("""COMPUTED_VALUE"""),87)</f>
        <v>87</v>
      </c>
      <c r="F371" s="54">
        <f ca="1">IFERROR(__xludf.DUMMYFUNCTION("""COMPUTED_VALUE"""),87)</f>
        <v>87</v>
      </c>
      <c r="G371" s="54"/>
      <c r="H371" s="54">
        <f ca="1">IFERROR(__xludf.DUMMYFUNCTION("""COMPUTED_VALUE"""),87)</f>
        <v>87</v>
      </c>
      <c r="I371" s="54"/>
      <c r="J371" s="54">
        <f ca="1">IFERROR(__xludf.DUMMYFUNCTION("""COMPUTED_VALUE"""),87)</f>
        <v>87</v>
      </c>
      <c r="K371" s="54"/>
      <c r="L371" s="54">
        <f ca="1">IFERROR(__xludf.DUMMYFUNCTION("""COMPUTED_VALUE"""),64)</f>
        <v>64</v>
      </c>
      <c r="M371" s="54"/>
      <c r="N371" s="53"/>
      <c r="O371" s="53"/>
      <c r="P371" s="53"/>
      <c r="Q371" s="53"/>
      <c r="R371" s="53"/>
      <c r="S371" s="53"/>
      <c r="T371" s="53"/>
      <c r="U371" s="53"/>
      <c r="V371" s="53"/>
      <c r="W371" s="53"/>
      <c r="X371" s="53"/>
      <c r="Y371" s="53"/>
      <c r="Z371" s="2"/>
      <c r="AA371" s="2"/>
      <c r="AB371" s="2"/>
      <c r="AC371" s="2"/>
      <c r="AD371" s="2"/>
      <c r="AE371" s="2"/>
    </row>
    <row r="372" spans="1:31" ht="12.75" x14ac:dyDescent="0.2">
      <c r="A372" s="53">
        <f ca="1">IFERROR(__xludf.DUMMYFUNCTION("""COMPUTED_VALUE"""),17)</f>
        <v>17</v>
      </c>
      <c r="B372" s="53" t="str">
        <f ca="1">IFERROR(__xludf.DUMMYFUNCTION("""COMPUTED_VALUE"""),"THCL Lương Thế Vinh")</f>
        <v>THCL Lương Thế Vinh</v>
      </c>
      <c r="C372" s="53" t="str">
        <f ca="1">IFERROR(__xludf.DUMMYFUNCTION("""COMPUTED_VALUE"""),"TH")</f>
        <v>TH</v>
      </c>
      <c r="D372" s="53" t="str">
        <f ca="1">IFERROR(__xludf.DUMMYFUNCTION("""COMPUTED_VALUE"""),"Bình Tân")</f>
        <v>Bình Tân</v>
      </c>
      <c r="E372" s="54">
        <f ca="1">IFERROR(__xludf.DUMMYFUNCTION("""COMPUTED_VALUE"""),34)</f>
        <v>34</v>
      </c>
      <c r="F372" s="54">
        <f ca="1">IFERROR(__xludf.DUMMYFUNCTION("""COMPUTED_VALUE"""),34)</f>
        <v>34</v>
      </c>
      <c r="G372" s="54"/>
      <c r="H372" s="54">
        <f ca="1">IFERROR(__xludf.DUMMYFUNCTION("""COMPUTED_VALUE"""),34)</f>
        <v>34</v>
      </c>
      <c r="I372" s="54"/>
      <c r="J372" s="54">
        <f ca="1">IFERROR(__xludf.DUMMYFUNCTION("""COMPUTED_VALUE"""),34)</f>
        <v>34</v>
      </c>
      <c r="K372" s="54"/>
      <c r="L372" s="54">
        <f ca="1">IFERROR(__xludf.DUMMYFUNCTION("""COMPUTED_VALUE"""),33)</f>
        <v>33</v>
      </c>
      <c r="M372" s="54"/>
      <c r="N372" s="53"/>
      <c r="O372" s="53"/>
      <c r="P372" s="53"/>
      <c r="Q372" s="53"/>
      <c r="R372" s="53"/>
      <c r="S372" s="53"/>
      <c r="T372" s="53"/>
      <c r="U372" s="53"/>
      <c r="V372" s="53"/>
      <c r="W372" s="53"/>
      <c r="X372" s="53"/>
      <c r="Y372" s="53"/>
      <c r="Z372" s="2"/>
      <c r="AA372" s="2"/>
      <c r="AB372" s="2"/>
      <c r="AC372" s="2"/>
      <c r="AD372" s="2"/>
      <c r="AE372" s="2"/>
    </row>
    <row r="373" spans="1:31" ht="12.75" x14ac:dyDescent="0.2">
      <c r="A373" s="53">
        <f ca="1">IFERROR(__xludf.DUMMYFUNCTION("""COMPUTED_VALUE"""),18)</f>
        <v>18</v>
      </c>
      <c r="B373" s="53" t="str">
        <f ca="1">IFERROR(__xludf.DUMMYFUNCTION("""COMPUTED_VALUE"""),"THCL Ngô Quyền")</f>
        <v>THCL Ngô Quyền</v>
      </c>
      <c r="C373" s="53" t="str">
        <f ca="1">IFERROR(__xludf.DUMMYFUNCTION("""COMPUTED_VALUE"""),"TH")</f>
        <v>TH</v>
      </c>
      <c r="D373" s="53" t="str">
        <f ca="1">IFERROR(__xludf.DUMMYFUNCTION("""COMPUTED_VALUE"""),"Bình Tân")</f>
        <v>Bình Tân</v>
      </c>
      <c r="E373" s="54">
        <f ca="1">IFERROR(__xludf.DUMMYFUNCTION("""COMPUTED_VALUE"""),131)</f>
        <v>131</v>
      </c>
      <c r="F373" s="54">
        <f ca="1">IFERROR(__xludf.DUMMYFUNCTION("""COMPUTED_VALUE"""),131)</f>
        <v>131</v>
      </c>
      <c r="G373" s="54"/>
      <c r="H373" s="54">
        <f ca="1">IFERROR(__xludf.DUMMYFUNCTION("""COMPUTED_VALUE"""),131)</f>
        <v>131</v>
      </c>
      <c r="I373" s="54"/>
      <c r="J373" s="54">
        <f ca="1">IFERROR(__xludf.DUMMYFUNCTION("""COMPUTED_VALUE"""),131)</f>
        <v>131</v>
      </c>
      <c r="K373" s="54"/>
      <c r="L373" s="54">
        <f ca="1">IFERROR(__xludf.DUMMYFUNCTION("""COMPUTED_VALUE"""),121)</f>
        <v>121</v>
      </c>
      <c r="M373" s="54"/>
      <c r="N373" s="53"/>
      <c r="O373" s="53"/>
      <c r="P373" s="53"/>
      <c r="Q373" s="53"/>
      <c r="R373" s="53"/>
      <c r="S373" s="53"/>
      <c r="T373" s="53"/>
      <c r="U373" s="53"/>
      <c r="V373" s="53"/>
      <c r="W373" s="53"/>
      <c r="X373" s="53"/>
      <c r="Y373" s="53"/>
      <c r="Z373" s="2"/>
      <c r="AA373" s="2"/>
      <c r="AB373" s="2"/>
      <c r="AC373" s="2"/>
      <c r="AD373" s="2"/>
      <c r="AE373" s="2"/>
    </row>
    <row r="374" spans="1:31" ht="12.75" x14ac:dyDescent="0.2">
      <c r="A374" s="53">
        <f ca="1">IFERROR(__xludf.DUMMYFUNCTION("""COMPUTED_VALUE"""),19)</f>
        <v>19</v>
      </c>
      <c r="B374" s="53" t="str">
        <f ca="1">IFERROR(__xludf.DUMMYFUNCTION("""COMPUTED_VALUE"""),"THCL Phù Đổng")</f>
        <v>THCL Phù Đổng</v>
      </c>
      <c r="C374" s="53" t="str">
        <f ca="1">IFERROR(__xludf.DUMMYFUNCTION("""COMPUTED_VALUE"""),"TH")</f>
        <v>TH</v>
      </c>
      <c r="D374" s="53" t="str">
        <f ca="1">IFERROR(__xludf.DUMMYFUNCTION("""COMPUTED_VALUE"""),"Bình Tân")</f>
        <v>Bình Tân</v>
      </c>
      <c r="E374" s="54">
        <f ca="1">IFERROR(__xludf.DUMMYFUNCTION("""COMPUTED_VALUE"""),90)</f>
        <v>90</v>
      </c>
      <c r="F374" s="54">
        <f ca="1">IFERROR(__xludf.DUMMYFUNCTION("""COMPUTED_VALUE"""),90)</f>
        <v>90</v>
      </c>
      <c r="G374" s="54"/>
      <c r="H374" s="54">
        <f ca="1">IFERROR(__xludf.DUMMYFUNCTION("""COMPUTED_VALUE"""),90)</f>
        <v>90</v>
      </c>
      <c r="I374" s="54"/>
      <c r="J374" s="54">
        <f ca="1">IFERROR(__xludf.DUMMYFUNCTION("""COMPUTED_VALUE"""),90)</f>
        <v>90</v>
      </c>
      <c r="K374" s="54"/>
      <c r="L374" s="54">
        <f ca="1">IFERROR(__xludf.DUMMYFUNCTION("""COMPUTED_VALUE"""),80)</f>
        <v>80</v>
      </c>
      <c r="M374" s="54"/>
      <c r="N374" s="53"/>
      <c r="O374" s="53"/>
      <c r="P374" s="53"/>
      <c r="Q374" s="53"/>
      <c r="R374" s="53"/>
      <c r="S374" s="53"/>
      <c r="T374" s="53"/>
      <c r="U374" s="53"/>
      <c r="V374" s="53"/>
      <c r="W374" s="53"/>
      <c r="X374" s="53"/>
      <c r="Y374" s="53"/>
      <c r="Z374" s="2"/>
      <c r="AA374" s="2"/>
      <c r="AB374" s="2"/>
      <c r="AC374" s="2"/>
      <c r="AD374" s="2"/>
      <c r="AE374" s="2"/>
    </row>
    <row r="375" spans="1:31" ht="12.75" x14ac:dyDescent="0.2">
      <c r="A375" s="53">
        <f ca="1">IFERROR(__xludf.DUMMYFUNCTION("""COMPUTED_VALUE"""),20)</f>
        <v>20</v>
      </c>
      <c r="B375" s="53" t="str">
        <f ca="1">IFERROR(__xludf.DUMMYFUNCTION("""COMPUTED_VALUE"""),"THCL Tân Tạo")</f>
        <v>THCL Tân Tạo</v>
      </c>
      <c r="C375" s="53" t="str">
        <f ca="1">IFERROR(__xludf.DUMMYFUNCTION("""COMPUTED_VALUE"""),"TH")</f>
        <v>TH</v>
      </c>
      <c r="D375" s="53" t="str">
        <f ca="1">IFERROR(__xludf.DUMMYFUNCTION("""COMPUTED_VALUE"""),"Bình Tân")</f>
        <v>Bình Tân</v>
      </c>
      <c r="E375" s="54">
        <f ca="1">IFERROR(__xludf.DUMMYFUNCTION("""COMPUTED_VALUE"""),95)</f>
        <v>95</v>
      </c>
      <c r="F375" s="54">
        <f ca="1">IFERROR(__xludf.DUMMYFUNCTION("""COMPUTED_VALUE"""),95)</f>
        <v>95</v>
      </c>
      <c r="G375" s="54"/>
      <c r="H375" s="54">
        <f ca="1">IFERROR(__xludf.DUMMYFUNCTION("""COMPUTED_VALUE"""),95)</f>
        <v>95</v>
      </c>
      <c r="I375" s="54"/>
      <c r="J375" s="54">
        <f ca="1">IFERROR(__xludf.DUMMYFUNCTION("""COMPUTED_VALUE"""),90)</f>
        <v>90</v>
      </c>
      <c r="K375" s="54"/>
      <c r="L375" s="54">
        <f ca="1">IFERROR(__xludf.DUMMYFUNCTION("""COMPUTED_VALUE"""),90)</f>
        <v>90</v>
      </c>
      <c r="M375" s="54"/>
      <c r="N375" s="53"/>
      <c r="O375" s="53"/>
      <c r="P375" s="53"/>
      <c r="Q375" s="53"/>
      <c r="R375" s="53"/>
      <c r="S375" s="53"/>
      <c r="T375" s="53"/>
      <c r="U375" s="53"/>
      <c r="V375" s="53"/>
      <c r="W375" s="53"/>
      <c r="X375" s="53"/>
      <c r="Y375" s="53"/>
      <c r="Z375" s="2"/>
      <c r="AA375" s="2"/>
      <c r="AB375" s="2"/>
      <c r="AC375" s="2"/>
      <c r="AD375" s="2"/>
      <c r="AE375" s="2"/>
    </row>
    <row r="376" spans="1:31" ht="12.75" x14ac:dyDescent="0.2">
      <c r="A376" s="53">
        <f ca="1">IFERROR(__xludf.DUMMYFUNCTION("""COMPUTED_VALUE"""),21)</f>
        <v>21</v>
      </c>
      <c r="B376" s="53" t="str">
        <f ca="1">IFERROR(__xludf.DUMMYFUNCTION("""COMPUTED_VALUE"""),"THCL Tân Tạo A")</f>
        <v>THCL Tân Tạo A</v>
      </c>
      <c r="C376" s="53" t="str">
        <f ca="1">IFERROR(__xludf.DUMMYFUNCTION("""COMPUTED_VALUE"""),"TH")</f>
        <v>TH</v>
      </c>
      <c r="D376" s="53" t="str">
        <f ca="1">IFERROR(__xludf.DUMMYFUNCTION("""COMPUTED_VALUE"""),"Bình Tân")</f>
        <v>Bình Tân</v>
      </c>
      <c r="E376" s="54">
        <f ca="1">IFERROR(__xludf.DUMMYFUNCTION("""COMPUTED_VALUE"""),82)</f>
        <v>82</v>
      </c>
      <c r="F376" s="54">
        <f ca="1">IFERROR(__xludf.DUMMYFUNCTION("""COMPUTED_VALUE"""),82)</f>
        <v>82</v>
      </c>
      <c r="G376" s="54"/>
      <c r="H376" s="54">
        <f ca="1">IFERROR(__xludf.DUMMYFUNCTION("""COMPUTED_VALUE"""),82)</f>
        <v>82</v>
      </c>
      <c r="I376" s="54"/>
      <c r="J376" s="54">
        <f ca="1">IFERROR(__xludf.DUMMYFUNCTION("""COMPUTED_VALUE"""),82)</f>
        <v>82</v>
      </c>
      <c r="K376" s="54"/>
      <c r="L376" s="54">
        <f ca="1">IFERROR(__xludf.DUMMYFUNCTION("""COMPUTED_VALUE"""),66)</f>
        <v>66</v>
      </c>
      <c r="M376" s="54"/>
      <c r="N376" s="53"/>
      <c r="O376" s="53"/>
      <c r="P376" s="53"/>
      <c r="Q376" s="53"/>
      <c r="R376" s="53"/>
      <c r="S376" s="53"/>
      <c r="T376" s="53"/>
      <c r="U376" s="53"/>
      <c r="V376" s="53"/>
      <c r="W376" s="53"/>
      <c r="X376" s="53"/>
      <c r="Y376" s="53"/>
      <c r="Z376" s="2"/>
      <c r="AA376" s="2"/>
      <c r="AB376" s="2"/>
      <c r="AC376" s="2"/>
      <c r="AD376" s="2"/>
      <c r="AE376" s="2"/>
    </row>
    <row r="377" spans="1:31" ht="12.75" x14ac:dyDescent="0.2">
      <c r="A377" s="53">
        <f ca="1">IFERROR(__xludf.DUMMYFUNCTION("""COMPUTED_VALUE"""),22)</f>
        <v>22</v>
      </c>
      <c r="B377" s="53" t="str">
        <f ca="1">IFERROR(__xludf.DUMMYFUNCTION("""COMPUTED_VALUE"""),"THCL Trần Văn Ơn")</f>
        <v>THCL Trần Văn Ơn</v>
      </c>
      <c r="C377" s="53" t="str">
        <f ca="1">IFERROR(__xludf.DUMMYFUNCTION("""COMPUTED_VALUE"""),"TH")</f>
        <v>TH</v>
      </c>
      <c r="D377" s="53" t="str">
        <f ca="1">IFERROR(__xludf.DUMMYFUNCTION("""COMPUTED_VALUE"""),"Bình Tân")</f>
        <v>Bình Tân</v>
      </c>
      <c r="E377" s="54">
        <f ca="1">IFERROR(__xludf.DUMMYFUNCTION("""COMPUTED_VALUE"""),98)</f>
        <v>98</v>
      </c>
      <c r="F377" s="54">
        <f ca="1">IFERROR(__xludf.DUMMYFUNCTION("""COMPUTED_VALUE"""),98)</f>
        <v>98</v>
      </c>
      <c r="G377" s="54"/>
      <c r="H377" s="54">
        <f ca="1">IFERROR(__xludf.DUMMYFUNCTION("""COMPUTED_VALUE"""),98)</f>
        <v>98</v>
      </c>
      <c r="I377" s="54"/>
      <c r="J377" s="54">
        <f ca="1">IFERROR(__xludf.DUMMYFUNCTION("""COMPUTED_VALUE"""),98)</f>
        <v>98</v>
      </c>
      <c r="K377" s="54"/>
      <c r="L377" s="54">
        <f ca="1">IFERROR(__xludf.DUMMYFUNCTION("""COMPUTED_VALUE"""),92)</f>
        <v>92</v>
      </c>
      <c r="M377" s="54"/>
      <c r="N377" s="53"/>
      <c r="O377" s="53"/>
      <c r="P377" s="53"/>
      <c r="Q377" s="53"/>
      <c r="R377" s="53"/>
      <c r="S377" s="53"/>
      <c r="T377" s="53"/>
      <c r="U377" s="53"/>
      <c r="V377" s="53"/>
      <c r="W377" s="53"/>
      <c r="X377" s="53"/>
      <c r="Y377" s="53"/>
      <c r="Z377" s="2"/>
      <c r="AA377" s="2"/>
      <c r="AB377" s="2"/>
      <c r="AC377" s="2"/>
      <c r="AD377" s="2"/>
      <c r="AE377" s="2"/>
    </row>
    <row r="378" spans="1:31" ht="12.75" x14ac:dyDescent="0.2">
      <c r="A378" s="53">
        <f ca="1">IFERROR(__xludf.DUMMYFUNCTION("""COMPUTED_VALUE"""),23)</f>
        <v>23</v>
      </c>
      <c r="B378" s="53" t="str">
        <f ca="1">IFERROR(__xludf.DUMMYFUNCTION("""COMPUTED_VALUE"""),"THCL Bùi Hữu Nghĩa ")</f>
        <v xml:space="preserve">THCL Bùi Hữu Nghĩa </v>
      </c>
      <c r="C378" s="53" t="str">
        <f ca="1">IFERROR(__xludf.DUMMYFUNCTION("""COMPUTED_VALUE"""),"TH")</f>
        <v>TH</v>
      </c>
      <c r="D378" s="53" t="str">
        <f ca="1">IFERROR(__xludf.DUMMYFUNCTION("""COMPUTED_VALUE"""),"Bình Tân")</f>
        <v>Bình Tân</v>
      </c>
      <c r="E378" s="54">
        <f ca="1">IFERROR(__xludf.DUMMYFUNCTION("""COMPUTED_VALUE"""),25)</f>
        <v>25</v>
      </c>
      <c r="F378" s="54">
        <f ca="1">IFERROR(__xludf.DUMMYFUNCTION("""COMPUTED_VALUE"""),25)</f>
        <v>25</v>
      </c>
      <c r="G378" s="54"/>
      <c r="H378" s="54">
        <f ca="1">IFERROR(__xludf.DUMMYFUNCTION("""COMPUTED_VALUE"""),25)</f>
        <v>25</v>
      </c>
      <c r="I378" s="54"/>
      <c r="J378" s="54">
        <f ca="1">IFERROR(__xludf.DUMMYFUNCTION("""COMPUTED_VALUE"""),25)</f>
        <v>25</v>
      </c>
      <c r="K378" s="54"/>
      <c r="L378" s="54">
        <f ca="1">IFERROR(__xludf.DUMMYFUNCTION("""COMPUTED_VALUE"""),25)</f>
        <v>25</v>
      </c>
      <c r="M378" s="54"/>
      <c r="N378" s="53"/>
      <c r="O378" s="53"/>
      <c r="P378" s="53"/>
      <c r="Q378" s="53"/>
      <c r="R378" s="53"/>
      <c r="S378" s="53"/>
      <c r="T378" s="53"/>
      <c r="U378" s="53"/>
      <c r="V378" s="53"/>
      <c r="W378" s="53"/>
      <c r="X378" s="53"/>
      <c r="Y378" s="53"/>
      <c r="Z378" s="2"/>
      <c r="AA378" s="2"/>
      <c r="AB378" s="2"/>
      <c r="AC378" s="2"/>
      <c r="AD378" s="2"/>
      <c r="AE378" s="2"/>
    </row>
    <row r="379" spans="1:31" ht="12.75" x14ac:dyDescent="0.2">
      <c r="A379" s="53">
        <f ca="1">IFERROR(__xludf.DUMMYFUNCTION("""COMPUTED_VALUE"""),24)</f>
        <v>24</v>
      </c>
      <c r="B379" s="53" t="str">
        <f ca="1">IFERROR(__xludf.DUMMYFUNCTION("""COMPUTED_VALUE"""),"THCL Kim Đồng")</f>
        <v>THCL Kim Đồng</v>
      </c>
      <c r="C379" s="53" t="str">
        <f ca="1">IFERROR(__xludf.DUMMYFUNCTION("""COMPUTED_VALUE"""),"TH")</f>
        <v>TH</v>
      </c>
      <c r="D379" s="53" t="str">
        <f ca="1">IFERROR(__xludf.DUMMYFUNCTION("""COMPUTED_VALUE"""),"Bình Tân")</f>
        <v>Bình Tân</v>
      </c>
      <c r="E379" s="54">
        <f ca="1">IFERROR(__xludf.DUMMYFUNCTION("""COMPUTED_VALUE"""),120)</f>
        <v>120</v>
      </c>
      <c r="F379" s="54">
        <f ca="1">IFERROR(__xludf.DUMMYFUNCTION("""COMPUTED_VALUE"""),120)</f>
        <v>120</v>
      </c>
      <c r="G379" s="54"/>
      <c r="H379" s="54">
        <f ca="1">IFERROR(__xludf.DUMMYFUNCTION("""COMPUTED_VALUE"""),119)</f>
        <v>119</v>
      </c>
      <c r="I379" s="54"/>
      <c r="J379" s="54">
        <f ca="1">IFERROR(__xludf.DUMMYFUNCTION("""COMPUTED_VALUE"""),120)</f>
        <v>120</v>
      </c>
      <c r="K379" s="54"/>
      <c r="L379" s="54">
        <f ca="1">IFERROR(__xludf.DUMMYFUNCTION("""COMPUTED_VALUE"""),118)</f>
        <v>118</v>
      </c>
      <c r="M379" s="54"/>
      <c r="N379" s="53"/>
      <c r="O379" s="53"/>
      <c r="P379" s="53"/>
      <c r="Q379" s="53"/>
      <c r="R379" s="53"/>
      <c r="S379" s="53"/>
      <c r="T379" s="53"/>
      <c r="U379" s="53"/>
      <c r="V379" s="53"/>
      <c r="W379" s="53"/>
      <c r="X379" s="53"/>
      <c r="Y379" s="53"/>
      <c r="Z379" s="2"/>
      <c r="AA379" s="2"/>
      <c r="AB379" s="2"/>
      <c r="AC379" s="2"/>
      <c r="AD379" s="2"/>
      <c r="AE379" s="2"/>
    </row>
    <row r="380" spans="1:31" ht="12.75" x14ac:dyDescent="0.2">
      <c r="A380" s="53">
        <f ca="1">IFERROR(__xludf.DUMMYFUNCTION("""COMPUTED_VALUE"""),25)</f>
        <v>25</v>
      </c>
      <c r="B380" s="53" t="str">
        <f ca="1">IFERROR(__xludf.DUMMYFUNCTION("""COMPUTED_VALUE"""),"THNCL Lá Xanh")</f>
        <v>THNCL Lá Xanh</v>
      </c>
      <c r="C380" s="53" t="str">
        <f ca="1">IFERROR(__xludf.DUMMYFUNCTION("""COMPUTED_VALUE"""),"TH")</f>
        <v>TH</v>
      </c>
      <c r="D380" s="53" t="str">
        <f ca="1">IFERROR(__xludf.DUMMYFUNCTION("""COMPUTED_VALUE"""),"Bình Tân")</f>
        <v>Bình Tân</v>
      </c>
      <c r="E380" s="54">
        <f ca="1">IFERROR(__xludf.DUMMYFUNCTION("""COMPUTED_VALUE"""),16)</f>
        <v>16</v>
      </c>
      <c r="F380" s="54">
        <f ca="1">IFERROR(__xludf.DUMMYFUNCTION("""COMPUTED_VALUE"""),16)</f>
        <v>16</v>
      </c>
      <c r="G380" s="54"/>
      <c r="H380" s="54">
        <f ca="1">IFERROR(__xludf.DUMMYFUNCTION("""COMPUTED_VALUE"""),9)</f>
        <v>9</v>
      </c>
      <c r="I380" s="54"/>
      <c r="J380" s="54">
        <f ca="1">IFERROR(__xludf.DUMMYFUNCTION("""COMPUTED_VALUE"""),9)</f>
        <v>9</v>
      </c>
      <c r="K380" s="54"/>
      <c r="L380" s="54">
        <f ca="1">IFERROR(__xludf.DUMMYFUNCTION("""COMPUTED_VALUE"""),3)</f>
        <v>3</v>
      </c>
      <c r="M380" s="54"/>
      <c r="N380" s="53"/>
      <c r="O380" s="53"/>
      <c r="P380" s="53"/>
      <c r="Q380" s="53"/>
      <c r="R380" s="53"/>
      <c r="S380" s="53"/>
      <c r="T380" s="53"/>
      <c r="U380" s="53"/>
      <c r="V380" s="53"/>
      <c r="W380" s="53"/>
      <c r="X380" s="53"/>
      <c r="Y380" s="53"/>
      <c r="Z380" s="2"/>
      <c r="AA380" s="2"/>
      <c r="AB380" s="2"/>
      <c r="AC380" s="2"/>
      <c r="AD380" s="2"/>
      <c r="AE380" s="2"/>
    </row>
    <row r="381" spans="1:31" ht="12.75" x14ac:dyDescent="0.2">
      <c r="A381" s="53"/>
      <c r="B381" s="53"/>
      <c r="C381" s="53"/>
      <c r="D381" s="53" t="str">
        <f ca="1">IFERROR(__xludf.DUMMYFUNCTION("""COMPUTED_VALUE"""),"Bình Tân")</f>
        <v>Bình Tân</v>
      </c>
      <c r="E381" s="54">
        <f ca="1">IFERROR(__xludf.DUMMYFUNCTION("""COMPUTED_VALUE"""),1969)</f>
        <v>1969</v>
      </c>
      <c r="F381" s="54">
        <f ca="1">IFERROR(__xludf.DUMMYFUNCTION("""COMPUTED_VALUE"""),1969)</f>
        <v>1969</v>
      </c>
      <c r="G381" s="54"/>
      <c r="H381" s="54">
        <f ca="1">IFERROR(__xludf.DUMMYFUNCTION("""COMPUTED_VALUE"""),1959)</f>
        <v>1959</v>
      </c>
      <c r="I381" s="54"/>
      <c r="J381" s="54">
        <f ca="1">IFERROR(__xludf.DUMMYFUNCTION("""COMPUTED_VALUE"""),1941)</f>
        <v>1941</v>
      </c>
      <c r="K381" s="54"/>
      <c r="L381" s="54">
        <f ca="1">IFERROR(__xludf.DUMMYFUNCTION("""COMPUTED_VALUE"""),1675)</f>
        <v>1675</v>
      </c>
      <c r="M381" s="54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2"/>
      <c r="AA381" s="2"/>
      <c r="AB381" s="2"/>
      <c r="AC381" s="2"/>
      <c r="AD381" s="2"/>
      <c r="AE381" s="2"/>
    </row>
    <row r="382" spans="1:31" ht="12.75" x14ac:dyDescent="0.2">
      <c r="A382" s="53">
        <f ca="1">IFERROR(__xludf.DUMMYFUNCTION("""COMPUTED_VALUE"""),1)</f>
        <v>1</v>
      </c>
      <c r="B382" s="53" t="str">
        <f ca="1">IFERROR(__xludf.DUMMYFUNCTION("""COMPUTED_VALUE"""),"MNCL 19/5")</f>
        <v>MNCL 19/5</v>
      </c>
      <c r="C382" s="53" t="str">
        <f ca="1">IFERROR(__xludf.DUMMYFUNCTION("""COMPUTED_VALUE"""),"MN")</f>
        <v>MN</v>
      </c>
      <c r="D382" s="53" t="str">
        <f ca="1">IFERROR(__xludf.DUMMYFUNCTION("""COMPUTED_VALUE"""),"Bình Tân")</f>
        <v>Bình Tân</v>
      </c>
      <c r="E382" s="54">
        <f ca="1">IFERROR(__xludf.DUMMYFUNCTION("""COMPUTED_VALUE"""),33)</f>
        <v>33</v>
      </c>
      <c r="F382" s="54">
        <f ca="1">IFERROR(__xludf.DUMMYFUNCTION("""COMPUTED_VALUE"""),33)</f>
        <v>33</v>
      </c>
      <c r="G382" s="54"/>
      <c r="H382" s="54">
        <f ca="1">IFERROR(__xludf.DUMMYFUNCTION("""COMPUTED_VALUE"""),33)</f>
        <v>33</v>
      </c>
      <c r="I382" s="54"/>
      <c r="J382" s="54">
        <f ca="1">IFERROR(__xludf.DUMMYFUNCTION("""COMPUTED_VALUE"""),33)</f>
        <v>33</v>
      </c>
      <c r="K382" s="54"/>
      <c r="L382" s="54">
        <f ca="1">IFERROR(__xludf.DUMMYFUNCTION("""COMPUTED_VALUE"""),30)</f>
        <v>30</v>
      </c>
      <c r="M382" s="54"/>
      <c r="N382" s="53"/>
      <c r="O382" s="53"/>
      <c r="P382" s="53"/>
      <c r="Q382" s="53"/>
      <c r="R382" s="53"/>
      <c r="S382" s="53"/>
      <c r="T382" s="53"/>
      <c r="U382" s="53"/>
      <c r="V382" s="53"/>
      <c r="W382" s="53"/>
      <c r="X382" s="53"/>
      <c r="Y382" s="53"/>
      <c r="Z382" s="2"/>
      <c r="AA382" s="2"/>
      <c r="AB382" s="2"/>
      <c r="AC382" s="2"/>
      <c r="AD382" s="2"/>
      <c r="AE382" s="2"/>
    </row>
    <row r="383" spans="1:31" ht="12.75" x14ac:dyDescent="0.2">
      <c r="A383" s="53">
        <f ca="1">IFERROR(__xludf.DUMMYFUNCTION("""COMPUTED_VALUE"""),2)</f>
        <v>2</v>
      </c>
      <c r="B383" s="53" t="str">
        <f ca="1">IFERROR(__xludf.DUMMYFUNCTION("""COMPUTED_VALUE"""),"MNCL 20/10")</f>
        <v>MNCL 20/10</v>
      </c>
      <c r="C383" s="53" t="str">
        <f ca="1">IFERROR(__xludf.DUMMYFUNCTION("""COMPUTED_VALUE"""),"MN")</f>
        <v>MN</v>
      </c>
      <c r="D383" s="53" t="str">
        <f ca="1">IFERROR(__xludf.DUMMYFUNCTION("""COMPUTED_VALUE"""),"Bình Tân")</f>
        <v>Bình Tân</v>
      </c>
      <c r="E383" s="54">
        <f ca="1">IFERROR(__xludf.DUMMYFUNCTION("""COMPUTED_VALUE"""),21)</f>
        <v>21</v>
      </c>
      <c r="F383" s="54">
        <f ca="1">IFERROR(__xludf.DUMMYFUNCTION("""COMPUTED_VALUE"""),21)</f>
        <v>21</v>
      </c>
      <c r="G383" s="54"/>
      <c r="H383" s="54">
        <f ca="1">IFERROR(__xludf.DUMMYFUNCTION("""COMPUTED_VALUE"""),21)</f>
        <v>21</v>
      </c>
      <c r="I383" s="54"/>
      <c r="J383" s="54">
        <f ca="1">IFERROR(__xludf.DUMMYFUNCTION("""COMPUTED_VALUE"""),19)</f>
        <v>19</v>
      </c>
      <c r="K383" s="54"/>
      <c r="L383" s="54">
        <f ca="1">IFERROR(__xludf.DUMMYFUNCTION("""COMPUTED_VALUE"""),19)</f>
        <v>19</v>
      </c>
      <c r="M383" s="54"/>
      <c r="N383" s="53"/>
      <c r="O383" s="53"/>
      <c r="P383" s="53"/>
      <c r="Q383" s="53"/>
      <c r="R383" s="53"/>
      <c r="S383" s="53"/>
      <c r="T383" s="53"/>
      <c r="U383" s="53"/>
      <c r="V383" s="53"/>
      <c r="W383" s="53"/>
      <c r="X383" s="53"/>
      <c r="Y383" s="53"/>
      <c r="Z383" s="2"/>
      <c r="AA383" s="2"/>
      <c r="AB383" s="2"/>
      <c r="AC383" s="2"/>
      <c r="AD383" s="2"/>
      <c r="AE383" s="2"/>
    </row>
    <row r="384" spans="1:31" ht="12.75" x14ac:dyDescent="0.2">
      <c r="A384" s="53">
        <f ca="1">IFERROR(__xludf.DUMMYFUNCTION("""COMPUTED_VALUE"""),3)</f>
        <v>3</v>
      </c>
      <c r="B384" s="53" t="str">
        <f ca="1">IFERROR(__xludf.DUMMYFUNCTION("""COMPUTED_VALUE"""),"MNCL 30/4")</f>
        <v>MNCL 30/4</v>
      </c>
      <c r="C384" s="53" t="str">
        <f ca="1">IFERROR(__xludf.DUMMYFUNCTION("""COMPUTED_VALUE"""),"MN")</f>
        <v>MN</v>
      </c>
      <c r="D384" s="53" t="str">
        <f ca="1">IFERROR(__xludf.DUMMYFUNCTION("""COMPUTED_VALUE"""),"Bình Tân")</f>
        <v>Bình Tân</v>
      </c>
      <c r="E384" s="54">
        <f ca="1">IFERROR(__xludf.DUMMYFUNCTION("""COMPUTED_VALUE"""),39)</f>
        <v>39</v>
      </c>
      <c r="F384" s="54">
        <f ca="1">IFERROR(__xludf.DUMMYFUNCTION("""COMPUTED_VALUE"""),39)</f>
        <v>39</v>
      </c>
      <c r="G384" s="54"/>
      <c r="H384" s="54">
        <f ca="1">IFERROR(__xludf.DUMMYFUNCTION("""COMPUTED_VALUE"""),39)</f>
        <v>39</v>
      </c>
      <c r="I384" s="54"/>
      <c r="J384" s="54">
        <f ca="1">IFERROR(__xludf.DUMMYFUNCTION("""COMPUTED_VALUE"""),38)</f>
        <v>38</v>
      </c>
      <c r="K384" s="54"/>
      <c r="L384" s="54">
        <f ca="1">IFERROR(__xludf.DUMMYFUNCTION("""COMPUTED_VALUE"""),34)</f>
        <v>34</v>
      </c>
      <c r="M384" s="54"/>
      <c r="N384" s="53"/>
      <c r="O384" s="53"/>
      <c r="P384" s="53"/>
      <c r="Q384" s="53"/>
      <c r="R384" s="53"/>
      <c r="S384" s="53"/>
      <c r="T384" s="53"/>
      <c r="U384" s="53"/>
      <c r="V384" s="53"/>
      <c r="W384" s="53"/>
      <c r="X384" s="53"/>
      <c r="Y384" s="53"/>
      <c r="Z384" s="2"/>
      <c r="AA384" s="2"/>
      <c r="AB384" s="2"/>
      <c r="AC384" s="2"/>
      <c r="AD384" s="2"/>
      <c r="AE384" s="2"/>
    </row>
    <row r="385" spans="1:31" ht="12.75" x14ac:dyDescent="0.2">
      <c r="A385" s="53">
        <f ca="1">IFERROR(__xludf.DUMMYFUNCTION("""COMPUTED_VALUE"""),4)</f>
        <v>4</v>
      </c>
      <c r="B385" s="53" t="str">
        <f ca="1">IFERROR(__xludf.DUMMYFUNCTION("""COMPUTED_VALUE"""),"MNCL Ánh Mai")</f>
        <v>MNCL Ánh Mai</v>
      </c>
      <c r="C385" s="53" t="str">
        <f ca="1">IFERROR(__xludf.DUMMYFUNCTION("""COMPUTED_VALUE"""),"MN")</f>
        <v>MN</v>
      </c>
      <c r="D385" s="53" t="str">
        <f ca="1">IFERROR(__xludf.DUMMYFUNCTION("""COMPUTED_VALUE"""),"Bình Tân")</f>
        <v>Bình Tân</v>
      </c>
      <c r="E385" s="54">
        <f ca="1">IFERROR(__xludf.DUMMYFUNCTION("""COMPUTED_VALUE"""),24)</f>
        <v>24</v>
      </c>
      <c r="F385" s="54">
        <f ca="1">IFERROR(__xludf.DUMMYFUNCTION("""COMPUTED_VALUE"""),24)</f>
        <v>24</v>
      </c>
      <c r="G385" s="54"/>
      <c r="H385" s="54">
        <f ca="1">IFERROR(__xludf.DUMMYFUNCTION("""COMPUTED_VALUE"""),24)</f>
        <v>24</v>
      </c>
      <c r="I385" s="54"/>
      <c r="J385" s="54">
        <f ca="1">IFERROR(__xludf.DUMMYFUNCTION("""COMPUTED_VALUE"""),24)</f>
        <v>24</v>
      </c>
      <c r="K385" s="54"/>
      <c r="L385" s="54">
        <f ca="1">IFERROR(__xludf.DUMMYFUNCTION("""COMPUTED_VALUE"""),23)</f>
        <v>23</v>
      </c>
      <c r="M385" s="54"/>
      <c r="N385" s="53"/>
      <c r="O385" s="53"/>
      <c r="P385" s="53"/>
      <c r="Q385" s="53"/>
      <c r="R385" s="53"/>
      <c r="S385" s="53"/>
      <c r="T385" s="53"/>
      <c r="U385" s="53"/>
      <c r="V385" s="53"/>
      <c r="W385" s="53"/>
      <c r="X385" s="53"/>
      <c r="Y385" s="53"/>
      <c r="Z385" s="2"/>
      <c r="AA385" s="2"/>
      <c r="AB385" s="2"/>
      <c r="AC385" s="2"/>
      <c r="AD385" s="2"/>
      <c r="AE385" s="2"/>
    </row>
    <row r="386" spans="1:31" ht="12.75" x14ac:dyDescent="0.2">
      <c r="A386" s="53">
        <f ca="1">IFERROR(__xludf.DUMMYFUNCTION("""COMPUTED_VALUE"""),5)</f>
        <v>5</v>
      </c>
      <c r="B386" s="53" t="str">
        <f ca="1">IFERROR(__xludf.DUMMYFUNCTION("""COMPUTED_VALUE"""),"MNCL Bình Trị Đông")</f>
        <v>MNCL Bình Trị Đông</v>
      </c>
      <c r="C386" s="53" t="str">
        <f ca="1">IFERROR(__xludf.DUMMYFUNCTION("""COMPUTED_VALUE"""),"MN")</f>
        <v>MN</v>
      </c>
      <c r="D386" s="53" t="str">
        <f ca="1">IFERROR(__xludf.DUMMYFUNCTION("""COMPUTED_VALUE"""),"Bình Tân")</f>
        <v>Bình Tân</v>
      </c>
      <c r="E386" s="54">
        <f ca="1">IFERROR(__xludf.DUMMYFUNCTION("""COMPUTED_VALUE"""),38)</f>
        <v>38</v>
      </c>
      <c r="F386" s="54">
        <f ca="1">IFERROR(__xludf.DUMMYFUNCTION("""COMPUTED_VALUE"""),38)</f>
        <v>38</v>
      </c>
      <c r="G386" s="54"/>
      <c r="H386" s="54">
        <f ca="1">IFERROR(__xludf.DUMMYFUNCTION("""COMPUTED_VALUE"""),38)</f>
        <v>38</v>
      </c>
      <c r="I386" s="54"/>
      <c r="J386" s="54">
        <f ca="1">IFERROR(__xludf.DUMMYFUNCTION("""COMPUTED_VALUE"""),38)</f>
        <v>38</v>
      </c>
      <c r="K386" s="54"/>
      <c r="L386" s="54">
        <f ca="1">IFERROR(__xludf.DUMMYFUNCTION("""COMPUTED_VALUE"""),35)</f>
        <v>35</v>
      </c>
      <c r="M386" s="54"/>
      <c r="N386" s="53"/>
      <c r="O386" s="53"/>
      <c r="P386" s="53"/>
      <c r="Q386" s="53"/>
      <c r="R386" s="53"/>
      <c r="S386" s="53"/>
      <c r="T386" s="53"/>
      <c r="U386" s="53"/>
      <c r="V386" s="53"/>
      <c r="W386" s="53"/>
      <c r="X386" s="53"/>
      <c r="Y386" s="53"/>
      <c r="Z386" s="2"/>
      <c r="AA386" s="2"/>
      <c r="AB386" s="2"/>
      <c r="AC386" s="2"/>
      <c r="AD386" s="2"/>
      <c r="AE386" s="2"/>
    </row>
    <row r="387" spans="1:31" ht="12.75" x14ac:dyDescent="0.2">
      <c r="A387" s="53">
        <f ca="1">IFERROR(__xludf.DUMMYFUNCTION("""COMPUTED_VALUE"""),6)</f>
        <v>6</v>
      </c>
      <c r="B387" s="53" t="str">
        <f ca="1">IFERROR(__xludf.DUMMYFUNCTION("""COMPUTED_VALUE"""),"MNCL Bình Trị Đông B")</f>
        <v>MNCL Bình Trị Đông B</v>
      </c>
      <c r="C387" s="53" t="str">
        <f ca="1">IFERROR(__xludf.DUMMYFUNCTION("""COMPUTED_VALUE"""),"MN")</f>
        <v>MN</v>
      </c>
      <c r="D387" s="53" t="str">
        <f ca="1">IFERROR(__xludf.DUMMYFUNCTION("""COMPUTED_VALUE"""),"Bình Tân")</f>
        <v>Bình Tân</v>
      </c>
      <c r="E387" s="54">
        <f ca="1">IFERROR(__xludf.DUMMYFUNCTION("""COMPUTED_VALUE"""),48)</f>
        <v>48</v>
      </c>
      <c r="F387" s="54">
        <f ca="1">IFERROR(__xludf.DUMMYFUNCTION("""COMPUTED_VALUE"""),48)</f>
        <v>48</v>
      </c>
      <c r="G387" s="54"/>
      <c r="H387" s="54">
        <f ca="1">IFERROR(__xludf.DUMMYFUNCTION("""COMPUTED_VALUE"""),48)</f>
        <v>48</v>
      </c>
      <c r="I387" s="54"/>
      <c r="J387" s="54">
        <f ca="1">IFERROR(__xludf.DUMMYFUNCTION("""COMPUTED_VALUE"""),45)</f>
        <v>45</v>
      </c>
      <c r="K387" s="54"/>
      <c r="L387" s="54">
        <f ca="1">IFERROR(__xludf.DUMMYFUNCTION("""COMPUTED_VALUE"""),40)</f>
        <v>40</v>
      </c>
      <c r="M387" s="54"/>
      <c r="N387" s="53"/>
      <c r="O387" s="53"/>
      <c r="P387" s="53"/>
      <c r="Q387" s="53"/>
      <c r="R387" s="53"/>
      <c r="S387" s="53"/>
      <c r="T387" s="53"/>
      <c r="U387" s="53"/>
      <c r="V387" s="53"/>
      <c r="W387" s="53"/>
      <c r="X387" s="53"/>
      <c r="Y387" s="53"/>
      <c r="Z387" s="2"/>
      <c r="AA387" s="2"/>
      <c r="AB387" s="2"/>
      <c r="AC387" s="2"/>
      <c r="AD387" s="2"/>
      <c r="AE387" s="2"/>
    </row>
    <row r="388" spans="1:31" ht="12.75" x14ac:dyDescent="0.2">
      <c r="A388" s="53">
        <f ca="1">IFERROR(__xludf.DUMMYFUNCTION("""COMPUTED_VALUE"""),7)</f>
        <v>7</v>
      </c>
      <c r="B388" s="53" t="str">
        <f ca="1">IFERROR(__xludf.DUMMYFUNCTION("""COMPUTED_VALUE"""),"MNCL Cát Đằng")</f>
        <v>MNCL Cát Đằng</v>
      </c>
      <c r="C388" s="53" t="str">
        <f ca="1">IFERROR(__xludf.DUMMYFUNCTION("""COMPUTED_VALUE"""),"MN")</f>
        <v>MN</v>
      </c>
      <c r="D388" s="53" t="str">
        <f ca="1">IFERROR(__xludf.DUMMYFUNCTION("""COMPUTED_VALUE"""),"Bình Tân")</f>
        <v>Bình Tân</v>
      </c>
      <c r="E388" s="54">
        <f ca="1">IFERROR(__xludf.DUMMYFUNCTION("""COMPUTED_VALUE"""),35)</f>
        <v>35</v>
      </c>
      <c r="F388" s="54">
        <f ca="1">IFERROR(__xludf.DUMMYFUNCTION("""COMPUTED_VALUE"""),35)</f>
        <v>35</v>
      </c>
      <c r="G388" s="54"/>
      <c r="H388" s="54">
        <f ca="1">IFERROR(__xludf.DUMMYFUNCTION("""COMPUTED_VALUE"""),35)</f>
        <v>35</v>
      </c>
      <c r="I388" s="54"/>
      <c r="J388" s="54">
        <f ca="1">IFERROR(__xludf.DUMMYFUNCTION("""COMPUTED_VALUE"""),35)</f>
        <v>35</v>
      </c>
      <c r="K388" s="54"/>
      <c r="L388" s="54">
        <f ca="1">IFERROR(__xludf.DUMMYFUNCTION("""COMPUTED_VALUE"""),31)</f>
        <v>31</v>
      </c>
      <c r="M388" s="54"/>
      <c r="N388" s="53"/>
      <c r="O388" s="53"/>
      <c r="P388" s="53"/>
      <c r="Q388" s="53"/>
      <c r="R388" s="53"/>
      <c r="S388" s="53"/>
      <c r="T388" s="53"/>
      <c r="U388" s="53"/>
      <c r="V388" s="53"/>
      <c r="W388" s="53"/>
      <c r="X388" s="53"/>
      <c r="Y388" s="53"/>
      <c r="Z388" s="2"/>
      <c r="AA388" s="2"/>
      <c r="AB388" s="2"/>
      <c r="AC388" s="2"/>
      <c r="AD388" s="2"/>
      <c r="AE388" s="2"/>
    </row>
    <row r="389" spans="1:31" ht="12.75" x14ac:dyDescent="0.2">
      <c r="A389" s="53">
        <f ca="1">IFERROR(__xludf.DUMMYFUNCTION("""COMPUTED_VALUE"""),8)</f>
        <v>8</v>
      </c>
      <c r="B389" s="53" t="str">
        <f ca="1">IFERROR(__xludf.DUMMYFUNCTION("""COMPUTED_VALUE"""),"MNCL Cẩm Tú")</f>
        <v>MNCL Cẩm Tú</v>
      </c>
      <c r="C389" s="53" t="str">
        <f ca="1">IFERROR(__xludf.DUMMYFUNCTION("""COMPUTED_VALUE"""),"MN")</f>
        <v>MN</v>
      </c>
      <c r="D389" s="53" t="str">
        <f ca="1">IFERROR(__xludf.DUMMYFUNCTION("""COMPUTED_VALUE"""),"Bình Tân")</f>
        <v>Bình Tân</v>
      </c>
      <c r="E389" s="54">
        <f ca="1">IFERROR(__xludf.DUMMYFUNCTION("""COMPUTED_VALUE"""),48)</f>
        <v>48</v>
      </c>
      <c r="F389" s="54">
        <f ca="1">IFERROR(__xludf.DUMMYFUNCTION("""COMPUTED_VALUE"""),48)</f>
        <v>48</v>
      </c>
      <c r="G389" s="54"/>
      <c r="H389" s="54">
        <f ca="1">IFERROR(__xludf.DUMMYFUNCTION("""COMPUTED_VALUE"""),48)</f>
        <v>48</v>
      </c>
      <c r="I389" s="54"/>
      <c r="J389" s="54">
        <f ca="1">IFERROR(__xludf.DUMMYFUNCTION("""COMPUTED_VALUE"""),48)</f>
        <v>48</v>
      </c>
      <c r="K389" s="54"/>
      <c r="L389" s="54">
        <f ca="1">IFERROR(__xludf.DUMMYFUNCTION("""COMPUTED_VALUE"""),42)</f>
        <v>42</v>
      </c>
      <c r="M389" s="54"/>
      <c r="N389" s="53"/>
      <c r="O389" s="53"/>
      <c r="P389" s="53"/>
      <c r="Q389" s="53"/>
      <c r="R389" s="53"/>
      <c r="S389" s="53"/>
      <c r="T389" s="53"/>
      <c r="U389" s="53"/>
      <c r="V389" s="53"/>
      <c r="W389" s="53"/>
      <c r="X389" s="53"/>
      <c r="Y389" s="53"/>
      <c r="Z389" s="2"/>
      <c r="AA389" s="2"/>
      <c r="AB389" s="2"/>
      <c r="AC389" s="2"/>
      <c r="AD389" s="2"/>
      <c r="AE389" s="2"/>
    </row>
    <row r="390" spans="1:31" ht="12.75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2.75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2.75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2.75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2.75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2.75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2.75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2.75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2.75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2.75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2.75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2.75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2.75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2.75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2.75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2.75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2.75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2.75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2.75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2.75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2.75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2.75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2.75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2.75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2.75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2.75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2.75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2.75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2.75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2.75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2.75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2.75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2.75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2.75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2.75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2.75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2.75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2.75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2.75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2.75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2.75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2.75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2.75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2.75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2.75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2.75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2.75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2.75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2.75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2.75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2.75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2.75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2.75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2.75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2.75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2.75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2.75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2.75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2.75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2.75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2.75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2.75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2.75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2.75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2.75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2.75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2.75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2.75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2.75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2.75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2.75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2.75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2.75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2.75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2.75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2.75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2.75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2.75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2.75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2.75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2.75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2.75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2.75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2.75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2.75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2.75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2.75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2.75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2.75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2.75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2.75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2.75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2.75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2.75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2.75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2.75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2.75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2.75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2.75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2.75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2.75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2.75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2.75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2.75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2.75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2.75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2.75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2.75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2.75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2.75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2.75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2.75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2.75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2.75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2.75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2.75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2.75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2.75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2.75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2.75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2.75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2.75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2.75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2.75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2.75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2.75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2.75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2.75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2.75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2.75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2.75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2.75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2.75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2.75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2.75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2.75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2.75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2.75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2.75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2.75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2.75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2.75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2.75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2.75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2.75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2.75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2.75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2.75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2.75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2.75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2.75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2.75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2.75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2.75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2.75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2.75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2.75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2.75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2.75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2.75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2.75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2.75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2.75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2.75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2.75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2.75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2.75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2.75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2.75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2.75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2.75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2.75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2.75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2.75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2.75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2.75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2.75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2.75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2.75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2.75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2.75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2.75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2.75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2.75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2.75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2.75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2.75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2.75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2.75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2.75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2.75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2.75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2.75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2.75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2.75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2.75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2.75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2.75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2.75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2.75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2.75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2.75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2.75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2.75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2.75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2.75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2.75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2.75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2.75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2.75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2.75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2.75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2.75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2.75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2.75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2.75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2.75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2.75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2.75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2.75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2.75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2.75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2.75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2.75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2.75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2.75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2.75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2.75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2.75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2.75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2.75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2.75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2.75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2.75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2.75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2.75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2.75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2.75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2.75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2.75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2.75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2.75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2.75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2.75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2.75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2.75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2.75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2.75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2.75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2.75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2.75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2.75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2.75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2.75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2.75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2.75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2.75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2.75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2.75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2.75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2.75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2.75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2.75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2.75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2.75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2.75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2.75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2.75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2.75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2.75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2.75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2.75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2.75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2.75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2.75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2.75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2.75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2.75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2.75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2.75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2.75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2.75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2.75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2.75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2.75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2.75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2.75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2.75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2.75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2.75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2.75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2.75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2.75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2.75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2.75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2.75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2.75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2.75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2.75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2.75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2.75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2.75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2.75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2.75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2.75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2.75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2.75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2.75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2.75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2.75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2.75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2.75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2.75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2.75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2.75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2.75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2.75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2.75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2.75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2.75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2.75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2.75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2.75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2.75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2.75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2.75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2.75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2.75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2.75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2.75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2.75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2.75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2.75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2.75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2.75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2.75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2.75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2.75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2.75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2.75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2.75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2.75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2.75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2.75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2.75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2.75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2.75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2.75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2.75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2.75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2.75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2.75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2.75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2.75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2.75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2.75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2.75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2.75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2.75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2.75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2.75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2.75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2.75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2.75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2.75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2.75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2.75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2.75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2.75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2.75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2.75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2.75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2.75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2.75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2.75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2.75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2.75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2.75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2.75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2.75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2.75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2.75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2.75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2.75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2.75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2.75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2.75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2.75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2.75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2.75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2.75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2.75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2.75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2.75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2.75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2.75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2.75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2.75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2.75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2.75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2.75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2.75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2.75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2.75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2.75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2.75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2.75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2.75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2.75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2.75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2.75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2.75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2.75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2.75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2.75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2.75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2.75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2.75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2.75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2.75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2.75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2.75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2.75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2.75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2.75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2.75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2.75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2.75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2.75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2.75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2.75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2.75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2.75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2.75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2.75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2.75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2.75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2.75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2.75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2.75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2.75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2.75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2.75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2.75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2.75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2.75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2.75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2.75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2.75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2.75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2.75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2.75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2.75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2.75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2.75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2.75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2.75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2.75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2.75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2.75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2.75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2.75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2.75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2.75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2.75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2.75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2.75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2.75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2.75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2.75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2.75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2.75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2.75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2.75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2.75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2.75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2.75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2.75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2.75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2.75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2.75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2.75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2.75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2.75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2.75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2.75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2.75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2.75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2.75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2.75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2.75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2.75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2.75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2.75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2.75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2.75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2.75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2.75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2.75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2.75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2.75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2.75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2.75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2.75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2.75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2.75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2.75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2.75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2.75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2.75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2.75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2.75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2.75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2.75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2.75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2.75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2.75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2.75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2.75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2.75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2.75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2.75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2.75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2.75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2.75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2.75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2.75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2.75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2.75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2.75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2.75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2.75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2.75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2.75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2.75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2.75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2.75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2.75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2.75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2.75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2.75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2.75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2.75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2.75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2.75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2.75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2.75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2.75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2.75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2.75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2.75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2.75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2.75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2.75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2.75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2.75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2.75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2.75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2.75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2.75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2.75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2.75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2.75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2.75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2.75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2.75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2.75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2.75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2.75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2.75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2.75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2.75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2.75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2.75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2.75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2.75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2.75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2.75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2.75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2.75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2.75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2.75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2.75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2.75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2.75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2.75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2.75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2.75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2.75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2.75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2.75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2.75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2.75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2.75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2.75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2.75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2.75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2.75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2.75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2.75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2.75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2.75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2.75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2.75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2.75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2.75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2.75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2.75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 ht="12.75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 ht="12.75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  <row r="1000" spans="1:31" ht="12.75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</row>
  </sheetData>
  <mergeCells count="16">
    <mergeCell ref="N3:R3"/>
    <mergeCell ref="S3:Y3"/>
    <mergeCell ref="F4:G4"/>
    <mergeCell ref="H4:I4"/>
    <mergeCell ref="J4:K4"/>
    <mergeCell ref="L4:M4"/>
    <mergeCell ref="O4:P4"/>
    <mergeCell ref="Q4:R4"/>
    <mergeCell ref="T4:U4"/>
    <mergeCell ref="V4:W4"/>
    <mergeCell ref="X4:Y4"/>
    <mergeCell ref="A3:A4"/>
    <mergeCell ref="B3:B4"/>
    <mergeCell ref="C3:C4"/>
    <mergeCell ref="D3:D4"/>
    <mergeCell ref="E3:M3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E1000"/>
  <sheetViews>
    <sheetView zoomScale="85" zoomScaleNormal="85" workbookViewId="0">
      <selection activeCell="B21" sqref="B21"/>
    </sheetView>
  </sheetViews>
  <sheetFormatPr defaultColWidth="12.5703125" defaultRowHeight="15.75" customHeight="1" x14ac:dyDescent="0.2"/>
  <cols>
    <col min="1" max="1" width="9.28515625" style="3" customWidth="1"/>
    <col min="2" max="2" width="29.7109375" style="3" customWidth="1"/>
    <col min="3" max="4" width="12.5703125" style="3"/>
    <col min="5" max="5" width="10.42578125" style="3" customWidth="1"/>
    <col min="6" max="13" width="8.85546875" style="3" customWidth="1"/>
    <col min="14" max="14" width="10.42578125" style="3" customWidth="1"/>
    <col min="15" max="18" width="8.85546875" style="3" customWidth="1"/>
    <col min="19" max="19" width="10.42578125" style="3" customWidth="1"/>
    <col min="20" max="25" width="8.85546875" style="3" customWidth="1"/>
    <col min="26" max="16384" width="12.5703125" style="3"/>
  </cols>
  <sheetData>
    <row r="1" spans="1:31" ht="26.25" customHeight="1" x14ac:dyDescent="0.2">
      <c r="A1" s="49" t="s">
        <v>14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ht="35.25" customHeight="1" x14ac:dyDescent="0.2">
      <c r="A2" s="4" t="s">
        <v>26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</row>
    <row r="3" spans="1:31" ht="30.75" customHeight="1" x14ac:dyDescent="0.2">
      <c r="A3" s="89" t="str">
        <f ca="1">IFERROR(__xludf.DUMMYFUNCTION("IMPORTRANGE(""https://docs.google.com/spreadsheets/d/1giFCfPZvq6d2WPbrXwJ7ksTcnSjmuNbU5G4IRrh5hOk/edit#gid=0"",""GV!A14:T500"")"),"STT")</f>
        <v>STT</v>
      </c>
      <c r="B3" s="89" t="str">
        <f ca="1">IFERROR(__xludf.DUMMYFUNCTION("""COMPUTED_VALUE"""),"TRƯỜNG")</f>
        <v>TRƯỜNG</v>
      </c>
      <c r="C3" s="89" t="str">
        <f ca="1">IFERROR(__xludf.DUMMYFUNCTION("""COMPUTED_VALUE"""),"BẬC HỌC (MN, TH, THCS, THPT, CB, GDTX)")</f>
        <v>BẬC HỌC (MN, TH, THCS, THPT, CB, GDTX)</v>
      </c>
      <c r="D3" s="89" t="str">
        <f ca="1">IFERROR(__xludf.DUMMYFUNCTION("""COMPUTED_VALUE"""),"THÀNH PHỐ, QUẬN, HUYỆN")</f>
        <v>THÀNH PHỐ, QUẬN, HUYỆN</v>
      </c>
      <c r="E3" s="91" t="str">
        <f ca="1">IFERROR(__xludf.DUMMYFUNCTION("""COMPUTED_VALUE"""),"Cán bộ - Giáo viên - Nhân viên")</f>
        <v>Cán bộ - Giáo viên - Nhân viên</v>
      </c>
      <c r="F3" s="92"/>
      <c r="G3" s="92"/>
      <c r="H3" s="92"/>
      <c r="I3" s="92"/>
      <c r="J3" s="92"/>
      <c r="K3" s="92"/>
      <c r="L3" s="92"/>
      <c r="M3" s="92"/>
      <c r="N3" s="93" t="str">
        <f ca="1">IFERROR(__xludf.DUMMYFUNCTION("""COMPUTED_VALUE"""),"Học sinh từ 5 đến dưới 12 tuổi")</f>
        <v>Học sinh từ 5 đến dưới 12 tuổi</v>
      </c>
      <c r="O3" s="92"/>
      <c r="P3" s="92"/>
      <c r="Q3" s="92"/>
      <c r="R3" s="92"/>
      <c r="S3" s="94" t="str">
        <f ca="1">IFERROR(__xludf.DUMMYFUNCTION("""COMPUTED_VALUE"""),"Học sinh từ 12 đến dưới 18 tuổi")</f>
        <v>Học sinh từ 12 đến dưới 18 tuổi</v>
      </c>
      <c r="T3" s="95"/>
      <c r="U3" s="95"/>
      <c r="V3" s="95"/>
      <c r="W3" s="95"/>
      <c r="X3" s="95"/>
      <c r="Y3" s="95"/>
      <c r="Z3" s="2"/>
      <c r="AA3" s="2"/>
      <c r="AB3" s="2"/>
      <c r="AC3" s="2"/>
      <c r="AD3" s="2"/>
      <c r="AE3" s="2"/>
    </row>
    <row r="4" spans="1:31" ht="27" customHeight="1" x14ac:dyDescent="0.2">
      <c r="A4" s="90"/>
      <c r="B4" s="90"/>
      <c r="C4" s="90"/>
      <c r="D4" s="90"/>
      <c r="E4" s="7" t="str">
        <f ca="1">IFERROR(__xludf.DUMMYFUNCTION("""COMPUTED_VALUE"""),"Tổng CB-GV-NV")</f>
        <v>Tổng CB-GV-NV</v>
      </c>
      <c r="F4" s="96" t="s">
        <v>22</v>
      </c>
      <c r="G4" s="97"/>
      <c r="H4" s="96" t="s">
        <v>23</v>
      </c>
      <c r="I4" s="97"/>
      <c r="J4" s="96" t="s">
        <v>24</v>
      </c>
      <c r="K4" s="97"/>
      <c r="L4" s="96" t="s">
        <v>25</v>
      </c>
      <c r="M4" s="97"/>
      <c r="N4" s="7" t="str">
        <f ca="1">IFERROR(__xludf.DUMMYFUNCTION("""COMPUTED_VALUE"""),"Tổng học sinh")</f>
        <v>Tổng học sinh</v>
      </c>
      <c r="O4" s="96" t="s">
        <v>22</v>
      </c>
      <c r="P4" s="97"/>
      <c r="Q4" s="96" t="s">
        <v>23</v>
      </c>
      <c r="R4" s="97"/>
      <c r="S4" s="8" t="str">
        <f ca="1">IFERROR(__xludf.DUMMYFUNCTION("""COMPUTED_VALUE"""),"Tổng học sinh")</f>
        <v>Tổng học sinh</v>
      </c>
      <c r="T4" s="98" t="s">
        <v>22</v>
      </c>
      <c r="U4" s="99"/>
      <c r="V4" s="98" t="s">
        <v>23</v>
      </c>
      <c r="W4" s="99"/>
      <c r="X4" s="98" t="s">
        <v>24</v>
      </c>
      <c r="Y4" s="99"/>
      <c r="Z4" s="2"/>
      <c r="AA4" s="2"/>
      <c r="AB4" s="2"/>
      <c r="AC4" s="2"/>
      <c r="AD4" s="2"/>
      <c r="AE4" s="2"/>
    </row>
    <row r="5" spans="1:31" ht="12.75" x14ac:dyDescent="0.2">
      <c r="A5" s="50" t="str">
        <f ca="1">IFERROR(__xludf.DUMMYFUNCTION("""COMPUTED_VALUE"""),"TỔNG TOÀN QUẬN/HUYỆN/TP")</f>
        <v>TỔNG TOÀN QUẬN/HUYỆN/TP</v>
      </c>
      <c r="B5" s="20"/>
      <c r="C5" s="20"/>
      <c r="D5" s="20" t="str">
        <f ca="1">IFERROR(__xludf.DUMMYFUNCTION("""COMPUTED_VALUE"""),"GÒ VẤP")</f>
        <v>GÒ VẤP</v>
      </c>
      <c r="E5" s="15">
        <f ca="1">IFERROR(__xludf.DUMMYFUNCTION("""COMPUTED_VALUE"""),7258)</f>
        <v>7258</v>
      </c>
      <c r="F5" s="15">
        <f ca="1">IFERROR(__xludf.DUMMYFUNCTION("""COMPUTED_VALUE"""),7257)</f>
        <v>7257</v>
      </c>
      <c r="G5" s="51">
        <f ca="1">IFERROR(F5/E5,"")</f>
        <v>0.99986222099751998</v>
      </c>
      <c r="H5" s="15">
        <f ca="1">IFERROR(__xludf.DUMMYFUNCTION("""COMPUTED_VALUE"""),7247)</f>
        <v>7247</v>
      </c>
      <c r="I5" s="51">
        <f ca="1">IFERROR(H5/E5,"")</f>
        <v>0.99848443097271977</v>
      </c>
      <c r="J5" s="15">
        <f ca="1">IFERROR(__xludf.DUMMYFUNCTION("""COMPUTED_VALUE"""),6896)</f>
        <v>6896</v>
      </c>
      <c r="K5" s="51">
        <f ca="1">IFERROR(J5/E5,"")</f>
        <v>0.95012400110223205</v>
      </c>
      <c r="L5" s="15">
        <f ca="1">IFERROR(__xludf.DUMMYFUNCTION("""COMPUTED_VALUE"""),3522)</f>
        <v>3522</v>
      </c>
      <c r="M5" s="51">
        <f ca="1">IFERROR(L5/E5,"")</f>
        <v>0.48525764673463762</v>
      </c>
      <c r="N5" s="15">
        <f ca="1">IFERROR(__xludf.DUMMYFUNCTION("""COMPUTED_VALUE"""),55647)</f>
        <v>55647</v>
      </c>
      <c r="O5" s="15">
        <f ca="1">IFERROR(__xludf.DUMMYFUNCTION("""COMPUTED_VALUE"""),26276)</f>
        <v>26276</v>
      </c>
      <c r="P5" s="51">
        <f ca="1">IFERROR(O5/N5,"")</f>
        <v>0.472190773986019</v>
      </c>
      <c r="Q5" s="15">
        <f ca="1">IFERROR(__xludf.DUMMYFUNCTION("""COMPUTED_VALUE"""),19037)</f>
        <v>19037</v>
      </c>
      <c r="R5" s="51">
        <f ca="1">IFERROR(Q5/N5,"")</f>
        <v>0.3421028986288569</v>
      </c>
      <c r="S5" s="15">
        <f ca="1">IFERROR(__xludf.DUMMYFUNCTION("""COMPUTED_VALUE"""),40651)</f>
        <v>40651</v>
      </c>
      <c r="T5" s="15">
        <f ca="1">IFERROR(__xludf.DUMMYFUNCTION("""COMPUTED_VALUE"""),38647)</f>
        <v>38647</v>
      </c>
      <c r="U5" s="51">
        <f ca="1">IFERROR(T5/S5,"")</f>
        <v>0.95070231974613173</v>
      </c>
      <c r="V5" s="15">
        <f ca="1">IFERROR(__xludf.DUMMYFUNCTION("""COMPUTED_VALUE"""),36782)</f>
        <v>36782</v>
      </c>
      <c r="W5" s="51">
        <f ca="1">IFERROR(V5/S5,"")</f>
        <v>0.9048239895697523</v>
      </c>
      <c r="X5" s="15">
        <f ca="1">IFERROR(__xludf.DUMMYFUNCTION("""COMPUTED_VALUE"""),11661)</f>
        <v>11661</v>
      </c>
      <c r="Y5" s="51">
        <f ca="1">IFERROR(X5/S5,"")</f>
        <v>0.28685641189638633</v>
      </c>
      <c r="Z5" s="2"/>
      <c r="AA5" s="2"/>
      <c r="AB5" s="2"/>
      <c r="AC5" s="2"/>
      <c r="AD5" s="2"/>
      <c r="AE5" s="2"/>
    </row>
    <row r="6" spans="1:31" ht="12.75" x14ac:dyDescent="0.2">
      <c r="A6" s="53">
        <f ca="1">IFERROR(__xludf.DUMMYFUNCTION("""COMPUTED_VALUE"""),1)</f>
        <v>1</v>
      </c>
      <c r="B6" s="53"/>
      <c r="C6" s="53"/>
      <c r="D6" s="53" t="str">
        <f ca="1">IFERROR(__xludf.DUMMYFUNCTION("""COMPUTED_VALUE"""),"Gò Vấp")</f>
        <v>Gò Vấp</v>
      </c>
      <c r="E6" s="54">
        <f ca="1">IFERROR(__xludf.DUMMYFUNCTION("""COMPUTED_VALUE"""),28)</f>
        <v>28</v>
      </c>
      <c r="F6" s="54">
        <f ca="1">IFERROR(__xludf.DUMMYFUNCTION("""COMPUTED_VALUE"""),28)</f>
        <v>28</v>
      </c>
      <c r="G6" s="51">
        <f t="shared" ref="G6:G69" ca="1" si="0">IFERROR(F6/E6,"")</f>
        <v>1</v>
      </c>
      <c r="H6" s="54">
        <f ca="1">IFERROR(__xludf.DUMMYFUNCTION("""COMPUTED_VALUE"""),28)</f>
        <v>28</v>
      </c>
      <c r="I6" s="51">
        <f t="shared" ref="I6:I69" ca="1" si="1">IFERROR(H6/E6,"")</f>
        <v>1</v>
      </c>
      <c r="J6" s="54">
        <f ca="1">IFERROR(__xludf.DUMMYFUNCTION("""COMPUTED_VALUE"""),28)</f>
        <v>28</v>
      </c>
      <c r="K6" s="51">
        <f t="shared" ref="K6:K69" ca="1" si="2">IFERROR(J6/E6,"")</f>
        <v>1</v>
      </c>
      <c r="L6" s="54">
        <f ca="1">IFERROR(__xludf.DUMMYFUNCTION("""COMPUTED_VALUE"""),23)</f>
        <v>23</v>
      </c>
      <c r="M6" s="51">
        <f t="shared" ref="M6:M69" ca="1" si="3">IFERROR(L6/E6,"")</f>
        <v>0.8214285714285714</v>
      </c>
      <c r="N6" s="54">
        <f ca="1">IFERROR(__xludf.DUMMYFUNCTION("""COMPUTED_VALUE"""),96)</f>
        <v>96</v>
      </c>
      <c r="O6" s="54">
        <f ca="1">IFERROR(__xludf.DUMMYFUNCTION("""COMPUTED_VALUE"""),35)</f>
        <v>35</v>
      </c>
      <c r="P6" s="51">
        <f t="shared" ref="P6:P69" ca="1" si="4">IFERROR(O6/N6,"")</f>
        <v>0.36458333333333331</v>
      </c>
      <c r="Q6" s="54">
        <f ca="1">IFERROR(__xludf.DUMMYFUNCTION("""COMPUTED_VALUE"""),19)</f>
        <v>19</v>
      </c>
      <c r="R6" s="51">
        <f t="shared" ref="R6:R69" ca="1" si="5">IFERROR(Q6/N6,"")</f>
        <v>0.19791666666666666</v>
      </c>
      <c r="S6" s="53"/>
      <c r="T6" s="53"/>
      <c r="U6" s="51" t="str">
        <f t="shared" ref="U6:U69" si="6">IFERROR(T6/S6,"")</f>
        <v/>
      </c>
      <c r="V6" s="53"/>
      <c r="W6" s="51" t="str">
        <f t="shared" ref="W6:W69" si="7">IFERROR(V6/S6,"")</f>
        <v/>
      </c>
      <c r="X6" s="53"/>
      <c r="Y6" s="51" t="str">
        <f t="shared" ref="Y6:Y69" si="8">IFERROR(X6/S6,"")</f>
        <v/>
      </c>
      <c r="Z6" s="2"/>
      <c r="AA6" s="2"/>
      <c r="AB6" s="2"/>
      <c r="AC6" s="2"/>
      <c r="AD6" s="2"/>
      <c r="AE6" s="2"/>
    </row>
    <row r="7" spans="1:31" ht="12.75" x14ac:dyDescent="0.2">
      <c r="A7" s="53">
        <f ca="1">IFERROR(__xludf.DUMMYFUNCTION("""COMPUTED_VALUE"""),2)</f>
        <v>2</v>
      </c>
      <c r="B7" s="53" t="str">
        <f ca="1">IFERROR(__xludf.DUMMYFUNCTION("""COMPUTED_VALUE"""),"MN Hoa Hồng")</f>
        <v>MN Hoa Hồng</v>
      </c>
      <c r="C7" s="53" t="str">
        <f ca="1">IFERROR(__xludf.DUMMYFUNCTION("""COMPUTED_VALUE"""),"MN")</f>
        <v>MN</v>
      </c>
      <c r="D7" s="53" t="str">
        <f ca="1">IFERROR(__xludf.DUMMYFUNCTION("""COMPUTED_VALUE"""),"Gò Vấp")</f>
        <v>Gò Vấp</v>
      </c>
      <c r="E7" s="54">
        <f ca="1">IFERROR(__xludf.DUMMYFUNCTION("""COMPUTED_VALUE"""),43)</f>
        <v>43</v>
      </c>
      <c r="F7" s="54">
        <f ca="1">IFERROR(__xludf.DUMMYFUNCTION("""COMPUTED_VALUE"""),43)</f>
        <v>43</v>
      </c>
      <c r="G7" s="51">
        <f t="shared" ca="1" si="0"/>
        <v>1</v>
      </c>
      <c r="H7" s="54">
        <f ca="1">IFERROR(__xludf.DUMMYFUNCTION("""COMPUTED_VALUE"""),43)</f>
        <v>43</v>
      </c>
      <c r="I7" s="51">
        <f t="shared" ca="1" si="1"/>
        <v>1</v>
      </c>
      <c r="J7" s="54">
        <f ca="1">IFERROR(__xludf.DUMMYFUNCTION("""COMPUTED_VALUE"""),43)</f>
        <v>43</v>
      </c>
      <c r="K7" s="51">
        <f t="shared" ca="1" si="2"/>
        <v>1</v>
      </c>
      <c r="L7" s="54">
        <f ca="1">IFERROR(__xludf.DUMMYFUNCTION("""COMPUTED_VALUE"""),28)</f>
        <v>28</v>
      </c>
      <c r="M7" s="51">
        <f t="shared" ca="1" si="3"/>
        <v>0.65116279069767447</v>
      </c>
      <c r="N7" s="54">
        <f ca="1">IFERROR(__xludf.DUMMYFUNCTION("""COMPUTED_VALUE"""),73)</f>
        <v>73</v>
      </c>
      <c r="O7" s="54">
        <f ca="1">IFERROR(__xludf.DUMMYFUNCTION("""COMPUTED_VALUE"""),5)</f>
        <v>5</v>
      </c>
      <c r="P7" s="51">
        <f t="shared" ca="1" si="4"/>
        <v>6.8493150684931503E-2</v>
      </c>
      <c r="Q7" s="54">
        <f ca="1">IFERROR(__xludf.DUMMYFUNCTION("""COMPUTED_VALUE"""),2)</f>
        <v>2</v>
      </c>
      <c r="R7" s="51">
        <f t="shared" ca="1" si="5"/>
        <v>2.7397260273972601E-2</v>
      </c>
      <c r="S7" s="53"/>
      <c r="T7" s="53"/>
      <c r="U7" s="51" t="str">
        <f t="shared" si="6"/>
        <v/>
      </c>
      <c r="V7" s="53"/>
      <c r="W7" s="51" t="str">
        <f t="shared" si="7"/>
        <v/>
      </c>
      <c r="X7" s="53"/>
      <c r="Y7" s="51" t="str">
        <f t="shared" si="8"/>
        <v/>
      </c>
      <c r="Z7" s="2"/>
      <c r="AA7" s="2"/>
      <c r="AB7" s="2"/>
      <c r="AC7" s="2"/>
      <c r="AD7" s="2"/>
      <c r="AE7" s="2"/>
    </row>
    <row r="8" spans="1:31" ht="12.75" x14ac:dyDescent="0.2">
      <c r="A8" s="53">
        <f ca="1">IFERROR(__xludf.DUMMYFUNCTION("""COMPUTED_VALUE"""),3)</f>
        <v>3</v>
      </c>
      <c r="B8" s="53" t="str">
        <f ca="1">IFERROR(__xludf.DUMMYFUNCTION("""COMPUTED_VALUE"""),"MN Nhật Quỳnh")</f>
        <v>MN Nhật Quỳnh</v>
      </c>
      <c r="C8" s="53" t="str">
        <f ca="1">IFERROR(__xludf.DUMMYFUNCTION("""COMPUTED_VALUE"""),"MN")</f>
        <v>MN</v>
      </c>
      <c r="D8" s="53" t="str">
        <f ca="1">IFERROR(__xludf.DUMMYFUNCTION("""COMPUTED_VALUE"""),"Gò Vấp")</f>
        <v>Gò Vấp</v>
      </c>
      <c r="E8" s="54">
        <f ca="1">IFERROR(__xludf.DUMMYFUNCTION("""COMPUTED_VALUE"""),37)</f>
        <v>37</v>
      </c>
      <c r="F8" s="54">
        <f ca="1">IFERROR(__xludf.DUMMYFUNCTION("""COMPUTED_VALUE"""),37)</f>
        <v>37</v>
      </c>
      <c r="G8" s="51">
        <f t="shared" ca="1" si="0"/>
        <v>1</v>
      </c>
      <c r="H8" s="53">
        <f ca="1">IFERROR(__xludf.DUMMYFUNCTION("""COMPUTED_VALUE"""),37)</f>
        <v>37</v>
      </c>
      <c r="I8" s="51">
        <f t="shared" ca="1" si="1"/>
        <v>1</v>
      </c>
      <c r="J8" s="54">
        <f ca="1">IFERROR(__xludf.DUMMYFUNCTION("""COMPUTED_VALUE"""),36)</f>
        <v>36</v>
      </c>
      <c r="K8" s="51">
        <f t="shared" ca="1" si="2"/>
        <v>0.97297297297297303</v>
      </c>
      <c r="L8" s="54">
        <f ca="1">IFERROR(__xludf.DUMMYFUNCTION("""COMPUTED_VALUE"""),27)</f>
        <v>27</v>
      </c>
      <c r="M8" s="51">
        <f t="shared" ca="1" si="3"/>
        <v>0.72972972972972971</v>
      </c>
      <c r="N8" s="54">
        <f ca="1">IFERROR(__xludf.DUMMYFUNCTION("""COMPUTED_VALUE"""),79)</f>
        <v>79</v>
      </c>
      <c r="O8" s="54">
        <f ca="1">IFERROR(__xludf.DUMMYFUNCTION("""COMPUTED_VALUE"""),8)</f>
        <v>8</v>
      </c>
      <c r="P8" s="51">
        <f t="shared" ca="1" si="4"/>
        <v>0.10126582278481013</v>
      </c>
      <c r="Q8" s="54">
        <f ca="1">IFERROR(__xludf.DUMMYFUNCTION("""COMPUTED_VALUE"""),3)</f>
        <v>3</v>
      </c>
      <c r="R8" s="51">
        <f t="shared" ca="1" si="5"/>
        <v>3.7974683544303799E-2</v>
      </c>
      <c r="S8" s="53"/>
      <c r="T8" s="53"/>
      <c r="U8" s="51" t="str">
        <f t="shared" si="6"/>
        <v/>
      </c>
      <c r="V8" s="53"/>
      <c r="W8" s="51" t="str">
        <f t="shared" si="7"/>
        <v/>
      </c>
      <c r="X8" s="53"/>
      <c r="Y8" s="51" t="str">
        <f t="shared" si="8"/>
        <v/>
      </c>
      <c r="Z8" s="2"/>
      <c r="AA8" s="2"/>
      <c r="AB8" s="2"/>
      <c r="AC8" s="2"/>
      <c r="AD8" s="2"/>
      <c r="AE8" s="2"/>
    </row>
    <row r="9" spans="1:31" ht="12.75" x14ac:dyDescent="0.2">
      <c r="A9" s="53">
        <f ca="1">IFERROR(__xludf.DUMMYFUNCTION("""COMPUTED_VALUE"""),4)</f>
        <v>4</v>
      </c>
      <c r="B9" s="53" t="str">
        <f ca="1">IFERROR(__xludf.DUMMYFUNCTION("""COMPUTED_VALUE"""),"MN Hoa Lan")</f>
        <v>MN Hoa Lan</v>
      </c>
      <c r="C9" s="53" t="str">
        <f ca="1">IFERROR(__xludf.DUMMYFUNCTION("""COMPUTED_VALUE"""),"MN")</f>
        <v>MN</v>
      </c>
      <c r="D9" s="53" t="str">
        <f ca="1">IFERROR(__xludf.DUMMYFUNCTION("""COMPUTED_VALUE"""),"Gò Vấp")</f>
        <v>Gò Vấp</v>
      </c>
      <c r="E9" s="54">
        <f ca="1">IFERROR(__xludf.DUMMYFUNCTION("""COMPUTED_VALUE"""),44)</f>
        <v>44</v>
      </c>
      <c r="F9" s="54">
        <f ca="1">IFERROR(__xludf.DUMMYFUNCTION("""COMPUTED_VALUE"""),44)</f>
        <v>44</v>
      </c>
      <c r="G9" s="51">
        <f t="shared" ca="1" si="0"/>
        <v>1</v>
      </c>
      <c r="H9" s="54">
        <f ca="1">IFERROR(__xludf.DUMMYFUNCTION("""COMPUTED_VALUE"""),44)</f>
        <v>44</v>
      </c>
      <c r="I9" s="51">
        <f t="shared" ca="1" si="1"/>
        <v>1</v>
      </c>
      <c r="J9" s="54">
        <f ca="1">IFERROR(__xludf.DUMMYFUNCTION("""COMPUTED_VALUE"""),44)</f>
        <v>44</v>
      </c>
      <c r="K9" s="51">
        <f t="shared" ca="1" si="2"/>
        <v>1</v>
      </c>
      <c r="L9" s="54">
        <f ca="1">IFERROR(__xludf.DUMMYFUNCTION("""COMPUTED_VALUE"""),37)</f>
        <v>37</v>
      </c>
      <c r="M9" s="51">
        <f t="shared" ca="1" si="3"/>
        <v>0.84090909090909094</v>
      </c>
      <c r="N9" s="54">
        <f ca="1">IFERROR(__xludf.DUMMYFUNCTION("""COMPUTED_VALUE"""),80)</f>
        <v>80</v>
      </c>
      <c r="O9" s="54">
        <f ca="1">IFERROR(__xludf.DUMMYFUNCTION("""COMPUTED_VALUE"""),21)</f>
        <v>21</v>
      </c>
      <c r="P9" s="51">
        <f t="shared" ca="1" si="4"/>
        <v>0.26250000000000001</v>
      </c>
      <c r="Q9" s="54">
        <f ca="1">IFERROR(__xludf.DUMMYFUNCTION("""COMPUTED_VALUE"""),7)</f>
        <v>7</v>
      </c>
      <c r="R9" s="51">
        <f t="shared" ca="1" si="5"/>
        <v>8.7499999999999994E-2</v>
      </c>
      <c r="S9" s="53"/>
      <c r="T9" s="53"/>
      <c r="U9" s="51" t="str">
        <f t="shared" si="6"/>
        <v/>
      </c>
      <c r="V9" s="53"/>
      <c r="W9" s="51" t="str">
        <f t="shared" si="7"/>
        <v/>
      </c>
      <c r="X9" s="53"/>
      <c r="Y9" s="51" t="str">
        <f t="shared" si="8"/>
        <v/>
      </c>
      <c r="Z9" s="2"/>
      <c r="AA9" s="2"/>
      <c r="AB9" s="2"/>
      <c r="AC9" s="2"/>
      <c r="AD9" s="2"/>
      <c r="AE9" s="2"/>
    </row>
    <row r="10" spans="1:31" ht="12.75" x14ac:dyDescent="0.2">
      <c r="A10" s="53">
        <f ca="1">IFERROR(__xludf.DUMMYFUNCTION("""COMPUTED_VALUE"""),5)</f>
        <v>5</v>
      </c>
      <c r="B10" s="53" t="str">
        <f ca="1">IFERROR(__xludf.DUMMYFUNCTION("""COMPUTED_VALUE"""),"MN Hồng Nhung")</f>
        <v>MN Hồng Nhung</v>
      </c>
      <c r="C10" s="53" t="str">
        <f ca="1">IFERROR(__xludf.DUMMYFUNCTION("""COMPUTED_VALUE"""),"MN")</f>
        <v>MN</v>
      </c>
      <c r="D10" s="53" t="str">
        <f ca="1">IFERROR(__xludf.DUMMYFUNCTION("""COMPUTED_VALUE"""),"Gò Vấp")</f>
        <v>Gò Vấp</v>
      </c>
      <c r="E10" s="54">
        <f ca="1">IFERROR(__xludf.DUMMYFUNCTION("""COMPUTED_VALUE"""),63)</f>
        <v>63</v>
      </c>
      <c r="F10" s="54">
        <f ca="1">IFERROR(__xludf.DUMMYFUNCTION("""COMPUTED_VALUE"""),63)</f>
        <v>63</v>
      </c>
      <c r="G10" s="51">
        <f t="shared" ca="1" si="0"/>
        <v>1</v>
      </c>
      <c r="H10" s="54">
        <f ca="1">IFERROR(__xludf.DUMMYFUNCTION("""COMPUTED_VALUE"""),63)</f>
        <v>63</v>
      </c>
      <c r="I10" s="51">
        <f t="shared" ca="1" si="1"/>
        <v>1</v>
      </c>
      <c r="J10" s="54">
        <f ca="1">IFERROR(__xludf.DUMMYFUNCTION("""COMPUTED_VALUE"""),63)</f>
        <v>63</v>
      </c>
      <c r="K10" s="51">
        <f t="shared" ca="1" si="2"/>
        <v>1</v>
      </c>
      <c r="L10" s="54">
        <f ca="1">IFERROR(__xludf.DUMMYFUNCTION("""COMPUTED_VALUE"""),59)</f>
        <v>59</v>
      </c>
      <c r="M10" s="51">
        <f t="shared" ca="1" si="3"/>
        <v>0.93650793650793651</v>
      </c>
      <c r="N10" s="54">
        <f ca="1">IFERROR(__xludf.DUMMYFUNCTION("""COMPUTED_VALUE"""),121)</f>
        <v>121</v>
      </c>
      <c r="O10" s="54">
        <f ca="1">IFERROR(__xludf.DUMMYFUNCTION("""COMPUTED_VALUE"""),12)</f>
        <v>12</v>
      </c>
      <c r="P10" s="51">
        <f t="shared" ca="1" si="4"/>
        <v>9.9173553719008267E-2</v>
      </c>
      <c r="Q10" s="54">
        <f ca="1">IFERROR(__xludf.DUMMYFUNCTION("""COMPUTED_VALUE"""),1)</f>
        <v>1</v>
      </c>
      <c r="R10" s="51">
        <f t="shared" ca="1" si="5"/>
        <v>8.2644628099173556E-3</v>
      </c>
      <c r="S10" s="53"/>
      <c r="T10" s="53"/>
      <c r="U10" s="51" t="str">
        <f t="shared" si="6"/>
        <v/>
      </c>
      <c r="V10" s="53"/>
      <c r="W10" s="51" t="str">
        <f t="shared" si="7"/>
        <v/>
      </c>
      <c r="X10" s="53"/>
      <c r="Y10" s="51" t="str">
        <f t="shared" si="8"/>
        <v/>
      </c>
      <c r="Z10" s="2"/>
      <c r="AA10" s="2"/>
      <c r="AB10" s="2"/>
      <c r="AC10" s="2"/>
      <c r="AD10" s="2"/>
      <c r="AE10" s="2"/>
    </row>
    <row r="11" spans="1:31" ht="12.75" x14ac:dyDescent="0.2">
      <c r="A11" s="53">
        <f ca="1">IFERROR(__xludf.DUMMYFUNCTION("""COMPUTED_VALUE"""),6)</f>
        <v>6</v>
      </c>
      <c r="B11" s="53" t="str">
        <f ca="1">IFERROR(__xludf.DUMMYFUNCTION("""COMPUTED_VALUE"""),"MN Họa Mi")</f>
        <v>MN Họa Mi</v>
      </c>
      <c r="C11" s="53" t="str">
        <f ca="1">IFERROR(__xludf.DUMMYFUNCTION("""COMPUTED_VALUE"""),"MN")</f>
        <v>MN</v>
      </c>
      <c r="D11" s="53" t="str">
        <f ca="1">IFERROR(__xludf.DUMMYFUNCTION("""COMPUTED_VALUE"""),"Gò Vấp")</f>
        <v>Gò Vấp</v>
      </c>
      <c r="E11" s="54">
        <f ca="1">IFERROR(__xludf.DUMMYFUNCTION("""COMPUTED_VALUE"""),42)</f>
        <v>42</v>
      </c>
      <c r="F11" s="54">
        <f ca="1">IFERROR(__xludf.DUMMYFUNCTION("""COMPUTED_VALUE"""),42)</f>
        <v>42</v>
      </c>
      <c r="G11" s="51">
        <f t="shared" ca="1" si="0"/>
        <v>1</v>
      </c>
      <c r="H11" s="54">
        <f ca="1">IFERROR(__xludf.DUMMYFUNCTION("""COMPUTED_VALUE"""),42)</f>
        <v>42</v>
      </c>
      <c r="I11" s="51">
        <f t="shared" ca="1" si="1"/>
        <v>1</v>
      </c>
      <c r="J11" s="54">
        <f ca="1">IFERROR(__xludf.DUMMYFUNCTION("""COMPUTED_VALUE"""),42)</f>
        <v>42</v>
      </c>
      <c r="K11" s="51">
        <f t="shared" ca="1" si="2"/>
        <v>1</v>
      </c>
      <c r="L11" s="54">
        <f ca="1">IFERROR(__xludf.DUMMYFUNCTION("""COMPUTED_VALUE"""),37)</f>
        <v>37</v>
      </c>
      <c r="M11" s="51">
        <f t="shared" ca="1" si="3"/>
        <v>0.88095238095238093</v>
      </c>
      <c r="N11" s="54">
        <f ca="1">IFERROR(__xludf.DUMMYFUNCTION("""COMPUTED_VALUE"""),108)</f>
        <v>108</v>
      </c>
      <c r="O11" s="54">
        <f ca="1">IFERROR(__xludf.DUMMYFUNCTION("""COMPUTED_VALUE"""),5)</f>
        <v>5</v>
      </c>
      <c r="P11" s="51">
        <f t="shared" ca="1" si="4"/>
        <v>4.6296296296296294E-2</v>
      </c>
      <c r="Q11" s="54">
        <f ca="1">IFERROR(__xludf.DUMMYFUNCTION("""COMPUTED_VALUE"""),3)</f>
        <v>3</v>
      </c>
      <c r="R11" s="51">
        <f t="shared" ca="1" si="5"/>
        <v>2.7777777777777776E-2</v>
      </c>
      <c r="S11" s="53"/>
      <c r="T11" s="53"/>
      <c r="U11" s="51" t="str">
        <f t="shared" si="6"/>
        <v/>
      </c>
      <c r="V11" s="53"/>
      <c r="W11" s="51" t="str">
        <f t="shared" si="7"/>
        <v/>
      </c>
      <c r="X11" s="53"/>
      <c r="Y11" s="51" t="str">
        <f t="shared" si="8"/>
        <v/>
      </c>
      <c r="Z11" s="2"/>
      <c r="AA11" s="2"/>
      <c r="AB11" s="2"/>
      <c r="AC11" s="2"/>
      <c r="AD11" s="2"/>
      <c r="AE11" s="2"/>
    </row>
    <row r="12" spans="1:31" ht="12.75" x14ac:dyDescent="0.2">
      <c r="A12" s="53">
        <f ca="1">IFERROR(__xludf.DUMMYFUNCTION("""COMPUTED_VALUE"""),7)</f>
        <v>7</v>
      </c>
      <c r="B12" s="53" t="str">
        <f ca="1">IFERROR(__xludf.DUMMYFUNCTION("""COMPUTED_VALUE"""),"MN An Nhơn")</f>
        <v>MN An Nhơn</v>
      </c>
      <c r="C12" s="53" t="str">
        <f ca="1">IFERROR(__xludf.DUMMYFUNCTION("""COMPUTED_VALUE"""),"MN")</f>
        <v>MN</v>
      </c>
      <c r="D12" s="53" t="str">
        <f ca="1">IFERROR(__xludf.DUMMYFUNCTION("""COMPUTED_VALUE"""),"Gò Vấp")</f>
        <v>Gò Vấp</v>
      </c>
      <c r="E12" s="54">
        <f ca="1">IFERROR(__xludf.DUMMYFUNCTION("""COMPUTED_VALUE"""),31)</f>
        <v>31</v>
      </c>
      <c r="F12" s="54">
        <f ca="1">IFERROR(__xludf.DUMMYFUNCTION("""COMPUTED_VALUE"""),31)</f>
        <v>31</v>
      </c>
      <c r="G12" s="51">
        <f t="shared" ca="1" si="0"/>
        <v>1</v>
      </c>
      <c r="H12" s="54">
        <f ca="1">IFERROR(__xludf.DUMMYFUNCTION("""COMPUTED_VALUE"""),31)</f>
        <v>31</v>
      </c>
      <c r="I12" s="51">
        <f t="shared" ca="1" si="1"/>
        <v>1</v>
      </c>
      <c r="J12" s="54">
        <f ca="1">IFERROR(__xludf.DUMMYFUNCTION("""COMPUTED_VALUE"""),31)</f>
        <v>31</v>
      </c>
      <c r="K12" s="51">
        <f t="shared" ca="1" si="2"/>
        <v>1</v>
      </c>
      <c r="L12" s="54">
        <f ca="1">IFERROR(__xludf.DUMMYFUNCTION("""COMPUTED_VALUE"""),28)</f>
        <v>28</v>
      </c>
      <c r="M12" s="51">
        <f t="shared" ca="1" si="3"/>
        <v>0.90322580645161288</v>
      </c>
      <c r="N12" s="54">
        <f ca="1">IFERROR(__xludf.DUMMYFUNCTION("""COMPUTED_VALUE"""),105)</f>
        <v>105</v>
      </c>
      <c r="O12" s="54">
        <f ca="1">IFERROR(__xludf.DUMMYFUNCTION("""COMPUTED_VALUE"""),2)</f>
        <v>2</v>
      </c>
      <c r="P12" s="51">
        <f t="shared" ca="1" si="4"/>
        <v>1.9047619047619049E-2</v>
      </c>
      <c r="Q12" s="54">
        <f ca="1">IFERROR(__xludf.DUMMYFUNCTION("""COMPUTED_VALUE"""),2)</f>
        <v>2</v>
      </c>
      <c r="R12" s="51">
        <f t="shared" ca="1" si="5"/>
        <v>1.9047619047619049E-2</v>
      </c>
      <c r="S12" s="53"/>
      <c r="T12" s="53"/>
      <c r="U12" s="51" t="str">
        <f t="shared" si="6"/>
        <v/>
      </c>
      <c r="V12" s="53"/>
      <c r="W12" s="51" t="str">
        <f t="shared" si="7"/>
        <v/>
      </c>
      <c r="X12" s="53"/>
      <c r="Y12" s="51" t="str">
        <f t="shared" si="8"/>
        <v/>
      </c>
      <c r="Z12" s="2"/>
      <c r="AA12" s="2"/>
      <c r="AB12" s="2"/>
      <c r="AC12" s="2"/>
      <c r="AD12" s="2"/>
      <c r="AE12" s="2"/>
    </row>
    <row r="13" spans="1:31" ht="12.75" x14ac:dyDescent="0.2">
      <c r="A13" s="53">
        <f ca="1">IFERROR(__xludf.DUMMYFUNCTION("""COMPUTED_VALUE"""),8)</f>
        <v>8</v>
      </c>
      <c r="B13" s="53" t="str">
        <f ca="1">IFERROR(__xludf.DUMMYFUNCTION("""COMPUTED_VALUE"""),"MN Hoa Phượng Đỏ")</f>
        <v>MN Hoa Phượng Đỏ</v>
      </c>
      <c r="C13" s="53" t="str">
        <f ca="1">IFERROR(__xludf.DUMMYFUNCTION("""COMPUTED_VALUE"""),"MN")</f>
        <v>MN</v>
      </c>
      <c r="D13" s="53" t="str">
        <f ca="1">IFERROR(__xludf.DUMMYFUNCTION("""COMPUTED_VALUE"""),"Gò Vấp")</f>
        <v>Gò Vấp</v>
      </c>
      <c r="E13" s="54">
        <f ca="1">IFERROR(__xludf.DUMMYFUNCTION("""COMPUTED_VALUE"""),40)</f>
        <v>40</v>
      </c>
      <c r="F13" s="54">
        <f ca="1">IFERROR(__xludf.DUMMYFUNCTION("""COMPUTED_VALUE"""),40)</f>
        <v>40</v>
      </c>
      <c r="G13" s="51">
        <f t="shared" ca="1" si="0"/>
        <v>1</v>
      </c>
      <c r="H13" s="54">
        <f ca="1">IFERROR(__xludf.DUMMYFUNCTION("""COMPUTED_VALUE"""),40)</f>
        <v>40</v>
      </c>
      <c r="I13" s="51">
        <f t="shared" ca="1" si="1"/>
        <v>1</v>
      </c>
      <c r="J13" s="54">
        <f ca="1">IFERROR(__xludf.DUMMYFUNCTION("""COMPUTED_VALUE"""),38)</f>
        <v>38</v>
      </c>
      <c r="K13" s="51">
        <f t="shared" ca="1" si="2"/>
        <v>0.95</v>
      </c>
      <c r="L13" s="54">
        <f ca="1">IFERROR(__xludf.DUMMYFUNCTION("""COMPUTED_VALUE"""),33)</f>
        <v>33</v>
      </c>
      <c r="M13" s="51">
        <f t="shared" ca="1" si="3"/>
        <v>0.82499999999999996</v>
      </c>
      <c r="N13" s="54">
        <f ca="1">IFERROR(__xludf.DUMMYFUNCTION("""COMPUTED_VALUE"""),120)</f>
        <v>120</v>
      </c>
      <c r="O13" s="54">
        <f ca="1">IFERROR(__xludf.DUMMYFUNCTION("""COMPUTED_VALUE"""),1)</f>
        <v>1</v>
      </c>
      <c r="P13" s="51">
        <f t="shared" ca="1" si="4"/>
        <v>8.3333333333333332E-3</v>
      </c>
      <c r="Q13" s="54">
        <f ca="1">IFERROR(__xludf.DUMMYFUNCTION("""COMPUTED_VALUE"""),1)</f>
        <v>1</v>
      </c>
      <c r="R13" s="51">
        <f t="shared" ca="1" si="5"/>
        <v>8.3333333333333332E-3</v>
      </c>
      <c r="S13" s="53"/>
      <c r="T13" s="53"/>
      <c r="U13" s="51" t="str">
        <f t="shared" si="6"/>
        <v/>
      </c>
      <c r="V13" s="53"/>
      <c r="W13" s="51" t="str">
        <f t="shared" si="7"/>
        <v/>
      </c>
      <c r="X13" s="53"/>
      <c r="Y13" s="51" t="str">
        <f t="shared" si="8"/>
        <v/>
      </c>
      <c r="Z13" s="2"/>
      <c r="AA13" s="2"/>
      <c r="AB13" s="2"/>
      <c r="AC13" s="2"/>
      <c r="AD13" s="2"/>
      <c r="AE13" s="2"/>
    </row>
    <row r="14" spans="1:31" ht="12.75" x14ac:dyDescent="0.2">
      <c r="A14" s="53">
        <f ca="1">IFERROR(__xludf.DUMMYFUNCTION("""COMPUTED_VALUE"""),9)</f>
        <v>9</v>
      </c>
      <c r="B14" s="53" t="str">
        <f ca="1">IFERROR(__xludf.DUMMYFUNCTION("""COMPUTED_VALUE"""),"MN Sơn Ca")</f>
        <v>MN Sơn Ca</v>
      </c>
      <c r="C14" s="53" t="str">
        <f ca="1">IFERROR(__xludf.DUMMYFUNCTION("""COMPUTED_VALUE"""),"MN")</f>
        <v>MN</v>
      </c>
      <c r="D14" s="53" t="str">
        <f ca="1">IFERROR(__xludf.DUMMYFUNCTION("""COMPUTED_VALUE"""),"Gò Vấp")</f>
        <v>Gò Vấp</v>
      </c>
      <c r="E14" s="54">
        <f ca="1">IFERROR(__xludf.DUMMYFUNCTION("""COMPUTED_VALUE"""),35)</f>
        <v>35</v>
      </c>
      <c r="F14" s="54">
        <f ca="1">IFERROR(__xludf.DUMMYFUNCTION("""COMPUTED_VALUE"""),35)</f>
        <v>35</v>
      </c>
      <c r="G14" s="51">
        <f t="shared" ca="1" si="0"/>
        <v>1</v>
      </c>
      <c r="H14" s="54">
        <f ca="1">IFERROR(__xludf.DUMMYFUNCTION("""COMPUTED_VALUE"""),35)</f>
        <v>35</v>
      </c>
      <c r="I14" s="51">
        <f t="shared" ca="1" si="1"/>
        <v>1</v>
      </c>
      <c r="J14" s="54">
        <f ca="1">IFERROR(__xludf.DUMMYFUNCTION("""COMPUTED_VALUE"""),34)</f>
        <v>34</v>
      </c>
      <c r="K14" s="51">
        <f t="shared" ca="1" si="2"/>
        <v>0.97142857142857142</v>
      </c>
      <c r="L14" s="54">
        <f ca="1">IFERROR(__xludf.DUMMYFUNCTION("""COMPUTED_VALUE"""),32)</f>
        <v>32</v>
      </c>
      <c r="M14" s="51">
        <f t="shared" ca="1" si="3"/>
        <v>0.91428571428571426</v>
      </c>
      <c r="N14" s="54">
        <f ca="1">IFERROR(__xludf.DUMMYFUNCTION("""COMPUTED_VALUE"""),92)</f>
        <v>92</v>
      </c>
      <c r="O14" s="54">
        <f ca="1">IFERROR(__xludf.DUMMYFUNCTION("""COMPUTED_VALUE"""),4)</f>
        <v>4</v>
      </c>
      <c r="P14" s="51">
        <f t="shared" ca="1" si="4"/>
        <v>4.3478260869565216E-2</v>
      </c>
      <c r="Q14" s="54">
        <f ca="1">IFERROR(__xludf.DUMMYFUNCTION("""COMPUTED_VALUE"""),1)</f>
        <v>1</v>
      </c>
      <c r="R14" s="51">
        <f t="shared" ca="1" si="5"/>
        <v>1.0869565217391304E-2</v>
      </c>
      <c r="S14" s="53"/>
      <c r="T14" s="53"/>
      <c r="U14" s="51" t="str">
        <f t="shared" si="6"/>
        <v/>
      </c>
      <c r="V14" s="53"/>
      <c r="W14" s="51" t="str">
        <f t="shared" si="7"/>
        <v/>
      </c>
      <c r="X14" s="53"/>
      <c r="Y14" s="51" t="str">
        <f t="shared" si="8"/>
        <v/>
      </c>
      <c r="Z14" s="2"/>
      <c r="AA14" s="2"/>
      <c r="AB14" s="2"/>
      <c r="AC14" s="2"/>
      <c r="AD14" s="2"/>
      <c r="AE14" s="2"/>
    </row>
    <row r="15" spans="1:31" ht="12.75" x14ac:dyDescent="0.2">
      <c r="A15" s="53">
        <f ca="1">IFERROR(__xludf.DUMMYFUNCTION("""COMPUTED_VALUE"""),10)</f>
        <v>10</v>
      </c>
      <c r="B15" s="53" t="str">
        <f ca="1">IFERROR(__xludf.DUMMYFUNCTION("""COMPUTED_VALUE"""),"MN Vàng Anh")</f>
        <v>MN Vàng Anh</v>
      </c>
      <c r="C15" s="53" t="str">
        <f ca="1">IFERROR(__xludf.DUMMYFUNCTION("""COMPUTED_VALUE"""),"MN")</f>
        <v>MN</v>
      </c>
      <c r="D15" s="53" t="str">
        <f ca="1">IFERROR(__xludf.DUMMYFUNCTION("""COMPUTED_VALUE"""),"Gò Vấp")</f>
        <v>Gò Vấp</v>
      </c>
      <c r="E15" s="54">
        <f ca="1">IFERROR(__xludf.DUMMYFUNCTION("""COMPUTED_VALUE"""),45)</f>
        <v>45</v>
      </c>
      <c r="F15" s="54">
        <f ca="1">IFERROR(__xludf.DUMMYFUNCTION("""COMPUTED_VALUE"""),45)</f>
        <v>45</v>
      </c>
      <c r="G15" s="51">
        <f t="shared" ca="1" si="0"/>
        <v>1</v>
      </c>
      <c r="H15" s="54">
        <f ca="1">IFERROR(__xludf.DUMMYFUNCTION("""COMPUTED_VALUE"""),45)</f>
        <v>45</v>
      </c>
      <c r="I15" s="51">
        <f t="shared" ca="1" si="1"/>
        <v>1</v>
      </c>
      <c r="J15" s="54">
        <f ca="1">IFERROR(__xludf.DUMMYFUNCTION("""COMPUTED_VALUE"""),45)</f>
        <v>45</v>
      </c>
      <c r="K15" s="51">
        <f t="shared" ca="1" si="2"/>
        <v>1</v>
      </c>
      <c r="L15" s="54">
        <f ca="1">IFERROR(__xludf.DUMMYFUNCTION("""COMPUTED_VALUE"""),43)</f>
        <v>43</v>
      </c>
      <c r="M15" s="51">
        <f t="shared" ca="1" si="3"/>
        <v>0.9555555555555556</v>
      </c>
      <c r="N15" s="54">
        <f ca="1">IFERROR(__xludf.DUMMYFUNCTION("""COMPUTED_VALUE"""),142)</f>
        <v>142</v>
      </c>
      <c r="O15" s="54">
        <f ca="1">IFERROR(__xludf.DUMMYFUNCTION("""COMPUTED_VALUE"""),4)</f>
        <v>4</v>
      </c>
      <c r="P15" s="51">
        <f t="shared" ca="1" si="4"/>
        <v>2.8169014084507043E-2</v>
      </c>
      <c r="Q15" s="54">
        <f ca="1">IFERROR(__xludf.DUMMYFUNCTION("""COMPUTED_VALUE"""),3)</f>
        <v>3</v>
      </c>
      <c r="R15" s="51">
        <f t="shared" ca="1" si="5"/>
        <v>2.1126760563380281E-2</v>
      </c>
      <c r="S15" s="53"/>
      <c r="T15" s="53"/>
      <c r="U15" s="51" t="str">
        <f t="shared" si="6"/>
        <v/>
      </c>
      <c r="V15" s="53"/>
      <c r="W15" s="51" t="str">
        <f t="shared" si="7"/>
        <v/>
      </c>
      <c r="X15" s="53"/>
      <c r="Y15" s="51" t="str">
        <f t="shared" si="8"/>
        <v/>
      </c>
      <c r="Z15" s="2"/>
      <c r="AA15" s="2"/>
      <c r="AB15" s="2"/>
      <c r="AC15" s="2"/>
      <c r="AD15" s="2"/>
      <c r="AE15" s="2"/>
    </row>
    <row r="16" spans="1:31" ht="12.75" x14ac:dyDescent="0.2">
      <c r="A16" s="53">
        <f ca="1">IFERROR(__xludf.DUMMYFUNCTION("""COMPUTED_VALUE"""),11)</f>
        <v>11</v>
      </c>
      <c r="B16" s="53" t="str">
        <f ca="1">IFERROR(__xludf.DUMMYFUNCTION("""COMPUTED_VALUE"""),"MN Hương Sen")</f>
        <v>MN Hương Sen</v>
      </c>
      <c r="C16" s="53" t="str">
        <f ca="1">IFERROR(__xludf.DUMMYFUNCTION("""COMPUTED_VALUE"""),"MN")</f>
        <v>MN</v>
      </c>
      <c r="D16" s="53" t="str">
        <f ca="1">IFERROR(__xludf.DUMMYFUNCTION("""COMPUTED_VALUE"""),"Gò Vấp")</f>
        <v>Gò Vấp</v>
      </c>
      <c r="E16" s="54">
        <f ca="1">IFERROR(__xludf.DUMMYFUNCTION("""COMPUTED_VALUE"""),33)</f>
        <v>33</v>
      </c>
      <c r="F16" s="54">
        <f ca="1">IFERROR(__xludf.DUMMYFUNCTION("""COMPUTED_VALUE"""),33)</f>
        <v>33</v>
      </c>
      <c r="G16" s="51">
        <f t="shared" ca="1" si="0"/>
        <v>1</v>
      </c>
      <c r="H16" s="54">
        <f ca="1">IFERROR(__xludf.DUMMYFUNCTION("""COMPUTED_VALUE"""),33)</f>
        <v>33</v>
      </c>
      <c r="I16" s="51">
        <f t="shared" ca="1" si="1"/>
        <v>1</v>
      </c>
      <c r="J16" s="54">
        <f ca="1">IFERROR(__xludf.DUMMYFUNCTION("""COMPUTED_VALUE"""),33)</f>
        <v>33</v>
      </c>
      <c r="K16" s="51">
        <f t="shared" ca="1" si="2"/>
        <v>1</v>
      </c>
      <c r="L16" s="54">
        <f ca="1">IFERROR(__xludf.DUMMYFUNCTION("""COMPUTED_VALUE"""),33)</f>
        <v>33</v>
      </c>
      <c r="M16" s="51">
        <f t="shared" ca="1" si="3"/>
        <v>1</v>
      </c>
      <c r="N16" s="54">
        <f ca="1">IFERROR(__xludf.DUMMYFUNCTION("""COMPUTED_VALUE"""),88)</f>
        <v>88</v>
      </c>
      <c r="O16" s="54">
        <f ca="1">IFERROR(__xludf.DUMMYFUNCTION("""COMPUTED_VALUE"""),16)</f>
        <v>16</v>
      </c>
      <c r="P16" s="51">
        <f t="shared" ca="1" si="4"/>
        <v>0.18181818181818182</v>
      </c>
      <c r="Q16" s="54">
        <f ca="1">IFERROR(__xludf.DUMMYFUNCTION("""COMPUTED_VALUE"""),1)</f>
        <v>1</v>
      </c>
      <c r="R16" s="51">
        <f t="shared" ca="1" si="5"/>
        <v>1.1363636363636364E-2</v>
      </c>
      <c r="S16" s="53"/>
      <c r="T16" s="53"/>
      <c r="U16" s="51" t="str">
        <f t="shared" si="6"/>
        <v/>
      </c>
      <c r="V16" s="53"/>
      <c r="W16" s="51" t="str">
        <f t="shared" si="7"/>
        <v/>
      </c>
      <c r="X16" s="53"/>
      <c r="Y16" s="51" t="str">
        <f t="shared" si="8"/>
        <v/>
      </c>
      <c r="Z16" s="2"/>
      <c r="AA16" s="2"/>
      <c r="AB16" s="2"/>
      <c r="AC16" s="2"/>
      <c r="AD16" s="2"/>
      <c r="AE16" s="2"/>
    </row>
    <row r="17" spans="1:31" ht="12.75" x14ac:dyDescent="0.2">
      <c r="A17" s="53">
        <f ca="1">IFERROR(__xludf.DUMMYFUNCTION("""COMPUTED_VALUE"""),12)</f>
        <v>12</v>
      </c>
      <c r="B17" s="53" t="str">
        <f ca="1">IFERROR(__xludf.DUMMYFUNCTION("""COMPUTED_VALUE"""),"MN Thủy Tiên")</f>
        <v>MN Thủy Tiên</v>
      </c>
      <c r="C17" s="53" t="str">
        <f ca="1">IFERROR(__xludf.DUMMYFUNCTION("""COMPUTED_VALUE"""),"MN")</f>
        <v>MN</v>
      </c>
      <c r="D17" s="53" t="str">
        <f ca="1">IFERROR(__xludf.DUMMYFUNCTION("""COMPUTED_VALUE"""),"Gò Vấp")</f>
        <v>Gò Vấp</v>
      </c>
      <c r="E17" s="54">
        <f ca="1">IFERROR(__xludf.DUMMYFUNCTION("""COMPUTED_VALUE"""),37)</f>
        <v>37</v>
      </c>
      <c r="F17" s="54">
        <f ca="1">IFERROR(__xludf.DUMMYFUNCTION("""COMPUTED_VALUE"""),37)</f>
        <v>37</v>
      </c>
      <c r="G17" s="51">
        <f t="shared" ca="1" si="0"/>
        <v>1</v>
      </c>
      <c r="H17" s="54">
        <f ca="1">IFERROR(__xludf.DUMMYFUNCTION("""COMPUTED_VALUE"""),37)</f>
        <v>37</v>
      </c>
      <c r="I17" s="51">
        <f t="shared" ca="1" si="1"/>
        <v>1</v>
      </c>
      <c r="J17" s="54">
        <f ca="1">IFERROR(__xludf.DUMMYFUNCTION("""COMPUTED_VALUE"""),37)</f>
        <v>37</v>
      </c>
      <c r="K17" s="51">
        <f t="shared" ca="1" si="2"/>
        <v>1</v>
      </c>
      <c r="L17" s="54">
        <f ca="1">IFERROR(__xludf.DUMMYFUNCTION("""COMPUTED_VALUE"""),35)</f>
        <v>35</v>
      </c>
      <c r="M17" s="51">
        <f t="shared" ca="1" si="3"/>
        <v>0.94594594594594594</v>
      </c>
      <c r="N17" s="54">
        <f ca="1">IFERROR(__xludf.DUMMYFUNCTION("""COMPUTED_VALUE"""),108)</f>
        <v>108</v>
      </c>
      <c r="O17" s="54">
        <f ca="1">IFERROR(__xludf.DUMMYFUNCTION("""COMPUTED_VALUE"""),40)</f>
        <v>40</v>
      </c>
      <c r="P17" s="51">
        <f t="shared" ca="1" si="4"/>
        <v>0.37037037037037035</v>
      </c>
      <c r="Q17" s="54">
        <f ca="1">IFERROR(__xludf.DUMMYFUNCTION("""COMPUTED_VALUE"""),30)</f>
        <v>30</v>
      </c>
      <c r="R17" s="51">
        <f t="shared" ca="1" si="5"/>
        <v>0.27777777777777779</v>
      </c>
      <c r="S17" s="53"/>
      <c r="T17" s="53"/>
      <c r="U17" s="51" t="str">
        <f t="shared" si="6"/>
        <v/>
      </c>
      <c r="V17" s="53"/>
      <c r="W17" s="51" t="str">
        <f t="shared" si="7"/>
        <v/>
      </c>
      <c r="X17" s="53"/>
      <c r="Y17" s="51" t="str">
        <f t="shared" si="8"/>
        <v/>
      </c>
      <c r="Z17" s="2"/>
      <c r="AA17" s="2"/>
      <c r="AB17" s="2"/>
      <c r="AC17" s="2"/>
      <c r="AD17" s="2"/>
      <c r="AE17" s="2"/>
    </row>
    <row r="18" spans="1:31" ht="12.75" x14ac:dyDescent="0.2">
      <c r="A18" s="53">
        <f ca="1">IFERROR(__xludf.DUMMYFUNCTION("""COMPUTED_VALUE"""),13)</f>
        <v>13</v>
      </c>
      <c r="B18" s="53" t="str">
        <f ca="1">IFERROR(__xludf.DUMMYFUNCTION("""COMPUTED_VALUE"""),"MN Tường Vi")</f>
        <v>MN Tường Vi</v>
      </c>
      <c r="C18" s="53" t="str">
        <f ca="1">IFERROR(__xludf.DUMMYFUNCTION("""COMPUTED_VALUE"""),"MN")</f>
        <v>MN</v>
      </c>
      <c r="D18" s="53" t="str">
        <f ca="1">IFERROR(__xludf.DUMMYFUNCTION("""COMPUTED_VALUE"""),"Gò Vấp")</f>
        <v>Gò Vấp</v>
      </c>
      <c r="E18" s="54">
        <f ca="1">IFERROR(__xludf.DUMMYFUNCTION("""COMPUTED_VALUE"""),25)</f>
        <v>25</v>
      </c>
      <c r="F18" s="54">
        <f ca="1">IFERROR(__xludf.DUMMYFUNCTION("""COMPUTED_VALUE"""),25)</f>
        <v>25</v>
      </c>
      <c r="G18" s="51">
        <f t="shared" ca="1" si="0"/>
        <v>1</v>
      </c>
      <c r="H18" s="54">
        <f ca="1">IFERROR(__xludf.DUMMYFUNCTION("""COMPUTED_VALUE"""),25)</f>
        <v>25</v>
      </c>
      <c r="I18" s="51">
        <f t="shared" ca="1" si="1"/>
        <v>1</v>
      </c>
      <c r="J18" s="54">
        <f ca="1">IFERROR(__xludf.DUMMYFUNCTION("""COMPUTED_VALUE"""),25)</f>
        <v>25</v>
      </c>
      <c r="K18" s="51">
        <f t="shared" ca="1" si="2"/>
        <v>1</v>
      </c>
      <c r="L18" s="54">
        <f ca="1">IFERROR(__xludf.DUMMYFUNCTION("""COMPUTED_VALUE"""),22)</f>
        <v>22</v>
      </c>
      <c r="M18" s="51">
        <f t="shared" ca="1" si="3"/>
        <v>0.88</v>
      </c>
      <c r="N18" s="54">
        <f ca="1">IFERROR(__xludf.DUMMYFUNCTION("""COMPUTED_VALUE"""),50)</f>
        <v>50</v>
      </c>
      <c r="O18" s="54">
        <f ca="1">IFERROR(__xludf.DUMMYFUNCTION("""COMPUTED_VALUE"""),4)</f>
        <v>4</v>
      </c>
      <c r="P18" s="51">
        <f t="shared" ca="1" si="4"/>
        <v>0.08</v>
      </c>
      <c r="Q18" s="54">
        <f ca="1">IFERROR(__xludf.DUMMYFUNCTION("""COMPUTED_VALUE"""),0)</f>
        <v>0</v>
      </c>
      <c r="R18" s="51">
        <f t="shared" ca="1" si="5"/>
        <v>0</v>
      </c>
      <c r="S18" s="53"/>
      <c r="T18" s="53"/>
      <c r="U18" s="51" t="str">
        <f t="shared" si="6"/>
        <v/>
      </c>
      <c r="V18" s="53"/>
      <c r="W18" s="51" t="str">
        <f t="shared" si="7"/>
        <v/>
      </c>
      <c r="X18" s="53"/>
      <c r="Y18" s="51" t="str">
        <f t="shared" si="8"/>
        <v/>
      </c>
      <c r="Z18" s="2"/>
      <c r="AA18" s="2"/>
      <c r="AB18" s="2"/>
      <c r="AC18" s="2"/>
      <c r="AD18" s="2"/>
      <c r="AE18" s="2"/>
    </row>
    <row r="19" spans="1:31" ht="12.75" x14ac:dyDescent="0.2">
      <c r="A19" s="53">
        <f ca="1">IFERROR(__xludf.DUMMYFUNCTION("""COMPUTED_VALUE"""),14)</f>
        <v>14</v>
      </c>
      <c r="B19" s="53" t="str">
        <f ca="1">IFERROR(__xludf.DUMMYFUNCTION("""COMPUTED_VALUE"""),"MN Hạnh Thông Tây")</f>
        <v>MN Hạnh Thông Tây</v>
      </c>
      <c r="C19" s="53" t="str">
        <f ca="1">IFERROR(__xludf.DUMMYFUNCTION("""COMPUTED_VALUE"""),"MN")</f>
        <v>MN</v>
      </c>
      <c r="D19" s="53" t="str">
        <f ca="1">IFERROR(__xludf.DUMMYFUNCTION("""COMPUTED_VALUE"""),"Gò Vấp")</f>
        <v>Gò Vấp</v>
      </c>
      <c r="E19" s="54">
        <f ca="1">IFERROR(__xludf.DUMMYFUNCTION("""COMPUTED_VALUE"""),58)</f>
        <v>58</v>
      </c>
      <c r="F19" s="54">
        <f ca="1">IFERROR(__xludf.DUMMYFUNCTION("""COMPUTED_VALUE"""),58)</f>
        <v>58</v>
      </c>
      <c r="G19" s="51">
        <f t="shared" ca="1" si="0"/>
        <v>1</v>
      </c>
      <c r="H19" s="54">
        <f ca="1">IFERROR(__xludf.DUMMYFUNCTION("""COMPUTED_VALUE"""),58)</f>
        <v>58</v>
      </c>
      <c r="I19" s="51">
        <f t="shared" ca="1" si="1"/>
        <v>1</v>
      </c>
      <c r="J19" s="54">
        <f ca="1">IFERROR(__xludf.DUMMYFUNCTION("""COMPUTED_VALUE"""),57)</f>
        <v>57</v>
      </c>
      <c r="K19" s="51">
        <f t="shared" ca="1" si="2"/>
        <v>0.98275862068965514</v>
      </c>
      <c r="L19" s="54">
        <f ca="1">IFERROR(__xludf.DUMMYFUNCTION("""COMPUTED_VALUE"""),53)</f>
        <v>53</v>
      </c>
      <c r="M19" s="51">
        <f t="shared" ca="1" si="3"/>
        <v>0.91379310344827591</v>
      </c>
      <c r="N19" s="54">
        <f ca="1">IFERROR(__xludf.DUMMYFUNCTION("""COMPUTED_VALUE"""),203)</f>
        <v>203</v>
      </c>
      <c r="O19" s="54">
        <f ca="1">IFERROR(__xludf.DUMMYFUNCTION("""COMPUTED_VALUE"""),13)</f>
        <v>13</v>
      </c>
      <c r="P19" s="51">
        <f t="shared" ca="1" si="4"/>
        <v>6.4039408866995079E-2</v>
      </c>
      <c r="Q19" s="54">
        <f ca="1">IFERROR(__xludf.DUMMYFUNCTION("""COMPUTED_VALUE"""),6)</f>
        <v>6</v>
      </c>
      <c r="R19" s="51">
        <f t="shared" ca="1" si="5"/>
        <v>2.9556650246305417E-2</v>
      </c>
      <c r="S19" s="53"/>
      <c r="T19" s="53"/>
      <c r="U19" s="51" t="str">
        <f t="shared" si="6"/>
        <v/>
      </c>
      <c r="V19" s="53"/>
      <c r="W19" s="51" t="str">
        <f t="shared" si="7"/>
        <v/>
      </c>
      <c r="X19" s="53"/>
      <c r="Y19" s="51" t="str">
        <f t="shared" si="8"/>
        <v/>
      </c>
      <c r="Z19" s="2"/>
      <c r="AA19" s="2"/>
      <c r="AB19" s="2"/>
      <c r="AC19" s="2"/>
      <c r="AD19" s="2"/>
      <c r="AE19" s="2"/>
    </row>
    <row r="20" spans="1:31" ht="12.75" x14ac:dyDescent="0.2">
      <c r="A20" s="53">
        <f ca="1">IFERROR(__xludf.DUMMYFUNCTION("""COMPUTED_VALUE"""),15)</f>
        <v>15</v>
      </c>
      <c r="B20" s="53" t="str">
        <f ca="1">IFERROR(__xludf.DUMMYFUNCTION("""COMPUTED_VALUE"""),"MN Sóc Nâu")</f>
        <v>MN Sóc Nâu</v>
      </c>
      <c r="C20" s="53" t="str">
        <f ca="1">IFERROR(__xludf.DUMMYFUNCTION("""COMPUTED_VALUE"""),"MN")</f>
        <v>MN</v>
      </c>
      <c r="D20" s="53" t="str">
        <f ca="1">IFERROR(__xludf.DUMMYFUNCTION("""COMPUTED_VALUE"""),"Gò Vấp")</f>
        <v>Gò Vấp</v>
      </c>
      <c r="E20" s="54">
        <f ca="1">IFERROR(__xludf.DUMMYFUNCTION("""COMPUTED_VALUE"""),55)</f>
        <v>55</v>
      </c>
      <c r="F20" s="54">
        <f ca="1">IFERROR(__xludf.DUMMYFUNCTION("""COMPUTED_VALUE"""),55)</f>
        <v>55</v>
      </c>
      <c r="G20" s="51">
        <f t="shared" ca="1" si="0"/>
        <v>1</v>
      </c>
      <c r="H20" s="54">
        <f ca="1">IFERROR(__xludf.DUMMYFUNCTION("""COMPUTED_VALUE"""),55)</f>
        <v>55</v>
      </c>
      <c r="I20" s="51">
        <f t="shared" ca="1" si="1"/>
        <v>1</v>
      </c>
      <c r="J20" s="54">
        <f ca="1">IFERROR(__xludf.DUMMYFUNCTION("""COMPUTED_VALUE"""),55)</f>
        <v>55</v>
      </c>
      <c r="K20" s="51">
        <f t="shared" ca="1" si="2"/>
        <v>1</v>
      </c>
      <c r="L20" s="54">
        <f ca="1">IFERROR(__xludf.DUMMYFUNCTION("""COMPUTED_VALUE"""),43)</f>
        <v>43</v>
      </c>
      <c r="M20" s="51">
        <f t="shared" ca="1" si="3"/>
        <v>0.78181818181818186</v>
      </c>
      <c r="N20" s="54">
        <f ca="1">IFERROR(__xludf.DUMMYFUNCTION("""COMPUTED_VALUE"""),134)</f>
        <v>134</v>
      </c>
      <c r="O20" s="54">
        <f ca="1">IFERROR(__xludf.DUMMYFUNCTION("""COMPUTED_VALUE"""),4)</f>
        <v>4</v>
      </c>
      <c r="P20" s="51">
        <f t="shared" ca="1" si="4"/>
        <v>2.9850746268656716E-2</v>
      </c>
      <c r="Q20" s="54">
        <f ca="1">IFERROR(__xludf.DUMMYFUNCTION("""COMPUTED_VALUE"""),3)</f>
        <v>3</v>
      </c>
      <c r="R20" s="51">
        <f t="shared" ca="1" si="5"/>
        <v>2.2388059701492536E-2</v>
      </c>
      <c r="S20" s="53"/>
      <c r="T20" s="53"/>
      <c r="U20" s="51" t="str">
        <f t="shared" si="6"/>
        <v/>
      </c>
      <c r="V20" s="53"/>
      <c r="W20" s="51" t="str">
        <f t="shared" si="7"/>
        <v/>
      </c>
      <c r="X20" s="53"/>
      <c r="Y20" s="51" t="str">
        <f t="shared" si="8"/>
        <v/>
      </c>
      <c r="Z20" s="2"/>
      <c r="AA20" s="2"/>
      <c r="AB20" s="2"/>
      <c r="AC20" s="2"/>
      <c r="AD20" s="2"/>
      <c r="AE20" s="2"/>
    </row>
    <row r="21" spans="1:31" ht="12.75" x14ac:dyDescent="0.2">
      <c r="A21" s="53">
        <f ca="1">IFERROR(__xludf.DUMMYFUNCTION("""COMPUTED_VALUE"""),16)</f>
        <v>16</v>
      </c>
      <c r="B21" s="53" t="str">
        <f ca="1">IFERROR(__xludf.DUMMYFUNCTION("""COMPUTED_VALUE"""),"MN Sen Hồng")</f>
        <v>MN Sen Hồng</v>
      </c>
      <c r="C21" s="53" t="str">
        <f ca="1">IFERROR(__xludf.DUMMYFUNCTION("""COMPUTED_VALUE"""),"MN")</f>
        <v>MN</v>
      </c>
      <c r="D21" s="53" t="str">
        <f ca="1">IFERROR(__xludf.DUMMYFUNCTION("""COMPUTED_VALUE"""),"Gò Vấp")</f>
        <v>Gò Vấp</v>
      </c>
      <c r="E21" s="54">
        <f ca="1">IFERROR(__xludf.DUMMYFUNCTION("""COMPUTED_VALUE"""),30)</f>
        <v>30</v>
      </c>
      <c r="F21" s="54">
        <f ca="1">IFERROR(__xludf.DUMMYFUNCTION("""COMPUTED_VALUE"""),30)</f>
        <v>30</v>
      </c>
      <c r="G21" s="51">
        <f t="shared" ca="1" si="0"/>
        <v>1</v>
      </c>
      <c r="H21" s="54">
        <f ca="1">IFERROR(__xludf.DUMMYFUNCTION("""COMPUTED_VALUE"""),30)</f>
        <v>30</v>
      </c>
      <c r="I21" s="51">
        <f t="shared" ca="1" si="1"/>
        <v>1</v>
      </c>
      <c r="J21" s="54">
        <f ca="1">IFERROR(__xludf.DUMMYFUNCTION("""COMPUTED_VALUE"""),30)</f>
        <v>30</v>
      </c>
      <c r="K21" s="51">
        <f t="shared" ca="1" si="2"/>
        <v>1</v>
      </c>
      <c r="L21" s="54">
        <f ca="1">IFERROR(__xludf.DUMMYFUNCTION("""COMPUTED_VALUE"""),22)</f>
        <v>22</v>
      </c>
      <c r="M21" s="51">
        <f t="shared" ca="1" si="3"/>
        <v>0.73333333333333328</v>
      </c>
      <c r="N21" s="54">
        <f ca="1">IFERROR(__xludf.DUMMYFUNCTION("""COMPUTED_VALUE"""),60)</f>
        <v>60</v>
      </c>
      <c r="O21" s="54">
        <f ca="1">IFERROR(__xludf.DUMMYFUNCTION("""COMPUTED_VALUE"""),7)</f>
        <v>7</v>
      </c>
      <c r="P21" s="51">
        <f t="shared" ca="1" si="4"/>
        <v>0.11666666666666667</v>
      </c>
      <c r="Q21" s="54">
        <f ca="1">IFERROR(__xludf.DUMMYFUNCTION("""COMPUTED_VALUE"""),4)</f>
        <v>4</v>
      </c>
      <c r="R21" s="51">
        <f t="shared" ca="1" si="5"/>
        <v>6.6666666666666666E-2</v>
      </c>
      <c r="S21" s="53"/>
      <c r="T21" s="53"/>
      <c r="U21" s="51" t="str">
        <f t="shared" si="6"/>
        <v/>
      </c>
      <c r="V21" s="53"/>
      <c r="W21" s="51" t="str">
        <f t="shared" si="7"/>
        <v/>
      </c>
      <c r="X21" s="53"/>
      <c r="Y21" s="51" t="str">
        <f t="shared" si="8"/>
        <v/>
      </c>
      <c r="Z21" s="2"/>
      <c r="AA21" s="2"/>
      <c r="AB21" s="2"/>
      <c r="AC21" s="2"/>
      <c r="AD21" s="2"/>
      <c r="AE21" s="2"/>
    </row>
    <row r="22" spans="1:31" ht="12.75" x14ac:dyDescent="0.2">
      <c r="A22" s="53">
        <f ca="1">IFERROR(__xludf.DUMMYFUNCTION("""COMPUTED_VALUE"""),17)</f>
        <v>17</v>
      </c>
      <c r="B22" s="53" t="str">
        <f ca="1">IFERROR(__xludf.DUMMYFUNCTION("""COMPUTED_VALUE"""),"MN Hướng Dương")</f>
        <v>MN Hướng Dương</v>
      </c>
      <c r="C22" s="53" t="str">
        <f ca="1">IFERROR(__xludf.DUMMYFUNCTION("""COMPUTED_VALUE"""),"MN")</f>
        <v>MN</v>
      </c>
      <c r="D22" s="53" t="str">
        <f ca="1">IFERROR(__xludf.DUMMYFUNCTION("""COMPUTED_VALUE"""),"Gò Vấp")</f>
        <v>Gò Vấp</v>
      </c>
      <c r="E22" s="54">
        <f ca="1">IFERROR(__xludf.DUMMYFUNCTION("""COMPUTED_VALUE"""),41)</f>
        <v>41</v>
      </c>
      <c r="F22" s="54">
        <f ca="1">IFERROR(__xludf.DUMMYFUNCTION("""COMPUTED_VALUE"""),41)</f>
        <v>41</v>
      </c>
      <c r="G22" s="51">
        <f t="shared" ca="1" si="0"/>
        <v>1</v>
      </c>
      <c r="H22" s="54">
        <f ca="1">IFERROR(__xludf.DUMMYFUNCTION("""COMPUTED_VALUE"""),41)</f>
        <v>41</v>
      </c>
      <c r="I22" s="51">
        <f t="shared" ca="1" si="1"/>
        <v>1</v>
      </c>
      <c r="J22" s="54">
        <f ca="1">IFERROR(__xludf.DUMMYFUNCTION("""COMPUTED_VALUE"""),41)</f>
        <v>41</v>
      </c>
      <c r="K22" s="51">
        <f t="shared" ca="1" si="2"/>
        <v>1</v>
      </c>
      <c r="L22" s="54">
        <f ca="1">IFERROR(__xludf.DUMMYFUNCTION("""COMPUTED_VALUE"""),41)</f>
        <v>41</v>
      </c>
      <c r="M22" s="51">
        <f t="shared" ca="1" si="3"/>
        <v>1</v>
      </c>
      <c r="N22" s="54">
        <f ca="1">IFERROR(__xludf.DUMMYFUNCTION("""COMPUTED_VALUE"""),168)</f>
        <v>168</v>
      </c>
      <c r="O22" s="54">
        <f ca="1">IFERROR(__xludf.DUMMYFUNCTION("""COMPUTED_VALUE"""),35)</f>
        <v>35</v>
      </c>
      <c r="P22" s="51">
        <f t="shared" ca="1" si="4"/>
        <v>0.20833333333333334</v>
      </c>
      <c r="Q22" s="54">
        <f ca="1">IFERROR(__xludf.DUMMYFUNCTION("""COMPUTED_VALUE"""),33)</f>
        <v>33</v>
      </c>
      <c r="R22" s="51">
        <f t="shared" ca="1" si="5"/>
        <v>0.19642857142857142</v>
      </c>
      <c r="S22" s="53"/>
      <c r="T22" s="53"/>
      <c r="U22" s="51" t="str">
        <f t="shared" si="6"/>
        <v/>
      </c>
      <c r="V22" s="53"/>
      <c r="W22" s="51" t="str">
        <f t="shared" si="7"/>
        <v/>
      </c>
      <c r="X22" s="53"/>
      <c r="Y22" s="51" t="str">
        <f t="shared" si="8"/>
        <v/>
      </c>
      <c r="Z22" s="2"/>
      <c r="AA22" s="2"/>
      <c r="AB22" s="2"/>
      <c r="AC22" s="2"/>
      <c r="AD22" s="2"/>
      <c r="AE22" s="2"/>
    </row>
    <row r="23" spans="1:31" ht="12.75" x14ac:dyDescent="0.2">
      <c r="A23" s="53">
        <f ca="1">IFERROR(__xludf.DUMMYFUNCTION("""COMPUTED_VALUE"""),18)</f>
        <v>18</v>
      </c>
      <c r="B23" s="53" t="str">
        <f ca="1">IFERROR(__xludf.DUMMYFUNCTION("""COMPUTED_VALUE"""),"MN Hoa Sen")</f>
        <v>MN Hoa Sen</v>
      </c>
      <c r="C23" s="53" t="str">
        <f ca="1">IFERROR(__xludf.DUMMYFUNCTION("""COMPUTED_VALUE"""),"MN")</f>
        <v>MN</v>
      </c>
      <c r="D23" s="53" t="str">
        <f ca="1">IFERROR(__xludf.DUMMYFUNCTION("""COMPUTED_VALUE"""),"Gò Vấp")</f>
        <v>Gò Vấp</v>
      </c>
      <c r="E23" s="54">
        <f ca="1">IFERROR(__xludf.DUMMYFUNCTION("""COMPUTED_VALUE"""),26)</f>
        <v>26</v>
      </c>
      <c r="F23" s="54">
        <f ca="1">IFERROR(__xludf.DUMMYFUNCTION("""COMPUTED_VALUE"""),26)</f>
        <v>26</v>
      </c>
      <c r="G23" s="51">
        <f t="shared" ca="1" si="0"/>
        <v>1</v>
      </c>
      <c r="H23" s="54">
        <f ca="1">IFERROR(__xludf.DUMMYFUNCTION("""COMPUTED_VALUE"""),26)</f>
        <v>26</v>
      </c>
      <c r="I23" s="51">
        <f t="shared" ca="1" si="1"/>
        <v>1</v>
      </c>
      <c r="J23" s="54">
        <f ca="1">IFERROR(__xludf.DUMMYFUNCTION("""COMPUTED_VALUE"""),26)</f>
        <v>26</v>
      </c>
      <c r="K23" s="51">
        <f t="shared" ca="1" si="2"/>
        <v>1</v>
      </c>
      <c r="L23" s="54">
        <f ca="1">IFERROR(__xludf.DUMMYFUNCTION("""COMPUTED_VALUE"""),25)</f>
        <v>25</v>
      </c>
      <c r="M23" s="51">
        <f t="shared" ca="1" si="3"/>
        <v>0.96153846153846156</v>
      </c>
      <c r="N23" s="54">
        <f ca="1">IFERROR(__xludf.DUMMYFUNCTION("""COMPUTED_VALUE"""),68)</f>
        <v>68</v>
      </c>
      <c r="O23" s="54">
        <f ca="1">IFERROR(__xludf.DUMMYFUNCTION("""COMPUTED_VALUE"""),19)</f>
        <v>19</v>
      </c>
      <c r="P23" s="51">
        <f t="shared" ca="1" si="4"/>
        <v>0.27941176470588236</v>
      </c>
      <c r="Q23" s="54">
        <f ca="1">IFERROR(__xludf.DUMMYFUNCTION("""COMPUTED_VALUE"""),6)</f>
        <v>6</v>
      </c>
      <c r="R23" s="51">
        <f t="shared" ca="1" si="5"/>
        <v>8.8235294117647065E-2</v>
      </c>
      <c r="S23" s="53"/>
      <c r="T23" s="53"/>
      <c r="U23" s="51" t="str">
        <f t="shared" si="6"/>
        <v/>
      </c>
      <c r="V23" s="53"/>
      <c r="W23" s="51" t="str">
        <f t="shared" si="7"/>
        <v/>
      </c>
      <c r="X23" s="53"/>
      <c r="Y23" s="51" t="str">
        <f t="shared" si="8"/>
        <v/>
      </c>
      <c r="Z23" s="2"/>
      <c r="AA23" s="2"/>
      <c r="AB23" s="2"/>
      <c r="AC23" s="2"/>
      <c r="AD23" s="2"/>
      <c r="AE23" s="2"/>
    </row>
    <row r="24" spans="1:31" ht="12.75" x14ac:dyDescent="0.2">
      <c r="A24" s="53">
        <f ca="1">IFERROR(__xludf.DUMMYFUNCTION("""COMPUTED_VALUE"""),19)</f>
        <v>19</v>
      </c>
      <c r="B24" s="53" t="str">
        <f ca="1">IFERROR(__xludf.DUMMYFUNCTION("""COMPUTED_VALUE"""),"MN Hoàng Yến")</f>
        <v>MN Hoàng Yến</v>
      </c>
      <c r="C24" s="53" t="str">
        <f ca="1">IFERROR(__xludf.DUMMYFUNCTION("""COMPUTED_VALUE"""),"MN")</f>
        <v>MN</v>
      </c>
      <c r="D24" s="53" t="str">
        <f ca="1">IFERROR(__xludf.DUMMYFUNCTION("""COMPUTED_VALUE"""),"Gò Vấp")</f>
        <v>Gò Vấp</v>
      </c>
      <c r="E24" s="54">
        <f ca="1">IFERROR(__xludf.DUMMYFUNCTION("""COMPUTED_VALUE"""),39)</f>
        <v>39</v>
      </c>
      <c r="F24" s="54">
        <f ca="1">IFERROR(__xludf.DUMMYFUNCTION("""COMPUTED_VALUE"""),39)</f>
        <v>39</v>
      </c>
      <c r="G24" s="51">
        <f t="shared" ca="1" si="0"/>
        <v>1</v>
      </c>
      <c r="H24" s="54">
        <f ca="1">IFERROR(__xludf.DUMMYFUNCTION("""COMPUTED_VALUE"""),39)</f>
        <v>39</v>
      </c>
      <c r="I24" s="51">
        <f t="shared" ca="1" si="1"/>
        <v>1</v>
      </c>
      <c r="J24" s="54">
        <f ca="1">IFERROR(__xludf.DUMMYFUNCTION("""COMPUTED_VALUE"""),39)</f>
        <v>39</v>
      </c>
      <c r="K24" s="51">
        <f t="shared" ca="1" si="2"/>
        <v>1</v>
      </c>
      <c r="L24" s="54">
        <f ca="1">IFERROR(__xludf.DUMMYFUNCTION("""COMPUTED_VALUE"""),38)</f>
        <v>38</v>
      </c>
      <c r="M24" s="51">
        <f t="shared" ca="1" si="3"/>
        <v>0.97435897435897434</v>
      </c>
      <c r="N24" s="54">
        <f ca="1">IFERROR(__xludf.DUMMYFUNCTION("""COMPUTED_VALUE"""),82)</f>
        <v>82</v>
      </c>
      <c r="O24" s="54">
        <f ca="1">IFERROR(__xludf.DUMMYFUNCTION("""COMPUTED_VALUE"""),9)</f>
        <v>9</v>
      </c>
      <c r="P24" s="51">
        <f t="shared" ca="1" si="4"/>
        <v>0.10975609756097561</v>
      </c>
      <c r="Q24" s="54">
        <f ca="1">IFERROR(__xludf.DUMMYFUNCTION("""COMPUTED_VALUE"""),3)</f>
        <v>3</v>
      </c>
      <c r="R24" s="51">
        <f t="shared" ca="1" si="5"/>
        <v>3.6585365853658534E-2</v>
      </c>
      <c r="S24" s="53"/>
      <c r="T24" s="53"/>
      <c r="U24" s="51" t="str">
        <f t="shared" si="6"/>
        <v/>
      </c>
      <c r="V24" s="53"/>
      <c r="W24" s="51" t="str">
        <f t="shared" si="7"/>
        <v/>
      </c>
      <c r="X24" s="53"/>
      <c r="Y24" s="51" t="str">
        <f t="shared" si="8"/>
        <v/>
      </c>
      <c r="Z24" s="2"/>
      <c r="AA24" s="2"/>
      <c r="AB24" s="2"/>
      <c r="AC24" s="2"/>
      <c r="AD24" s="2"/>
      <c r="AE24" s="2"/>
    </row>
    <row r="25" spans="1:31" ht="12.75" x14ac:dyDescent="0.2">
      <c r="A25" s="53">
        <f ca="1">IFERROR(__xludf.DUMMYFUNCTION("""COMPUTED_VALUE"""),20)</f>
        <v>20</v>
      </c>
      <c r="B25" s="53" t="str">
        <f ca="1">IFERROR(__xludf.DUMMYFUNCTION("""COMPUTED_VALUE"""),"MN Ngọc Lan")</f>
        <v>MN Ngọc Lan</v>
      </c>
      <c r="C25" s="53" t="str">
        <f ca="1">IFERROR(__xludf.DUMMYFUNCTION("""COMPUTED_VALUE"""),"MN")</f>
        <v>MN</v>
      </c>
      <c r="D25" s="53" t="str">
        <f ca="1">IFERROR(__xludf.DUMMYFUNCTION("""COMPUTED_VALUE"""),"Gò Vấp")</f>
        <v>Gò Vấp</v>
      </c>
      <c r="E25" s="54">
        <f ca="1">IFERROR(__xludf.DUMMYFUNCTION("""COMPUTED_VALUE"""),30)</f>
        <v>30</v>
      </c>
      <c r="F25" s="54">
        <f ca="1">IFERROR(__xludf.DUMMYFUNCTION("""COMPUTED_VALUE"""),30)</f>
        <v>30</v>
      </c>
      <c r="G25" s="51">
        <f t="shared" ca="1" si="0"/>
        <v>1</v>
      </c>
      <c r="H25" s="54">
        <f ca="1">IFERROR(__xludf.DUMMYFUNCTION("""COMPUTED_VALUE"""),30)</f>
        <v>30</v>
      </c>
      <c r="I25" s="51">
        <f t="shared" ca="1" si="1"/>
        <v>1</v>
      </c>
      <c r="J25" s="54">
        <f ca="1">IFERROR(__xludf.DUMMYFUNCTION("""COMPUTED_VALUE"""),30)</f>
        <v>30</v>
      </c>
      <c r="K25" s="51">
        <f t="shared" ca="1" si="2"/>
        <v>1</v>
      </c>
      <c r="L25" s="54">
        <f ca="1">IFERROR(__xludf.DUMMYFUNCTION("""COMPUTED_VALUE"""),21)</f>
        <v>21</v>
      </c>
      <c r="M25" s="51">
        <f t="shared" ca="1" si="3"/>
        <v>0.7</v>
      </c>
      <c r="N25" s="54">
        <f ca="1">IFERROR(__xludf.DUMMYFUNCTION("""COMPUTED_VALUE"""),96)</f>
        <v>96</v>
      </c>
      <c r="O25" s="54">
        <f ca="1">IFERROR(__xludf.DUMMYFUNCTION("""COMPUTED_VALUE"""),6)</f>
        <v>6</v>
      </c>
      <c r="P25" s="51">
        <f t="shared" ca="1" si="4"/>
        <v>6.25E-2</v>
      </c>
      <c r="Q25" s="54">
        <f ca="1">IFERROR(__xludf.DUMMYFUNCTION("""COMPUTED_VALUE"""),2)</f>
        <v>2</v>
      </c>
      <c r="R25" s="51">
        <f t="shared" ca="1" si="5"/>
        <v>2.0833333333333332E-2</v>
      </c>
      <c r="S25" s="53"/>
      <c r="T25" s="53"/>
      <c r="U25" s="51" t="str">
        <f t="shared" si="6"/>
        <v/>
      </c>
      <c r="V25" s="53"/>
      <c r="W25" s="51" t="str">
        <f t="shared" si="7"/>
        <v/>
      </c>
      <c r="X25" s="53"/>
      <c r="Y25" s="51" t="str">
        <f t="shared" si="8"/>
        <v/>
      </c>
      <c r="Z25" s="2"/>
      <c r="AA25" s="2"/>
      <c r="AB25" s="2"/>
      <c r="AC25" s="2"/>
      <c r="AD25" s="2"/>
      <c r="AE25" s="2"/>
    </row>
    <row r="26" spans="1:31" ht="12.75" x14ac:dyDescent="0.2">
      <c r="A26" s="53">
        <f ca="1">IFERROR(__xludf.DUMMYFUNCTION("""COMPUTED_VALUE"""),21)</f>
        <v>21</v>
      </c>
      <c r="B26" s="53" t="str">
        <f ca="1">IFERROR(__xludf.DUMMYFUNCTION("""COMPUTED_VALUE"""),"MN Quỳnh Hương")</f>
        <v>MN Quỳnh Hương</v>
      </c>
      <c r="C26" s="53" t="str">
        <f ca="1">IFERROR(__xludf.DUMMYFUNCTION("""COMPUTED_VALUE"""),"MN")</f>
        <v>MN</v>
      </c>
      <c r="D26" s="53" t="str">
        <f ca="1">IFERROR(__xludf.DUMMYFUNCTION("""COMPUTED_VALUE"""),"Gò Vấp")</f>
        <v>Gò Vấp</v>
      </c>
      <c r="E26" s="54">
        <f ca="1">IFERROR(__xludf.DUMMYFUNCTION("""COMPUTED_VALUE"""),30)</f>
        <v>30</v>
      </c>
      <c r="F26" s="54">
        <f ca="1">IFERROR(__xludf.DUMMYFUNCTION("""COMPUTED_VALUE"""),30)</f>
        <v>30</v>
      </c>
      <c r="G26" s="51">
        <f t="shared" ca="1" si="0"/>
        <v>1</v>
      </c>
      <c r="H26" s="54">
        <f ca="1">IFERROR(__xludf.DUMMYFUNCTION("""COMPUTED_VALUE"""),30)</f>
        <v>30</v>
      </c>
      <c r="I26" s="51">
        <f t="shared" ca="1" si="1"/>
        <v>1</v>
      </c>
      <c r="J26" s="54">
        <f ca="1">IFERROR(__xludf.DUMMYFUNCTION("""COMPUTED_VALUE"""),30)</f>
        <v>30</v>
      </c>
      <c r="K26" s="51">
        <f t="shared" ca="1" si="2"/>
        <v>1</v>
      </c>
      <c r="L26" s="54">
        <f ca="1">IFERROR(__xludf.DUMMYFUNCTION("""COMPUTED_VALUE"""),29)</f>
        <v>29</v>
      </c>
      <c r="M26" s="51">
        <f t="shared" ca="1" si="3"/>
        <v>0.96666666666666667</v>
      </c>
      <c r="N26" s="54">
        <f ca="1">IFERROR(__xludf.DUMMYFUNCTION("""COMPUTED_VALUE"""),35)</f>
        <v>35</v>
      </c>
      <c r="O26" s="54">
        <f ca="1">IFERROR(__xludf.DUMMYFUNCTION("""COMPUTED_VALUE"""),27)</f>
        <v>27</v>
      </c>
      <c r="P26" s="51">
        <f t="shared" ca="1" si="4"/>
        <v>0.77142857142857146</v>
      </c>
      <c r="Q26" s="54">
        <f ca="1">IFERROR(__xludf.DUMMYFUNCTION("""COMPUTED_VALUE"""),23)</f>
        <v>23</v>
      </c>
      <c r="R26" s="51">
        <f t="shared" ca="1" si="5"/>
        <v>0.65714285714285714</v>
      </c>
      <c r="S26" s="53"/>
      <c r="T26" s="53"/>
      <c r="U26" s="51" t="str">
        <f t="shared" si="6"/>
        <v/>
      </c>
      <c r="V26" s="53"/>
      <c r="W26" s="51" t="str">
        <f t="shared" si="7"/>
        <v/>
      </c>
      <c r="X26" s="53"/>
      <c r="Y26" s="51" t="str">
        <f t="shared" si="8"/>
        <v/>
      </c>
      <c r="Z26" s="2"/>
      <c r="AA26" s="2"/>
      <c r="AB26" s="2"/>
      <c r="AC26" s="2"/>
      <c r="AD26" s="2"/>
      <c r="AE26" s="2"/>
    </row>
    <row r="27" spans="1:31" ht="12.75" x14ac:dyDescent="0.2">
      <c r="A27" s="53">
        <f ca="1">IFERROR(__xludf.DUMMYFUNCTION("""COMPUTED_VALUE"""),22)</f>
        <v>22</v>
      </c>
      <c r="B27" s="53" t="str">
        <f ca="1">IFERROR(__xludf.DUMMYFUNCTION("""COMPUTED_VALUE"""),"MN Anh Đào")</f>
        <v>MN Anh Đào</v>
      </c>
      <c r="C27" s="53" t="str">
        <f ca="1">IFERROR(__xludf.DUMMYFUNCTION("""COMPUTED_VALUE"""),"MN")</f>
        <v>MN</v>
      </c>
      <c r="D27" s="53" t="str">
        <f ca="1">IFERROR(__xludf.DUMMYFUNCTION("""COMPUTED_VALUE"""),"Gò Vấp")</f>
        <v>Gò Vấp</v>
      </c>
      <c r="E27" s="54">
        <f ca="1">IFERROR(__xludf.DUMMYFUNCTION("""COMPUTED_VALUE"""),66)</f>
        <v>66</v>
      </c>
      <c r="F27" s="54">
        <f ca="1">IFERROR(__xludf.DUMMYFUNCTION("""COMPUTED_VALUE"""),66)</f>
        <v>66</v>
      </c>
      <c r="G27" s="51">
        <f t="shared" ca="1" si="0"/>
        <v>1</v>
      </c>
      <c r="H27" s="54">
        <f ca="1">IFERROR(__xludf.DUMMYFUNCTION("""COMPUTED_VALUE"""),66)</f>
        <v>66</v>
      </c>
      <c r="I27" s="51">
        <f t="shared" ca="1" si="1"/>
        <v>1</v>
      </c>
      <c r="J27" s="54">
        <f ca="1">IFERROR(__xludf.DUMMYFUNCTION("""COMPUTED_VALUE"""),66)</f>
        <v>66</v>
      </c>
      <c r="K27" s="51">
        <f t="shared" ca="1" si="2"/>
        <v>1</v>
      </c>
      <c r="L27" s="54">
        <f ca="1">IFERROR(__xludf.DUMMYFUNCTION("""COMPUTED_VALUE"""),61)</f>
        <v>61</v>
      </c>
      <c r="M27" s="51">
        <f t="shared" ca="1" si="3"/>
        <v>0.9242424242424242</v>
      </c>
      <c r="N27" s="54">
        <f ca="1">IFERROR(__xludf.DUMMYFUNCTION("""COMPUTED_VALUE"""),149)</f>
        <v>149</v>
      </c>
      <c r="O27" s="54">
        <f ca="1">IFERROR(__xludf.DUMMYFUNCTION("""COMPUTED_VALUE"""),16)</f>
        <v>16</v>
      </c>
      <c r="P27" s="51">
        <f t="shared" ca="1" si="4"/>
        <v>0.10738255033557047</v>
      </c>
      <c r="Q27" s="54">
        <f ca="1">IFERROR(__xludf.DUMMYFUNCTION("""COMPUTED_VALUE"""),5)</f>
        <v>5</v>
      </c>
      <c r="R27" s="51">
        <f t="shared" ca="1" si="5"/>
        <v>3.3557046979865772E-2</v>
      </c>
      <c r="S27" s="53"/>
      <c r="T27" s="53"/>
      <c r="U27" s="51" t="str">
        <f t="shared" si="6"/>
        <v/>
      </c>
      <c r="V27" s="53"/>
      <c r="W27" s="51" t="str">
        <f t="shared" si="7"/>
        <v/>
      </c>
      <c r="X27" s="53"/>
      <c r="Y27" s="51" t="str">
        <f t="shared" si="8"/>
        <v/>
      </c>
      <c r="Z27" s="2"/>
      <c r="AA27" s="2"/>
      <c r="AB27" s="2"/>
      <c r="AC27" s="2"/>
      <c r="AD27" s="2"/>
      <c r="AE27" s="2"/>
    </row>
    <row r="28" spans="1:31" ht="12.75" x14ac:dyDescent="0.2">
      <c r="A28" s="53">
        <f ca="1">IFERROR(__xludf.DUMMYFUNCTION("""COMPUTED_VALUE"""),23)</f>
        <v>23</v>
      </c>
      <c r="B28" s="53" t="str">
        <f ca="1">IFERROR(__xludf.DUMMYFUNCTION("""COMPUTED_VALUE"""),"MN Nguyên Hồng")</f>
        <v>MN Nguyên Hồng</v>
      </c>
      <c r="C28" s="53" t="str">
        <f ca="1">IFERROR(__xludf.DUMMYFUNCTION("""COMPUTED_VALUE"""),"MN")</f>
        <v>MN</v>
      </c>
      <c r="D28" s="53" t="str">
        <f ca="1">IFERROR(__xludf.DUMMYFUNCTION("""COMPUTED_VALUE"""),"Gò Vấp")</f>
        <v>Gò Vấp</v>
      </c>
      <c r="E28" s="54">
        <f ca="1">IFERROR(__xludf.DUMMYFUNCTION("""COMPUTED_VALUE"""),15)</f>
        <v>15</v>
      </c>
      <c r="F28" s="54">
        <f ca="1">IFERROR(__xludf.DUMMYFUNCTION("""COMPUTED_VALUE"""),15)</f>
        <v>15</v>
      </c>
      <c r="G28" s="51">
        <f t="shared" ca="1" si="0"/>
        <v>1</v>
      </c>
      <c r="H28" s="54">
        <f ca="1">IFERROR(__xludf.DUMMYFUNCTION("""COMPUTED_VALUE"""),15)</f>
        <v>15</v>
      </c>
      <c r="I28" s="51">
        <f t="shared" ca="1" si="1"/>
        <v>1</v>
      </c>
      <c r="J28" s="54">
        <f ca="1">IFERROR(__xludf.DUMMYFUNCTION("""COMPUTED_VALUE"""),15)</f>
        <v>15</v>
      </c>
      <c r="K28" s="51">
        <f t="shared" ca="1" si="2"/>
        <v>1</v>
      </c>
      <c r="L28" s="54">
        <f ca="1">IFERROR(__xludf.DUMMYFUNCTION("""COMPUTED_VALUE"""),2)</f>
        <v>2</v>
      </c>
      <c r="M28" s="51">
        <f t="shared" ca="1" si="3"/>
        <v>0.13333333333333333</v>
      </c>
      <c r="N28" s="54">
        <f ca="1">IFERROR(__xludf.DUMMYFUNCTION("""COMPUTED_VALUE"""),5)</f>
        <v>5</v>
      </c>
      <c r="O28" s="54">
        <f ca="1">IFERROR(__xludf.DUMMYFUNCTION("""COMPUTED_VALUE"""),5)</f>
        <v>5</v>
      </c>
      <c r="P28" s="51">
        <f t="shared" ca="1" si="4"/>
        <v>1</v>
      </c>
      <c r="Q28" s="54">
        <f ca="1">IFERROR(__xludf.DUMMYFUNCTION("""COMPUTED_VALUE"""),2)</f>
        <v>2</v>
      </c>
      <c r="R28" s="51">
        <f t="shared" ca="1" si="5"/>
        <v>0.4</v>
      </c>
      <c r="S28" s="53"/>
      <c r="T28" s="53"/>
      <c r="U28" s="51" t="str">
        <f t="shared" si="6"/>
        <v/>
      </c>
      <c r="V28" s="53"/>
      <c r="W28" s="51" t="str">
        <f t="shared" si="7"/>
        <v/>
      </c>
      <c r="X28" s="53"/>
      <c r="Y28" s="51" t="str">
        <f t="shared" si="8"/>
        <v/>
      </c>
      <c r="Z28" s="2"/>
      <c r="AA28" s="2"/>
      <c r="AB28" s="2"/>
      <c r="AC28" s="2"/>
      <c r="AD28" s="2"/>
      <c r="AE28" s="2"/>
    </row>
    <row r="29" spans="1:31" ht="12.75" x14ac:dyDescent="0.2">
      <c r="A29" s="53">
        <f ca="1">IFERROR(__xludf.DUMMYFUNCTION("""COMPUTED_VALUE"""),24)</f>
        <v>24</v>
      </c>
      <c r="B29" s="53" t="str">
        <f ca="1">IFERROR(__xludf.DUMMYFUNCTION("""COMPUTED_VALUE"""),"MN Khiết Tâm")</f>
        <v>MN Khiết Tâm</v>
      </c>
      <c r="C29" s="53" t="str">
        <f ca="1">IFERROR(__xludf.DUMMYFUNCTION("""COMPUTED_VALUE"""),"MN")</f>
        <v>MN</v>
      </c>
      <c r="D29" s="53" t="str">
        <f ca="1">IFERROR(__xludf.DUMMYFUNCTION("""COMPUTED_VALUE"""),"Gò Vấp")</f>
        <v>Gò Vấp</v>
      </c>
      <c r="E29" s="54">
        <f ca="1">IFERROR(__xludf.DUMMYFUNCTION("""COMPUTED_VALUE"""),41)</f>
        <v>41</v>
      </c>
      <c r="F29" s="54">
        <f ca="1">IFERROR(__xludf.DUMMYFUNCTION("""COMPUTED_VALUE"""),41)</f>
        <v>41</v>
      </c>
      <c r="G29" s="51">
        <f t="shared" ca="1" si="0"/>
        <v>1</v>
      </c>
      <c r="H29" s="54">
        <f ca="1">IFERROR(__xludf.DUMMYFUNCTION("""COMPUTED_VALUE"""),41)</f>
        <v>41</v>
      </c>
      <c r="I29" s="51">
        <f t="shared" ca="1" si="1"/>
        <v>1</v>
      </c>
      <c r="J29" s="54">
        <f ca="1">IFERROR(__xludf.DUMMYFUNCTION("""COMPUTED_VALUE"""),41)</f>
        <v>41</v>
      </c>
      <c r="K29" s="51">
        <f t="shared" ca="1" si="2"/>
        <v>1</v>
      </c>
      <c r="L29" s="54">
        <f ca="1">IFERROR(__xludf.DUMMYFUNCTION("""COMPUTED_VALUE"""),4)</f>
        <v>4</v>
      </c>
      <c r="M29" s="51">
        <f t="shared" ca="1" si="3"/>
        <v>9.7560975609756101E-2</v>
      </c>
      <c r="N29" s="54">
        <f ca="1">IFERROR(__xludf.DUMMYFUNCTION("""COMPUTED_VALUE"""),98)</f>
        <v>98</v>
      </c>
      <c r="O29" s="54">
        <f ca="1">IFERROR(__xludf.DUMMYFUNCTION("""COMPUTED_VALUE"""),8)</f>
        <v>8</v>
      </c>
      <c r="P29" s="51">
        <f t="shared" ca="1" si="4"/>
        <v>8.1632653061224483E-2</v>
      </c>
      <c r="Q29" s="54">
        <f ca="1">IFERROR(__xludf.DUMMYFUNCTION("""COMPUTED_VALUE"""),3)</f>
        <v>3</v>
      </c>
      <c r="R29" s="51">
        <f t="shared" ca="1" si="5"/>
        <v>3.0612244897959183E-2</v>
      </c>
      <c r="S29" s="53"/>
      <c r="T29" s="53"/>
      <c r="U29" s="51" t="str">
        <f t="shared" si="6"/>
        <v/>
      </c>
      <c r="V29" s="53"/>
      <c r="W29" s="51" t="str">
        <f t="shared" si="7"/>
        <v/>
      </c>
      <c r="X29" s="53"/>
      <c r="Y29" s="51" t="str">
        <f t="shared" si="8"/>
        <v/>
      </c>
      <c r="Z29" s="2"/>
      <c r="AA29" s="2"/>
      <c r="AB29" s="2"/>
      <c r="AC29" s="2"/>
      <c r="AD29" s="2"/>
      <c r="AE29" s="2"/>
    </row>
    <row r="30" spans="1:31" ht="12.75" x14ac:dyDescent="0.2">
      <c r="A30" s="53">
        <f ca="1">IFERROR(__xludf.DUMMYFUNCTION("""COMPUTED_VALUE"""),25)</f>
        <v>25</v>
      </c>
      <c r="B30" s="53" t="str">
        <f ca="1">IFERROR(__xludf.DUMMYFUNCTION("""COMPUTED_VALUE"""),"MN Sao Mai")</f>
        <v>MN Sao Mai</v>
      </c>
      <c r="C30" s="53" t="str">
        <f ca="1">IFERROR(__xludf.DUMMYFUNCTION("""COMPUTED_VALUE"""),"MN")</f>
        <v>MN</v>
      </c>
      <c r="D30" s="53" t="str">
        <f ca="1">IFERROR(__xludf.DUMMYFUNCTION("""COMPUTED_VALUE"""),"Gò Vấp")</f>
        <v>Gò Vấp</v>
      </c>
      <c r="E30" s="54">
        <f ca="1">IFERROR(__xludf.DUMMYFUNCTION("""COMPUTED_VALUE"""),10)</f>
        <v>10</v>
      </c>
      <c r="F30" s="54">
        <f ca="1">IFERROR(__xludf.DUMMYFUNCTION("""COMPUTED_VALUE"""),10)</f>
        <v>10</v>
      </c>
      <c r="G30" s="51">
        <f t="shared" ca="1" si="0"/>
        <v>1</v>
      </c>
      <c r="H30" s="54">
        <f ca="1">IFERROR(__xludf.DUMMYFUNCTION("""COMPUTED_VALUE"""),10)</f>
        <v>10</v>
      </c>
      <c r="I30" s="51">
        <f t="shared" ca="1" si="1"/>
        <v>1</v>
      </c>
      <c r="J30" s="54">
        <f ca="1">IFERROR(__xludf.DUMMYFUNCTION("""COMPUTED_VALUE"""),10)</f>
        <v>10</v>
      </c>
      <c r="K30" s="51">
        <f t="shared" ca="1" si="2"/>
        <v>1</v>
      </c>
      <c r="L30" s="54">
        <f ca="1">IFERROR(__xludf.DUMMYFUNCTION("""COMPUTED_VALUE"""),2)</f>
        <v>2</v>
      </c>
      <c r="M30" s="51">
        <f t="shared" ca="1" si="3"/>
        <v>0.2</v>
      </c>
      <c r="N30" s="54">
        <f ca="1">IFERROR(__xludf.DUMMYFUNCTION("""COMPUTED_VALUE"""),29)</f>
        <v>29</v>
      </c>
      <c r="O30" s="54">
        <f ca="1">IFERROR(__xludf.DUMMYFUNCTION("""COMPUTED_VALUE"""),4)</f>
        <v>4</v>
      </c>
      <c r="P30" s="51">
        <f t="shared" ca="1" si="4"/>
        <v>0.13793103448275862</v>
      </c>
      <c r="Q30" s="54">
        <f ca="1">IFERROR(__xludf.DUMMYFUNCTION("""COMPUTED_VALUE"""),2)</f>
        <v>2</v>
      </c>
      <c r="R30" s="51">
        <f t="shared" ca="1" si="5"/>
        <v>6.8965517241379309E-2</v>
      </c>
      <c r="S30" s="53"/>
      <c r="T30" s="53"/>
      <c r="U30" s="51" t="str">
        <f t="shared" si="6"/>
        <v/>
      </c>
      <c r="V30" s="53"/>
      <c r="W30" s="51" t="str">
        <f t="shared" si="7"/>
        <v/>
      </c>
      <c r="X30" s="53"/>
      <c r="Y30" s="51" t="str">
        <f t="shared" si="8"/>
        <v/>
      </c>
      <c r="Z30" s="2"/>
      <c r="AA30" s="2"/>
      <c r="AB30" s="2"/>
      <c r="AC30" s="2"/>
      <c r="AD30" s="2"/>
      <c r="AE30" s="2"/>
    </row>
    <row r="31" spans="1:31" ht="12.75" x14ac:dyDescent="0.2">
      <c r="A31" s="53">
        <f ca="1">IFERROR(__xludf.DUMMYFUNCTION("""COMPUTED_VALUE"""),26)</f>
        <v>26</v>
      </c>
      <c r="B31" s="53" t="str">
        <f ca="1">IFERROR(__xludf.DUMMYFUNCTION("""COMPUTED_VALUE"""),"MN Thế Giới Trẻ Em")</f>
        <v>MN Thế Giới Trẻ Em</v>
      </c>
      <c r="C31" s="53" t="str">
        <f ca="1">IFERROR(__xludf.DUMMYFUNCTION("""COMPUTED_VALUE"""),"MN")</f>
        <v>MN</v>
      </c>
      <c r="D31" s="53" t="str">
        <f ca="1">IFERROR(__xludf.DUMMYFUNCTION("""COMPUTED_VALUE"""),"Gò Vấp")</f>
        <v>Gò Vấp</v>
      </c>
      <c r="E31" s="54">
        <f ca="1">IFERROR(__xludf.DUMMYFUNCTION("""COMPUTED_VALUE"""),29)</f>
        <v>29</v>
      </c>
      <c r="F31" s="54">
        <f ca="1">IFERROR(__xludf.DUMMYFUNCTION("""COMPUTED_VALUE"""),29)</f>
        <v>29</v>
      </c>
      <c r="G31" s="51">
        <f t="shared" ca="1" si="0"/>
        <v>1</v>
      </c>
      <c r="H31" s="54">
        <f ca="1">IFERROR(__xludf.DUMMYFUNCTION("""COMPUTED_VALUE"""),29)</f>
        <v>29</v>
      </c>
      <c r="I31" s="51">
        <f t="shared" ca="1" si="1"/>
        <v>1</v>
      </c>
      <c r="J31" s="54">
        <f ca="1">IFERROR(__xludf.DUMMYFUNCTION("""COMPUTED_VALUE"""),29)</f>
        <v>29</v>
      </c>
      <c r="K31" s="51">
        <f t="shared" ca="1" si="2"/>
        <v>1</v>
      </c>
      <c r="L31" s="54">
        <f ca="1">IFERROR(__xludf.DUMMYFUNCTION("""COMPUTED_VALUE"""),3)</f>
        <v>3</v>
      </c>
      <c r="M31" s="51">
        <f t="shared" ca="1" si="3"/>
        <v>0.10344827586206896</v>
      </c>
      <c r="N31" s="54">
        <f ca="1">IFERROR(__xludf.DUMMYFUNCTION("""COMPUTED_VALUE"""),10)</f>
        <v>10</v>
      </c>
      <c r="O31" s="54">
        <f ca="1">IFERROR(__xludf.DUMMYFUNCTION("""COMPUTED_VALUE"""),3)</f>
        <v>3</v>
      </c>
      <c r="P31" s="51">
        <f t="shared" ca="1" si="4"/>
        <v>0.3</v>
      </c>
      <c r="Q31" s="54">
        <f ca="1">IFERROR(__xludf.DUMMYFUNCTION("""COMPUTED_VALUE"""),3)</f>
        <v>3</v>
      </c>
      <c r="R31" s="51">
        <f t="shared" ca="1" si="5"/>
        <v>0.3</v>
      </c>
      <c r="S31" s="53"/>
      <c r="T31" s="53"/>
      <c r="U31" s="51" t="str">
        <f t="shared" si="6"/>
        <v/>
      </c>
      <c r="V31" s="53"/>
      <c r="W31" s="51" t="str">
        <f t="shared" si="7"/>
        <v/>
      </c>
      <c r="X31" s="53"/>
      <c r="Y31" s="51" t="str">
        <f t="shared" si="8"/>
        <v/>
      </c>
      <c r="Z31" s="2"/>
      <c r="AA31" s="2"/>
      <c r="AB31" s="2"/>
      <c r="AC31" s="2"/>
      <c r="AD31" s="2"/>
      <c r="AE31" s="2"/>
    </row>
    <row r="32" spans="1:31" ht="12.75" x14ac:dyDescent="0.2">
      <c r="A32" s="53">
        <f ca="1">IFERROR(__xludf.DUMMYFUNCTION("""COMPUTED_VALUE"""),27)</f>
        <v>27</v>
      </c>
      <c r="B32" s="53" t="str">
        <f ca="1">IFERROR(__xludf.DUMMYFUNCTION("""COMPUTED_VALUE"""),"MN Việt Úc")</f>
        <v>MN Việt Úc</v>
      </c>
      <c r="C32" s="53" t="str">
        <f ca="1">IFERROR(__xludf.DUMMYFUNCTION("""COMPUTED_VALUE"""),"MN")</f>
        <v>MN</v>
      </c>
      <c r="D32" s="53" t="str">
        <f ca="1">IFERROR(__xludf.DUMMYFUNCTION("""COMPUTED_VALUE"""),"Gò Vấp")</f>
        <v>Gò Vấp</v>
      </c>
      <c r="E32" s="54">
        <f ca="1">IFERROR(__xludf.DUMMYFUNCTION("""COMPUTED_VALUE"""),25)</f>
        <v>25</v>
      </c>
      <c r="F32" s="54">
        <f ca="1">IFERROR(__xludf.DUMMYFUNCTION("""COMPUTED_VALUE"""),25)</f>
        <v>25</v>
      </c>
      <c r="G32" s="51">
        <f t="shared" ca="1" si="0"/>
        <v>1</v>
      </c>
      <c r="H32" s="54">
        <f ca="1">IFERROR(__xludf.DUMMYFUNCTION("""COMPUTED_VALUE"""),25)</f>
        <v>25</v>
      </c>
      <c r="I32" s="51">
        <f t="shared" ca="1" si="1"/>
        <v>1</v>
      </c>
      <c r="J32" s="54">
        <f ca="1">IFERROR(__xludf.DUMMYFUNCTION("""COMPUTED_VALUE"""),25)</f>
        <v>25</v>
      </c>
      <c r="K32" s="51">
        <f t="shared" ca="1" si="2"/>
        <v>1</v>
      </c>
      <c r="L32" s="54">
        <f ca="1">IFERROR(__xludf.DUMMYFUNCTION("""COMPUTED_VALUE"""),5)</f>
        <v>5</v>
      </c>
      <c r="M32" s="51">
        <f t="shared" ca="1" si="3"/>
        <v>0.2</v>
      </c>
      <c r="N32" s="54">
        <f ca="1">IFERROR(__xludf.DUMMYFUNCTION("""COMPUTED_VALUE"""),80)</f>
        <v>80</v>
      </c>
      <c r="O32" s="54">
        <f ca="1">IFERROR(__xludf.DUMMYFUNCTION("""COMPUTED_VALUE"""),2)</f>
        <v>2</v>
      </c>
      <c r="P32" s="51">
        <f t="shared" ca="1" si="4"/>
        <v>2.5000000000000001E-2</v>
      </c>
      <c r="Q32" s="54">
        <f ca="1">IFERROR(__xludf.DUMMYFUNCTION("""COMPUTED_VALUE"""),0)</f>
        <v>0</v>
      </c>
      <c r="R32" s="51">
        <f t="shared" ca="1" si="5"/>
        <v>0</v>
      </c>
      <c r="S32" s="53"/>
      <c r="T32" s="53"/>
      <c r="U32" s="51" t="str">
        <f t="shared" si="6"/>
        <v/>
      </c>
      <c r="V32" s="53"/>
      <c r="W32" s="51" t="str">
        <f t="shared" si="7"/>
        <v/>
      </c>
      <c r="X32" s="53"/>
      <c r="Y32" s="51" t="str">
        <f t="shared" si="8"/>
        <v/>
      </c>
      <c r="Z32" s="2"/>
      <c r="AA32" s="2"/>
      <c r="AB32" s="2"/>
      <c r="AC32" s="2"/>
      <c r="AD32" s="2"/>
      <c r="AE32" s="2"/>
    </row>
    <row r="33" spans="1:31" ht="12.75" x14ac:dyDescent="0.2">
      <c r="A33" s="53">
        <f ca="1">IFERROR(__xludf.DUMMYFUNCTION("""COMPUTED_VALUE"""),28)</f>
        <v>28</v>
      </c>
      <c r="B33" s="53" t="str">
        <f ca="1">IFERROR(__xludf.DUMMYFUNCTION("""COMPUTED_VALUE"""),"MN Bầu Trời Xanh")</f>
        <v>MN Bầu Trời Xanh</v>
      </c>
      <c r="C33" s="53" t="str">
        <f ca="1">IFERROR(__xludf.DUMMYFUNCTION("""COMPUTED_VALUE"""),"MN")</f>
        <v>MN</v>
      </c>
      <c r="D33" s="53" t="str">
        <f ca="1">IFERROR(__xludf.DUMMYFUNCTION("""COMPUTED_VALUE"""),"Gò Vấp")</f>
        <v>Gò Vấp</v>
      </c>
      <c r="E33" s="54">
        <f ca="1">IFERROR(__xludf.DUMMYFUNCTION("""COMPUTED_VALUE"""),38)</f>
        <v>38</v>
      </c>
      <c r="F33" s="54">
        <f ca="1">IFERROR(__xludf.DUMMYFUNCTION("""COMPUTED_VALUE"""),38)</f>
        <v>38</v>
      </c>
      <c r="G33" s="51">
        <f t="shared" ca="1" si="0"/>
        <v>1</v>
      </c>
      <c r="H33" s="54">
        <f ca="1">IFERROR(__xludf.DUMMYFUNCTION("""COMPUTED_VALUE"""),38)</f>
        <v>38</v>
      </c>
      <c r="I33" s="51">
        <f t="shared" ca="1" si="1"/>
        <v>1</v>
      </c>
      <c r="J33" s="54">
        <f ca="1">IFERROR(__xludf.DUMMYFUNCTION("""COMPUTED_VALUE"""),38)</f>
        <v>38</v>
      </c>
      <c r="K33" s="51">
        <f t="shared" ca="1" si="2"/>
        <v>1</v>
      </c>
      <c r="L33" s="54">
        <f ca="1">IFERROR(__xludf.DUMMYFUNCTION("""COMPUTED_VALUE"""),0)</f>
        <v>0</v>
      </c>
      <c r="M33" s="51">
        <f t="shared" ca="1" si="3"/>
        <v>0</v>
      </c>
      <c r="N33" s="54">
        <f ca="1">IFERROR(__xludf.DUMMYFUNCTION("""COMPUTED_VALUE"""),57)</f>
        <v>57</v>
      </c>
      <c r="O33" s="54">
        <f ca="1">IFERROR(__xludf.DUMMYFUNCTION("""COMPUTED_VALUE"""),9)</f>
        <v>9</v>
      </c>
      <c r="P33" s="51">
        <f t="shared" ca="1" si="4"/>
        <v>0.15789473684210525</v>
      </c>
      <c r="Q33" s="54">
        <f ca="1">IFERROR(__xludf.DUMMYFUNCTION("""COMPUTED_VALUE"""),6)</f>
        <v>6</v>
      </c>
      <c r="R33" s="51">
        <f t="shared" ca="1" si="5"/>
        <v>0.10526315789473684</v>
      </c>
      <c r="S33" s="53"/>
      <c r="T33" s="53"/>
      <c r="U33" s="51" t="str">
        <f t="shared" si="6"/>
        <v/>
      </c>
      <c r="V33" s="53"/>
      <c r="W33" s="51" t="str">
        <f t="shared" si="7"/>
        <v/>
      </c>
      <c r="X33" s="53"/>
      <c r="Y33" s="51" t="str">
        <f t="shared" si="8"/>
        <v/>
      </c>
      <c r="Z33" s="2"/>
      <c r="AA33" s="2"/>
      <c r="AB33" s="2"/>
      <c r="AC33" s="2"/>
      <c r="AD33" s="2"/>
      <c r="AE33" s="2"/>
    </row>
    <row r="34" spans="1:31" ht="12.75" x14ac:dyDescent="0.2">
      <c r="A34" s="53">
        <f ca="1">IFERROR(__xludf.DUMMYFUNCTION("""COMPUTED_VALUE"""),29)</f>
        <v>29</v>
      </c>
      <c r="B34" s="53" t="str">
        <f ca="1">IFERROR(__xludf.DUMMYFUNCTION("""COMPUTED_VALUE"""),"MN Thế Giới Trẻ Em")</f>
        <v>MN Thế Giới Trẻ Em</v>
      </c>
      <c r="C34" s="53" t="str">
        <f ca="1">IFERROR(__xludf.DUMMYFUNCTION("""COMPUTED_VALUE"""),"MN")</f>
        <v>MN</v>
      </c>
      <c r="D34" s="53" t="str">
        <f ca="1">IFERROR(__xludf.DUMMYFUNCTION("""COMPUTED_VALUE"""),"Gò Vấp")</f>
        <v>Gò Vấp</v>
      </c>
      <c r="E34" s="54">
        <f ca="1">IFERROR(__xludf.DUMMYFUNCTION("""COMPUTED_VALUE"""),29)</f>
        <v>29</v>
      </c>
      <c r="F34" s="54">
        <f ca="1">IFERROR(__xludf.DUMMYFUNCTION("""COMPUTED_VALUE"""),29)</f>
        <v>29</v>
      </c>
      <c r="G34" s="51">
        <f t="shared" ca="1" si="0"/>
        <v>1</v>
      </c>
      <c r="H34" s="54">
        <f ca="1">IFERROR(__xludf.DUMMYFUNCTION("""COMPUTED_VALUE"""),29)</f>
        <v>29</v>
      </c>
      <c r="I34" s="51">
        <f t="shared" ca="1" si="1"/>
        <v>1</v>
      </c>
      <c r="J34" s="54">
        <f ca="1">IFERROR(__xludf.DUMMYFUNCTION("""COMPUTED_VALUE"""),26)</f>
        <v>26</v>
      </c>
      <c r="K34" s="51">
        <f t="shared" ca="1" si="2"/>
        <v>0.89655172413793105</v>
      </c>
      <c r="L34" s="54">
        <f ca="1">IFERROR(__xludf.DUMMYFUNCTION("""COMPUTED_VALUE"""),3)</f>
        <v>3</v>
      </c>
      <c r="M34" s="51">
        <f t="shared" ca="1" si="3"/>
        <v>0.10344827586206896</v>
      </c>
      <c r="N34" s="54">
        <f ca="1">IFERROR(__xludf.DUMMYFUNCTION("""COMPUTED_VALUE"""),10)</f>
        <v>10</v>
      </c>
      <c r="O34" s="54">
        <f ca="1">IFERROR(__xludf.DUMMYFUNCTION("""COMPUTED_VALUE"""),3)</f>
        <v>3</v>
      </c>
      <c r="P34" s="51">
        <f t="shared" ca="1" si="4"/>
        <v>0.3</v>
      </c>
      <c r="Q34" s="54">
        <f ca="1">IFERROR(__xludf.DUMMYFUNCTION("""COMPUTED_VALUE"""),3)</f>
        <v>3</v>
      </c>
      <c r="R34" s="51">
        <f t="shared" ca="1" si="5"/>
        <v>0.3</v>
      </c>
      <c r="S34" s="53"/>
      <c r="T34" s="53"/>
      <c r="U34" s="51" t="str">
        <f t="shared" si="6"/>
        <v/>
      </c>
      <c r="V34" s="53"/>
      <c r="W34" s="51" t="str">
        <f t="shared" si="7"/>
        <v/>
      </c>
      <c r="X34" s="53"/>
      <c r="Y34" s="51" t="str">
        <f t="shared" si="8"/>
        <v/>
      </c>
      <c r="Z34" s="2"/>
      <c r="AA34" s="2"/>
      <c r="AB34" s="2"/>
      <c r="AC34" s="2"/>
      <c r="AD34" s="2"/>
      <c r="AE34" s="2"/>
    </row>
    <row r="35" spans="1:31" ht="12.75" x14ac:dyDescent="0.2">
      <c r="A35" s="53">
        <f ca="1">IFERROR(__xludf.DUMMYFUNCTION("""COMPUTED_VALUE"""),30)</f>
        <v>30</v>
      </c>
      <c r="B35" s="53" t="str">
        <f ca="1">IFERROR(__xludf.DUMMYFUNCTION("""COMPUTED_VALUE"""),"MN Vườn Tuổi Thơ")</f>
        <v>MN Vườn Tuổi Thơ</v>
      </c>
      <c r="C35" s="53" t="str">
        <f ca="1">IFERROR(__xludf.DUMMYFUNCTION("""COMPUTED_VALUE"""),"MN")</f>
        <v>MN</v>
      </c>
      <c r="D35" s="53" t="str">
        <f ca="1">IFERROR(__xludf.DUMMYFUNCTION("""COMPUTED_VALUE"""),"Gò Vấp")</f>
        <v>Gò Vấp</v>
      </c>
      <c r="E35" s="54">
        <f ca="1">IFERROR(__xludf.DUMMYFUNCTION("""COMPUTED_VALUE"""),25)</f>
        <v>25</v>
      </c>
      <c r="F35" s="54">
        <f ca="1">IFERROR(__xludf.DUMMYFUNCTION("""COMPUTED_VALUE"""),25)</f>
        <v>25</v>
      </c>
      <c r="G35" s="51">
        <f t="shared" ca="1" si="0"/>
        <v>1</v>
      </c>
      <c r="H35" s="54">
        <f ca="1">IFERROR(__xludf.DUMMYFUNCTION("""COMPUTED_VALUE"""),25)</f>
        <v>25</v>
      </c>
      <c r="I35" s="51">
        <f t="shared" ca="1" si="1"/>
        <v>1</v>
      </c>
      <c r="J35" s="54">
        <f ca="1">IFERROR(__xludf.DUMMYFUNCTION("""COMPUTED_VALUE"""),25)</f>
        <v>25</v>
      </c>
      <c r="K35" s="51">
        <f t="shared" ca="1" si="2"/>
        <v>1</v>
      </c>
      <c r="L35" s="54">
        <f ca="1">IFERROR(__xludf.DUMMYFUNCTION("""COMPUTED_VALUE"""),6)</f>
        <v>6</v>
      </c>
      <c r="M35" s="51">
        <f t="shared" ca="1" si="3"/>
        <v>0.24</v>
      </c>
      <c r="N35" s="54">
        <f ca="1">IFERROR(__xludf.DUMMYFUNCTION("""COMPUTED_VALUE"""),27)</f>
        <v>27</v>
      </c>
      <c r="O35" s="54">
        <f ca="1">IFERROR(__xludf.DUMMYFUNCTION("""COMPUTED_VALUE"""),7)</f>
        <v>7</v>
      </c>
      <c r="P35" s="51">
        <f t="shared" ca="1" si="4"/>
        <v>0.25925925925925924</v>
      </c>
      <c r="Q35" s="54">
        <f ca="1">IFERROR(__xludf.DUMMYFUNCTION("""COMPUTED_VALUE"""),5)</f>
        <v>5</v>
      </c>
      <c r="R35" s="51">
        <f t="shared" ca="1" si="5"/>
        <v>0.18518518518518517</v>
      </c>
      <c r="S35" s="53"/>
      <c r="T35" s="53"/>
      <c r="U35" s="51" t="str">
        <f t="shared" si="6"/>
        <v/>
      </c>
      <c r="V35" s="53"/>
      <c r="W35" s="51" t="str">
        <f t="shared" si="7"/>
        <v/>
      </c>
      <c r="X35" s="53"/>
      <c r="Y35" s="51" t="str">
        <f t="shared" si="8"/>
        <v/>
      </c>
      <c r="Z35" s="2"/>
      <c r="AA35" s="2"/>
      <c r="AB35" s="2"/>
      <c r="AC35" s="2"/>
      <c r="AD35" s="2"/>
      <c r="AE35" s="2"/>
    </row>
    <row r="36" spans="1:31" ht="12.75" x14ac:dyDescent="0.2">
      <c r="A36" s="53">
        <f ca="1">IFERROR(__xludf.DUMMYFUNCTION("""COMPUTED_VALUE"""),31)</f>
        <v>31</v>
      </c>
      <c r="B36" s="53"/>
      <c r="C36" s="53"/>
      <c r="D36" s="53" t="str">
        <f ca="1">IFERROR(__xludf.DUMMYFUNCTION("""COMPUTED_VALUE"""),"Gò Vấp")</f>
        <v>Gò Vấp</v>
      </c>
      <c r="E36" s="54">
        <f ca="1">IFERROR(__xludf.DUMMYFUNCTION("""COMPUTED_VALUE"""),28)</f>
        <v>28</v>
      </c>
      <c r="F36" s="54">
        <f ca="1">IFERROR(__xludf.DUMMYFUNCTION("""COMPUTED_VALUE"""),28)</f>
        <v>28</v>
      </c>
      <c r="G36" s="51">
        <f t="shared" ca="1" si="0"/>
        <v>1</v>
      </c>
      <c r="H36" s="54">
        <f ca="1">IFERROR(__xludf.DUMMYFUNCTION("""COMPUTED_VALUE"""),28)</f>
        <v>28</v>
      </c>
      <c r="I36" s="51">
        <f t="shared" ca="1" si="1"/>
        <v>1</v>
      </c>
      <c r="J36" s="54">
        <f ca="1">IFERROR(__xludf.DUMMYFUNCTION("""COMPUTED_VALUE"""),28)</f>
        <v>28</v>
      </c>
      <c r="K36" s="51">
        <f t="shared" ca="1" si="2"/>
        <v>1</v>
      </c>
      <c r="L36" s="54">
        <f ca="1">IFERROR(__xludf.DUMMYFUNCTION("""COMPUTED_VALUE"""),22)</f>
        <v>22</v>
      </c>
      <c r="M36" s="51">
        <f t="shared" ca="1" si="3"/>
        <v>0.7857142857142857</v>
      </c>
      <c r="N36" s="54">
        <f ca="1">IFERROR(__xludf.DUMMYFUNCTION("""COMPUTED_VALUE"""),100)</f>
        <v>100</v>
      </c>
      <c r="O36" s="54">
        <f ca="1">IFERROR(__xludf.DUMMYFUNCTION("""COMPUTED_VALUE"""),13)</f>
        <v>13</v>
      </c>
      <c r="P36" s="51">
        <f t="shared" ca="1" si="4"/>
        <v>0.13</v>
      </c>
      <c r="Q36" s="54">
        <f ca="1">IFERROR(__xludf.DUMMYFUNCTION("""COMPUTED_VALUE"""),3)</f>
        <v>3</v>
      </c>
      <c r="R36" s="51">
        <f t="shared" ca="1" si="5"/>
        <v>0.03</v>
      </c>
      <c r="S36" s="53"/>
      <c r="T36" s="53"/>
      <c r="U36" s="51" t="str">
        <f t="shared" si="6"/>
        <v/>
      </c>
      <c r="V36" s="53"/>
      <c r="W36" s="51" t="str">
        <f t="shared" si="7"/>
        <v/>
      </c>
      <c r="X36" s="53"/>
      <c r="Y36" s="51" t="str">
        <f t="shared" si="8"/>
        <v/>
      </c>
      <c r="Z36" s="2"/>
      <c r="AA36" s="2"/>
      <c r="AB36" s="2"/>
      <c r="AC36" s="2"/>
      <c r="AD36" s="2"/>
      <c r="AE36" s="2"/>
    </row>
    <row r="37" spans="1:31" ht="12.75" x14ac:dyDescent="0.2">
      <c r="A37" s="53">
        <f ca="1">IFERROR(__xludf.DUMMYFUNCTION("""COMPUTED_VALUE"""),32)</f>
        <v>32</v>
      </c>
      <c r="B37" s="53" t="str">
        <f ca="1">IFERROR(__xludf.DUMMYFUNCTION("""COMPUTED_VALUE"""),"MN Mèo Kitty")</f>
        <v>MN Mèo Kitty</v>
      </c>
      <c r="C37" s="53" t="str">
        <f ca="1">IFERROR(__xludf.DUMMYFUNCTION("""COMPUTED_VALUE"""),"MN")</f>
        <v>MN</v>
      </c>
      <c r="D37" s="53" t="str">
        <f ca="1">IFERROR(__xludf.DUMMYFUNCTION("""COMPUTED_VALUE"""),"Gò Vấp")</f>
        <v>Gò Vấp</v>
      </c>
      <c r="E37" s="54">
        <f ca="1">IFERROR(__xludf.DUMMYFUNCTION("""COMPUTED_VALUE"""),17)</f>
        <v>17</v>
      </c>
      <c r="F37" s="54">
        <f ca="1">IFERROR(__xludf.DUMMYFUNCTION("""COMPUTED_VALUE"""),17)</f>
        <v>17</v>
      </c>
      <c r="G37" s="51">
        <f t="shared" ca="1" si="0"/>
        <v>1</v>
      </c>
      <c r="H37" s="54">
        <f ca="1">IFERROR(__xludf.DUMMYFUNCTION("""COMPUTED_VALUE"""),17)</f>
        <v>17</v>
      </c>
      <c r="I37" s="51">
        <f t="shared" ca="1" si="1"/>
        <v>1</v>
      </c>
      <c r="J37" s="54">
        <f ca="1">IFERROR(__xludf.DUMMYFUNCTION("""COMPUTED_VALUE"""),17)</f>
        <v>17</v>
      </c>
      <c r="K37" s="51">
        <f t="shared" ca="1" si="2"/>
        <v>1</v>
      </c>
      <c r="L37" s="54">
        <f ca="1">IFERROR(__xludf.DUMMYFUNCTION("""COMPUTED_VALUE"""),3)</f>
        <v>3</v>
      </c>
      <c r="M37" s="51">
        <f t="shared" ca="1" si="3"/>
        <v>0.17647058823529413</v>
      </c>
      <c r="N37" s="54">
        <f ca="1">IFERROR(__xludf.DUMMYFUNCTION("""COMPUTED_VALUE"""),25)</f>
        <v>25</v>
      </c>
      <c r="O37" s="54">
        <f ca="1">IFERROR(__xludf.DUMMYFUNCTION("""COMPUTED_VALUE"""),1)</f>
        <v>1</v>
      </c>
      <c r="P37" s="51">
        <f t="shared" ca="1" si="4"/>
        <v>0.04</v>
      </c>
      <c r="Q37" s="54">
        <f ca="1">IFERROR(__xludf.DUMMYFUNCTION("""COMPUTED_VALUE"""),0)</f>
        <v>0</v>
      </c>
      <c r="R37" s="51">
        <f t="shared" ca="1" si="5"/>
        <v>0</v>
      </c>
      <c r="S37" s="53"/>
      <c r="T37" s="53"/>
      <c r="U37" s="51" t="str">
        <f t="shared" si="6"/>
        <v/>
      </c>
      <c r="V37" s="53"/>
      <c r="W37" s="51" t="str">
        <f t="shared" si="7"/>
        <v/>
      </c>
      <c r="X37" s="53"/>
      <c r="Y37" s="51" t="str">
        <f t="shared" si="8"/>
        <v/>
      </c>
      <c r="Z37" s="2"/>
      <c r="AA37" s="2"/>
      <c r="AB37" s="2"/>
      <c r="AC37" s="2"/>
      <c r="AD37" s="2"/>
      <c r="AE37" s="2"/>
    </row>
    <row r="38" spans="1:31" ht="12.75" x14ac:dyDescent="0.2">
      <c r="A38" s="53">
        <f ca="1">IFERROR(__xludf.DUMMYFUNCTION("""COMPUTED_VALUE"""),33)</f>
        <v>33</v>
      </c>
      <c r="B38" s="53" t="str">
        <f ca="1">IFERROR(__xludf.DUMMYFUNCTION("""COMPUTED_VALUE"""),"MN Việt Mỹ Úc")</f>
        <v>MN Việt Mỹ Úc</v>
      </c>
      <c r="C38" s="53" t="str">
        <f ca="1">IFERROR(__xludf.DUMMYFUNCTION("""COMPUTED_VALUE"""),"MN")</f>
        <v>MN</v>
      </c>
      <c r="D38" s="53" t="str">
        <f ca="1">IFERROR(__xludf.DUMMYFUNCTION("""COMPUTED_VALUE"""),"Gò Vấp")</f>
        <v>Gò Vấp</v>
      </c>
      <c r="E38" s="54">
        <f ca="1">IFERROR(__xludf.DUMMYFUNCTION("""COMPUTED_VALUE"""),17)</f>
        <v>17</v>
      </c>
      <c r="F38" s="54">
        <f ca="1">IFERROR(__xludf.DUMMYFUNCTION("""COMPUTED_VALUE"""),17)</f>
        <v>17</v>
      </c>
      <c r="G38" s="51">
        <f t="shared" ca="1" si="0"/>
        <v>1</v>
      </c>
      <c r="H38" s="54">
        <f ca="1">IFERROR(__xludf.DUMMYFUNCTION("""COMPUTED_VALUE"""),17)</f>
        <v>17</v>
      </c>
      <c r="I38" s="51">
        <f t="shared" ca="1" si="1"/>
        <v>1</v>
      </c>
      <c r="J38" s="54">
        <f ca="1">IFERROR(__xludf.DUMMYFUNCTION("""COMPUTED_VALUE"""),16)</f>
        <v>16</v>
      </c>
      <c r="K38" s="51">
        <f t="shared" ca="1" si="2"/>
        <v>0.94117647058823528</v>
      </c>
      <c r="L38" s="54">
        <f ca="1">IFERROR(__xludf.DUMMYFUNCTION("""COMPUTED_VALUE"""),10)</f>
        <v>10</v>
      </c>
      <c r="M38" s="51">
        <f t="shared" ca="1" si="3"/>
        <v>0.58823529411764708</v>
      </c>
      <c r="N38" s="54">
        <f ca="1">IFERROR(__xludf.DUMMYFUNCTION("""COMPUTED_VALUE"""),20)</f>
        <v>20</v>
      </c>
      <c r="O38" s="54">
        <f ca="1">IFERROR(__xludf.DUMMYFUNCTION("""COMPUTED_VALUE"""),7)</f>
        <v>7</v>
      </c>
      <c r="P38" s="51">
        <f t="shared" ca="1" si="4"/>
        <v>0.35</v>
      </c>
      <c r="Q38" s="54">
        <f ca="1">IFERROR(__xludf.DUMMYFUNCTION("""COMPUTED_VALUE"""),2)</f>
        <v>2</v>
      </c>
      <c r="R38" s="51">
        <f t="shared" ca="1" si="5"/>
        <v>0.1</v>
      </c>
      <c r="S38" s="53"/>
      <c r="T38" s="53"/>
      <c r="U38" s="51" t="str">
        <f t="shared" si="6"/>
        <v/>
      </c>
      <c r="V38" s="53"/>
      <c r="W38" s="51" t="str">
        <f t="shared" si="7"/>
        <v/>
      </c>
      <c r="X38" s="53"/>
      <c r="Y38" s="51" t="str">
        <f t="shared" si="8"/>
        <v/>
      </c>
      <c r="Z38" s="2"/>
      <c r="AA38" s="2"/>
      <c r="AB38" s="2"/>
      <c r="AC38" s="2"/>
      <c r="AD38" s="2"/>
      <c r="AE38" s="2"/>
    </row>
    <row r="39" spans="1:31" ht="12.75" x14ac:dyDescent="0.2">
      <c r="A39" s="53">
        <f ca="1">IFERROR(__xludf.DUMMYFUNCTION("""COMPUTED_VALUE"""),34)</f>
        <v>34</v>
      </c>
      <c r="B39" s="53" t="str">
        <f ca="1">IFERROR(__xludf.DUMMYFUNCTION("""COMPUTED_VALUE"""),"MN Thiên Ấn")</f>
        <v>MN Thiên Ấn</v>
      </c>
      <c r="C39" s="53" t="str">
        <f ca="1">IFERROR(__xludf.DUMMYFUNCTION("""COMPUTED_VALUE"""),"MN")</f>
        <v>MN</v>
      </c>
      <c r="D39" s="53" t="str">
        <f ca="1">IFERROR(__xludf.DUMMYFUNCTION("""COMPUTED_VALUE"""),"Gò Vấp")</f>
        <v>Gò Vấp</v>
      </c>
      <c r="E39" s="54">
        <f ca="1">IFERROR(__xludf.DUMMYFUNCTION("""COMPUTED_VALUE"""),17)</f>
        <v>17</v>
      </c>
      <c r="F39" s="54">
        <f ca="1">IFERROR(__xludf.DUMMYFUNCTION("""COMPUTED_VALUE"""),17)</f>
        <v>17</v>
      </c>
      <c r="G39" s="51">
        <f t="shared" ca="1" si="0"/>
        <v>1</v>
      </c>
      <c r="H39" s="54">
        <f ca="1">IFERROR(__xludf.DUMMYFUNCTION("""COMPUTED_VALUE"""),17)</f>
        <v>17</v>
      </c>
      <c r="I39" s="51">
        <f t="shared" ca="1" si="1"/>
        <v>1</v>
      </c>
      <c r="J39" s="54">
        <f ca="1">IFERROR(__xludf.DUMMYFUNCTION("""COMPUTED_VALUE"""),17)</f>
        <v>17</v>
      </c>
      <c r="K39" s="51">
        <f t="shared" ca="1" si="2"/>
        <v>1</v>
      </c>
      <c r="L39" s="54">
        <f ca="1">IFERROR(__xludf.DUMMYFUNCTION("""COMPUTED_VALUE"""),1)</f>
        <v>1</v>
      </c>
      <c r="M39" s="51">
        <f t="shared" ca="1" si="3"/>
        <v>5.8823529411764705E-2</v>
      </c>
      <c r="N39" s="54">
        <f ca="1">IFERROR(__xludf.DUMMYFUNCTION("""COMPUTED_VALUE"""),9)</f>
        <v>9</v>
      </c>
      <c r="O39" s="54">
        <f ca="1">IFERROR(__xludf.DUMMYFUNCTION("""COMPUTED_VALUE"""),0)</f>
        <v>0</v>
      </c>
      <c r="P39" s="51">
        <f t="shared" ca="1" si="4"/>
        <v>0</v>
      </c>
      <c r="Q39" s="54">
        <f ca="1">IFERROR(__xludf.DUMMYFUNCTION("""COMPUTED_VALUE"""),0)</f>
        <v>0</v>
      </c>
      <c r="R39" s="51">
        <f t="shared" ca="1" si="5"/>
        <v>0</v>
      </c>
      <c r="S39" s="53"/>
      <c r="T39" s="53"/>
      <c r="U39" s="51" t="str">
        <f t="shared" si="6"/>
        <v/>
      </c>
      <c r="V39" s="53"/>
      <c r="W39" s="51" t="str">
        <f t="shared" si="7"/>
        <v/>
      </c>
      <c r="X39" s="53"/>
      <c r="Y39" s="51" t="str">
        <f t="shared" si="8"/>
        <v/>
      </c>
      <c r="Z39" s="2"/>
      <c r="AA39" s="2"/>
      <c r="AB39" s="2"/>
      <c r="AC39" s="2"/>
      <c r="AD39" s="2"/>
      <c r="AE39" s="2"/>
    </row>
    <row r="40" spans="1:31" ht="12.75" x14ac:dyDescent="0.2">
      <c r="A40" s="53">
        <f ca="1">IFERROR(__xludf.DUMMYFUNCTION("""COMPUTED_VALUE"""),35)</f>
        <v>35</v>
      </c>
      <c r="B40" s="53" t="str">
        <f ca="1">IFERROR(__xludf.DUMMYFUNCTION("""COMPUTED_VALUE"""),"MN Ngôi Sao Xinh")</f>
        <v>MN Ngôi Sao Xinh</v>
      </c>
      <c r="C40" s="53" t="str">
        <f ca="1">IFERROR(__xludf.DUMMYFUNCTION("""COMPUTED_VALUE"""),"MN")</f>
        <v>MN</v>
      </c>
      <c r="D40" s="53" t="str">
        <f ca="1">IFERROR(__xludf.DUMMYFUNCTION("""COMPUTED_VALUE"""),"Gò Vấp")</f>
        <v>Gò Vấp</v>
      </c>
      <c r="E40" s="54">
        <f ca="1">IFERROR(__xludf.DUMMYFUNCTION("""COMPUTED_VALUE"""),14)</f>
        <v>14</v>
      </c>
      <c r="F40" s="54">
        <f ca="1">IFERROR(__xludf.DUMMYFUNCTION("""COMPUTED_VALUE"""),14)</f>
        <v>14</v>
      </c>
      <c r="G40" s="51">
        <f t="shared" ca="1" si="0"/>
        <v>1</v>
      </c>
      <c r="H40" s="54">
        <f ca="1">IFERROR(__xludf.DUMMYFUNCTION("""COMPUTED_VALUE"""),14)</f>
        <v>14</v>
      </c>
      <c r="I40" s="51">
        <f t="shared" ca="1" si="1"/>
        <v>1</v>
      </c>
      <c r="J40" s="54">
        <f ca="1">IFERROR(__xludf.DUMMYFUNCTION("""COMPUTED_VALUE"""),12)</f>
        <v>12</v>
      </c>
      <c r="K40" s="51">
        <f t="shared" ca="1" si="2"/>
        <v>0.8571428571428571</v>
      </c>
      <c r="L40" s="54">
        <f ca="1">IFERROR(__xludf.DUMMYFUNCTION("""COMPUTED_VALUE"""),2)</f>
        <v>2</v>
      </c>
      <c r="M40" s="51">
        <f t="shared" ca="1" si="3"/>
        <v>0.14285714285714285</v>
      </c>
      <c r="N40" s="54">
        <f ca="1">IFERROR(__xludf.DUMMYFUNCTION("""COMPUTED_VALUE"""),7)</f>
        <v>7</v>
      </c>
      <c r="O40" s="54">
        <f ca="1">IFERROR(__xludf.DUMMYFUNCTION("""COMPUTED_VALUE"""),1)</f>
        <v>1</v>
      </c>
      <c r="P40" s="51">
        <f t="shared" ca="1" si="4"/>
        <v>0.14285714285714285</v>
      </c>
      <c r="Q40" s="54">
        <f ca="1">IFERROR(__xludf.DUMMYFUNCTION("""COMPUTED_VALUE"""),0)</f>
        <v>0</v>
      </c>
      <c r="R40" s="51">
        <f t="shared" ca="1" si="5"/>
        <v>0</v>
      </c>
      <c r="S40" s="53"/>
      <c r="T40" s="53"/>
      <c r="U40" s="51" t="str">
        <f t="shared" si="6"/>
        <v/>
      </c>
      <c r="V40" s="53"/>
      <c r="W40" s="51" t="str">
        <f t="shared" si="7"/>
        <v/>
      </c>
      <c r="X40" s="53"/>
      <c r="Y40" s="51" t="str">
        <f t="shared" si="8"/>
        <v/>
      </c>
      <c r="Z40" s="2"/>
      <c r="AA40" s="2"/>
      <c r="AB40" s="2"/>
      <c r="AC40" s="2"/>
      <c r="AD40" s="2"/>
      <c r="AE40" s="2"/>
    </row>
    <row r="41" spans="1:31" ht="12.75" x14ac:dyDescent="0.2">
      <c r="A41" s="53">
        <f ca="1">IFERROR(__xludf.DUMMYFUNCTION("""COMPUTED_VALUE"""),36)</f>
        <v>36</v>
      </c>
      <c r="B41" s="53" t="str">
        <f ca="1">IFERROR(__xludf.DUMMYFUNCTION("""COMPUTED_VALUE"""),"MN 1 Tháng 6")</f>
        <v>MN 1 Tháng 6</v>
      </c>
      <c r="C41" s="53" t="str">
        <f ca="1">IFERROR(__xludf.DUMMYFUNCTION("""COMPUTED_VALUE"""),"MN")</f>
        <v>MN</v>
      </c>
      <c r="D41" s="53" t="str">
        <f ca="1">IFERROR(__xludf.DUMMYFUNCTION("""COMPUTED_VALUE"""),"Gò Vấp")</f>
        <v>Gò Vấp</v>
      </c>
      <c r="E41" s="54">
        <f ca="1">IFERROR(__xludf.DUMMYFUNCTION("""COMPUTED_VALUE"""),10)</f>
        <v>10</v>
      </c>
      <c r="F41" s="54">
        <f ca="1">IFERROR(__xludf.DUMMYFUNCTION("""COMPUTED_VALUE"""),10)</f>
        <v>10</v>
      </c>
      <c r="G41" s="51">
        <f t="shared" ca="1" si="0"/>
        <v>1</v>
      </c>
      <c r="H41" s="54">
        <f ca="1">IFERROR(__xludf.DUMMYFUNCTION("""COMPUTED_VALUE"""),10)</f>
        <v>10</v>
      </c>
      <c r="I41" s="51">
        <f t="shared" ca="1" si="1"/>
        <v>1</v>
      </c>
      <c r="J41" s="54">
        <f ca="1">IFERROR(__xludf.DUMMYFUNCTION("""COMPUTED_VALUE"""),10)</f>
        <v>10</v>
      </c>
      <c r="K41" s="51">
        <f t="shared" ca="1" si="2"/>
        <v>1</v>
      </c>
      <c r="L41" s="54">
        <f ca="1">IFERROR(__xludf.DUMMYFUNCTION("""COMPUTED_VALUE"""),2)</f>
        <v>2</v>
      </c>
      <c r="M41" s="51">
        <f t="shared" ca="1" si="3"/>
        <v>0.2</v>
      </c>
      <c r="N41" s="54">
        <f ca="1">IFERROR(__xludf.DUMMYFUNCTION("""COMPUTED_VALUE"""),8)</f>
        <v>8</v>
      </c>
      <c r="O41" s="54">
        <f ca="1">IFERROR(__xludf.DUMMYFUNCTION("""COMPUTED_VALUE"""),2)</f>
        <v>2</v>
      </c>
      <c r="P41" s="51">
        <f t="shared" ca="1" si="4"/>
        <v>0.25</v>
      </c>
      <c r="Q41" s="54">
        <f ca="1">IFERROR(__xludf.DUMMYFUNCTION("""COMPUTED_VALUE"""),2)</f>
        <v>2</v>
      </c>
      <c r="R41" s="51">
        <f t="shared" ca="1" si="5"/>
        <v>0.25</v>
      </c>
      <c r="S41" s="53"/>
      <c r="T41" s="53"/>
      <c r="U41" s="51" t="str">
        <f t="shared" si="6"/>
        <v/>
      </c>
      <c r="V41" s="53"/>
      <c r="W41" s="51" t="str">
        <f t="shared" si="7"/>
        <v/>
      </c>
      <c r="X41" s="53"/>
      <c r="Y41" s="51" t="str">
        <f t="shared" si="8"/>
        <v/>
      </c>
      <c r="Z41" s="2"/>
      <c r="AA41" s="2"/>
      <c r="AB41" s="2"/>
      <c r="AC41" s="2"/>
      <c r="AD41" s="2"/>
      <c r="AE41" s="2"/>
    </row>
    <row r="42" spans="1:31" ht="12.75" x14ac:dyDescent="0.2">
      <c r="A42" s="53">
        <f ca="1">IFERROR(__xludf.DUMMYFUNCTION("""COMPUTED_VALUE"""),37)</f>
        <v>37</v>
      </c>
      <c r="B42" s="53" t="str">
        <f ca="1">IFERROR(__xludf.DUMMYFUNCTION("""COMPUTED_VALUE"""),"MN Global Ecokids")</f>
        <v>MN Global Ecokids</v>
      </c>
      <c r="C42" s="53" t="str">
        <f ca="1">IFERROR(__xludf.DUMMYFUNCTION("""COMPUTED_VALUE"""),"MN")</f>
        <v>MN</v>
      </c>
      <c r="D42" s="53" t="str">
        <f ca="1">IFERROR(__xludf.DUMMYFUNCTION("""COMPUTED_VALUE"""),"Gò Vấp")</f>
        <v>Gò Vấp</v>
      </c>
      <c r="E42" s="54">
        <f ca="1">IFERROR(__xludf.DUMMYFUNCTION("""COMPUTED_VALUE"""),38)</f>
        <v>38</v>
      </c>
      <c r="F42" s="54">
        <f ca="1">IFERROR(__xludf.DUMMYFUNCTION("""COMPUTED_VALUE"""),38)</f>
        <v>38</v>
      </c>
      <c r="G42" s="51">
        <f t="shared" ca="1" si="0"/>
        <v>1</v>
      </c>
      <c r="H42" s="54">
        <f ca="1">IFERROR(__xludf.DUMMYFUNCTION("""COMPUTED_VALUE"""),38)</f>
        <v>38</v>
      </c>
      <c r="I42" s="51">
        <f t="shared" ca="1" si="1"/>
        <v>1</v>
      </c>
      <c r="J42" s="54">
        <f ca="1">IFERROR(__xludf.DUMMYFUNCTION("""COMPUTED_VALUE"""),38)</f>
        <v>38</v>
      </c>
      <c r="K42" s="51">
        <f t="shared" ca="1" si="2"/>
        <v>1</v>
      </c>
      <c r="L42" s="54">
        <f ca="1">IFERROR(__xludf.DUMMYFUNCTION("""COMPUTED_VALUE"""),2)</f>
        <v>2</v>
      </c>
      <c r="M42" s="51">
        <f t="shared" ca="1" si="3"/>
        <v>5.2631578947368418E-2</v>
      </c>
      <c r="N42" s="54">
        <f ca="1">IFERROR(__xludf.DUMMYFUNCTION("""COMPUTED_VALUE"""),14)</f>
        <v>14</v>
      </c>
      <c r="O42" s="54">
        <f ca="1">IFERROR(__xludf.DUMMYFUNCTION("""COMPUTED_VALUE"""),2)</f>
        <v>2</v>
      </c>
      <c r="P42" s="51">
        <f t="shared" ca="1" si="4"/>
        <v>0.14285714285714285</v>
      </c>
      <c r="Q42" s="54">
        <f ca="1">IFERROR(__xludf.DUMMYFUNCTION("""COMPUTED_VALUE"""),2)</f>
        <v>2</v>
      </c>
      <c r="R42" s="51">
        <f t="shared" ca="1" si="5"/>
        <v>0.14285714285714285</v>
      </c>
      <c r="S42" s="53"/>
      <c r="T42" s="53"/>
      <c r="U42" s="51" t="str">
        <f t="shared" si="6"/>
        <v/>
      </c>
      <c r="V42" s="53"/>
      <c r="W42" s="51" t="str">
        <f t="shared" si="7"/>
        <v/>
      </c>
      <c r="X42" s="53"/>
      <c r="Y42" s="51" t="str">
        <f t="shared" si="8"/>
        <v/>
      </c>
      <c r="Z42" s="2"/>
      <c r="AA42" s="2"/>
      <c r="AB42" s="2"/>
      <c r="AC42" s="2"/>
      <c r="AD42" s="2"/>
      <c r="AE42" s="2"/>
    </row>
    <row r="43" spans="1:31" ht="12.75" x14ac:dyDescent="0.2">
      <c r="A43" s="53">
        <f ca="1">IFERROR(__xludf.DUMMYFUNCTION("""COMPUTED_VALUE"""),38)</f>
        <v>38</v>
      </c>
      <c r="B43" s="53" t="str">
        <f ca="1">IFERROR(__xludf.DUMMYFUNCTION("""COMPUTED_VALUE"""),"MN Miền Trẻ Thơ")</f>
        <v>MN Miền Trẻ Thơ</v>
      </c>
      <c r="C43" s="53" t="str">
        <f ca="1">IFERROR(__xludf.DUMMYFUNCTION("""COMPUTED_VALUE"""),"MN")</f>
        <v>MN</v>
      </c>
      <c r="D43" s="53" t="str">
        <f ca="1">IFERROR(__xludf.DUMMYFUNCTION("""COMPUTED_VALUE"""),"Gò Vấp")</f>
        <v>Gò Vấp</v>
      </c>
      <c r="E43" s="54">
        <f ca="1">IFERROR(__xludf.DUMMYFUNCTION("""COMPUTED_VALUE"""),14)</f>
        <v>14</v>
      </c>
      <c r="F43" s="54">
        <f ca="1">IFERROR(__xludf.DUMMYFUNCTION("""COMPUTED_VALUE"""),14)</f>
        <v>14</v>
      </c>
      <c r="G43" s="51">
        <f t="shared" ca="1" si="0"/>
        <v>1</v>
      </c>
      <c r="H43" s="54">
        <f ca="1">IFERROR(__xludf.DUMMYFUNCTION("""COMPUTED_VALUE"""),14)</f>
        <v>14</v>
      </c>
      <c r="I43" s="51">
        <f t="shared" ca="1" si="1"/>
        <v>1</v>
      </c>
      <c r="J43" s="54">
        <f ca="1">IFERROR(__xludf.DUMMYFUNCTION("""COMPUTED_VALUE"""),14)</f>
        <v>14</v>
      </c>
      <c r="K43" s="51">
        <f t="shared" ca="1" si="2"/>
        <v>1</v>
      </c>
      <c r="L43" s="54">
        <f ca="1">IFERROR(__xludf.DUMMYFUNCTION("""COMPUTED_VALUE"""),1)</f>
        <v>1</v>
      </c>
      <c r="M43" s="51">
        <f t="shared" ca="1" si="3"/>
        <v>7.1428571428571425E-2</v>
      </c>
      <c r="N43" s="54">
        <f ca="1">IFERROR(__xludf.DUMMYFUNCTION("""COMPUTED_VALUE"""),10)</f>
        <v>10</v>
      </c>
      <c r="O43" s="54">
        <f ca="1">IFERROR(__xludf.DUMMYFUNCTION("""COMPUTED_VALUE"""),2)</f>
        <v>2</v>
      </c>
      <c r="P43" s="51">
        <f t="shared" ca="1" si="4"/>
        <v>0.2</v>
      </c>
      <c r="Q43" s="54">
        <f ca="1">IFERROR(__xludf.DUMMYFUNCTION("""COMPUTED_VALUE"""),1)</f>
        <v>1</v>
      </c>
      <c r="R43" s="51">
        <f t="shared" ca="1" si="5"/>
        <v>0.1</v>
      </c>
      <c r="S43" s="53"/>
      <c r="T43" s="53"/>
      <c r="U43" s="51" t="str">
        <f t="shared" si="6"/>
        <v/>
      </c>
      <c r="V43" s="53"/>
      <c r="W43" s="51" t="str">
        <f t="shared" si="7"/>
        <v/>
      </c>
      <c r="X43" s="53"/>
      <c r="Y43" s="51" t="str">
        <f t="shared" si="8"/>
        <v/>
      </c>
      <c r="Z43" s="2"/>
      <c r="AA43" s="2"/>
      <c r="AB43" s="2"/>
      <c r="AC43" s="2"/>
      <c r="AD43" s="2"/>
      <c r="AE43" s="2"/>
    </row>
    <row r="44" spans="1:31" ht="12.75" x14ac:dyDescent="0.2">
      <c r="A44" s="53">
        <f ca="1">IFERROR(__xludf.DUMMYFUNCTION("""COMPUTED_VALUE"""),39)</f>
        <v>39</v>
      </c>
      <c r="B44" s="53" t="str">
        <f ca="1">IFERROR(__xludf.DUMMYFUNCTION("""COMPUTED_VALUE"""),"MN Hoa Mai")</f>
        <v>MN Hoa Mai</v>
      </c>
      <c r="C44" s="53" t="str">
        <f ca="1">IFERROR(__xludf.DUMMYFUNCTION("""COMPUTED_VALUE"""),"MN")</f>
        <v>MN</v>
      </c>
      <c r="D44" s="53" t="str">
        <f ca="1">IFERROR(__xludf.DUMMYFUNCTION("""COMPUTED_VALUE"""),"Gò Vấp")</f>
        <v>Gò Vấp</v>
      </c>
      <c r="E44" s="54">
        <f ca="1">IFERROR(__xludf.DUMMYFUNCTION("""COMPUTED_VALUE"""),38)</f>
        <v>38</v>
      </c>
      <c r="F44" s="54">
        <f ca="1">IFERROR(__xludf.DUMMYFUNCTION("""COMPUTED_VALUE"""),38)</f>
        <v>38</v>
      </c>
      <c r="G44" s="51">
        <f t="shared" ca="1" si="0"/>
        <v>1</v>
      </c>
      <c r="H44" s="54">
        <f ca="1">IFERROR(__xludf.DUMMYFUNCTION("""COMPUTED_VALUE"""),38)</f>
        <v>38</v>
      </c>
      <c r="I44" s="51">
        <f t="shared" ca="1" si="1"/>
        <v>1</v>
      </c>
      <c r="J44" s="54">
        <f ca="1">IFERROR(__xludf.DUMMYFUNCTION("""COMPUTED_VALUE"""),38)</f>
        <v>38</v>
      </c>
      <c r="K44" s="51">
        <f t="shared" ca="1" si="2"/>
        <v>1</v>
      </c>
      <c r="L44" s="54">
        <f ca="1">IFERROR(__xludf.DUMMYFUNCTION("""COMPUTED_VALUE"""),6)</f>
        <v>6</v>
      </c>
      <c r="M44" s="51">
        <f t="shared" ca="1" si="3"/>
        <v>0.15789473684210525</v>
      </c>
      <c r="N44" s="54">
        <f ca="1">IFERROR(__xludf.DUMMYFUNCTION("""COMPUTED_VALUE"""),106)</f>
        <v>106</v>
      </c>
      <c r="O44" s="54">
        <f ca="1">IFERROR(__xludf.DUMMYFUNCTION("""COMPUTED_VALUE"""),5)</f>
        <v>5</v>
      </c>
      <c r="P44" s="51">
        <f t="shared" ca="1" si="4"/>
        <v>4.716981132075472E-2</v>
      </c>
      <c r="Q44" s="54">
        <f ca="1">IFERROR(__xludf.DUMMYFUNCTION("""COMPUTED_VALUE"""),3)</f>
        <v>3</v>
      </c>
      <c r="R44" s="51">
        <f t="shared" ca="1" si="5"/>
        <v>2.8301886792452831E-2</v>
      </c>
      <c r="S44" s="53"/>
      <c r="T44" s="53"/>
      <c r="U44" s="51" t="str">
        <f t="shared" si="6"/>
        <v/>
      </c>
      <c r="V44" s="53"/>
      <c r="W44" s="51" t="str">
        <f t="shared" si="7"/>
        <v/>
      </c>
      <c r="X44" s="53"/>
      <c r="Y44" s="51" t="str">
        <f t="shared" si="8"/>
        <v/>
      </c>
      <c r="Z44" s="2"/>
      <c r="AA44" s="2"/>
      <c r="AB44" s="2"/>
      <c r="AC44" s="2"/>
      <c r="AD44" s="2"/>
      <c r="AE44" s="2"/>
    </row>
    <row r="45" spans="1:31" ht="12.75" x14ac:dyDescent="0.2">
      <c r="A45" s="53">
        <f ca="1">IFERROR(__xludf.DUMMYFUNCTION("""COMPUTED_VALUE"""),40)</f>
        <v>40</v>
      </c>
      <c r="B45" s="53" t="str">
        <f ca="1">IFERROR(__xludf.DUMMYFUNCTION("""COMPUTED_VALUE"""),"MN Thiên Ân Phúc 2")</f>
        <v>MN Thiên Ân Phúc 2</v>
      </c>
      <c r="C45" s="53" t="str">
        <f ca="1">IFERROR(__xludf.DUMMYFUNCTION("""COMPUTED_VALUE"""),"MN")</f>
        <v>MN</v>
      </c>
      <c r="D45" s="53" t="str">
        <f ca="1">IFERROR(__xludf.DUMMYFUNCTION("""COMPUTED_VALUE"""),"Gò Vấp")</f>
        <v>Gò Vấp</v>
      </c>
      <c r="E45" s="54">
        <f ca="1">IFERROR(__xludf.DUMMYFUNCTION("""COMPUTED_VALUE"""),22)</f>
        <v>22</v>
      </c>
      <c r="F45" s="54">
        <f ca="1">IFERROR(__xludf.DUMMYFUNCTION("""COMPUTED_VALUE"""),22)</f>
        <v>22</v>
      </c>
      <c r="G45" s="51">
        <f t="shared" ca="1" si="0"/>
        <v>1</v>
      </c>
      <c r="H45" s="54">
        <f ca="1">IFERROR(__xludf.DUMMYFUNCTION("""COMPUTED_VALUE"""),22)</f>
        <v>22</v>
      </c>
      <c r="I45" s="51">
        <f t="shared" ca="1" si="1"/>
        <v>1</v>
      </c>
      <c r="J45" s="54">
        <f ca="1">IFERROR(__xludf.DUMMYFUNCTION("""COMPUTED_VALUE"""),22)</f>
        <v>22</v>
      </c>
      <c r="K45" s="51">
        <f t="shared" ca="1" si="2"/>
        <v>1</v>
      </c>
      <c r="L45" s="54">
        <f ca="1">IFERROR(__xludf.DUMMYFUNCTION("""COMPUTED_VALUE"""),2)</f>
        <v>2</v>
      </c>
      <c r="M45" s="51">
        <f t="shared" ca="1" si="3"/>
        <v>9.0909090909090912E-2</v>
      </c>
      <c r="N45" s="54">
        <f ca="1">IFERROR(__xludf.DUMMYFUNCTION("""COMPUTED_VALUE"""),36)</f>
        <v>36</v>
      </c>
      <c r="O45" s="54">
        <f ca="1">IFERROR(__xludf.DUMMYFUNCTION("""COMPUTED_VALUE"""),2)</f>
        <v>2</v>
      </c>
      <c r="P45" s="51">
        <f t="shared" ca="1" si="4"/>
        <v>5.5555555555555552E-2</v>
      </c>
      <c r="Q45" s="54">
        <f ca="1">IFERROR(__xludf.DUMMYFUNCTION("""COMPUTED_VALUE"""),2)</f>
        <v>2</v>
      </c>
      <c r="R45" s="51">
        <f t="shared" ca="1" si="5"/>
        <v>5.5555555555555552E-2</v>
      </c>
      <c r="S45" s="53"/>
      <c r="T45" s="53"/>
      <c r="U45" s="51" t="str">
        <f t="shared" si="6"/>
        <v/>
      </c>
      <c r="V45" s="53"/>
      <c r="W45" s="51" t="str">
        <f t="shared" si="7"/>
        <v/>
      </c>
      <c r="X45" s="53"/>
      <c r="Y45" s="51" t="str">
        <f t="shared" si="8"/>
        <v/>
      </c>
      <c r="Z45" s="2"/>
      <c r="AA45" s="2"/>
      <c r="AB45" s="2"/>
      <c r="AC45" s="2"/>
      <c r="AD45" s="2"/>
      <c r="AE45" s="2"/>
    </row>
    <row r="46" spans="1:31" ht="12.75" x14ac:dyDescent="0.2">
      <c r="A46" s="53">
        <f ca="1">IFERROR(__xludf.DUMMYFUNCTION("""COMPUTED_VALUE"""),41)</f>
        <v>41</v>
      </c>
      <c r="B46" s="53" t="str">
        <f ca="1">IFERROR(__xludf.DUMMYFUNCTION("""COMPUTED_VALUE"""),"MN Bé Ngôi Sao")</f>
        <v>MN Bé Ngôi Sao</v>
      </c>
      <c r="C46" s="53" t="str">
        <f ca="1">IFERROR(__xludf.DUMMYFUNCTION("""COMPUTED_VALUE"""),"MN")</f>
        <v>MN</v>
      </c>
      <c r="D46" s="53" t="str">
        <f ca="1">IFERROR(__xludf.DUMMYFUNCTION("""COMPUTED_VALUE"""),"Gò Vấp")</f>
        <v>Gò Vấp</v>
      </c>
      <c r="E46" s="54">
        <f ca="1">IFERROR(__xludf.DUMMYFUNCTION("""COMPUTED_VALUE"""),21)</f>
        <v>21</v>
      </c>
      <c r="F46" s="54">
        <f ca="1">IFERROR(__xludf.DUMMYFUNCTION("""COMPUTED_VALUE"""),21)</f>
        <v>21</v>
      </c>
      <c r="G46" s="51">
        <f t="shared" ca="1" si="0"/>
        <v>1</v>
      </c>
      <c r="H46" s="54">
        <f ca="1">IFERROR(__xludf.DUMMYFUNCTION("""COMPUTED_VALUE"""),21)</f>
        <v>21</v>
      </c>
      <c r="I46" s="51">
        <f t="shared" ca="1" si="1"/>
        <v>1</v>
      </c>
      <c r="J46" s="54">
        <f ca="1">IFERROR(__xludf.DUMMYFUNCTION("""COMPUTED_VALUE"""),21)</f>
        <v>21</v>
      </c>
      <c r="K46" s="51">
        <f t="shared" ca="1" si="2"/>
        <v>1</v>
      </c>
      <c r="L46" s="54">
        <f ca="1">IFERROR(__xludf.DUMMYFUNCTION("""COMPUTED_VALUE"""),13)</f>
        <v>13</v>
      </c>
      <c r="M46" s="51">
        <f t="shared" ca="1" si="3"/>
        <v>0.61904761904761907</v>
      </c>
      <c r="N46" s="54">
        <f ca="1">IFERROR(__xludf.DUMMYFUNCTION("""COMPUTED_VALUE"""),11)</f>
        <v>11</v>
      </c>
      <c r="O46" s="54">
        <f ca="1">IFERROR(__xludf.DUMMYFUNCTION("""COMPUTED_VALUE"""),3)</f>
        <v>3</v>
      </c>
      <c r="P46" s="51">
        <f t="shared" ca="1" si="4"/>
        <v>0.27272727272727271</v>
      </c>
      <c r="Q46" s="54">
        <f ca="1">IFERROR(__xludf.DUMMYFUNCTION("""COMPUTED_VALUE"""),2)</f>
        <v>2</v>
      </c>
      <c r="R46" s="51">
        <f t="shared" ca="1" si="5"/>
        <v>0.18181818181818182</v>
      </c>
      <c r="S46" s="53"/>
      <c r="T46" s="53"/>
      <c r="U46" s="51" t="str">
        <f t="shared" si="6"/>
        <v/>
      </c>
      <c r="V46" s="53"/>
      <c r="W46" s="51" t="str">
        <f t="shared" si="7"/>
        <v/>
      </c>
      <c r="X46" s="53"/>
      <c r="Y46" s="51" t="str">
        <f t="shared" si="8"/>
        <v/>
      </c>
      <c r="Z46" s="2"/>
      <c r="AA46" s="2"/>
      <c r="AB46" s="2"/>
      <c r="AC46" s="2"/>
      <c r="AD46" s="2"/>
      <c r="AE46" s="2"/>
    </row>
    <row r="47" spans="1:31" ht="12.75" x14ac:dyDescent="0.2">
      <c r="A47" s="53">
        <f ca="1">IFERROR(__xludf.DUMMYFUNCTION("""COMPUTED_VALUE"""),42)</f>
        <v>42</v>
      </c>
      <c r="B47" s="53" t="str">
        <f ca="1">IFERROR(__xludf.DUMMYFUNCTION("""COMPUTED_VALUE"""),"MN Mỹ Sài Gòn")</f>
        <v>MN Mỹ Sài Gòn</v>
      </c>
      <c r="C47" s="53" t="str">
        <f ca="1">IFERROR(__xludf.DUMMYFUNCTION("""COMPUTED_VALUE"""),"MN")</f>
        <v>MN</v>
      </c>
      <c r="D47" s="53" t="str">
        <f ca="1">IFERROR(__xludf.DUMMYFUNCTION("""COMPUTED_VALUE"""),"Gò Vấp")</f>
        <v>Gò Vấp</v>
      </c>
      <c r="E47" s="54">
        <f ca="1">IFERROR(__xludf.DUMMYFUNCTION("""COMPUTED_VALUE"""),30)</f>
        <v>30</v>
      </c>
      <c r="F47" s="54">
        <f ca="1">IFERROR(__xludf.DUMMYFUNCTION("""COMPUTED_VALUE"""),30)</f>
        <v>30</v>
      </c>
      <c r="G47" s="51">
        <f t="shared" ca="1" si="0"/>
        <v>1</v>
      </c>
      <c r="H47" s="54">
        <f ca="1">IFERROR(__xludf.DUMMYFUNCTION("""COMPUTED_VALUE"""),30)</f>
        <v>30</v>
      </c>
      <c r="I47" s="51">
        <f t="shared" ca="1" si="1"/>
        <v>1</v>
      </c>
      <c r="J47" s="54">
        <f ca="1">IFERROR(__xludf.DUMMYFUNCTION("""COMPUTED_VALUE"""),30)</f>
        <v>30</v>
      </c>
      <c r="K47" s="51">
        <f t="shared" ca="1" si="2"/>
        <v>1</v>
      </c>
      <c r="L47" s="54">
        <f ca="1">IFERROR(__xludf.DUMMYFUNCTION("""COMPUTED_VALUE"""),14)</f>
        <v>14</v>
      </c>
      <c r="M47" s="51">
        <f t="shared" ca="1" si="3"/>
        <v>0.46666666666666667</v>
      </c>
      <c r="N47" s="54">
        <f ca="1">IFERROR(__xludf.DUMMYFUNCTION("""COMPUTED_VALUE"""),32)</f>
        <v>32</v>
      </c>
      <c r="O47" s="54">
        <f ca="1">IFERROR(__xludf.DUMMYFUNCTION("""COMPUTED_VALUE"""),3)</f>
        <v>3</v>
      </c>
      <c r="P47" s="51">
        <f t="shared" ca="1" si="4"/>
        <v>9.375E-2</v>
      </c>
      <c r="Q47" s="54">
        <f ca="1">IFERROR(__xludf.DUMMYFUNCTION("""COMPUTED_VALUE"""),0)</f>
        <v>0</v>
      </c>
      <c r="R47" s="51">
        <f t="shared" ca="1" si="5"/>
        <v>0</v>
      </c>
      <c r="S47" s="53"/>
      <c r="T47" s="53"/>
      <c r="U47" s="51" t="str">
        <f t="shared" si="6"/>
        <v/>
      </c>
      <c r="V47" s="53"/>
      <c r="W47" s="51" t="str">
        <f t="shared" si="7"/>
        <v/>
      </c>
      <c r="X47" s="53"/>
      <c r="Y47" s="51" t="str">
        <f t="shared" si="8"/>
        <v/>
      </c>
      <c r="Z47" s="2"/>
      <c r="AA47" s="2"/>
      <c r="AB47" s="2"/>
      <c r="AC47" s="2"/>
      <c r="AD47" s="2"/>
      <c r="AE47" s="2"/>
    </row>
    <row r="48" spans="1:31" ht="12.75" x14ac:dyDescent="0.2">
      <c r="A48" s="53">
        <f ca="1">IFERROR(__xludf.DUMMYFUNCTION("""COMPUTED_VALUE"""),43)</f>
        <v>43</v>
      </c>
      <c r="B48" s="53" t="str">
        <f ca="1">IFERROR(__xludf.DUMMYFUNCTION("""COMPUTED_VALUE"""),"MN Mẹ Yêu")</f>
        <v>MN Mẹ Yêu</v>
      </c>
      <c r="C48" s="53" t="str">
        <f ca="1">IFERROR(__xludf.DUMMYFUNCTION("""COMPUTED_VALUE"""),"MN")</f>
        <v>MN</v>
      </c>
      <c r="D48" s="53" t="str">
        <f ca="1">IFERROR(__xludf.DUMMYFUNCTION("""COMPUTED_VALUE"""),"Gò Vấp")</f>
        <v>Gò Vấp</v>
      </c>
      <c r="E48" s="54">
        <f ca="1">IFERROR(__xludf.DUMMYFUNCTION("""COMPUTED_VALUE"""),14)</f>
        <v>14</v>
      </c>
      <c r="F48" s="54">
        <f ca="1">IFERROR(__xludf.DUMMYFUNCTION("""COMPUTED_VALUE"""),14)</f>
        <v>14</v>
      </c>
      <c r="G48" s="51">
        <f t="shared" ca="1" si="0"/>
        <v>1</v>
      </c>
      <c r="H48" s="54">
        <f ca="1">IFERROR(__xludf.DUMMYFUNCTION("""COMPUTED_VALUE"""),14)</f>
        <v>14</v>
      </c>
      <c r="I48" s="51">
        <f t="shared" ca="1" si="1"/>
        <v>1</v>
      </c>
      <c r="J48" s="54">
        <f ca="1">IFERROR(__xludf.DUMMYFUNCTION("""COMPUTED_VALUE"""),14)</f>
        <v>14</v>
      </c>
      <c r="K48" s="51">
        <f t="shared" ca="1" si="2"/>
        <v>1</v>
      </c>
      <c r="L48" s="54">
        <f ca="1">IFERROR(__xludf.DUMMYFUNCTION("""COMPUTED_VALUE"""),10)</f>
        <v>10</v>
      </c>
      <c r="M48" s="51">
        <f t="shared" ca="1" si="3"/>
        <v>0.7142857142857143</v>
      </c>
      <c r="N48" s="54">
        <f ca="1">IFERROR(__xludf.DUMMYFUNCTION("""COMPUTED_VALUE"""),1)</f>
        <v>1</v>
      </c>
      <c r="O48" s="54">
        <f ca="1">IFERROR(__xludf.DUMMYFUNCTION("""COMPUTED_VALUE"""),1)</f>
        <v>1</v>
      </c>
      <c r="P48" s="51">
        <f t="shared" ca="1" si="4"/>
        <v>1</v>
      </c>
      <c r="Q48" s="54">
        <f ca="1">IFERROR(__xludf.DUMMYFUNCTION("""COMPUTED_VALUE"""),0)</f>
        <v>0</v>
      </c>
      <c r="R48" s="51">
        <f t="shared" ca="1" si="5"/>
        <v>0</v>
      </c>
      <c r="S48" s="53"/>
      <c r="T48" s="53"/>
      <c r="U48" s="51" t="str">
        <f t="shared" si="6"/>
        <v/>
      </c>
      <c r="V48" s="53"/>
      <c r="W48" s="51" t="str">
        <f t="shared" si="7"/>
        <v/>
      </c>
      <c r="X48" s="53"/>
      <c r="Y48" s="51" t="str">
        <f t="shared" si="8"/>
        <v/>
      </c>
      <c r="Z48" s="2"/>
      <c r="AA48" s="2"/>
      <c r="AB48" s="2"/>
      <c r="AC48" s="2"/>
      <c r="AD48" s="2"/>
      <c r="AE48" s="2"/>
    </row>
    <row r="49" spans="1:31" ht="12.75" x14ac:dyDescent="0.2">
      <c r="A49" s="53">
        <f ca="1">IFERROR(__xludf.DUMMYFUNCTION("""COMPUTED_VALUE"""),44)</f>
        <v>44</v>
      </c>
      <c r="B49" s="53" t="str">
        <f ca="1">IFERROR(__xludf.DUMMYFUNCTION("""COMPUTED_VALUE"""),"MN Dế Mèn")</f>
        <v>MN Dế Mèn</v>
      </c>
      <c r="C49" s="53" t="str">
        <f ca="1">IFERROR(__xludf.DUMMYFUNCTION("""COMPUTED_VALUE"""),"MN")</f>
        <v>MN</v>
      </c>
      <c r="D49" s="53" t="str">
        <f ca="1">IFERROR(__xludf.DUMMYFUNCTION("""COMPUTED_VALUE"""),"Gò Vấp")</f>
        <v>Gò Vấp</v>
      </c>
      <c r="E49" s="54">
        <f ca="1">IFERROR(__xludf.DUMMYFUNCTION("""COMPUTED_VALUE"""),20)</f>
        <v>20</v>
      </c>
      <c r="F49" s="54">
        <f ca="1">IFERROR(__xludf.DUMMYFUNCTION("""COMPUTED_VALUE"""),20)</f>
        <v>20</v>
      </c>
      <c r="G49" s="51">
        <f t="shared" ca="1" si="0"/>
        <v>1</v>
      </c>
      <c r="H49" s="54">
        <f ca="1">IFERROR(__xludf.DUMMYFUNCTION("""COMPUTED_VALUE"""),20)</f>
        <v>20</v>
      </c>
      <c r="I49" s="51">
        <f t="shared" ca="1" si="1"/>
        <v>1</v>
      </c>
      <c r="J49" s="54">
        <f ca="1">IFERROR(__xludf.DUMMYFUNCTION("""COMPUTED_VALUE"""),17)</f>
        <v>17</v>
      </c>
      <c r="K49" s="51">
        <f t="shared" ca="1" si="2"/>
        <v>0.85</v>
      </c>
      <c r="L49" s="54">
        <f ca="1">IFERROR(__xludf.DUMMYFUNCTION("""COMPUTED_VALUE"""),3)</f>
        <v>3</v>
      </c>
      <c r="M49" s="51">
        <f t="shared" ca="1" si="3"/>
        <v>0.15</v>
      </c>
      <c r="N49" s="54">
        <f ca="1">IFERROR(__xludf.DUMMYFUNCTION("""COMPUTED_VALUE"""),28)</f>
        <v>28</v>
      </c>
      <c r="O49" s="54">
        <f ca="1">IFERROR(__xludf.DUMMYFUNCTION("""COMPUTED_VALUE"""),1)</f>
        <v>1</v>
      </c>
      <c r="P49" s="51">
        <f t="shared" ca="1" si="4"/>
        <v>3.5714285714285712E-2</v>
      </c>
      <c r="Q49" s="54">
        <f ca="1">IFERROR(__xludf.DUMMYFUNCTION("""COMPUTED_VALUE"""),1)</f>
        <v>1</v>
      </c>
      <c r="R49" s="51">
        <f t="shared" ca="1" si="5"/>
        <v>3.5714285714285712E-2</v>
      </c>
      <c r="S49" s="53"/>
      <c r="T49" s="53"/>
      <c r="U49" s="51" t="str">
        <f t="shared" si="6"/>
        <v/>
      </c>
      <c r="V49" s="53"/>
      <c r="W49" s="51" t="str">
        <f t="shared" si="7"/>
        <v/>
      </c>
      <c r="X49" s="53"/>
      <c r="Y49" s="51" t="str">
        <f t="shared" si="8"/>
        <v/>
      </c>
      <c r="Z49" s="2"/>
      <c r="AA49" s="2"/>
      <c r="AB49" s="2"/>
      <c r="AC49" s="2"/>
      <c r="AD49" s="2"/>
      <c r="AE49" s="2"/>
    </row>
    <row r="50" spans="1:31" ht="12.75" x14ac:dyDescent="0.2">
      <c r="A50" s="53">
        <f ca="1">IFERROR(__xludf.DUMMYFUNCTION("""COMPUTED_VALUE"""),45)</f>
        <v>45</v>
      </c>
      <c r="B50" s="53" t="str">
        <f ca="1">IFERROR(__xludf.DUMMYFUNCTION("""COMPUTED_VALUE"""),"MN Việt Âu")</f>
        <v>MN Việt Âu</v>
      </c>
      <c r="C50" s="53" t="str">
        <f ca="1">IFERROR(__xludf.DUMMYFUNCTION("""COMPUTED_VALUE"""),"MN")</f>
        <v>MN</v>
      </c>
      <c r="D50" s="53" t="str">
        <f ca="1">IFERROR(__xludf.DUMMYFUNCTION("""COMPUTED_VALUE"""),"Gò Vấp")</f>
        <v>Gò Vấp</v>
      </c>
      <c r="E50" s="54">
        <f ca="1">IFERROR(__xludf.DUMMYFUNCTION("""COMPUTED_VALUE"""),33)</f>
        <v>33</v>
      </c>
      <c r="F50" s="54">
        <f ca="1">IFERROR(__xludf.DUMMYFUNCTION("""COMPUTED_VALUE"""),33)</f>
        <v>33</v>
      </c>
      <c r="G50" s="51">
        <f t="shared" ca="1" si="0"/>
        <v>1</v>
      </c>
      <c r="H50" s="54">
        <f ca="1">IFERROR(__xludf.DUMMYFUNCTION("""COMPUTED_VALUE"""),33)</f>
        <v>33</v>
      </c>
      <c r="I50" s="51">
        <f t="shared" ca="1" si="1"/>
        <v>1</v>
      </c>
      <c r="J50" s="54">
        <f ca="1">IFERROR(__xludf.DUMMYFUNCTION("""COMPUTED_VALUE"""),33)</f>
        <v>33</v>
      </c>
      <c r="K50" s="51">
        <f t="shared" ca="1" si="2"/>
        <v>1</v>
      </c>
      <c r="L50" s="54">
        <f ca="1">IFERROR(__xludf.DUMMYFUNCTION("""COMPUTED_VALUE"""),6)</f>
        <v>6</v>
      </c>
      <c r="M50" s="51">
        <f t="shared" ca="1" si="3"/>
        <v>0.18181818181818182</v>
      </c>
      <c r="N50" s="54">
        <f ca="1">IFERROR(__xludf.DUMMYFUNCTION("""COMPUTED_VALUE"""),11)</f>
        <v>11</v>
      </c>
      <c r="O50" s="54">
        <f ca="1">IFERROR(__xludf.DUMMYFUNCTION("""COMPUTED_VALUE"""),1)</f>
        <v>1</v>
      </c>
      <c r="P50" s="51">
        <f t="shared" ca="1" si="4"/>
        <v>9.0909090909090912E-2</v>
      </c>
      <c r="Q50" s="54">
        <f ca="1">IFERROR(__xludf.DUMMYFUNCTION("""COMPUTED_VALUE"""),1)</f>
        <v>1</v>
      </c>
      <c r="R50" s="51">
        <f t="shared" ca="1" si="5"/>
        <v>9.0909090909090912E-2</v>
      </c>
      <c r="S50" s="53"/>
      <c r="T50" s="53"/>
      <c r="U50" s="51" t="str">
        <f t="shared" si="6"/>
        <v/>
      </c>
      <c r="V50" s="53"/>
      <c r="W50" s="51" t="str">
        <f t="shared" si="7"/>
        <v/>
      </c>
      <c r="X50" s="53"/>
      <c r="Y50" s="51" t="str">
        <f t="shared" si="8"/>
        <v/>
      </c>
      <c r="Z50" s="2"/>
      <c r="AA50" s="2"/>
      <c r="AB50" s="2"/>
      <c r="AC50" s="2"/>
      <c r="AD50" s="2"/>
      <c r="AE50" s="2"/>
    </row>
    <row r="51" spans="1:31" ht="12.75" x14ac:dyDescent="0.2">
      <c r="A51" s="53">
        <f ca="1">IFERROR(__xludf.DUMMYFUNCTION("""COMPUTED_VALUE"""),46)</f>
        <v>46</v>
      </c>
      <c r="B51" s="53" t="str">
        <f ca="1">IFERROR(__xludf.DUMMYFUNCTION("""COMPUTED_VALUE"""),"MN SOS")</f>
        <v>MN SOS</v>
      </c>
      <c r="C51" s="53" t="str">
        <f ca="1">IFERROR(__xludf.DUMMYFUNCTION("""COMPUTED_VALUE"""),"MN")</f>
        <v>MN</v>
      </c>
      <c r="D51" s="53" t="str">
        <f ca="1">IFERROR(__xludf.DUMMYFUNCTION("""COMPUTED_VALUE"""),"Gò Vấp")</f>
        <v>Gò Vấp</v>
      </c>
      <c r="E51" s="54">
        <f ca="1">IFERROR(__xludf.DUMMYFUNCTION("""COMPUTED_VALUE"""),17)</f>
        <v>17</v>
      </c>
      <c r="F51" s="54">
        <f ca="1">IFERROR(__xludf.DUMMYFUNCTION("""COMPUTED_VALUE"""),17)</f>
        <v>17</v>
      </c>
      <c r="G51" s="51">
        <f t="shared" ca="1" si="0"/>
        <v>1</v>
      </c>
      <c r="H51" s="54">
        <f ca="1">IFERROR(__xludf.DUMMYFUNCTION("""COMPUTED_VALUE"""),17)</f>
        <v>17</v>
      </c>
      <c r="I51" s="51">
        <f t="shared" ca="1" si="1"/>
        <v>1</v>
      </c>
      <c r="J51" s="54">
        <f ca="1">IFERROR(__xludf.DUMMYFUNCTION("""COMPUTED_VALUE"""),17)</f>
        <v>17</v>
      </c>
      <c r="K51" s="51">
        <f t="shared" ca="1" si="2"/>
        <v>1</v>
      </c>
      <c r="L51" s="54">
        <f ca="1">IFERROR(__xludf.DUMMYFUNCTION("""COMPUTED_VALUE"""),4)</f>
        <v>4</v>
      </c>
      <c r="M51" s="51">
        <f t="shared" ca="1" si="3"/>
        <v>0.23529411764705882</v>
      </c>
      <c r="N51" s="54">
        <f ca="1">IFERROR(__xludf.DUMMYFUNCTION("""COMPUTED_VALUE"""),94)</f>
        <v>94</v>
      </c>
      <c r="O51" s="54">
        <f ca="1">IFERROR(__xludf.DUMMYFUNCTION("""COMPUTED_VALUE"""),24)</f>
        <v>24</v>
      </c>
      <c r="P51" s="51">
        <f t="shared" ca="1" si="4"/>
        <v>0.25531914893617019</v>
      </c>
      <c r="Q51" s="54">
        <f ca="1">IFERROR(__xludf.DUMMYFUNCTION("""COMPUTED_VALUE"""),19)</f>
        <v>19</v>
      </c>
      <c r="R51" s="51">
        <f t="shared" ca="1" si="5"/>
        <v>0.20212765957446807</v>
      </c>
      <c r="S51" s="53"/>
      <c r="T51" s="53"/>
      <c r="U51" s="51" t="str">
        <f t="shared" si="6"/>
        <v/>
      </c>
      <c r="V51" s="53"/>
      <c r="W51" s="51" t="str">
        <f t="shared" si="7"/>
        <v/>
      </c>
      <c r="X51" s="53"/>
      <c r="Y51" s="51" t="str">
        <f t="shared" si="8"/>
        <v/>
      </c>
      <c r="Z51" s="2"/>
      <c r="AA51" s="2"/>
      <c r="AB51" s="2"/>
      <c r="AC51" s="2"/>
      <c r="AD51" s="2"/>
      <c r="AE51" s="2"/>
    </row>
    <row r="52" spans="1:31" ht="12.75" x14ac:dyDescent="0.2">
      <c r="A52" s="53">
        <f ca="1">IFERROR(__xludf.DUMMYFUNCTION("""COMPUTED_VALUE"""),47)</f>
        <v>47</v>
      </c>
      <c r="B52" s="53" t="str">
        <f ca="1">IFERROR(__xludf.DUMMYFUNCTION("""COMPUTED_VALUE"""),"MN Mỹ Sơn")</f>
        <v>MN Mỹ Sơn</v>
      </c>
      <c r="C52" s="53" t="str">
        <f ca="1">IFERROR(__xludf.DUMMYFUNCTION("""COMPUTED_VALUE"""),"MN")</f>
        <v>MN</v>
      </c>
      <c r="D52" s="53" t="str">
        <f ca="1">IFERROR(__xludf.DUMMYFUNCTION("""COMPUTED_VALUE"""),"Gò Vấp")</f>
        <v>Gò Vấp</v>
      </c>
      <c r="E52" s="54">
        <f ca="1">IFERROR(__xludf.DUMMYFUNCTION("""COMPUTED_VALUE"""),44)</f>
        <v>44</v>
      </c>
      <c r="F52" s="54">
        <f ca="1">IFERROR(__xludf.DUMMYFUNCTION("""COMPUTED_VALUE"""),44)</f>
        <v>44</v>
      </c>
      <c r="G52" s="51">
        <f t="shared" ca="1" si="0"/>
        <v>1</v>
      </c>
      <c r="H52" s="54">
        <f ca="1">IFERROR(__xludf.DUMMYFUNCTION("""COMPUTED_VALUE"""),44)</f>
        <v>44</v>
      </c>
      <c r="I52" s="51">
        <f t="shared" ca="1" si="1"/>
        <v>1</v>
      </c>
      <c r="J52" s="54">
        <f ca="1">IFERROR(__xludf.DUMMYFUNCTION("""COMPUTED_VALUE"""),44)</f>
        <v>44</v>
      </c>
      <c r="K52" s="51">
        <f t="shared" ca="1" si="2"/>
        <v>1</v>
      </c>
      <c r="L52" s="54">
        <f ca="1">IFERROR(__xludf.DUMMYFUNCTION("""COMPUTED_VALUE"""),12)</f>
        <v>12</v>
      </c>
      <c r="M52" s="51">
        <f t="shared" ca="1" si="3"/>
        <v>0.27272727272727271</v>
      </c>
      <c r="N52" s="54">
        <f ca="1">IFERROR(__xludf.DUMMYFUNCTION("""COMPUTED_VALUE"""),127)</f>
        <v>127</v>
      </c>
      <c r="O52" s="54">
        <f ca="1">IFERROR(__xludf.DUMMYFUNCTION("""COMPUTED_VALUE"""),5)</f>
        <v>5</v>
      </c>
      <c r="P52" s="51">
        <f t="shared" ca="1" si="4"/>
        <v>3.937007874015748E-2</v>
      </c>
      <c r="Q52" s="54">
        <f ca="1">IFERROR(__xludf.DUMMYFUNCTION("""COMPUTED_VALUE"""),3)</f>
        <v>3</v>
      </c>
      <c r="R52" s="51">
        <f t="shared" ca="1" si="5"/>
        <v>2.3622047244094488E-2</v>
      </c>
      <c r="S52" s="53"/>
      <c r="T52" s="53"/>
      <c r="U52" s="51" t="str">
        <f t="shared" si="6"/>
        <v/>
      </c>
      <c r="V52" s="53"/>
      <c r="W52" s="51" t="str">
        <f t="shared" si="7"/>
        <v/>
      </c>
      <c r="X52" s="53"/>
      <c r="Y52" s="51" t="str">
        <f t="shared" si="8"/>
        <v/>
      </c>
      <c r="Z52" s="2"/>
      <c r="AA52" s="2"/>
      <c r="AB52" s="2"/>
      <c r="AC52" s="2"/>
      <c r="AD52" s="2"/>
      <c r="AE52" s="2"/>
    </row>
    <row r="53" spans="1:31" ht="12.75" x14ac:dyDescent="0.2">
      <c r="A53" s="53">
        <f ca="1">IFERROR(__xludf.DUMMYFUNCTION("""COMPUTED_VALUE"""),48)</f>
        <v>48</v>
      </c>
      <c r="B53" s="53" t="str">
        <f ca="1">IFERROR(__xludf.DUMMYFUNCTION("""COMPUTED_VALUE"""),"MN Mai Khôi")</f>
        <v>MN Mai Khôi</v>
      </c>
      <c r="C53" s="53" t="str">
        <f ca="1">IFERROR(__xludf.DUMMYFUNCTION("""COMPUTED_VALUE"""),"MN")</f>
        <v>MN</v>
      </c>
      <c r="D53" s="53" t="str">
        <f ca="1">IFERROR(__xludf.DUMMYFUNCTION("""COMPUTED_VALUE"""),"Gò Vấp")</f>
        <v>Gò Vấp</v>
      </c>
      <c r="E53" s="54">
        <f ca="1">IFERROR(__xludf.DUMMYFUNCTION("""COMPUTED_VALUE"""),69)</f>
        <v>69</v>
      </c>
      <c r="F53" s="54">
        <f ca="1">IFERROR(__xludf.DUMMYFUNCTION("""COMPUTED_VALUE"""),69)</f>
        <v>69</v>
      </c>
      <c r="G53" s="51">
        <f t="shared" ca="1" si="0"/>
        <v>1</v>
      </c>
      <c r="H53" s="54">
        <f ca="1">IFERROR(__xludf.DUMMYFUNCTION("""COMPUTED_VALUE"""),69)</f>
        <v>69</v>
      </c>
      <c r="I53" s="51">
        <f t="shared" ca="1" si="1"/>
        <v>1</v>
      </c>
      <c r="J53" s="54">
        <f ca="1">IFERROR(__xludf.DUMMYFUNCTION("""COMPUTED_VALUE"""),66)</f>
        <v>66</v>
      </c>
      <c r="K53" s="51">
        <f t="shared" ca="1" si="2"/>
        <v>0.95652173913043481</v>
      </c>
      <c r="L53" s="54">
        <f ca="1">IFERROR(__xludf.DUMMYFUNCTION("""COMPUTED_VALUE"""),4)</f>
        <v>4</v>
      </c>
      <c r="M53" s="51">
        <f t="shared" ca="1" si="3"/>
        <v>5.7971014492753624E-2</v>
      </c>
      <c r="N53" s="54">
        <f ca="1">IFERROR(__xludf.DUMMYFUNCTION("""COMPUTED_VALUE"""),315)</f>
        <v>315</v>
      </c>
      <c r="O53" s="54">
        <f ca="1">IFERROR(__xludf.DUMMYFUNCTION("""COMPUTED_VALUE"""),45)</f>
        <v>45</v>
      </c>
      <c r="P53" s="51">
        <f t="shared" ca="1" si="4"/>
        <v>0.14285714285714285</v>
      </c>
      <c r="Q53" s="54">
        <f ca="1">IFERROR(__xludf.DUMMYFUNCTION("""COMPUTED_VALUE"""),40)</f>
        <v>40</v>
      </c>
      <c r="R53" s="51">
        <f t="shared" ca="1" si="5"/>
        <v>0.12698412698412698</v>
      </c>
      <c r="S53" s="53"/>
      <c r="T53" s="53"/>
      <c r="U53" s="51" t="str">
        <f t="shared" si="6"/>
        <v/>
      </c>
      <c r="V53" s="53"/>
      <c r="W53" s="51" t="str">
        <f t="shared" si="7"/>
        <v/>
      </c>
      <c r="X53" s="53"/>
      <c r="Y53" s="51" t="str">
        <f t="shared" si="8"/>
        <v/>
      </c>
      <c r="Z53" s="2"/>
      <c r="AA53" s="2"/>
      <c r="AB53" s="2"/>
      <c r="AC53" s="2"/>
      <c r="AD53" s="2"/>
      <c r="AE53" s="2"/>
    </row>
    <row r="54" spans="1:31" ht="12.75" x14ac:dyDescent="0.2">
      <c r="A54" s="53">
        <f ca="1">IFERROR(__xludf.DUMMYFUNCTION("""COMPUTED_VALUE"""),49)</f>
        <v>49</v>
      </c>
      <c r="B54" s="53"/>
      <c r="C54" s="53"/>
      <c r="D54" s="53" t="str">
        <f ca="1">IFERROR(__xludf.DUMMYFUNCTION("""COMPUTED_VALUE"""),"Gò Vấp")</f>
        <v>Gò Vấp</v>
      </c>
      <c r="E54" s="54">
        <f ca="1">IFERROR(__xludf.DUMMYFUNCTION("""COMPUTED_VALUE"""),11)</f>
        <v>11</v>
      </c>
      <c r="F54" s="54">
        <f ca="1">IFERROR(__xludf.DUMMYFUNCTION("""COMPUTED_VALUE"""),11)</f>
        <v>11</v>
      </c>
      <c r="G54" s="51">
        <f t="shared" ca="1" si="0"/>
        <v>1</v>
      </c>
      <c r="H54" s="54">
        <f ca="1">IFERROR(__xludf.DUMMYFUNCTION("""COMPUTED_VALUE"""),11)</f>
        <v>11</v>
      </c>
      <c r="I54" s="51">
        <f t="shared" ca="1" si="1"/>
        <v>1</v>
      </c>
      <c r="J54" s="54">
        <f ca="1">IFERROR(__xludf.DUMMYFUNCTION("""COMPUTED_VALUE"""),11)</f>
        <v>11</v>
      </c>
      <c r="K54" s="51">
        <f t="shared" ca="1" si="2"/>
        <v>1</v>
      </c>
      <c r="L54" s="54">
        <f ca="1">IFERROR(__xludf.DUMMYFUNCTION("""COMPUTED_VALUE"""),2)</f>
        <v>2</v>
      </c>
      <c r="M54" s="51">
        <f t="shared" ca="1" si="3"/>
        <v>0.18181818181818182</v>
      </c>
      <c r="N54" s="54">
        <f ca="1">IFERROR(__xludf.DUMMYFUNCTION("""COMPUTED_VALUE"""),15)</f>
        <v>15</v>
      </c>
      <c r="O54" s="54">
        <f ca="1">IFERROR(__xludf.DUMMYFUNCTION("""COMPUTED_VALUE"""),1)</f>
        <v>1</v>
      </c>
      <c r="P54" s="51">
        <f t="shared" ca="1" si="4"/>
        <v>6.6666666666666666E-2</v>
      </c>
      <c r="Q54" s="54">
        <f ca="1">IFERROR(__xludf.DUMMYFUNCTION("""COMPUTED_VALUE"""),1)</f>
        <v>1</v>
      </c>
      <c r="R54" s="51">
        <f t="shared" ca="1" si="5"/>
        <v>6.6666666666666666E-2</v>
      </c>
      <c r="S54" s="53"/>
      <c r="T54" s="53"/>
      <c r="U54" s="51" t="str">
        <f t="shared" si="6"/>
        <v/>
      </c>
      <c r="V54" s="53"/>
      <c r="W54" s="51" t="str">
        <f t="shared" si="7"/>
        <v/>
      </c>
      <c r="X54" s="53"/>
      <c r="Y54" s="51" t="str">
        <f t="shared" si="8"/>
        <v/>
      </c>
      <c r="Z54" s="2"/>
      <c r="AA54" s="2"/>
      <c r="AB54" s="2"/>
      <c r="AC54" s="2"/>
      <c r="AD54" s="2"/>
      <c r="AE54" s="2"/>
    </row>
    <row r="55" spans="1:31" ht="12.75" x14ac:dyDescent="0.2">
      <c r="A55" s="53">
        <f ca="1">IFERROR(__xludf.DUMMYFUNCTION("""COMPUTED_VALUE"""),50)</f>
        <v>50</v>
      </c>
      <c r="B55" s="53" t="str">
        <f ca="1">IFERROR(__xludf.DUMMYFUNCTION("""COMPUTED_VALUE"""),"MN Vườn Cổ Tích")</f>
        <v>MN Vườn Cổ Tích</v>
      </c>
      <c r="C55" s="53" t="str">
        <f ca="1">IFERROR(__xludf.DUMMYFUNCTION("""COMPUTED_VALUE"""),"MN")</f>
        <v>MN</v>
      </c>
      <c r="D55" s="53" t="str">
        <f ca="1">IFERROR(__xludf.DUMMYFUNCTION("""COMPUTED_VALUE"""),"Gò Vấp")</f>
        <v>Gò Vấp</v>
      </c>
      <c r="E55" s="54">
        <f ca="1">IFERROR(__xludf.DUMMYFUNCTION("""COMPUTED_VALUE"""),13)</f>
        <v>13</v>
      </c>
      <c r="F55" s="54">
        <f ca="1">IFERROR(__xludf.DUMMYFUNCTION("""COMPUTED_VALUE"""),13)</f>
        <v>13</v>
      </c>
      <c r="G55" s="51">
        <f t="shared" ca="1" si="0"/>
        <v>1</v>
      </c>
      <c r="H55" s="54">
        <f ca="1">IFERROR(__xludf.DUMMYFUNCTION("""COMPUTED_VALUE"""),13)</f>
        <v>13</v>
      </c>
      <c r="I55" s="51">
        <f t="shared" ca="1" si="1"/>
        <v>1</v>
      </c>
      <c r="J55" s="54">
        <f ca="1">IFERROR(__xludf.DUMMYFUNCTION("""COMPUTED_VALUE"""),13)</f>
        <v>13</v>
      </c>
      <c r="K55" s="51">
        <f t="shared" ca="1" si="2"/>
        <v>1</v>
      </c>
      <c r="L55" s="54">
        <f ca="1">IFERROR(__xludf.DUMMYFUNCTION("""COMPUTED_VALUE"""),1)</f>
        <v>1</v>
      </c>
      <c r="M55" s="51">
        <f t="shared" ca="1" si="3"/>
        <v>7.6923076923076927E-2</v>
      </c>
      <c r="N55" s="54">
        <f ca="1">IFERROR(__xludf.DUMMYFUNCTION("""COMPUTED_VALUE"""),20)</f>
        <v>20</v>
      </c>
      <c r="O55" s="54">
        <f ca="1">IFERROR(__xludf.DUMMYFUNCTION("""COMPUTED_VALUE"""),5)</f>
        <v>5</v>
      </c>
      <c r="P55" s="51">
        <f t="shared" ca="1" si="4"/>
        <v>0.25</v>
      </c>
      <c r="Q55" s="54">
        <f ca="1">IFERROR(__xludf.DUMMYFUNCTION("""COMPUTED_VALUE"""),0)</f>
        <v>0</v>
      </c>
      <c r="R55" s="51">
        <f t="shared" ca="1" si="5"/>
        <v>0</v>
      </c>
      <c r="S55" s="53"/>
      <c r="T55" s="53"/>
      <c r="U55" s="51" t="str">
        <f t="shared" si="6"/>
        <v/>
      </c>
      <c r="V55" s="53"/>
      <c r="W55" s="51" t="str">
        <f t="shared" si="7"/>
        <v/>
      </c>
      <c r="X55" s="53"/>
      <c r="Y55" s="51" t="str">
        <f t="shared" si="8"/>
        <v/>
      </c>
      <c r="Z55" s="2"/>
      <c r="AA55" s="2"/>
      <c r="AB55" s="2"/>
      <c r="AC55" s="2"/>
      <c r="AD55" s="2"/>
      <c r="AE55" s="2"/>
    </row>
    <row r="56" spans="1:31" ht="12.75" x14ac:dyDescent="0.2">
      <c r="A56" s="53">
        <f ca="1">IFERROR(__xludf.DUMMYFUNCTION("""COMPUTED_VALUE"""),51)</f>
        <v>51</v>
      </c>
      <c r="B56" s="53" t="str">
        <f ca="1">IFERROR(__xludf.DUMMYFUNCTION("""COMPUTED_VALUE"""),"MN Thế Giới Trẻ Thơ")</f>
        <v>MN Thế Giới Trẻ Thơ</v>
      </c>
      <c r="C56" s="53" t="str">
        <f ca="1">IFERROR(__xludf.DUMMYFUNCTION("""COMPUTED_VALUE"""),"MN")</f>
        <v>MN</v>
      </c>
      <c r="D56" s="53" t="str">
        <f ca="1">IFERROR(__xludf.DUMMYFUNCTION("""COMPUTED_VALUE"""),"Gò Vấp")</f>
        <v>Gò Vấp</v>
      </c>
      <c r="E56" s="54">
        <f ca="1">IFERROR(__xludf.DUMMYFUNCTION("""COMPUTED_VALUE"""),20)</f>
        <v>20</v>
      </c>
      <c r="F56" s="54">
        <f ca="1">IFERROR(__xludf.DUMMYFUNCTION("""COMPUTED_VALUE"""),20)</f>
        <v>20</v>
      </c>
      <c r="G56" s="51">
        <f t="shared" ca="1" si="0"/>
        <v>1</v>
      </c>
      <c r="H56" s="54">
        <f ca="1">IFERROR(__xludf.DUMMYFUNCTION("""COMPUTED_VALUE"""),20)</f>
        <v>20</v>
      </c>
      <c r="I56" s="51">
        <f t="shared" ca="1" si="1"/>
        <v>1</v>
      </c>
      <c r="J56" s="54">
        <f ca="1">IFERROR(__xludf.DUMMYFUNCTION("""COMPUTED_VALUE"""),20)</f>
        <v>20</v>
      </c>
      <c r="K56" s="51">
        <f t="shared" ca="1" si="2"/>
        <v>1</v>
      </c>
      <c r="L56" s="54">
        <f ca="1">IFERROR(__xludf.DUMMYFUNCTION("""COMPUTED_VALUE"""),4)</f>
        <v>4</v>
      </c>
      <c r="M56" s="51">
        <f t="shared" ca="1" si="3"/>
        <v>0.2</v>
      </c>
      <c r="N56" s="54">
        <f ca="1">IFERROR(__xludf.DUMMYFUNCTION("""COMPUTED_VALUE"""),86)</f>
        <v>86</v>
      </c>
      <c r="O56" s="54">
        <f ca="1">IFERROR(__xludf.DUMMYFUNCTION("""COMPUTED_VALUE"""),6)</f>
        <v>6</v>
      </c>
      <c r="P56" s="51">
        <f t="shared" ca="1" si="4"/>
        <v>6.9767441860465115E-2</v>
      </c>
      <c r="Q56" s="54">
        <f ca="1">IFERROR(__xludf.DUMMYFUNCTION("""COMPUTED_VALUE"""),0)</f>
        <v>0</v>
      </c>
      <c r="R56" s="51">
        <f t="shared" ca="1" si="5"/>
        <v>0</v>
      </c>
      <c r="S56" s="53"/>
      <c r="T56" s="53"/>
      <c r="U56" s="51" t="str">
        <f t="shared" si="6"/>
        <v/>
      </c>
      <c r="V56" s="53"/>
      <c r="W56" s="51" t="str">
        <f t="shared" si="7"/>
        <v/>
      </c>
      <c r="X56" s="53"/>
      <c r="Y56" s="51" t="str">
        <f t="shared" si="8"/>
        <v/>
      </c>
      <c r="Z56" s="2"/>
      <c r="AA56" s="2"/>
      <c r="AB56" s="2"/>
      <c r="AC56" s="2"/>
      <c r="AD56" s="2"/>
      <c r="AE56" s="2"/>
    </row>
    <row r="57" spans="1:31" ht="12.75" x14ac:dyDescent="0.2">
      <c r="A57" s="53">
        <f ca="1">IFERROR(__xludf.DUMMYFUNCTION("""COMPUTED_VALUE"""),52)</f>
        <v>52</v>
      </c>
      <c r="B57" s="53" t="str">
        <f ca="1">IFERROR(__xludf.DUMMYFUNCTION("""COMPUTED_VALUE"""),"MN Hạnh Phúc")</f>
        <v>MN Hạnh Phúc</v>
      </c>
      <c r="C57" s="53" t="str">
        <f ca="1">IFERROR(__xludf.DUMMYFUNCTION("""COMPUTED_VALUE"""),"MN")</f>
        <v>MN</v>
      </c>
      <c r="D57" s="53" t="str">
        <f ca="1">IFERROR(__xludf.DUMMYFUNCTION("""COMPUTED_VALUE"""),"Gò Vấp")</f>
        <v>Gò Vấp</v>
      </c>
      <c r="E57" s="54">
        <f ca="1">IFERROR(__xludf.DUMMYFUNCTION("""COMPUTED_VALUE"""),16)</f>
        <v>16</v>
      </c>
      <c r="F57" s="54">
        <f ca="1">IFERROR(__xludf.DUMMYFUNCTION("""COMPUTED_VALUE"""),16)</f>
        <v>16</v>
      </c>
      <c r="G57" s="51">
        <f t="shared" ca="1" si="0"/>
        <v>1</v>
      </c>
      <c r="H57" s="54">
        <f ca="1">IFERROR(__xludf.DUMMYFUNCTION("""COMPUTED_VALUE"""),16)</f>
        <v>16</v>
      </c>
      <c r="I57" s="51">
        <f t="shared" ca="1" si="1"/>
        <v>1</v>
      </c>
      <c r="J57" s="54">
        <f ca="1">IFERROR(__xludf.DUMMYFUNCTION("""COMPUTED_VALUE"""),14)</f>
        <v>14</v>
      </c>
      <c r="K57" s="51">
        <f t="shared" ca="1" si="2"/>
        <v>0.875</v>
      </c>
      <c r="L57" s="54">
        <f ca="1">IFERROR(__xludf.DUMMYFUNCTION("""COMPUTED_VALUE"""),1)</f>
        <v>1</v>
      </c>
      <c r="M57" s="51">
        <f t="shared" ca="1" si="3"/>
        <v>6.25E-2</v>
      </c>
      <c r="N57" s="54">
        <f ca="1">IFERROR(__xludf.DUMMYFUNCTION("""COMPUTED_VALUE"""),20)</f>
        <v>20</v>
      </c>
      <c r="O57" s="54">
        <f ca="1">IFERROR(__xludf.DUMMYFUNCTION("""COMPUTED_VALUE"""),1)</f>
        <v>1</v>
      </c>
      <c r="P57" s="51">
        <f t="shared" ca="1" si="4"/>
        <v>0.05</v>
      </c>
      <c r="Q57" s="54">
        <f ca="1">IFERROR(__xludf.DUMMYFUNCTION("""COMPUTED_VALUE"""),1)</f>
        <v>1</v>
      </c>
      <c r="R57" s="51">
        <f t="shared" ca="1" si="5"/>
        <v>0.05</v>
      </c>
      <c r="S57" s="53"/>
      <c r="T57" s="53"/>
      <c r="U57" s="51" t="str">
        <f t="shared" si="6"/>
        <v/>
      </c>
      <c r="V57" s="53"/>
      <c r="W57" s="51" t="str">
        <f t="shared" si="7"/>
        <v/>
      </c>
      <c r="X57" s="53"/>
      <c r="Y57" s="51" t="str">
        <f t="shared" si="8"/>
        <v/>
      </c>
      <c r="Z57" s="2"/>
      <c r="AA57" s="2"/>
      <c r="AB57" s="2"/>
      <c r="AC57" s="2"/>
      <c r="AD57" s="2"/>
      <c r="AE57" s="2"/>
    </row>
    <row r="58" spans="1:31" ht="12.75" x14ac:dyDescent="0.2">
      <c r="A58" s="53">
        <f ca="1">IFERROR(__xludf.DUMMYFUNCTION("""COMPUTED_VALUE"""),53)</f>
        <v>53</v>
      </c>
      <c r="B58" s="53" t="str">
        <f ca="1">IFERROR(__xludf.DUMMYFUNCTION("""COMPUTED_VALUE"""),"MN Ngôi Sao Tuổi Thơ")</f>
        <v>MN Ngôi Sao Tuổi Thơ</v>
      </c>
      <c r="C58" s="53" t="str">
        <f ca="1">IFERROR(__xludf.DUMMYFUNCTION("""COMPUTED_VALUE"""),"MN")</f>
        <v>MN</v>
      </c>
      <c r="D58" s="53" t="str">
        <f ca="1">IFERROR(__xludf.DUMMYFUNCTION("""COMPUTED_VALUE"""),"Gò Vấp")</f>
        <v>Gò Vấp</v>
      </c>
      <c r="E58" s="54">
        <f ca="1">IFERROR(__xludf.DUMMYFUNCTION("""COMPUTED_VALUE"""),18)</f>
        <v>18</v>
      </c>
      <c r="F58" s="54">
        <f ca="1">IFERROR(__xludf.DUMMYFUNCTION("""COMPUTED_VALUE"""),18)</f>
        <v>18</v>
      </c>
      <c r="G58" s="51">
        <f t="shared" ca="1" si="0"/>
        <v>1</v>
      </c>
      <c r="H58" s="54">
        <f ca="1">IFERROR(__xludf.DUMMYFUNCTION("""COMPUTED_VALUE"""),18)</f>
        <v>18</v>
      </c>
      <c r="I58" s="51">
        <f t="shared" ca="1" si="1"/>
        <v>1</v>
      </c>
      <c r="J58" s="54">
        <f ca="1">IFERROR(__xludf.DUMMYFUNCTION("""COMPUTED_VALUE"""),18)</f>
        <v>18</v>
      </c>
      <c r="K58" s="51">
        <f t="shared" ca="1" si="2"/>
        <v>1</v>
      </c>
      <c r="L58" s="54">
        <f ca="1">IFERROR(__xludf.DUMMYFUNCTION("""COMPUTED_VALUE"""),2)</f>
        <v>2</v>
      </c>
      <c r="M58" s="51">
        <f t="shared" ca="1" si="3"/>
        <v>0.1111111111111111</v>
      </c>
      <c r="N58" s="54">
        <f ca="1">IFERROR(__xludf.DUMMYFUNCTION("""COMPUTED_VALUE"""),9)</f>
        <v>9</v>
      </c>
      <c r="O58" s="54">
        <f ca="1">IFERROR(__xludf.DUMMYFUNCTION("""COMPUTED_VALUE"""),1)</f>
        <v>1</v>
      </c>
      <c r="P58" s="51">
        <f t="shared" ca="1" si="4"/>
        <v>0.1111111111111111</v>
      </c>
      <c r="Q58" s="54">
        <f ca="1">IFERROR(__xludf.DUMMYFUNCTION("""COMPUTED_VALUE"""),0)</f>
        <v>0</v>
      </c>
      <c r="R58" s="51">
        <f t="shared" ca="1" si="5"/>
        <v>0</v>
      </c>
      <c r="S58" s="53"/>
      <c r="T58" s="53"/>
      <c r="U58" s="51" t="str">
        <f t="shared" si="6"/>
        <v/>
      </c>
      <c r="V58" s="53"/>
      <c r="W58" s="51" t="str">
        <f t="shared" si="7"/>
        <v/>
      </c>
      <c r="X58" s="53"/>
      <c r="Y58" s="51" t="str">
        <f t="shared" si="8"/>
        <v/>
      </c>
      <c r="Z58" s="2"/>
      <c r="AA58" s="2"/>
      <c r="AB58" s="2"/>
      <c r="AC58" s="2"/>
      <c r="AD58" s="2"/>
      <c r="AE58" s="2"/>
    </row>
    <row r="59" spans="1:31" ht="12.75" x14ac:dyDescent="0.2">
      <c r="A59" s="53">
        <f ca="1">IFERROR(__xludf.DUMMYFUNCTION("""COMPUTED_VALUE"""),54)</f>
        <v>54</v>
      </c>
      <c r="B59" s="53" t="str">
        <f ca="1">IFERROR(__xludf.DUMMYFUNCTION("""COMPUTED_VALUE"""),"MN Mạ Non")</f>
        <v>MN Mạ Non</v>
      </c>
      <c r="C59" s="53" t="str">
        <f ca="1">IFERROR(__xludf.DUMMYFUNCTION("""COMPUTED_VALUE"""),"MN")</f>
        <v>MN</v>
      </c>
      <c r="D59" s="53" t="str">
        <f ca="1">IFERROR(__xludf.DUMMYFUNCTION("""COMPUTED_VALUE"""),"Gò Vấp")</f>
        <v>Gò Vấp</v>
      </c>
      <c r="E59" s="54">
        <f ca="1">IFERROR(__xludf.DUMMYFUNCTION("""COMPUTED_VALUE"""),11)</f>
        <v>11</v>
      </c>
      <c r="F59" s="54">
        <f ca="1">IFERROR(__xludf.DUMMYFUNCTION("""COMPUTED_VALUE"""),11)</f>
        <v>11</v>
      </c>
      <c r="G59" s="51">
        <f t="shared" ca="1" si="0"/>
        <v>1</v>
      </c>
      <c r="H59" s="54">
        <f ca="1">IFERROR(__xludf.DUMMYFUNCTION("""COMPUTED_VALUE"""),11)</f>
        <v>11</v>
      </c>
      <c r="I59" s="51">
        <f t="shared" ca="1" si="1"/>
        <v>1</v>
      </c>
      <c r="J59" s="54">
        <f ca="1">IFERROR(__xludf.DUMMYFUNCTION("""COMPUTED_VALUE"""),11)</f>
        <v>11</v>
      </c>
      <c r="K59" s="51">
        <f t="shared" ca="1" si="2"/>
        <v>1</v>
      </c>
      <c r="L59" s="54">
        <f ca="1">IFERROR(__xludf.DUMMYFUNCTION("""COMPUTED_VALUE"""),3)</f>
        <v>3</v>
      </c>
      <c r="M59" s="51">
        <f t="shared" ca="1" si="3"/>
        <v>0.27272727272727271</v>
      </c>
      <c r="N59" s="54">
        <f ca="1">IFERROR(__xludf.DUMMYFUNCTION("""COMPUTED_VALUE"""),15)</f>
        <v>15</v>
      </c>
      <c r="O59" s="54">
        <f ca="1">IFERROR(__xludf.DUMMYFUNCTION("""COMPUTED_VALUE"""),2)</f>
        <v>2</v>
      </c>
      <c r="P59" s="51">
        <f t="shared" ca="1" si="4"/>
        <v>0.13333333333333333</v>
      </c>
      <c r="Q59" s="54">
        <f ca="1">IFERROR(__xludf.DUMMYFUNCTION("""COMPUTED_VALUE"""),2)</f>
        <v>2</v>
      </c>
      <c r="R59" s="51">
        <f t="shared" ca="1" si="5"/>
        <v>0.13333333333333333</v>
      </c>
      <c r="S59" s="53"/>
      <c r="T59" s="53"/>
      <c r="U59" s="51" t="str">
        <f t="shared" si="6"/>
        <v/>
      </c>
      <c r="V59" s="53"/>
      <c r="W59" s="51" t="str">
        <f t="shared" si="7"/>
        <v/>
      </c>
      <c r="X59" s="53"/>
      <c r="Y59" s="51" t="str">
        <f t="shared" si="8"/>
        <v/>
      </c>
      <c r="Z59" s="2"/>
      <c r="AA59" s="2"/>
      <c r="AB59" s="2"/>
      <c r="AC59" s="2"/>
      <c r="AD59" s="2"/>
      <c r="AE59" s="2"/>
    </row>
    <row r="60" spans="1:31" ht="12.75" x14ac:dyDescent="0.2">
      <c r="A60" s="53">
        <f ca="1">IFERROR(__xludf.DUMMYFUNCTION("""COMPUTED_VALUE"""),55)</f>
        <v>55</v>
      </c>
      <c r="B60" s="53" t="str">
        <f ca="1">IFERROR(__xludf.DUMMYFUNCTION("""COMPUTED_VALUE"""),"MN Hồng Ân")</f>
        <v>MN Hồng Ân</v>
      </c>
      <c r="C60" s="53" t="str">
        <f ca="1">IFERROR(__xludf.DUMMYFUNCTION("""COMPUTED_VALUE"""),"MN")</f>
        <v>MN</v>
      </c>
      <c r="D60" s="53" t="str">
        <f ca="1">IFERROR(__xludf.DUMMYFUNCTION("""COMPUTED_VALUE"""),"Gò Vấp")</f>
        <v>Gò Vấp</v>
      </c>
      <c r="E60" s="54">
        <f ca="1">IFERROR(__xludf.DUMMYFUNCTION("""COMPUTED_VALUE"""),60)</f>
        <v>60</v>
      </c>
      <c r="F60" s="54">
        <f ca="1">IFERROR(__xludf.DUMMYFUNCTION("""COMPUTED_VALUE"""),60)</f>
        <v>60</v>
      </c>
      <c r="G60" s="51">
        <f t="shared" ca="1" si="0"/>
        <v>1</v>
      </c>
      <c r="H60" s="54">
        <f ca="1">IFERROR(__xludf.DUMMYFUNCTION("""COMPUTED_VALUE"""),60)</f>
        <v>60</v>
      </c>
      <c r="I60" s="51">
        <f t="shared" ca="1" si="1"/>
        <v>1</v>
      </c>
      <c r="J60" s="54">
        <f ca="1">IFERROR(__xludf.DUMMYFUNCTION("""COMPUTED_VALUE"""),60)</f>
        <v>60</v>
      </c>
      <c r="K60" s="51">
        <f t="shared" ca="1" si="2"/>
        <v>1</v>
      </c>
      <c r="L60" s="54">
        <f ca="1">IFERROR(__xludf.DUMMYFUNCTION("""COMPUTED_VALUE"""),16)</f>
        <v>16</v>
      </c>
      <c r="M60" s="51">
        <f t="shared" ca="1" si="3"/>
        <v>0.26666666666666666</v>
      </c>
      <c r="N60" s="54">
        <f ca="1">IFERROR(__xludf.DUMMYFUNCTION("""COMPUTED_VALUE"""),196)</f>
        <v>196</v>
      </c>
      <c r="O60" s="54">
        <f ca="1">IFERROR(__xludf.DUMMYFUNCTION("""COMPUTED_VALUE"""),16)</f>
        <v>16</v>
      </c>
      <c r="P60" s="51">
        <f t="shared" ca="1" si="4"/>
        <v>8.1632653061224483E-2</v>
      </c>
      <c r="Q60" s="54">
        <f ca="1">IFERROR(__xludf.DUMMYFUNCTION("""COMPUTED_VALUE"""),16)</f>
        <v>16</v>
      </c>
      <c r="R60" s="51">
        <f t="shared" ca="1" si="5"/>
        <v>8.1632653061224483E-2</v>
      </c>
      <c r="S60" s="53"/>
      <c r="T60" s="53"/>
      <c r="U60" s="51" t="str">
        <f t="shared" si="6"/>
        <v/>
      </c>
      <c r="V60" s="53"/>
      <c r="W60" s="51" t="str">
        <f t="shared" si="7"/>
        <v/>
      </c>
      <c r="X60" s="53"/>
      <c r="Y60" s="51" t="str">
        <f t="shared" si="8"/>
        <v/>
      </c>
      <c r="Z60" s="2"/>
      <c r="AA60" s="2"/>
      <c r="AB60" s="2"/>
      <c r="AC60" s="2"/>
      <c r="AD60" s="2"/>
      <c r="AE60" s="2"/>
    </row>
    <row r="61" spans="1:31" ht="12.75" x14ac:dyDescent="0.2">
      <c r="A61" s="53">
        <f ca="1">IFERROR(__xludf.DUMMYFUNCTION("""COMPUTED_VALUE"""),56)</f>
        <v>56</v>
      </c>
      <c r="B61" s="53" t="str">
        <f ca="1">IFERROR(__xludf.DUMMYFUNCTION("""COMPUTED_VALUE"""),"MN Duy An")</f>
        <v>MN Duy An</v>
      </c>
      <c r="C61" s="53" t="str">
        <f ca="1">IFERROR(__xludf.DUMMYFUNCTION("""COMPUTED_VALUE"""),"MN")</f>
        <v>MN</v>
      </c>
      <c r="D61" s="53" t="str">
        <f ca="1">IFERROR(__xludf.DUMMYFUNCTION("""COMPUTED_VALUE"""),"Gò Vấp")</f>
        <v>Gò Vấp</v>
      </c>
      <c r="E61" s="54">
        <f ca="1">IFERROR(__xludf.DUMMYFUNCTION("""COMPUTED_VALUE"""),62)</f>
        <v>62</v>
      </c>
      <c r="F61" s="54">
        <f ca="1">IFERROR(__xludf.DUMMYFUNCTION("""COMPUTED_VALUE"""),62)</f>
        <v>62</v>
      </c>
      <c r="G61" s="51">
        <f t="shared" ca="1" si="0"/>
        <v>1</v>
      </c>
      <c r="H61" s="54">
        <f ca="1">IFERROR(__xludf.DUMMYFUNCTION("""COMPUTED_VALUE"""),62)</f>
        <v>62</v>
      </c>
      <c r="I61" s="51">
        <f t="shared" ca="1" si="1"/>
        <v>1</v>
      </c>
      <c r="J61" s="54">
        <f ca="1">IFERROR(__xludf.DUMMYFUNCTION("""COMPUTED_VALUE"""),59)</f>
        <v>59</v>
      </c>
      <c r="K61" s="51">
        <f t="shared" ca="1" si="2"/>
        <v>0.95161290322580649</v>
      </c>
      <c r="L61" s="54">
        <f ca="1">IFERROR(__xludf.DUMMYFUNCTION("""COMPUTED_VALUE"""),6)</f>
        <v>6</v>
      </c>
      <c r="M61" s="51">
        <f t="shared" ca="1" si="3"/>
        <v>9.6774193548387094E-2</v>
      </c>
      <c r="N61" s="54">
        <f ca="1">IFERROR(__xludf.DUMMYFUNCTION("""COMPUTED_VALUE"""),144)</f>
        <v>144</v>
      </c>
      <c r="O61" s="54">
        <f ca="1">IFERROR(__xludf.DUMMYFUNCTION("""COMPUTED_VALUE"""),7)</f>
        <v>7</v>
      </c>
      <c r="P61" s="51">
        <f t="shared" ca="1" si="4"/>
        <v>4.8611111111111112E-2</v>
      </c>
      <c r="Q61" s="54">
        <f ca="1">IFERROR(__xludf.DUMMYFUNCTION("""COMPUTED_VALUE"""),6)</f>
        <v>6</v>
      </c>
      <c r="R61" s="51">
        <f t="shared" ca="1" si="5"/>
        <v>4.1666666666666664E-2</v>
      </c>
      <c r="S61" s="53"/>
      <c r="T61" s="53"/>
      <c r="U61" s="51" t="str">
        <f t="shared" si="6"/>
        <v/>
      </c>
      <c r="V61" s="53"/>
      <c r="W61" s="51" t="str">
        <f t="shared" si="7"/>
        <v/>
      </c>
      <c r="X61" s="53"/>
      <c r="Y61" s="51" t="str">
        <f t="shared" si="8"/>
        <v/>
      </c>
      <c r="Z61" s="2"/>
      <c r="AA61" s="2"/>
      <c r="AB61" s="2"/>
      <c r="AC61" s="2"/>
      <c r="AD61" s="2"/>
      <c r="AE61" s="2"/>
    </row>
    <row r="62" spans="1:31" ht="12.75" x14ac:dyDescent="0.2">
      <c r="A62" s="53">
        <f ca="1">IFERROR(__xludf.DUMMYFUNCTION("""COMPUTED_VALUE"""),57)</f>
        <v>57</v>
      </c>
      <c r="B62" s="53" t="str">
        <f ca="1">IFERROR(__xludf.DUMMYFUNCTION("""COMPUTED_VALUE"""),"MN Phần Lan Nhỏ")</f>
        <v>MN Phần Lan Nhỏ</v>
      </c>
      <c r="C62" s="53" t="str">
        <f ca="1">IFERROR(__xludf.DUMMYFUNCTION("""COMPUTED_VALUE"""),"MN")</f>
        <v>MN</v>
      </c>
      <c r="D62" s="53" t="str">
        <f ca="1">IFERROR(__xludf.DUMMYFUNCTION("""COMPUTED_VALUE"""),"Gò Vấp")</f>
        <v>Gò Vấp</v>
      </c>
      <c r="E62" s="54">
        <f ca="1">IFERROR(__xludf.DUMMYFUNCTION("""COMPUTED_VALUE"""),14)</f>
        <v>14</v>
      </c>
      <c r="F62" s="54">
        <f ca="1">IFERROR(__xludf.DUMMYFUNCTION("""COMPUTED_VALUE"""),14)</f>
        <v>14</v>
      </c>
      <c r="G62" s="51">
        <f t="shared" ca="1" si="0"/>
        <v>1</v>
      </c>
      <c r="H62" s="54">
        <f ca="1">IFERROR(__xludf.DUMMYFUNCTION("""COMPUTED_VALUE"""),14)</f>
        <v>14</v>
      </c>
      <c r="I62" s="51">
        <f t="shared" ca="1" si="1"/>
        <v>1</v>
      </c>
      <c r="J62" s="54">
        <f ca="1">IFERROR(__xludf.DUMMYFUNCTION("""COMPUTED_VALUE"""),14)</f>
        <v>14</v>
      </c>
      <c r="K62" s="51">
        <f t="shared" ca="1" si="2"/>
        <v>1</v>
      </c>
      <c r="L62" s="54">
        <f ca="1">IFERROR(__xludf.DUMMYFUNCTION("""COMPUTED_VALUE"""),2)</f>
        <v>2</v>
      </c>
      <c r="M62" s="51">
        <f t="shared" ca="1" si="3"/>
        <v>0.14285714285714285</v>
      </c>
      <c r="N62" s="54">
        <f ca="1">IFERROR(__xludf.DUMMYFUNCTION("""COMPUTED_VALUE"""),90)</f>
        <v>90</v>
      </c>
      <c r="O62" s="54">
        <f ca="1">IFERROR(__xludf.DUMMYFUNCTION("""COMPUTED_VALUE"""),1)</f>
        <v>1</v>
      </c>
      <c r="P62" s="51">
        <f t="shared" ca="1" si="4"/>
        <v>1.1111111111111112E-2</v>
      </c>
      <c r="Q62" s="54">
        <f ca="1">IFERROR(__xludf.DUMMYFUNCTION("""COMPUTED_VALUE"""),1)</f>
        <v>1</v>
      </c>
      <c r="R62" s="51">
        <f t="shared" ca="1" si="5"/>
        <v>1.1111111111111112E-2</v>
      </c>
      <c r="S62" s="53"/>
      <c r="T62" s="53"/>
      <c r="U62" s="51" t="str">
        <f t="shared" si="6"/>
        <v/>
      </c>
      <c r="V62" s="53"/>
      <c r="W62" s="51" t="str">
        <f t="shared" si="7"/>
        <v/>
      </c>
      <c r="X62" s="53"/>
      <c r="Y62" s="51" t="str">
        <f t="shared" si="8"/>
        <v/>
      </c>
      <c r="Z62" s="2"/>
      <c r="AA62" s="2"/>
      <c r="AB62" s="2"/>
      <c r="AC62" s="2"/>
      <c r="AD62" s="2"/>
      <c r="AE62" s="2"/>
    </row>
    <row r="63" spans="1:31" ht="12.75" x14ac:dyDescent="0.2">
      <c r="A63" s="53">
        <f ca="1">IFERROR(__xludf.DUMMYFUNCTION("""COMPUTED_VALUE"""),58)</f>
        <v>58</v>
      </c>
      <c r="B63" s="53" t="str">
        <f ca="1">IFERROR(__xludf.DUMMYFUNCTION("""COMPUTED_VALUE"""),"MN Mai Hương")</f>
        <v>MN Mai Hương</v>
      </c>
      <c r="C63" s="53" t="str">
        <f ca="1">IFERROR(__xludf.DUMMYFUNCTION("""COMPUTED_VALUE"""),"MN")</f>
        <v>MN</v>
      </c>
      <c r="D63" s="53" t="str">
        <f ca="1">IFERROR(__xludf.DUMMYFUNCTION("""COMPUTED_VALUE"""),"Gò Vấp")</f>
        <v>Gò Vấp</v>
      </c>
      <c r="E63" s="54">
        <f ca="1">IFERROR(__xludf.DUMMYFUNCTION("""COMPUTED_VALUE"""),27)</f>
        <v>27</v>
      </c>
      <c r="F63" s="54">
        <f ca="1">IFERROR(__xludf.DUMMYFUNCTION("""COMPUTED_VALUE"""),27)</f>
        <v>27</v>
      </c>
      <c r="G63" s="51">
        <f t="shared" ca="1" si="0"/>
        <v>1</v>
      </c>
      <c r="H63" s="54">
        <f ca="1">IFERROR(__xludf.DUMMYFUNCTION("""COMPUTED_VALUE"""),27)</f>
        <v>27</v>
      </c>
      <c r="I63" s="51">
        <f t="shared" ca="1" si="1"/>
        <v>1</v>
      </c>
      <c r="J63" s="54">
        <f ca="1">IFERROR(__xludf.DUMMYFUNCTION("""COMPUTED_VALUE"""),24)</f>
        <v>24</v>
      </c>
      <c r="K63" s="51">
        <f t="shared" ca="1" si="2"/>
        <v>0.88888888888888884</v>
      </c>
      <c r="L63" s="54">
        <f ca="1">IFERROR(__xludf.DUMMYFUNCTION("""COMPUTED_VALUE"""),2)</f>
        <v>2</v>
      </c>
      <c r="M63" s="51">
        <f t="shared" ca="1" si="3"/>
        <v>7.407407407407407E-2</v>
      </c>
      <c r="N63" s="54">
        <f ca="1">IFERROR(__xludf.DUMMYFUNCTION("""COMPUTED_VALUE"""),55)</f>
        <v>55</v>
      </c>
      <c r="O63" s="54">
        <f ca="1">IFERROR(__xludf.DUMMYFUNCTION("""COMPUTED_VALUE"""),5)</f>
        <v>5</v>
      </c>
      <c r="P63" s="51">
        <f t="shared" ca="1" si="4"/>
        <v>9.0909090909090912E-2</v>
      </c>
      <c r="Q63" s="54">
        <f ca="1">IFERROR(__xludf.DUMMYFUNCTION("""COMPUTED_VALUE"""),2)</f>
        <v>2</v>
      </c>
      <c r="R63" s="51">
        <f t="shared" ca="1" si="5"/>
        <v>3.6363636363636362E-2</v>
      </c>
      <c r="S63" s="53"/>
      <c r="T63" s="53"/>
      <c r="U63" s="51" t="str">
        <f t="shared" si="6"/>
        <v/>
      </c>
      <c r="V63" s="53"/>
      <c r="W63" s="51" t="str">
        <f t="shared" si="7"/>
        <v/>
      </c>
      <c r="X63" s="53"/>
      <c r="Y63" s="51" t="str">
        <f t="shared" si="8"/>
        <v/>
      </c>
      <c r="Z63" s="2"/>
      <c r="AA63" s="2"/>
      <c r="AB63" s="2"/>
      <c r="AC63" s="2"/>
      <c r="AD63" s="2"/>
      <c r="AE63" s="2"/>
    </row>
    <row r="64" spans="1:31" ht="12.75" x14ac:dyDescent="0.2">
      <c r="A64" s="53">
        <f ca="1">IFERROR(__xludf.DUMMYFUNCTION("""COMPUTED_VALUE"""),59)</f>
        <v>59</v>
      </c>
      <c r="B64" s="53" t="str">
        <f ca="1">IFERROR(__xludf.DUMMYFUNCTION("""COMPUTED_VALUE"""),"MN Việt Đức")</f>
        <v>MN Việt Đức</v>
      </c>
      <c r="C64" s="53" t="str">
        <f ca="1">IFERROR(__xludf.DUMMYFUNCTION("""COMPUTED_VALUE"""),"MN")</f>
        <v>MN</v>
      </c>
      <c r="D64" s="53" t="str">
        <f ca="1">IFERROR(__xludf.DUMMYFUNCTION("""COMPUTED_VALUE"""),"Gò Vấp")</f>
        <v>Gò Vấp</v>
      </c>
      <c r="E64" s="54">
        <f ca="1">IFERROR(__xludf.DUMMYFUNCTION("""COMPUTED_VALUE"""),11)</f>
        <v>11</v>
      </c>
      <c r="F64" s="54">
        <f ca="1">IFERROR(__xludf.DUMMYFUNCTION("""COMPUTED_VALUE"""),11)</f>
        <v>11</v>
      </c>
      <c r="G64" s="51">
        <f t="shared" ca="1" si="0"/>
        <v>1</v>
      </c>
      <c r="H64" s="54">
        <f ca="1">IFERROR(__xludf.DUMMYFUNCTION("""COMPUTED_VALUE"""),11)</f>
        <v>11</v>
      </c>
      <c r="I64" s="51">
        <f t="shared" ca="1" si="1"/>
        <v>1</v>
      </c>
      <c r="J64" s="54">
        <f ca="1">IFERROR(__xludf.DUMMYFUNCTION("""COMPUTED_VALUE"""),11)</f>
        <v>11</v>
      </c>
      <c r="K64" s="51">
        <f t="shared" ca="1" si="2"/>
        <v>1</v>
      </c>
      <c r="L64" s="54">
        <f ca="1">IFERROR(__xludf.DUMMYFUNCTION("""COMPUTED_VALUE"""),2)</f>
        <v>2</v>
      </c>
      <c r="M64" s="51">
        <f t="shared" ca="1" si="3"/>
        <v>0.18181818181818182</v>
      </c>
      <c r="N64" s="54">
        <f ca="1">IFERROR(__xludf.DUMMYFUNCTION("""COMPUTED_VALUE"""),7)</f>
        <v>7</v>
      </c>
      <c r="O64" s="54">
        <f ca="1">IFERROR(__xludf.DUMMYFUNCTION("""COMPUTED_VALUE"""),1)</f>
        <v>1</v>
      </c>
      <c r="P64" s="51">
        <f t="shared" ca="1" si="4"/>
        <v>0.14285714285714285</v>
      </c>
      <c r="Q64" s="54">
        <f ca="1">IFERROR(__xludf.DUMMYFUNCTION("""COMPUTED_VALUE"""),0)</f>
        <v>0</v>
      </c>
      <c r="R64" s="51">
        <f t="shared" ca="1" si="5"/>
        <v>0</v>
      </c>
      <c r="S64" s="53"/>
      <c r="T64" s="53"/>
      <c r="U64" s="51" t="str">
        <f t="shared" si="6"/>
        <v/>
      </c>
      <c r="V64" s="53"/>
      <c r="W64" s="51" t="str">
        <f t="shared" si="7"/>
        <v/>
      </c>
      <c r="X64" s="53"/>
      <c r="Y64" s="51" t="str">
        <f t="shared" si="8"/>
        <v/>
      </c>
      <c r="Z64" s="2"/>
      <c r="AA64" s="2"/>
      <c r="AB64" s="2"/>
      <c r="AC64" s="2"/>
      <c r="AD64" s="2"/>
      <c r="AE64" s="2"/>
    </row>
    <row r="65" spans="1:31" ht="12.75" x14ac:dyDescent="0.2">
      <c r="A65" s="53">
        <f ca="1">IFERROR(__xludf.DUMMYFUNCTION("""COMPUTED_VALUE"""),60)</f>
        <v>60</v>
      </c>
      <c r="B65" s="53" t="str">
        <f ca="1">IFERROR(__xludf.DUMMYFUNCTION("""COMPUTED_VALUE"""),"MN Phi Thuyền APollo")</f>
        <v>MN Phi Thuyền APollo</v>
      </c>
      <c r="C65" s="53" t="str">
        <f ca="1">IFERROR(__xludf.DUMMYFUNCTION("""COMPUTED_VALUE"""),"MN")</f>
        <v>MN</v>
      </c>
      <c r="D65" s="53" t="str">
        <f ca="1">IFERROR(__xludf.DUMMYFUNCTION("""COMPUTED_VALUE"""),"Gò Vấp")</f>
        <v>Gò Vấp</v>
      </c>
      <c r="E65" s="53">
        <f ca="1">IFERROR(__xludf.DUMMYFUNCTION("""COMPUTED_VALUE"""),15)</f>
        <v>15</v>
      </c>
      <c r="F65" s="53">
        <f ca="1">IFERROR(__xludf.DUMMYFUNCTION("""COMPUTED_VALUE"""),15)</f>
        <v>15</v>
      </c>
      <c r="G65" s="51">
        <f t="shared" ca="1" si="0"/>
        <v>1</v>
      </c>
      <c r="H65" s="53">
        <f ca="1">IFERROR(__xludf.DUMMYFUNCTION("""COMPUTED_VALUE"""),15)</f>
        <v>15</v>
      </c>
      <c r="I65" s="51">
        <f t="shared" ca="1" si="1"/>
        <v>1</v>
      </c>
      <c r="J65" s="53">
        <f ca="1">IFERROR(__xludf.DUMMYFUNCTION("""COMPUTED_VALUE"""),15)</f>
        <v>15</v>
      </c>
      <c r="K65" s="51">
        <f t="shared" ca="1" si="2"/>
        <v>1</v>
      </c>
      <c r="L65" s="53">
        <f ca="1">IFERROR(__xludf.DUMMYFUNCTION("""COMPUTED_VALUE"""),1)</f>
        <v>1</v>
      </c>
      <c r="M65" s="51">
        <f t="shared" ca="1" si="3"/>
        <v>6.6666666666666666E-2</v>
      </c>
      <c r="N65" s="54">
        <f ca="1">IFERROR(__xludf.DUMMYFUNCTION("""COMPUTED_VALUE"""),15)</f>
        <v>15</v>
      </c>
      <c r="O65" s="54">
        <f ca="1">IFERROR(__xludf.DUMMYFUNCTION("""COMPUTED_VALUE"""),1)</f>
        <v>1</v>
      </c>
      <c r="P65" s="51">
        <f t="shared" ca="1" si="4"/>
        <v>6.6666666666666666E-2</v>
      </c>
      <c r="Q65" s="54">
        <f ca="1">IFERROR(__xludf.DUMMYFUNCTION("""COMPUTED_VALUE"""),0)</f>
        <v>0</v>
      </c>
      <c r="R65" s="51">
        <f t="shared" ca="1" si="5"/>
        <v>0</v>
      </c>
      <c r="S65" s="53"/>
      <c r="T65" s="53"/>
      <c r="U65" s="51" t="str">
        <f t="shared" si="6"/>
        <v/>
      </c>
      <c r="V65" s="53"/>
      <c r="W65" s="51" t="str">
        <f t="shared" si="7"/>
        <v/>
      </c>
      <c r="X65" s="53"/>
      <c r="Y65" s="51" t="str">
        <f t="shared" si="8"/>
        <v/>
      </c>
      <c r="Z65" s="2"/>
      <c r="AA65" s="2"/>
      <c r="AB65" s="2"/>
      <c r="AC65" s="2"/>
      <c r="AD65" s="2"/>
      <c r="AE65" s="2"/>
    </row>
    <row r="66" spans="1:31" ht="12.75" x14ac:dyDescent="0.2">
      <c r="A66" s="53">
        <f ca="1">IFERROR(__xludf.DUMMYFUNCTION("""COMPUTED_VALUE"""),61)</f>
        <v>61</v>
      </c>
      <c r="B66" s="53"/>
      <c r="C66" s="53"/>
      <c r="D66" s="53" t="str">
        <f ca="1">IFERROR(__xludf.DUMMYFUNCTION("""COMPUTED_VALUE"""),"Gò Vấp")</f>
        <v>Gò Vấp</v>
      </c>
      <c r="E66" s="54">
        <f ca="1">IFERROR(__xludf.DUMMYFUNCTION("""COMPUTED_VALUE"""),40)</f>
        <v>40</v>
      </c>
      <c r="F66" s="54">
        <f ca="1">IFERROR(__xludf.DUMMYFUNCTION("""COMPUTED_VALUE"""),40)</f>
        <v>40</v>
      </c>
      <c r="G66" s="51">
        <f t="shared" ca="1" si="0"/>
        <v>1</v>
      </c>
      <c r="H66" s="54">
        <f ca="1">IFERROR(__xludf.DUMMYFUNCTION("""COMPUTED_VALUE"""),40)</f>
        <v>40</v>
      </c>
      <c r="I66" s="51">
        <f t="shared" ca="1" si="1"/>
        <v>1</v>
      </c>
      <c r="J66" s="54">
        <f ca="1">IFERROR(__xludf.DUMMYFUNCTION("""COMPUTED_VALUE"""),40)</f>
        <v>40</v>
      </c>
      <c r="K66" s="51">
        <f t="shared" ca="1" si="2"/>
        <v>1</v>
      </c>
      <c r="L66" s="54">
        <f ca="1">IFERROR(__xludf.DUMMYFUNCTION("""COMPUTED_VALUE"""),7)</f>
        <v>7</v>
      </c>
      <c r="M66" s="51">
        <f t="shared" ca="1" si="3"/>
        <v>0.17499999999999999</v>
      </c>
      <c r="N66" s="54">
        <f ca="1">IFERROR(__xludf.DUMMYFUNCTION("""COMPUTED_VALUE"""),63)</f>
        <v>63</v>
      </c>
      <c r="O66" s="54">
        <f ca="1">IFERROR(__xludf.DUMMYFUNCTION("""COMPUTED_VALUE"""),1)</f>
        <v>1</v>
      </c>
      <c r="P66" s="51">
        <f t="shared" ca="1" si="4"/>
        <v>1.5873015873015872E-2</v>
      </c>
      <c r="Q66" s="54">
        <f ca="1">IFERROR(__xludf.DUMMYFUNCTION("""COMPUTED_VALUE"""),0)</f>
        <v>0</v>
      </c>
      <c r="R66" s="51">
        <f t="shared" ca="1" si="5"/>
        <v>0</v>
      </c>
      <c r="S66" s="53"/>
      <c r="T66" s="53"/>
      <c r="U66" s="51" t="str">
        <f t="shared" si="6"/>
        <v/>
      </c>
      <c r="V66" s="53"/>
      <c r="W66" s="51" t="str">
        <f t="shared" si="7"/>
        <v/>
      </c>
      <c r="X66" s="53"/>
      <c r="Y66" s="51" t="str">
        <f t="shared" si="8"/>
        <v/>
      </c>
      <c r="Z66" s="2"/>
      <c r="AA66" s="2"/>
      <c r="AB66" s="2"/>
      <c r="AC66" s="2"/>
      <c r="AD66" s="2"/>
      <c r="AE66" s="2"/>
    </row>
    <row r="67" spans="1:31" ht="12.75" x14ac:dyDescent="0.2">
      <c r="A67" s="53">
        <f ca="1">IFERROR(__xludf.DUMMYFUNCTION("""COMPUTED_VALUE"""),62)</f>
        <v>62</v>
      </c>
      <c r="B67" s="53" t="str">
        <f ca="1">IFERROR(__xludf.DUMMYFUNCTION("""COMPUTED_VALUE"""),"MN Bé Xu Ka")</f>
        <v>MN Bé Xu Ka</v>
      </c>
      <c r="C67" s="53" t="str">
        <f ca="1">IFERROR(__xludf.DUMMYFUNCTION("""COMPUTED_VALUE"""),"MN")</f>
        <v>MN</v>
      </c>
      <c r="D67" s="53" t="str">
        <f ca="1">IFERROR(__xludf.DUMMYFUNCTION("""COMPUTED_VALUE"""),"Gò Vấp")</f>
        <v>Gò Vấp</v>
      </c>
      <c r="E67" s="54">
        <f ca="1">IFERROR(__xludf.DUMMYFUNCTION("""COMPUTED_VALUE"""),13)</f>
        <v>13</v>
      </c>
      <c r="F67" s="54">
        <f ca="1">IFERROR(__xludf.DUMMYFUNCTION("""COMPUTED_VALUE"""),13)</f>
        <v>13</v>
      </c>
      <c r="G67" s="51">
        <f t="shared" ca="1" si="0"/>
        <v>1</v>
      </c>
      <c r="H67" s="54">
        <f ca="1">IFERROR(__xludf.DUMMYFUNCTION("""COMPUTED_VALUE"""),13)</f>
        <v>13</v>
      </c>
      <c r="I67" s="51">
        <f t="shared" ca="1" si="1"/>
        <v>1</v>
      </c>
      <c r="J67" s="54">
        <f ca="1">IFERROR(__xludf.DUMMYFUNCTION("""COMPUTED_VALUE"""),13)</f>
        <v>13</v>
      </c>
      <c r="K67" s="51">
        <f t="shared" ca="1" si="2"/>
        <v>1</v>
      </c>
      <c r="L67" s="54">
        <f ca="1">IFERROR(__xludf.DUMMYFUNCTION("""COMPUTED_VALUE"""),1)</f>
        <v>1</v>
      </c>
      <c r="M67" s="51">
        <f t="shared" ca="1" si="3"/>
        <v>7.6923076923076927E-2</v>
      </c>
      <c r="N67" s="54">
        <f ca="1">IFERROR(__xludf.DUMMYFUNCTION("""COMPUTED_VALUE"""),40)</f>
        <v>40</v>
      </c>
      <c r="O67" s="54">
        <f ca="1">IFERROR(__xludf.DUMMYFUNCTION("""COMPUTED_VALUE"""),2)</f>
        <v>2</v>
      </c>
      <c r="P67" s="51">
        <f t="shared" ca="1" si="4"/>
        <v>0.05</v>
      </c>
      <c r="Q67" s="54">
        <f ca="1">IFERROR(__xludf.DUMMYFUNCTION("""COMPUTED_VALUE"""),2)</f>
        <v>2</v>
      </c>
      <c r="R67" s="51">
        <f t="shared" ca="1" si="5"/>
        <v>0.05</v>
      </c>
      <c r="S67" s="53"/>
      <c r="T67" s="53"/>
      <c r="U67" s="51" t="str">
        <f t="shared" si="6"/>
        <v/>
      </c>
      <c r="V67" s="53"/>
      <c r="W67" s="51" t="str">
        <f t="shared" si="7"/>
        <v/>
      </c>
      <c r="X67" s="53"/>
      <c r="Y67" s="51" t="str">
        <f t="shared" si="8"/>
        <v/>
      </c>
      <c r="Z67" s="2"/>
      <c r="AA67" s="2"/>
      <c r="AB67" s="2"/>
      <c r="AC67" s="2"/>
      <c r="AD67" s="2"/>
      <c r="AE67" s="2"/>
    </row>
    <row r="68" spans="1:31" ht="12.75" x14ac:dyDescent="0.2">
      <c r="A68" s="53">
        <f ca="1">IFERROR(__xludf.DUMMYFUNCTION("""COMPUTED_VALUE"""),63)</f>
        <v>63</v>
      </c>
      <c r="B68" s="53" t="str">
        <f ca="1">IFERROR(__xludf.DUMMYFUNCTION("""COMPUTED_VALUE"""),"MN Dâu Tây")</f>
        <v>MN Dâu Tây</v>
      </c>
      <c r="C68" s="53" t="str">
        <f ca="1">IFERROR(__xludf.DUMMYFUNCTION("""COMPUTED_VALUE"""),"MN")</f>
        <v>MN</v>
      </c>
      <c r="D68" s="53" t="str">
        <f ca="1">IFERROR(__xludf.DUMMYFUNCTION("""COMPUTED_VALUE"""),"Gò Vấp")</f>
        <v>Gò Vấp</v>
      </c>
      <c r="E68" s="54">
        <f ca="1">IFERROR(__xludf.DUMMYFUNCTION("""COMPUTED_VALUE"""),9)</f>
        <v>9</v>
      </c>
      <c r="F68" s="54">
        <f ca="1">IFERROR(__xludf.DUMMYFUNCTION("""COMPUTED_VALUE"""),9)</f>
        <v>9</v>
      </c>
      <c r="G68" s="51">
        <f t="shared" ca="1" si="0"/>
        <v>1</v>
      </c>
      <c r="H68" s="54">
        <f ca="1">IFERROR(__xludf.DUMMYFUNCTION("""COMPUTED_VALUE"""),9)</f>
        <v>9</v>
      </c>
      <c r="I68" s="51">
        <f t="shared" ca="1" si="1"/>
        <v>1</v>
      </c>
      <c r="J68" s="54">
        <f ca="1">IFERROR(__xludf.DUMMYFUNCTION("""COMPUTED_VALUE"""),9)</f>
        <v>9</v>
      </c>
      <c r="K68" s="51">
        <f t="shared" ca="1" si="2"/>
        <v>1</v>
      </c>
      <c r="L68" s="54">
        <f ca="1">IFERROR(__xludf.DUMMYFUNCTION("""COMPUTED_VALUE"""),1)</f>
        <v>1</v>
      </c>
      <c r="M68" s="51">
        <f t="shared" ca="1" si="3"/>
        <v>0.1111111111111111</v>
      </c>
      <c r="N68" s="54">
        <f ca="1">IFERROR(__xludf.DUMMYFUNCTION("""COMPUTED_VALUE"""),40)</f>
        <v>40</v>
      </c>
      <c r="O68" s="54">
        <f ca="1">IFERROR(__xludf.DUMMYFUNCTION("""COMPUTED_VALUE"""),1)</f>
        <v>1</v>
      </c>
      <c r="P68" s="51">
        <f t="shared" ca="1" si="4"/>
        <v>2.5000000000000001E-2</v>
      </c>
      <c r="Q68" s="54">
        <f ca="1">IFERROR(__xludf.DUMMYFUNCTION("""COMPUTED_VALUE"""),0)</f>
        <v>0</v>
      </c>
      <c r="R68" s="51">
        <f t="shared" ca="1" si="5"/>
        <v>0</v>
      </c>
      <c r="S68" s="53"/>
      <c r="T68" s="53"/>
      <c r="U68" s="51" t="str">
        <f t="shared" si="6"/>
        <v/>
      </c>
      <c r="V68" s="53"/>
      <c r="W68" s="51" t="str">
        <f t="shared" si="7"/>
        <v/>
      </c>
      <c r="X68" s="53"/>
      <c r="Y68" s="51" t="str">
        <f t="shared" si="8"/>
        <v/>
      </c>
      <c r="Z68" s="2"/>
      <c r="AA68" s="2"/>
      <c r="AB68" s="2"/>
      <c r="AC68" s="2"/>
      <c r="AD68" s="2"/>
      <c r="AE68" s="2"/>
    </row>
    <row r="69" spans="1:31" ht="12.75" x14ac:dyDescent="0.2">
      <c r="A69" s="53">
        <f ca="1">IFERROR(__xludf.DUMMYFUNCTION("""COMPUTED_VALUE"""),64)</f>
        <v>64</v>
      </c>
      <c r="B69" s="53" t="str">
        <f ca="1">IFERROR(__xludf.DUMMYFUNCTION("""COMPUTED_VALUE"""),"MN Tâm Toàn Cầu")</f>
        <v>MN Tâm Toàn Cầu</v>
      </c>
      <c r="C69" s="53" t="str">
        <f ca="1">IFERROR(__xludf.DUMMYFUNCTION("""COMPUTED_VALUE"""),"MN")</f>
        <v>MN</v>
      </c>
      <c r="D69" s="53" t="str">
        <f ca="1">IFERROR(__xludf.DUMMYFUNCTION("""COMPUTED_VALUE"""),"Gò Vấp")</f>
        <v>Gò Vấp</v>
      </c>
      <c r="E69" s="54">
        <f ca="1">IFERROR(__xludf.DUMMYFUNCTION("""COMPUTED_VALUE"""),13)</f>
        <v>13</v>
      </c>
      <c r="F69" s="54">
        <f ca="1">IFERROR(__xludf.DUMMYFUNCTION("""COMPUTED_VALUE"""),13)</f>
        <v>13</v>
      </c>
      <c r="G69" s="51">
        <f t="shared" ca="1" si="0"/>
        <v>1</v>
      </c>
      <c r="H69" s="54">
        <f ca="1">IFERROR(__xludf.DUMMYFUNCTION("""COMPUTED_VALUE"""),13)</f>
        <v>13</v>
      </c>
      <c r="I69" s="51">
        <f t="shared" ca="1" si="1"/>
        <v>1</v>
      </c>
      <c r="J69" s="54">
        <f ca="1">IFERROR(__xludf.DUMMYFUNCTION("""COMPUTED_VALUE"""),13)</f>
        <v>13</v>
      </c>
      <c r="K69" s="51">
        <f t="shared" ca="1" si="2"/>
        <v>1</v>
      </c>
      <c r="L69" s="54">
        <f ca="1">IFERROR(__xludf.DUMMYFUNCTION("""COMPUTED_VALUE"""),6)</f>
        <v>6</v>
      </c>
      <c r="M69" s="51">
        <f t="shared" ca="1" si="3"/>
        <v>0.46153846153846156</v>
      </c>
      <c r="N69" s="54">
        <f ca="1">IFERROR(__xludf.DUMMYFUNCTION("""COMPUTED_VALUE"""),11)</f>
        <v>11</v>
      </c>
      <c r="O69" s="54">
        <f ca="1">IFERROR(__xludf.DUMMYFUNCTION("""COMPUTED_VALUE"""),0)</f>
        <v>0</v>
      </c>
      <c r="P69" s="51">
        <f t="shared" ca="1" si="4"/>
        <v>0</v>
      </c>
      <c r="Q69" s="54">
        <f ca="1">IFERROR(__xludf.DUMMYFUNCTION("""COMPUTED_VALUE"""),0)</f>
        <v>0</v>
      </c>
      <c r="R69" s="51">
        <f t="shared" ca="1" si="5"/>
        <v>0</v>
      </c>
      <c r="S69" s="53"/>
      <c r="T69" s="53"/>
      <c r="U69" s="51" t="str">
        <f t="shared" si="6"/>
        <v/>
      </c>
      <c r="V69" s="53"/>
      <c r="W69" s="51" t="str">
        <f t="shared" si="7"/>
        <v/>
      </c>
      <c r="X69" s="53"/>
      <c r="Y69" s="51" t="str">
        <f t="shared" si="8"/>
        <v/>
      </c>
      <c r="Z69" s="2"/>
      <c r="AA69" s="2"/>
      <c r="AB69" s="2"/>
      <c r="AC69" s="2"/>
      <c r="AD69" s="2"/>
      <c r="AE69" s="2"/>
    </row>
    <row r="70" spans="1:31" ht="12.75" x14ac:dyDescent="0.2">
      <c r="A70" s="53">
        <f ca="1">IFERROR(__xludf.DUMMYFUNCTION("""COMPUTED_VALUE"""),65)</f>
        <v>65</v>
      </c>
      <c r="B70" s="53" t="str">
        <f ca="1">IFERROR(__xludf.DUMMYFUNCTION("""COMPUTED_VALUE"""),"MN Sun Shine")</f>
        <v>MN Sun Shine</v>
      </c>
      <c r="C70" s="53" t="str">
        <f ca="1">IFERROR(__xludf.DUMMYFUNCTION("""COMPUTED_VALUE"""),"MN")</f>
        <v>MN</v>
      </c>
      <c r="D70" s="53" t="str">
        <f ca="1">IFERROR(__xludf.DUMMYFUNCTION("""COMPUTED_VALUE"""),"Gò Vấp")</f>
        <v>Gò Vấp</v>
      </c>
      <c r="E70" s="54">
        <f ca="1">IFERROR(__xludf.DUMMYFUNCTION("""COMPUTED_VALUE"""),22)</f>
        <v>22</v>
      </c>
      <c r="F70" s="54">
        <f ca="1">IFERROR(__xludf.DUMMYFUNCTION("""COMPUTED_VALUE"""),22)</f>
        <v>22</v>
      </c>
      <c r="G70" s="51">
        <f t="shared" ref="G70:G78" ca="1" si="9">IFERROR(F70/E70,"")</f>
        <v>1</v>
      </c>
      <c r="H70" s="54">
        <f ca="1">IFERROR(__xludf.DUMMYFUNCTION("""COMPUTED_VALUE"""),22)</f>
        <v>22</v>
      </c>
      <c r="I70" s="51">
        <f t="shared" ref="I70:I78" ca="1" si="10">IFERROR(H70/E70,"")</f>
        <v>1</v>
      </c>
      <c r="J70" s="54">
        <f ca="1">IFERROR(__xludf.DUMMYFUNCTION("""COMPUTED_VALUE"""),20)</f>
        <v>20</v>
      </c>
      <c r="K70" s="51">
        <f t="shared" ref="K70:K78" ca="1" si="11">IFERROR(J70/E70,"")</f>
        <v>0.90909090909090906</v>
      </c>
      <c r="L70" s="54">
        <f ca="1">IFERROR(__xludf.DUMMYFUNCTION("""COMPUTED_VALUE"""),13)</f>
        <v>13</v>
      </c>
      <c r="M70" s="51">
        <f t="shared" ref="M70:M78" ca="1" si="12">IFERROR(L70/E70,"")</f>
        <v>0.59090909090909094</v>
      </c>
      <c r="N70" s="54">
        <f ca="1">IFERROR(__xludf.DUMMYFUNCTION("""COMPUTED_VALUE"""),46)</f>
        <v>46</v>
      </c>
      <c r="O70" s="54">
        <f ca="1">IFERROR(__xludf.DUMMYFUNCTION("""COMPUTED_VALUE"""),1)</f>
        <v>1</v>
      </c>
      <c r="P70" s="51">
        <f t="shared" ref="P70:P78" ca="1" si="13">IFERROR(O70/N70,"")</f>
        <v>2.1739130434782608E-2</v>
      </c>
      <c r="Q70" s="54">
        <f ca="1">IFERROR(__xludf.DUMMYFUNCTION("""COMPUTED_VALUE"""),1)</f>
        <v>1</v>
      </c>
      <c r="R70" s="51">
        <f t="shared" ref="R70:R78" ca="1" si="14">IFERROR(Q70/N70,"")</f>
        <v>2.1739130434782608E-2</v>
      </c>
      <c r="S70" s="53"/>
      <c r="T70" s="53"/>
      <c r="U70" s="51" t="str">
        <f t="shared" ref="U70:U78" si="15">IFERROR(T70/S70,"")</f>
        <v/>
      </c>
      <c r="V70" s="53"/>
      <c r="W70" s="51" t="str">
        <f t="shared" ref="W70:W78" si="16">IFERROR(V70/S70,"")</f>
        <v/>
      </c>
      <c r="X70" s="53"/>
      <c r="Y70" s="51" t="str">
        <f t="shared" ref="Y70:Y78" si="17">IFERROR(X70/S70,"")</f>
        <v/>
      </c>
      <c r="Z70" s="2"/>
      <c r="AA70" s="2"/>
      <c r="AB70" s="2"/>
      <c r="AC70" s="2"/>
      <c r="AD70" s="2"/>
      <c r="AE70" s="2"/>
    </row>
    <row r="71" spans="1:31" ht="12.75" x14ac:dyDescent="0.2">
      <c r="A71" s="53">
        <f ca="1">IFERROR(__xludf.DUMMYFUNCTION("""COMPUTED_VALUE"""),66)</f>
        <v>66</v>
      </c>
      <c r="B71" s="53" t="str">
        <f ca="1">IFERROR(__xludf.DUMMYFUNCTION("""COMPUTED_VALUE"""),"MN Học Viện Tuổi Thơ")</f>
        <v>MN Học Viện Tuổi Thơ</v>
      </c>
      <c r="C71" s="53" t="str">
        <f ca="1">IFERROR(__xludf.DUMMYFUNCTION("""COMPUTED_VALUE"""),"MN")</f>
        <v>MN</v>
      </c>
      <c r="D71" s="53" t="str">
        <f ca="1">IFERROR(__xludf.DUMMYFUNCTION("""COMPUTED_VALUE"""),"Gò Vấp")</f>
        <v>Gò Vấp</v>
      </c>
      <c r="E71" s="54">
        <f ca="1">IFERROR(__xludf.DUMMYFUNCTION("""COMPUTED_VALUE"""),18)</f>
        <v>18</v>
      </c>
      <c r="F71" s="54">
        <f ca="1">IFERROR(__xludf.DUMMYFUNCTION("""COMPUTED_VALUE"""),18)</f>
        <v>18</v>
      </c>
      <c r="G71" s="51">
        <f t="shared" ca="1" si="9"/>
        <v>1</v>
      </c>
      <c r="H71" s="54">
        <f ca="1">IFERROR(__xludf.DUMMYFUNCTION("""COMPUTED_VALUE"""),14)</f>
        <v>14</v>
      </c>
      <c r="I71" s="51">
        <f t="shared" ca="1" si="10"/>
        <v>0.77777777777777779</v>
      </c>
      <c r="J71" s="54">
        <f ca="1">IFERROR(__xludf.DUMMYFUNCTION("""COMPUTED_VALUE"""),11)</f>
        <v>11</v>
      </c>
      <c r="K71" s="51">
        <f t="shared" ca="1" si="11"/>
        <v>0.61111111111111116</v>
      </c>
      <c r="L71" s="54">
        <f ca="1">IFERROR(__xludf.DUMMYFUNCTION("""COMPUTED_VALUE"""),3)</f>
        <v>3</v>
      </c>
      <c r="M71" s="51">
        <f t="shared" ca="1" si="12"/>
        <v>0.16666666666666666</v>
      </c>
      <c r="N71" s="54">
        <f ca="1">IFERROR(__xludf.DUMMYFUNCTION("""COMPUTED_VALUE"""),14)</f>
        <v>14</v>
      </c>
      <c r="O71" s="54">
        <f ca="1">IFERROR(__xludf.DUMMYFUNCTION("""COMPUTED_VALUE"""),0)</f>
        <v>0</v>
      </c>
      <c r="P71" s="51">
        <f t="shared" ca="1" si="13"/>
        <v>0</v>
      </c>
      <c r="Q71" s="54">
        <f ca="1">IFERROR(__xludf.DUMMYFUNCTION("""COMPUTED_VALUE"""),0)</f>
        <v>0</v>
      </c>
      <c r="R71" s="51">
        <f t="shared" ca="1" si="14"/>
        <v>0</v>
      </c>
      <c r="S71" s="53"/>
      <c r="T71" s="53"/>
      <c r="U71" s="51" t="str">
        <f t="shared" si="15"/>
        <v/>
      </c>
      <c r="V71" s="53"/>
      <c r="W71" s="51" t="str">
        <f t="shared" si="16"/>
        <v/>
      </c>
      <c r="X71" s="53"/>
      <c r="Y71" s="51" t="str">
        <f t="shared" si="17"/>
        <v/>
      </c>
      <c r="Z71" s="2"/>
      <c r="AA71" s="2"/>
      <c r="AB71" s="2"/>
      <c r="AC71" s="2"/>
      <c r="AD71" s="2"/>
      <c r="AE71" s="2"/>
    </row>
    <row r="72" spans="1:31" ht="12.75" x14ac:dyDescent="0.2">
      <c r="A72" s="53">
        <f ca="1">IFERROR(__xludf.DUMMYFUNCTION("""COMPUTED_VALUE"""),67)</f>
        <v>67</v>
      </c>
      <c r="B72" s="53" t="str">
        <f ca="1">IFERROR(__xludf.DUMMYFUNCTION("""COMPUTED_VALUE"""),"MN Nam Việt")</f>
        <v>MN Nam Việt</v>
      </c>
      <c r="C72" s="53" t="str">
        <f ca="1">IFERROR(__xludf.DUMMYFUNCTION("""COMPUTED_VALUE"""),"MN")</f>
        <v>MN</v>
      </c>
      <c r="D72" s="53" t="str">
        <f ca="1">IFERROR(__xludf.DUMMYFUNCTION("""COMPUTED_VALUE"""),"Gò Vấp")</f>
        <v>Gò Vấp</v>
      </c>
      <c r="E72" s="54">
        <f ca="1">IFERROR(__xludf.DUMMYFUNCTION("""COMPUTED_VALUE"""),22)</f>
        <v>22</v>
      </c>
      <c r="F72" s="54">
        <f ca="1">IFERROR(__xludf.DUMMYFUNCTION("""COMPUTED_VALUE"""),22)</f>
        <v>22</v>
      </c>
      <c r="G72" s="51">
        <f t="shared" ca="1" si="9"/>
        <v>1</v>
      </c>
      <c r="H72" s="54">
        <f ca="1">IFERROR(__xludf.DUMMYFUNCTION("""COMPUTED_VALUE"""),22)</f>
        <v>22</v>
      </c>
      <c r="I72" s="51">
        <f t="shared" ca="1" si="10"/>
        <v>1</v>
      </c>
      <c r="J72" s="54">
        <f ca="1">IFERROR(__xludf.DUMMYFUNCTION("""COMPUTED_VALUE"""),22)</f>
        <v>22</v>
      </c>
      <c r="K72" s="51">
        <f t="shared" ca="1" si="11"/>
        <v>1</v>
      </c>
      <c r="L72" s="54">
        <f ca="1">IFERROR(__xludf.DUMMYFUNCTION("""COMPUTED_VALUE"""),14)</f>
        <v>14</v>
      </c>
      <c r="M72" s="51">
        <f t="shared" ca="1" si="12"/>
        <v>0.63636363636363635</v>
      </c>
      <c r="N72" s="54">
        <f ca="1">IFERROR(__xludf.DUMMYFUNCTION("""COMPUTED_VALUE"""),17)</f>
        <v>17</v>
      </c>
      <c r="O72" s="54">
        <f ca="1">IFERROR(__xludf.DUMMYFUNCTION("""COMPUTED_VALUE"""),1)</f>
        <v>1</v>
      </c>
      <c r="P72" s="51">
        <f t="shared" ca="1" si="13"/>
        <v>5.8823529411764705E-2</v>
      </c>
      <c r="Q72" s="54">
        <f ca="1">IFERROR(__xludf.DUMMYFUNCTION("""COMPUTED_VALUE"""),1)</f>
        <v>1</v>
      </c>
      <c r="R72" s="51">
        <f t="shared" ca="1" si="14"/>
        <v>5.8823529411764705E-2</v>
      </c>
      <c r="S72" s="53"/>
      <c r="T72" s="53"/>
      <c r="U72" s="51" t="str">
        <f t="shared" si="15"/>
        <v/>
      </c>
      <c r="V72" s="53"/>
      <c r="W72" s="51" t="str">
        <f t="shared" si="16"/>
        <v/>
      </c>
      <c r="X72" s="53"/>
      <c r="Y72" s="51" t="str">
        <f t="shared" si="17"/>
        <v/>
      </c>
      <c r="Z72" s="2"/>
      <c r="AA72" s="2"/>
      <c r="AB72" s="2"/>
      <c r="AC72" s="2"/>
      <c r="AD72" s="2"/>
      <c r="AE72" s="2"/>
    </row>
    <row r="73" spans="1:31" ht="12.75" x14ac:dyDescent="0.2">
      <c r="A73" s="53">
        <f ca="1">IFERROR(__xludf.DUMMYFUNCTION("""COMPUTED_VALUE"""),68)</f>
        <v>68</v>
      </c>
      <c r="B73" s="53" t="str">
        <f ca="1">IFERROR(__xludf.DUMMYFUNCTION("""COMPUTED_VALUE"""),"MG Hoang Mai")</f>
        <v>MG Hoang Mai</v>
      </c>
      <c r="C73" s="53" t="str">
        <f ca="1">IFERROR(__xludf.DUMMYFUNCTION("""COMPUTED_VALUE"""),"MN")</f>
        <v>MN</v>
      </c>
      <c r="D73" s="53" t="str">
        <f ca="1">IFERROR(__xludf.DUMMYFUNCTION("""COMPUTED_VALUE"""),"Gò Vấp")</f>
        <v>Gò Vấp</v>
      </c>
      <c r="E73" s="54">
        <f ca="1">IFERROR(__xludf.DUMMYFUNCTION("""COMPUTED_VALUE"""),30)</f>
        <v>30</v>
      </c>
      <c r="F73" s="54">
        <f ca="1">IFERROR(__xludf.DUMMYFUNCTION("""COMPUTED_VALUE"""),30)</f>
        <v>30</v>
      </c>
      <c r="G73" s="51">
        <f t="shared" ca="1" si="9"/>
        <v>1</v>
      </c>
      <c r="H73" s="54">
        <f ca="1">IFERROR(__xludf.DUMMYFUNCTION("""COMPUTED_VALUE"""),30)</f>
        <v>30</v>
      </c>
      <c r="I73" s="51">
        <f t="shared" ca="1" si="10"/>
        <v>1</v>
      </c>
      <c r="J73" s="54">
        <f ca="1">IFERROR(__xludf.DUMMYFUNCTION("""COMPUTED_VALUE"""),27)</f>
        <v>27</v>
      </c>
      <c r="K73" s="51">
        <f t="shared" ca="1" si="11"/>
        <v>0.9</v>
      </c>
      <c r="L73" s="54">
        <f ca="1">IFERROR(__xludf.DUMMYFUNCTION("""COMPUTED_VALUE"""),3)</f>
        <v>3</v>
      </c>
      <c r="M73" s="51">
        <f t="shared" ca="1" si="12"/>
        <v>0.1</v>
      </c>
      <c r="N73" s="54">
        <f ca="1">IFERROR(__xludf.DUMMYFUNCTION("""COMPUTED_VALUE"""),50)</f>
        <v>50</v>
      </c>
      <c r="O73" s="54">
        <f ca="1">IFERROR(__xludf.DUMMYFUNCTION("""COMPUTED_VALUE"""),1)</f>
        <v>1</v>
      </c>
      <c r="P73" s="51">
        <f t="shared" ca="1" si="13"/>
        <v>0.02</v>
      </c>
      <c r="Q73" s="54">
        <f ca="1">IFERROR(__xludf.DUMMYFUNCTION("""COMPUTED_VALUE"""),1)</f>
        <v>1</v>
      </c>
      <c r="R73" s="51">
        <f t="shared" ca="1" si="14"/>
        <v>0.02</v>
      </c>
      <c r="S73" s="53"/>
      <c r="T73" s="53"/>
      <c r="U73" s="51" t="str">
        <f t="shared" si="15"/>
        <v/>
      </c>
      <c r="V73" s="53"/>
      <c r="W73" s="51" t="str">
        <f t="shared" si="16"/>
        <v/>
      </c>
      <c r="X73" s="53"/>
      <c r="Y73" s="51" t="str">
        <f t="shared" si="17"/>
        <v/>
      </c>
      <c r="Z73" s="2"/>
      <c r="AA73" s="2"/>
      <c r="AB73" s="2"/>
      <c r="AC73" s="2"/>
      <c r="AD73" s="2"/>
      <c r="AE73" s="2"/>
    </row>
    <row r="74" spans="1:31" ht="12.75" x14ac:dyDescent="0.2">
      <c r="A74" s="53">
        <f ca="1">IFERROR(__xludf.DUMMYFUNCTION("""COMPUTED_VALUE"""),69)</f>
        <v>69</v>
      </c>
      <c r="B74" s="53"/>
      <c r="C74" s="53"/>
      <c r="D74" s="53" t="str">
        <f ca="1">IFERROR(__xludf.DUMMYFUNCTION("""COMPUTED_VALUE"""),"Gò Vấp")</f>
        <v>Gò Vấp</v>
      </c>
      <c r="E74" s="54">
        <f ca="1">IFERROR(__xludf.DUMMYFUNCTION("""COMPUTED_VALUE"""),17)</f>
        <v>17</v>
      </c>
      <c r="F74" s="54">
        <f ca="1">IFERROR(__xludf.DUMMYFUNCTION("""COMPUTED_VALUE"""),17)</f>
        <v>17</v>
      </c>
      <c r="G74" s="51">
        <f t="shared" ca="1" si="9"/>
        <v>1</v>
      </c>
      <c r="H74" s="54">
        <f ca="1">IFERROR(__xludf.DUMMYFUNCTION("""COMPUTED_VALUE"""),17)</f>
        <v>17</v>
      </c>
      <c r="I74" s="51">
        <f t="shared" ca="1" si="10"/>
        <v>1</v>
      </c>
      <c r="J74" s="54">
        <f ca="1">IFERROR(__xludf.DUMMYFUNCTION("""COMPUTED_VALUE"""),14)</f>
        <v>14</v>
      </c>
      <c r="K74" s="51">
        <f t="shared" ca="1" si="11"/>
        <v>0.82352941176470584</v>
      </c>
      <c r="L74" s="54">
        <f ca="1">IFERROR(__xludf.DUMMYFUNCTION("""COMPUTED_VALUE"""),6)</f>
        <v>6</v>
      </c>
      <c r="M74" s="51">
        <f t="shared" ca="1" si="12"/>
        <v>0.35294117647058826</v>
      </c>
      <c r="N74" s="54">
        <f ca="1">IFERROR(__xludf.DUMMYFUNCTION("""COMPUTED_VALUE"""),22)</f>
        <v>22</v>
      </c>
      <c r="O74" s="54">
        <f ca="1">IFERROR(__xludf.DUMMYFUNCTION("""COMPUTED_VALUE"""),1)</f>
        <v>1</v>
      </c>
      <c r="P74" s="51">
        <f t="shared" ca="1" si="13"/>
        <v>4.5454545454545456E-2</v>
      </c>
      <c r="Q74" s="54">
        <f ca="1">IFERROR(__xludf.DUMMYFUNCTION("""COMPUTED_VALUE"""),0)</f>
        <v>0</v>
      </c>
      <c r="R74" s="51">
        <f t="shared" ca="1" si="14"/>
        <v>0</v>
      </c>
      <c r="S74" s="53"/>
      <c r="T74" s="53"/>
      <c r="U74" s="51" t="str">
        <f t="shared" si="15"/>
        <v/>
      </c>
      <c r="V74" s="53"/>
      <c r="W74" s="51" t="str">
        <f t="shared" si="16"/>
        <v/>
      </c>
      <c r="X74" s="53"/>
      <c r="Y74" s="51" t="str">
        <f t="shared" si="17"/>
        <v/>
      </c>
      <c r="Z74" s="2"/>
      <c r="AA74" s="2"/>
      <c r="AB74" s="2"/>
      <c r="AC74" s="2"/>
      <c r="AD74" s="2"/>
      <c r="AE74" s="2"/>
    </row>
    <row r="75" spans="1:31" ht="12.75" x14ac:dyDescent="0.2">
      <c r="A75" s="53">
        <f ca="1">IFERROR(__xludf.DUMMYFUNCTION("""COMPUTED_VALUE"""),70)</f>
        <v>70</v>
      </c>
      <c r="B75" s="53" t="str">
        <f ca="1">IFERROR(__xludf.DUMMYFUNCTION("""COMPUTED_VALUE"""),"MN Phú Sỹ")</f>
        <v>MN Phú Sỹ</v>
      </c>
      <c r="C75" s="53" t="str">
        <f ca="1">IFERROR(__xludf.DUMMYFUNCTION("""COMPUTED_VALUE"""),"MN")</f>
        <v>MN</v>
      </c>
      <c r="D75" s="53" t="str">
        <f ca="1">IFERROR(__xludf.DUMMYFUNCTION("""COMPUTED_VALUE"""),"Gò Vấp")</f>
        <v>Gò Vấp</v>
      </c>
      <c r="E75" s="54">
        <f ca="1">IFERROR(__xludf.DUMMYFUNCTION("""COMPUTED_VALUE"""),16)</f>
        <v>16</v>
      </c>
      <c r="F75" s="54">
        <f ca="1">IFERROR(__xludf.DUMMYFUNCTION("""COMPUTED_VALUE"""),16)</f>
        <v>16</v>
      </c>
      <c r="G75" s="51">
        <f t="shared" ca="1" si="9"/>
        <v>1</v>
      </c>
      <c r="H75" s="54">
        <f ca="1">IFERROR(__xludf.DUMMYFUNCTION("""COMPUTED_VALUE"""),16)</f>
        <v>16</v>
      </c>
      <c r="I75" s="51">
        <f t="shared" ca="1" si="10"/>
        <v>1</v>
      </c>
      <c r="J75" s="54">
        <f ca="1">IFERROR(__xludf.DUMMYFUNCTION("""COMPUTED_VALUE"""),16)</f>
        <v>16</v>
      </c>
      <c r="K75" s="51">
        <f t="shared" ca="1" si="11"/>
        <v>1</v>
      </c>
      <c r="L75" s="54">
        <f ca="1">IFERROR(__xludf.DUMMYFUNCTION("""COMPUTED_VALUE"""),3)</f>
        <v>3</v>
      </c>
      <c r="M75" s="51">
        <f t="shared" ca="1" si="12"/>
        <v>0.1875</v>
      </c>
      <c r="N75" s="54">
        <f ca="1">IFERROR(__xludf.DUMMYFUNCTION("""COMPUTED_VALUE"""),47)</f>
        <v>47</v>
      </c>
      <c r="O75" s="54">
        <f ca="1">IFERROR(__xludf.DUMMYFUNCTION("""COMPUTED_VALUE"""),1)</f>
        <v>1</v>
      </c>
      <c r="P75" s="51">
        <f t="shared" ca="1" si="13"/>
        <v>2.1276595744680851E-2</v>
      </c>
      <c r="Q75" s="54">
        <f ca="1">IFERROR(__xludf.DUMMYFUNCTION("""COMPUTED_VALUE"""),0)</f>
        <v>0</v>
      </c>
      <c r="R75" s="51">
        <f t="shared" ca="1" si="14"/>
        <v>0</v>
      </c>
      <c r="S75" s="53"/>
      <c r="T75" s="53"/>
      <c r="U75" s="51" t="str">
        <f t="shared" si="15"/>
        <v/>
      </c>
      <c r="V75" s="53"/>
      <c r="W75" s="51" t="str">
        <f t="shared" si="16"/>
        <v/>
      </c>
      <c r="X75" s="53"/>
      <c r="Y75" s="51" t="str">
        <f t="shared" si="17"/>
        <v/>
      </c>
      <c r="Z75" s="2"/>
      <c r="AA75" s="2"/>
      <c r="AB75" s="2"/>
      <c r="AC75" s="2"/>
      <c r="AD75" s="2"/>
      <c r="AE75" s="2"/>
    </row>
    <row r="76" spans="1:31" ht="12.75" x14ac:dyDescent="0.2">
      <c r="A76" s="53">
        <f ca="1">IFERROR(__xludf.DUMMYFUNCTION("""COMPUTED_VALUE"""),71)</f>
        <v>71</v>
      </c>
      <c r="B76" s="53"/>
      <c r="C76" s="53"/>
      <c r="D76" s="53" t="str">
        <f ca="1">IFERROR(__xludf.DUMMYFUNCTION("""COMPUTED_VALUE"""),"Gò Vấp")</f>
        <v>Gò Vấp</v>
      </c>
      <c r="E76" s="54">
        <f ca="1">IFERROR(__xludf.DUMMYFUNCTION("""COMPUTED_VALUE"""),14)</f>
        <v>14</v>
      </c>
      <c r="F76" s="54">
        <f ca="1">IFERROR(__xludf.DUMMYFUNCTION("""COMPUTED_VALUE"""),14)</f>
        <v>14</v>
      </c>
      <c r="G76" s="51">
        <f t="shared" ca="1" si="9"/>
        <v>1</v>
      </c>
      <c r="H76" s="54">
        <f ca="1">IFERROR(__xludf.DUMMYFUNCTION("""COMPUTED_VALUE"""),14)</f>
        <v>14</v>
      </c>
      <c r="I76" s="51">
        <f t="shared" ca="1" si="10"/>
        <v>1</v>
      </c>
      <c r="J76" s="54">
        <f ca="1">IFERROR(__xludf.DUMMYFUNCTION("""COMPUTED_VALUE"""),10)</f>
        <v>10</v>
      </c>
      <c r="K76" s="51">
        <f t="shared" ca="1" si="11"/>
        <v>0.7142857142857143</v>
      </c>
      <c r="L76" s="54">
        <f ca="1">IFERROR(__xludf.DUMMYFUNCTION("""COMPUTED_VALUE"""),0)</f>
        <v>0</v>
      </c>
      <c r="M76" s="51">
        <f t="shared" ca="1" si="12"/>
        <v>0</v>
      </c>
      <c r="N76" s="54">
        <f ca="1">IFERROR(__xludf.DUMMYFUNCTION("""COMPUTED_VALUE"""),8)</f>
        <v>8</v>
      </c>
      <c r="O76" s="54">
        <f ca="1">IFERROR(__xludf.DUMMYFUNCTION("""COMPUTED_VALUE"""),1)</f>
        <v>1</v>
      </c>
      <c r="P76" s="51">
        <f t="shared" ca="1" si="13"/>
        <v>0.125</v>
      </c>
      <c r="Q76" s="54">
        <f ca="1">IFERROR(__xludf.DUMMYFUNCTION("""COMPUTED_VALUE"""),0)</f>
        <v>0</v>
      </c>
      <c r="R76" s="51">
        <f t="shared" ca="1" si="14"/>
        <v>0</v>
      </c>
      <c r="S76" s="53"/>
      <c r="T76" s="53"/>
      <c r="U76" s="51" t="str">
        <f t="shared" si="15"/>
        <v/>
      </c>
      <c r="V76" s="53"/>
      <c r="W76" s="51" t="str">
        <f t="shared" si="16"/>
        <v/>
      </c>
      <c r="X76" s="53"/>
      <c r="Y76" s="51" t="str">
        <f t="shared" si="17"/>
        <v/>
      </c>
      <c r="Z76" s="2"/>
      <c r="AA76" s="2"/>
      <c r="AB76" s="2"/>
      <c r="AC76" s="2"/>
      <c r="AD76" s="2"/>
      <c r="AE76" s="2"/>
    </row>
    <row r="77" spans="1:31" ht="12.75" x14ac:dyDescent="0.2">
      <c r="A77" s="53">
        <f ca="1">IFERROR(__xludf.DUMMYFUNCTION("""COMPUTED_VALUE"""),72)</f>
        <v>72</v>
      </c>
      <c r="B77" s="53" t="str">
        <f ca="1">IFERROR(__xludf.DUMMYFUNCTION("""COMPUTED_VALUE"""),"MG Thiên Ân (P14)")</f>
        <v>MG Thiên Ân (P14)</v>
      </c>
      <c r="C77" s="53" t="str">
        <f ca="1">IFERROR(__xludf.DUMMYFUNCTION("""COMPUTED_VALUE"""),"MN")</f>
        <v>MN</v>
      </c>
      <c r="D77" s="53" t="str">
        <f ca="1">IFERROR(__xludf.DUMMYFUNCTION("""COMPUTED_VALUE"""),"Gò Vấp")</f>
        <v>Gò Vấp</v>
      </c>
      <c r="E77" s="54">
        <f ca="1">IFERROR(__xludf.DUMMYFUNCTION("""COMPUTED_VALUE"""),20)</f>
        <v>20</v>
      </c>
      <c r="F77" s="54">
        <f ca="1">IFERROR(__xludf.DUMMYFUNCTION("""COMPUTED_VALUE"""),20)</f>
        <v>20</v>
      </c>
      <c r="G77" s="51">
        <f t="shared" ca="1" si="9"/>
        <v>1</v>
      </c>
      <c r="H77" s="54">
        <f ca="1">IFERROR(__xludf.DUMMYFUNCTION("""COMPUTED_VALUE"""),20)</f>
        <v>20</v>
      </c>
      <c r="I77" s="51">
        <f t="shared" ca="1" si="10"/>
        <v>1</v>
      </c>
      <c r="J77" s="54">
        <f ca="1">IFERROR(__xludf.DUMMYFUNCTION("""COMPUTED_VALUE"""),18)</f>
        <v>18</v>
      </c>
      <c r="K77" s="51">
        <f t="shared" ca="1" si="11"/>
        <v>0.9</v>
      </c>
      <c r="L77" s="54">
        <f ca="1">IFERROR(__xludf.DUMMYFUNCTION("""COMPUTED_VALUE"""),2)</f>
        <v>2</v>
      </c>
      <c r="M77" s="51">
        <f t="shared" ca="1" si="12"/>
        <v>0.1</v>
      </c>
      <c r="N77" s="54">
        <f ca="1">IFERROR(__xludf.DUMMYFUNCTION("""COMPUTED_VALUE"""),60)</f>
        <v>60</v>
      </c>
      <c r="O77" s="54">
        <f ca="1">IFERROR(__xludf.DUMMYFUNCTION("""COMPUTED_VALUE"""),1)</f>
        <v>1</v>
      </c>
      <c r="P77" s="51">
        <f t="shared" ca="1" si="13"/>
        <v>1.6666666666666666E-2</v>
      </c>
      <c r="Q77" s="54">
        <f ca="1">IFERROR(__xludf.DUMMYFUNCTION("""COMPUTED_VALUE"""),0)</f>
        <v>0</v>
      </c>
      <c r="R77" s="51">
        <f t="shared" ca="1" si="14"/>
        <v>0</v>
      </c>
      <c r="S77" s="53"/>
      <c r="T77" s="53"/>
      <c r="U77" s="51" t="str">
        <f t="shared" si="15"/>
        <v/>
      </c>
      <c r="V77" s="53"/>
      <c r="W77" s="51" t="str">
        <f t="shared" si="16"/>
        <v/>
      </c>
      <c r="X77" s="53"/>
      <c r="Y77" s="51" t="str">
        <f t="shared" si="17"/>
        <v/>
      </c>
      <c r="Z77" s="2"/>
      <c r="AA77" s="2"/>
      <c r="AB77" s="2"/>
      <c r="AC77" s="2"/>
      <c r="AD77" s="2"/>
      <c r="AE77" s="2"/>
    </row>
    <row r="78" spans="1:31" ht="12.75" x14ac:dyDescent="0.2">
      <c r="A78" s="53">
        <f ca="1">IFERROR(__xludf.DUMMYFUNCTION("""COMPUTED_VALUE"""),73)</f>
        <v>73</v>
      </c>
      <c r="B78" s="53" t="str">
        <f ca="1">IFERROR(__xludf.DUMMYFUNCTION("""COMPUTED_VALUE"""),"MN Đại Việt Mỹ")</f>
        <v>MN Đại Việt Mỹ</v>
      </c>
      <c r="C78" s="53" t="str">
        <f ca="1">IFERROR(__xludf.DUMMYFUNCTION("""COMPUTED_VALUE"""),"MN")</f>
        <v>MN</v>
      </c>
      <c r="D78" s="53" t="str">
        <f ca="1">IFERROR(__xludf.DUMMYFUNCTION("""COMPUTED_VALUE"""),"Gò Vấp")</f>
        <v>Gò Vấp</v>
      </c>
      <c r="E78" s="54">
        <f ca="1">IFERROR(__xludf.DUMMYFUNCTION("""COMPUTED_VALUE"""),22)</f>
        <v>22</v>
      </c>
      <c r="F78" s="54">
        <f ca="1">IFERROR(__xludf.DUMMYFUNCTION("""COMPUTED_VALUE"""),22)</f>
        <v>22</v>
      </c>
      <c r="G78" s="51">
        <f t="shared" ca="1" si="9"/>
        <v>1</v>
      </c>
      <c r="H78" s="54">
        <f ca="1">IFERROR(__xludf.DUMMYFUNCTION("""COMPUTED_VALUE"""),22)</f>
        <v>22</v>
      </c>
      <c r="I78" s="51">
        <f t="shared" ca="1" si="10"/>
        <v>1</v>
      </c>
      <c r="J78" s="54">
        <f ca="1">IFERROR(__xludf.DUMMYFUNCTION("""COMPUTED_VALUE"""),22)</f>
        <v>22</v>
      </c>
      <c r="K78" s="51">
        <f t="shared" ca="1" si="11"/>
        <v>1</v>
      </c>
      <c r="L78" s="54">
        <f ca="1">IFERROR(__xludf.DUMMYFUNCTION("""COMPUTED_VALUE"""),2)</f>
        <v>2</v>
      </c>
      <c r="M78" s="51">
        <f t="shared" ca="1" si="12"/>
        <v>9.0909090909090912E-2</v>
      </c>
      <c r="N78" s="54">
        <f ca="1">IFERROR(__xludf.DUMMYFUNCTION("""COMPUTED_VALUE"""),27)</f>
        <v>27</v>
      </c>
      <c r="O78" s="54">
        <f ca="1">IFERROR(__xludf.DUMMYFUNCTION("""COMPUTED_VALUE"""),1)</f>
        <v>1</v>
      </c>
      <c r="P78" s="51">
        <f t="shared" ca="1" si="13"/>
        <v>3.7037037037037035E-2</v>
      </c>
      <c r="Q78" s="54">
        <f ca="1">IFERROR(__xludf.DUMMYFUNCTION("""COMPUTED_VALUE"""),0)</f>
        <v>0</v>
      </c>
      <c r="R78" s="51">
        <f t="shared" ca="1" si="14"/>
        <v>0</v>
      </c>
      <c r="S78" s="53"/>
      <c r="T78" s="53"/>
      <c r="U78" s="51" t="str">
        <f t="shared" si="15"/>
        <v/>
      </c>
      <c r="V78" s="53"/>
      <c r="W78" s="51" t="str">
        <f t="shared" si="16"/>
        <v/>
      </c>
      <c r="X78" s="53"/>
      <c r="Y78" s="51" t="str">
        <f t="shared" si="17"/>
        <v/>
      </c>
      <c r="Z78" s="2"/>
      <c r="AA78" s="2"/>
      <c r="AB78" s="2"/>
      <c r="AC78" s="2"/>
      <c r="AD78" s="2"/>
      <c r="AE78" s="2"/>
    </row>
    <row r="79" spans="1:31" ht="12.75" x14ac:dyDescent="0.2">
      <c r="A79" s="53">
        <f ca="1">IFERROR(__xludf.DUMMYFUNCTION("""COMPUTED_VALUE"""),74)</f>
        <v>74</v>
      </c>
      <c r="B79" s="53" t="str">
        <f ca="1">IFERROR(__xludf.DUMMYFUNCTION("""COMPUTED_VALUE"""),"TH Nguyễn Thượng Hiền")</f>
        <v>TH Nguyễn Thượng Hiền</v>
      </c>
      <c r="C79" s="53" t="str">
        <f ca="1">IFERROR(__xludf.DUMMYFUNCTION("""COMPUTED_VALUE"""),"TH")</f>
        <v>TH</v>
      </c>
      <c r="D79" s="53" t="str">
        <f ca="1">IFERROR(__xludf.DUMMYFUNCTION("""COMPUTED_VALUE"""),"Gò Vấp")</f>
        <v>Gò Vấp</v>
      </c>
      <c r="E79" s="54">
        <f ca="1">IFERROR(__xludf.DUMMYFUNCTION("""COMPUTED_VALUE"""),117)</f>
        <v>117</v>
      </c>
      <c r="F79" s="54">
        <f ca="1">IFERROR(__xludf.DUMMYFUNCTION("""COMPUTED_VALUE"""),117)</f>
        <v>117</v>
      </c>
      <c r="G79" s="54"/>
      <c r="H79" s="54">
        <f ca="1">IFERROR(__xludf.DUMMYFUNCTION("""COMPUTED_VALUE"""),117)</f>
        <v>117</v>
      </c>
      <c r="I79" s="54"/>
      <c r="J79" s="54">
        <f ca="1">IFERROR(__xludf.DUMMYFUNCTION("""COMPUTED_VALUE"""),116)</f>
        <v>116</v>
      </c>
      <c r="K79" s="54"/>
      <c r="L79" s="54">
        <f ca="1">IFERROR(__xludf.DUMMYFUNCTION("""COMPUTED_VALUE"""),96)</f>
        <v>96</v>
      </c>
      <c r="M79" s="54"/>
      <c r="N79" s="54">
        <f ca="1">IFERROR(__xludf.DUMMYFUNCTION("""COMPUTED_VALUE"""),2164)</f>
        <v>2164</v>
      </c>
      <c r="O79" s="54">
        <f ca="1">IFERROR(__xludf.DUMMYFUNCTION("""COMPUTED_VALUE"""),1036)</f>
        <v>1036</v>
      </c>
      <c r="P79" s="54"/>
      <c r="Q79" s="54">
        <f ca="1">IFERROR(__xludf.DUMMYFUNCTION("""COMPUTED_VALUE"""),935)</f>
        <v>935</v>
      </c>
      <c r="R79" s="54"/>
      <c r="S79" s="53"/>
      <c r="T79" s="53"/>
      <c r="U79" s="53"/>
      <c r="V79" s="53"/>
      <c r="W79" s="53"/>
      <c r="X79" s="53"/>
      <c r="Y79" s="53"/>
      <c r="Z79" s="2"/>
      <c r="AA79" s="2"/>
      <c r="AB79" s="2"/>
      <c r="AC79" s="2"/>
      <c r="AD79" s="2"/>
      <c r="AE79" s="2"/>
    </row>
    <row r="80" spans="1:31" ht="12.75" x14ac:dyDescent="0.2">
      <c r="A80" s="53">
        <f ca="1">IFERROR(__xludf.DUMMYFUNCTION("""COMPUTED_VALUE"""),75)</f>
        <v>75</v>
      </c>
      <c r="B80" s="53" t="str">
        <f ca="1">IFERROR(__xludf.DUMMYFUNCTION("""COMPUTED_VALUE"""),"TH Trần Văn Ơn")</f>
        <v>TH Trần Văn Ơn</v>
      </c>
      <c r="C80" s="53" t="str">
        <f ca="1">IFERROR(__xludf.DUMMYFUNCTION("""COMPUTED_VALUE"""),"TH")</f>
        <v>TH</v>
      </c>
      <c r="D80" s="53" t="str">
        <f ca="1">IFERROR(__xludf.DUMMYFUNCTION("""COMPUTED_VALUE"""),"Gò Vấp")</f>
        <v>Gò Vấp</v>
      </c>
      <c r="E80" s="54">
        <f ca="1">IFERROR(__xludf.DUMMYFUNCTION("""COMPUTED_VALUE"""),73)</f>
        <v>73</v>
      </c>
      <c r="F80" s="54">
        <f ca="1">IFERROR(__xludf.DUMMYFUNCTION("""COMPUTED_VALUE"""),73)</f>
        <v>73</v>
      </c>
      <c r="G80" s="54"/>
      <c r="H80" s="54">
        <f ca="1">IFERROR(__xludf.DUMMYFUNCTION("""COMPUTED_VALUE"""),73)</f>
        <v>73</v>
      </c>
      <c r="I80" s="54"/>
      <c r="J80" s="54">
        <f ca="1">IFERROR(__xludf.DUMMYFUNCTION("""COMPUTED_VALUE"""),71)</f>
        <v>71</v>
      </c>
      <c r="K80" s="54"/>
      <c r="L80" s="54">
        <f ca="1">IFERROR(__xludf.DUMMYFUNCTION("""COMPUTED_VALUE"""),60)</f>
        <v>60</v>
      </c>
      <c r="M80" s="54"/>
      <c r="N80" s="54">
        <f ca="1">IFERROR(__xludf.DUMMYFUNCTION("""COMPUTED_VALUE"""),1335)</f>
        <v>1335</v>
      </c>
      <c r="O80" s="54">
        <f ca="1">IFERROR(__xludf.DUMMYFUNCTION("""COMPUTED_VALUE"""),771)</f>
        <v>771</v>
      </c>
      <c r="P80" s="54"/>
      <c r="Q80" s="54">
        <f ca="1">IFERROR(__xludf.DUMMYFUNCTION("""COMPUTED_VALUE"""),508)</f>
        <v>508</v>
      </c>
      <c r="R80" s="54"/>
      <c r="S80" s="53"/>
      <c r="T80" s="53"/>
      <c r="U80" s="53"/>
      <c r="V80" s="53"/>
      <c r="W80" s="53"/>
      <c r="X80" s="53"/>
      <c r="Y80" s="53"/>
      <c r="Z80" s="2"/>
      <c r="AA80" s="2"/>
      <c r="AB80" s="2"/>
      <c r="AC80" s="2"/>
      <c r="AD80" s="2"/>
      <c r="AE80" s="2"/>
    </row>
    <row r="81" spans="1:31" ht="12.75" x14ac:dyDescent="0.2">
      <c r="A81" s="53">
        <f ca="1">IFERROR(__xludf.DUMMYFUNCTION("""COMPUTED_VALUE"""),76)</f>
        <v>76</v>
      </c>
      <c r="B81" s="53" t="str">
        <f ca="1">IFERROR(__xludf.DUMMYFUNCTION("""COMPUTED_VALUE"""),"TH Phạm Ngũ Lão")</f>
        <v>TH Phạm Ngũ Lão</v>
      </c>
      <c r="C81" s="53" t="str">
        <f ca="1">IFERROR(__xludf.DUMMYFUNCTION("""COMPUTED_VALUE"""),"TH")</f>
        <v>TH</v>
      </c>
      <c r="D81" s="53" t="str">
        <f ca="1">IFERROR(__xludf.DUMMYFUNCTION("""COMPUTED_VALUE"""),"Gò Vấp")</f>
        <v>Gò Vấp</v>
      </c>
      <c r="E81" s="54">
        <f ca="1">IFERROR(__xludf.DUMMYFUNCTION("""COMPUTED_VALUE"""),66)</f>
        <v>66</v>
      </c>
      <c r="F81" s="54">
        <f ca="1">IFERROR(__xludf.DUMMYFUNCTION("""COMPUTED_VALUE"""),66)</f>
        <v>66</v>
      </c>
      <c r="G81" s="54"/>
      <c r="H81" s="54">
        <f ca="1">IFERROR(__xludf.DUMMYFUNCTION("""COMPUTED_VALUE"""),65)</f>
        <v>65</v>
      </c>
      <c r="I81" s="54"/>
      <c r="J81" s="54">
        <f ca="1">IFERROR(__xludf.DUMMYFUNCTION("""COMPUTED_VALUE"""),63)</f>
        <v>63</v>
      </c>
      <c r="K81" s="54"/>
      <c r="L81" s="54">
        <f ca="1">IFERROR(__xludf.DUMMYFUNCTION("""COMPUTED_VALUE"""),48)</f>
        <v>48</v>
      </c>
      <c r="M81" s="54"/>
      <c r="N81" s="54">
        <f ca="1">IFERROR(__xludf.DUMMYFUNCTION("""COMPUTED_VALUE"""),1070)</f>
        <v>1070</v>
      </c>
      <c r="O81" s="54">
        <f ca="1">IFERROR(__xludf.DUMMYFUNCTION("""COMPUTED_VALUE"""),599)</f>
        <v>599</v>
      </c>
      <c r="P81" s="54"/>
      <c r="Q81" s="54">
        <f ca="1">IFERROR(__xludf.DUMMYFUNCTION("""COMPUTED_VALUE"""),354)</f>
        <v>354</v>
      </c>
      <c r="R81" s="54"/>
      <c r="S81" s="53"/>
      <c r="T81" s="53"/>
      <c r="U81" s="53"/>
      <c r="V81" s="53"/>
      <c r="W81" s="53"/>
      <c r="X81" s="53"/>
      <c r="Y81" s="53"/>
      <c r="Z81" s="2"/>
      <c r="AA81" s="2"/>
      <c r="AB81" s="2"/>
      <c r="AC81" s="2"/>
      <c r="AD81" s="2"/>
      <c r="AE81" s="2"/>
    </row>
    <row r="82" spans="1:31" ht="12.75" x14ac:dyDescent="0.2">
      <c r="A82" s="53">
        <f ca="1">IFERROR(__xludf.DUMMYFUNCTION("""COMPUTED_VALUE"""),77)</f>
        <v>77</v>
      </c>
      <c r="B82" s="53" t="str">
        <f ca="1">IFERROR(__xludf.DUMMYFUNCTION("""COMPUTED_VALUE"""),"TH Hanh Thông")</f>
        <v>TH Hanh Thông</v>
      </c>
      <c r="C82" s="53" t="str">
        <f ca="1">IFERROR(__xludf.DUMMYFUNCTION("""COMPUTED_VALUE"""),"TH")</f>
        <v>TH</v>
      </c>
      <c r="D82" s="53" t="str">
        <f ca="1">IFERROR(__xludf.DUMMYFUNCTION("""COMPUTED_VALUE"""),"Gò Vấp")</f>
        <v>Gò Vấp</v>
      </c>
      <c r="E82" s="54">
        <f ca="1">IFERROR(__xludf.DUMMYFUNCTION("""COMPUTED_VALUE"""),83)</f>
        <v>83</v>
      </c>
      <c r="F82" s="54">
        <f ca="1">IFERROR(__xludf.DUMMYFUNCTION("""COMPUTED_VALUE"""),83)</f>
        <v>83</v>
      </c>
      <c r="G82" s="54"/>
      <c r="H82" s="54">
        <f ca="1">IFERROR(__xludf.DUMMYFUNCTION("""COMPUTED_VALUE"""),83)</f>
        <v>83</v>
      </c>
      <c r="I82" s="54"/>
      <c r="J82" s="54">
        <f ca="1">IFERROR(__xludf.DUMMYFUNCTION("""COMPUTED_VALUE"""),83)</f>
        <v>83</v>
      </c>
      <c r="K82" s="54"/>
      <c r="L82" s="54">
        <f ca="1">IFERROR(__xludf.DUMMYFUNCTION("""COMPUTED_VALUE"""),42)</f>
        <v>42</v>
      </c>
      <c r="M82" s="54"/>
      <c r="N82" s="54">
        <f ca="1">IFERROR(__xludf.DUMMYFUNCTION("""COMPUTED_VALUE"""),1698)</f>
        <v>1698</v>
      </c>
      <c r="O82" s="54">
        <f ca="1">IFERROR(__xludf.DUMMYFUNCTION("""COMPUTED_VALUE"""),862)</f>
        <v>862</v>
      </c>
      <c r="P82" s="54"/>
      <c r="Q82" s="54">
        <f ca="1">IFERROR(__xludf.DUMMYFUNCTION("""COMPUTED_VALUE"""),633)</f>
        <v>633</v>
      </c>
      <c r="R82" s="54"/>
      <c r="S82" s="53"/>
      <c r="T82" s="53"/>
      <c r="U82" s="53"/>
      <c r="V82" s="53"/>
      <c r="W82" s="53"/>
      <c r="X82" s="53"/>
      <c r="Y82" s="53"/>
      <c r="Z82" s="2"/>
      <c r="AA82" s="2"/>
      <c r="AB82" s="2"/>
      <c r="AC82" s="2"/>
      <c r="AD82" s="2"/>
      <c r="AE82" s="2"/>
    </row>
    <row r="83" spans="1:31" ht="12.75" x14ac:dyDescent="0.2">
      <c r="A83" s="53">
        <f ca="1">IFERROR(__xludf.DUMMYFUNCTION("""COMPUTED_VALUE"""),78)</f>
        <v>78</v>
      </c>
      <c r="B83" s="53" t="str">
        <f ca="1">IFERROR(__xludf.DUMMYFUNCTION("""COMPUTED_VALUE"""),"TH Nguyễn Viết Xuân")</f>
        <v>TH Nguyễn Viết Xuân</v>
      </c>
      <c r="C83" s="53" t="str">
        <f ca="1">IFERROR(__xludf.DUMMYFUNCTION("""COMPUTED_VALUE"""),"TH")</f>
        <v>TH</v>
      </c>
      <c r="D83" s="53" t="str">
        <f ca="1">IFERROR(__xludf.DUMMYFUNCTION("""COMPUTED_VALUE"""),"Gò Vấp")</f>
        <v>Gò Vấp</v>
      </c>
      <c r="E83" s="54">
        <f ca="1">IFERROR(__xludf.DUMMYFUNCTION("""COMPUTED_VALUE"""),94)</f>
        <v>94</v>
      </c>
      <c r="F83" s="54">
        <f ca="1">IFERROR(__xludf.DUMMYFUNCTION("""COMPUTED_VALUE"""),94)</f>
        <v>94</v>
      </c>
      <c r="G83" s="54"/>
      <c r="H83" s="54">
        <f ca="1">IFERROR(__xludf.DUMMYFUNCTION("""COMPUTED_VALUE"""),94)</f>
        <v>94</v>
      </c>
      <c r="I83" s="54"/>
      <c r="J83" s="54">
        <f ca="1">IFERROR(__xludf.DUMMYFUNCTION("""COMPUTED_VALUE"""),91)</f>
        <v>91</v>
      </c>
      <c r="K83" s="54"/>
      <c r="L83" s="54">
        <f ca="1">IFERROR(__xludf.DUMMYFUNCTION("""COMPUTED_VALUE"""),52)</f>
        <v>52</v>
      </c>
      <c r="M83" s="54"/>
      <c r="N83" s="54">
        <f ca="1">IFERROR(__xludf.DUMMYFUNCTION("""COMPUTED_VALUE"""),1940)</f>
        <v>1940</v>
      </c>
      <c r="O83" s="54">
        <f ca="1">IFERROR(__xludf.DUMMYFUNCTION("""COMPUTED_VALUE"""),1260)</f>
        <v>1260</v>
      </c>
      <c r="P83" s="54"/>
      <c r="Q83" s="54">
        <f ca="1">IFERROR(__xludf.DUMMYFUNCTION("""COMPUTED_VALUE"""),885)</f>
        <v>885</v>
      </c>
      <c r="R83" s="54"/>
      <c r="S83" s="53"/>
      <c r="T83" s="53"/>
      <c r="U83" s="53"/>
      <c r="V83" s="53"/>
      <c r="W83" s="53"/>
      <c r="X83" s="53"/>
      <c r="Y83" s="53"/>
      <c r="Z83" s="2"/>
      <c r="AA83" s="2"/>
      <c r="AB83" s="2"/>
      <c r="AC83" s="2"/>
      <c r="AD83" s="2"/>
      <c r="AE83" s="2"/>
    </row>
    <row r="84" spans="1:31" ht="12.75" x14ac:dyDescent="0.2">
      <c r="A84" s="53">
        <f ca="1">IFERROR(__xludf.DUMMYFUNCTION("""COMPUTED_VALUE"""),79)</f>
        <v>79</v>
      </c>
      <c r="B84" s="53" t="str">
        <f ca="1">IFERROR(__xludf.DUMMYFUNCTION("""COMPUTED_VALUE"""),"TH Hoàng Văn Thụ")</f>
        <v>TH Hoàng Văn Thụ</v>
      </c>
      <c r="C84" s="53" t="str">
        <f ca="1">IFERROR(__xludf.DUMMYFUNCTION("""COMPUTED_VALUE"""),"TH")</f>
        <v>TH</v>
      </c>
      <c r="D84" s="53" t="str">
        <f ca="1">IFERROR(__xludf.DUMMYFUNCTION("""COMPUTED_VALUE"""),"Gò Vấp")</f>
        <v>Gò Vấp</v>
      </c>
      <c r="E84" s="54">
        <f ca="1">IFERROR(__xludf.DUMMYFUNCTION("""COMPUTED_VALUE"""),55)</f>
        <v>55</v>
      </c>
      <c r="F84" s="54">
        <f ca="1">IFERROR(__xludf.DUMMYFUNCTION("""COMPUTED_VALUE"""),55)</f>
        <v>55</v>
      </c>
      <c r="G84" s="54"/>
      <c r="H84" s="54">
        <f ca="1">IFERROR(__xludf.DUMMYFUNCTION("""COMPUTED_VALUE"""),54)</f>
        <v>54</v>
      </c>
      <c r="I84" s="54"/>
      <c r="J84" s="54">
        <f ca="1">IFERROR(__xludf.DUMMYFUNCTION("""COMPUTED_VALUE"""),53)</f>
        <v>53</v>
      </c>
      <c r="K84" s="54"/>
      <c r="L84" s="54">
        <f ca="1">IFERROR(__xludf.DUMMYFUNCTION("""COMPUTED_VALUE"""),44)</f>
        <v>44</v>
      </c>
      <c r="M84" s="54"/>
      <c r="N84" s="54">
        <f ca="1">IFERROR(__xludf.DUMMYFUNCTION("""COMPUTED_VALUE"""),1592)</f>
        <v>1592</v>
      </c>
      <c r="O84" s="54">
        <f ca="1">IFERROR(__xludf.DUMMYFUNCTION("""COMPUTED_VALUE"""),977)</f>
        <v>977</v>
      </c>
      <c r="P84" s="54"/>
      <c r="Q84" s="54">
        <f ca="1">IFERROR(__xludf.DUMMYFUNCTION("""COMPUTED_VALUE"""),654)</f>
        <v>654</v>
      </c>
      <c r="R84" s="54"/>
      <c r="S84" s="53"/>
      <c r="T84" s="53"/>
      <c r="U84" s="53"/>
      <c r="V84" s="53"/>
      <c r="W84" s="53"/>
      <c r="X84" s="53"/>
      <c r="Y84" s="53"/>
      <c r="Z84" s="2"/>
      <c r="AA84" s="2"/>
      <c r="AB84" s="2"/>
      <c r="AC84" s="2"/>
      <c r="AD84" s="2"/>
      <c r="AE84" s="2"/>
    </row>
    <row r="85" spans="1:31" ht="12.75" x14ac:dyDescent="0.2">
      <c r="A85" s="53">
        <f ca="1">IFERROR(__xludf.DUMMYFUNCTION("""COMPUTED_VALUE"""),80)</f>
        <v>80</v>
      </c>
      <c r="B85" s="53" t="str">
        <f ca="1">IFERROR(__xludf.DUMMYFUNCTION("""COMPUTED_VALUE"""),"TH Trần Quốc Toản")</f>
        <v>TH Trần Quốc Toản</v>
      </c>
      <c r="C85" s="53" t="str">
        <f ca="1">IFERROR(__xludf.DUMMYFUNCTION("""COMPUTED_VALUE"""),"TH")</f>
        <v>TH</v>
      </c>
      <c r="D85" s="53" t="str">
        <f ca="1">IFERROR(__xludf.DUMMYFUNCTION("""COMPUTED_VALUE"""),"Gò Vấp")</f>
        <v>Gò Vấp</v>
      </c>
      <c r="E85" s="54">
        <f ca="1">IFERROR(__xludf.DUMMYFUNCTION("""COMPUTED_VALUE"""),48)</f>
        <v>48</v>
      </c>
      <c r="F85" s="54">
        <f ca="1">IFERROR(__xludf.DUMMYFUNCTION("""COMPUTED_VALUE"""),48)</f>
        <v>48</v>
      </c>
      <c r="G85" s="54"/>
      <c r="H85" s="54">
        <f ca="1">IFERROR(__xludf.DUMMYFUNCTION("""COMPUTED_VALUE"""),48)</f>
        <v>48</v>
      </c>
      <c r="I85" s="54"/>
      <c r="J85" s="54">
        <f ca="1">IFERROR(__xludf.DUMMYFUNCTION("""COMPUTED_VALUE"""),48)</f>
        <v>48</v>
      </c>
      <c r="K85" s="54"/>
      <c r="L85" s="54">
        <f ca="1">IFERROR(__xludf.DUMMYFUNCTION("""COMPUTED_VALUE"""),48)</f>
        <v>48</v>
      </c>
      <c r="M85" s="54"/>
      <c r="N85" s="54">
        <f ca="1">IFERROR(__xludf.DUMMYFUNCTION("""COMPUTED_VALUE"""),1386)</f>
        <v>1386</v>
      </c>
      <c r="O85" s="54">
        <f ca="1">IFERROR(__xludf.DUMMYFUNCTION("""COMPUTED_VALUE"""),839)</f>
        <v>839</v>
      </c>
      <c r="P85" s="54"/>
      <c r="Q85" s="54">
        <f ca="1">IFERROR(__xludf.DUMMYFUNCTION("""COMPUTED_VALUE"""),729)</f>
        <v>729</v>
      </c>
      <c r="R85" s="54"/>
      <c r="S85" s="53"/>
      <c r="T85" s="53"/>
      <c r="U85" s="53"/>
      <c r="V85" s="53"/>
      <c r="W85" s="53"/>
      <c r="X85" s="53"/>
      <c r="Y85" s="53"/>
      <c r="Z85" s="2"/>
      <c r="AA85" s="2"/>
      <c r="AB85" s="2"/>
      <c r="AC85" s="2"/>
      <c r="AD85" s="2"/>
      <c r="AE85" s="2"/>
    </row>
    <row r="86" spans="1:31" ht="12.75" x14ac:dyDescent="0.2">
      <c r="A86" s="53">
        <f ca="1">IFERROR(__xludf.DUMMYFUNCTION("""COMPUTED_VALUE"""),81)</f>
        <v>81</v>
      </c>
      <c r="B86" s="53" t="str">
        <f ca="1">IFERROR(__xludf.DUMMYFUNCTION("""COMPUTED_VALUE"""),"TH An Hội")</f>
        <v>TH An Hội</v>
      </c>
      <c r="C86" s="53" t="str">
        <f ca="1">IFERROR(__xludf.DUMMYFUNCTION("""COMPUTED_VALUE"""),"TH")</f>
        <v>TH</v>
      </c>
      <c r="D86" s="53" t="str">
        <f ca="1">IFERROR(__xludf.DUMMYFUNCTION("""COMPUTED_VALUE"""),"Gò Vấp")</f>
        <v>Gò Vấp</v>
      </c>
      <c r="E86" s="54">
        <f ca="1">IFERROR(__xludf.DUMMYFUNCTION("""COMPUTED_VALUE"""),131)</f>
        <v>131</v>
      </c>
      <c r="F86" s="54">
        <f ca="1">IFERROR(__xludf.DUMMYFUNCTION("""COMPUTED_VALUE"""),131)</f>
        <v>131</v>
      </c>
      <c r="G86" s="54"/>
      <c r="H86" s="54">
        <f ca="1">IFERROR(__xludf.DUMMYFUNCTION("""COMPUTED_VALUE"""),131)</f>
        <v>131</v>
      </c>
      <c r="I86" s="54"/>
      <c r="J86" s="54">
        <f ca="1">IFERROR(__xludf.DUMMYFUNCTION("""COMPUTED_VALUE"""),130)</f>
        <v>130</v>
      </c>
      <c r="K86" s="54"/>
      <c r="L86" s="54">
        <f ca="1">IFERROR(__xludf.DUMMYFUNCTION("""COMPUTED_VALUE"""),30)</f>
        <v>30</v>
      </c>
      <c r="M86" s="54"/>
      <c r="N86" s="54">
        <f ca="1">IFERROR(__xludf.DUMMYFUNCTION("""COMPUTED_VALUE"""),3455)</f>
        <v>3455</v>
      </c>
      <c r="O86" s="54">
        <f ca="1">IFERROR(__xludf.DUMMYFUNCTION("""COMPUTED_VALUE"""),1591)</f>
        <v>1591</v>
      </c>
      <c r="P86" s="54"/>
      <c r="Q86" s="54">
        <f ca="1">IFERROR(__xludf.DUMMYFUNCTION("""COMPUTED_VALUE"""),1174)</f>
        <v>1174</v>
      </c>
      <c r="R86" s="54"/>
      <c r="S86" s="53"/>
      <c r="T86" s="53"/>
      <c r="U86" s="53"/>
      <c r="V86" s="53"/>
      <c r="W86" s="53"/>
      <c r="X86" s="53"/>
      <c r="Y86" s="53"/>
      <c r="Z86" s="2"/>
      <c r="AA86" s="2"/>
      <c r="AB86" s="2"/>
      <c r="AC86" s="2"/>
      <c r="AD86" s="2"/>
      <c r="AE86" s="2"/>
    </row>
    <row r="87" spans="1:31" ht="12.75" x14ac:dyDescent="0.2">
      <c r="A87" s="53">
        <f ca="1">IFERROR(__xludf.DUMMYFUNCTION("""COMPUTED_VALUE"""),82)</f>
        <v>82</v>
      </c>
      <c r="B87" s="53" t="str">
        <f ca="1">IFERROR(__xludf.DUMMYFUNCTION("""COMPUTED_VALUE"""),"TH Lương Thế Vinh")</f>
        <v>TH Lương Thế Vinh</v>
      </c>
      <c r="C87" s="53" t="str">
        <f ca="1">IFERROR(__xludf.DUMMYFUNCTION("""COMPUTED_VALUE"""),"TH")</f>
        <v>TH</v>
      </c>
      <c r="D87" s="53" t="str">
        <f ca="1">IFERROR(__xludf.DUMMYFUNCTION("""COMPUTED_VALUE"""),"Gò Vấp")</f>
        <v>Gò Vấp</v>
      </c>
      <c r="E87" s="54">
        <f ca="1">IFERROR(__xludf.DUMMYFUNCTION("""COMPUTED_VALUE"""),115)</f>
        <v>115</v>
      </c>
      <c r="F87" s="54">
        <f ca="1">IFERROR(__xludf.DUMMYFUNCTION("""COMPUTED_VALUE"""),115)</f>
        <v>115</v>
      </c>
      <c r="G87" s="54"/>
      <c r="H87" s="54">
        <f ca="1">IFERROR(__xludf.DUMMYFUNCTION("""COMPUTED_VALUE"""),115)</f>
        <v>115</v>
      </c>
      <c r="I87" s="54"/>
      <c r="J87" s="54">
        <f ca="1">IFERROR(__xludf.DUMMYFUNCTION("""COMPUTED_VALUE"""),115)</f>
        <v>115</v>
      </c>
      <c r="K87" s="54"/>
      <c r="L87" s="54">
        <f ca="1">IFERROR(__xludf.DUMMYFUNCTION("""COMPUTED_VALUE"""),98)</f>
        <v>98</v>
      </c>
      <c r="M87" s="54"/>
      <c r="N87" s="54">
        <f ca="1">IFERROR(__xludf.DUMMYFUNCTION("""COMPUTED_VALUE"""),2350)</f>
        <v>2350</v>
      </c>
      <c r="O87" s="54">
        <f ca="1">IFERROR(__xludf.DUMMYFUNCTION("""COMPUTED_VALUE"""),1235)</f>
        <v>1235</v>
      </c>
      <c r="P87" s="54"/>
      <c r="Q87" s="54">
        <f ca="1">IFERROR(__xludf.DUMMYFUNCTION("""COMPUTED_VALUE"""),946)</f>
        <v>946</v>
      </c>
      <c r="R87" s="54"/>
      <c r="S87" s="53"/>
      <c r="T87" s="53"/>
      <c r="U87" s="53"/>
      <c r="V87" s="53"/>
      <c r="W87" s="53"/>
      <c r="X87" s="53"/>
      <c r="Y87" s="53"/>
      <c r="Z87" s="2"/>
      <c r="AA87" s="2"/>
      <c r="AB87" s="2"/>
      <c r="AC87" s="2"/>
      <c r="AD87" s="2"/>
      <c r="AE87" s="2"/>
    </row>
    <row r="88" spans="1:31" ht="12.75" x14ac:dyDescent="0.2">
      <c r="A88" s="53">
        <f ca="1">IFERROR(__xludf.DUMMYFUNCTION("""COMPUTED_VALUE"""),83)</f>
        <v>83</v>
      </c>
      <c r="B88" s="53" t="str">
        <f ca="1">IFERROR(__xludf.DUMMYFUNCTION("""COMPUTED_VALUE"""),"TH Kim Đồng")</f>
        <v>TH Kim Đồng</v>
      </c>
      <c r="C88" s="53" t="str">
        <f ca="1">IFERROR(__xludf.DUMMYFUNCTION("""COMPUTED_VALUE"""),"TH")</f>
        <v>TH</v>
      </c>
      <c r="D88" s="53" t="str">
        <f ca="1">IFERROR(__xludf.DUMMYFUNCTION("""COMPUTED_VALUE"""),"Gò Vấp")</f>
        <v>Gò Vấp</v>
      </c>
      <c r="E88" s="54">
        <f ca="1">IFERROR(__xludf.DUMMYFUNCTION("""COMPUTED_VALUE"""),108)</f>
        <v>108</v>
      </c>
      <c r="F88" s="54">
        <f ca="1">IFERROR(__xludf.DUMMYFUNCTION("""COMPUTED_VALUE"""),108)</f>
        <v>108</v>
      </c>
      <c r="G88" s="54"/>
      <c r="H88" s="54">
        <f ca="1">IFERROR(__xludf.DUMMYFUNCTION("""COMPUTED_VALUE"""),108)</f>
        <v>108</v>
      </c>
      <c r="I88" s="54"/>
      <c r="J88" s="54">
        <f ca="1">IFERROR(__xludf.DUMMYFUNCTION("""COMPUTED_VALUE"""),103)</f>
        <v>103</v>
      </c>
      <c r="K88" s="54"/>
      <c r="L88" s="54">
        <f ca="1">IFERROR(__xludf.DUMMYFUNCTION("""COMPUTED_VALUE"""),61)</f>
        <v>61</v>
      </c>
      <c r="M88" s="54"/>
      <c r="N88" s="54">
        <f ca="1">IFERROR(__xludf.DUMMYFUNCTION("""COMPUTED_VALUE"""),2478)</f>
        <v>2478</v>
      </c>
      <c r="O88" s="54">
        <f ca="1">IFERROR(__xludf.DUMMYFUNCTION("""COMPUTED_VALUE"""),1122)</f>
        <v>1122</v>
      </c>
      <c r="P88" s="54"/>
      <c r="Q88" s="54">
        <f ca="1">IFERROR(__xludf.DUMMYFUNCTION("""COMPUTED_VALUE"""),733)</f>
        <v>733</v>
      </c>
      <c r="R88" s="54"/>
      <c r="S88" s="53"/>
      <c r="T88" s="53"/>
      <c r="U88" s="53"/>
      <c r="V88" s="53"/>
      <c r="W88" s="53"/>
      <c r="X88" s="53"/>
      <c r="Y88" s="53"/>
      <c r="Z88" s="2"/>
      <c r="AA88" s="2"/>
      <c r="AB88" s="2"/>
      <c r="AC88" s="2"/>
      <c r="AD88" s="2"/>
      <c r="AE88" s="2"/>
    </row>
    <row r="89" spans="1:31" ht="12.75" x14ac:dyDescent="0.2">
      <c r="A89" s="53">
        <f ca="1">IFERROR(__xludf.DUMMYFUNCTION("""COMPUTED_VALUE"""),84)</f>
        <v>84</v>
      </c>
      <c r="B89" s="53" t="str">
        <f ca="1">IFERROR(__xludf.DUMMYFUNCTION("""COMPUTED_VALUE"""),"TH Ng Thị Minh Khai")</f>
        <v>TH Ng Thị Minh Khai</v>
      </c>
      <c r="C89" s="53" t="str">
        <f ca="1">IFERROR(__xludf.DUMMYFUNCTION("""COMPUTED_VALUE"""),"TH")</f>
        <v>TH</v>
      </c>
      <c r="D89" s="53" t="str">
        <f ca="1">IFERROR(__xludf.DUMMYFUNCTION("""COMPUTED_VALUE"""),"Gò Vấp")</f>
        <v>Gò Vấp</v>
      </c>
      <c r="E89" s="54">
        <f ca="1">IFERROR(__xludf.DUMMYFUNCTION("""COMPUTED_VALUE"""),68)</f>
        <v>68</v>
      </c>
      <c r="F89" s="54">
        <f ca="1">IFERROR(__xludf.DUMMYFUNCTION("""COMPUTED_VALUE"""),68)</f>
        <v>68</v>
      </c>
      <c r="G89" s="54"/>
      <c r="H89" s="54">
        <f ca="1">IFERROR(__xludf.DUMMYFUNCTION("""COMPUTED_VALUE"""),68)</f>
        <v>68</v>
      </c>
      <c r="I89" s="54"/>
      <c r="J89" s="54">
        <f ca="1">IFERROR(__xludf.DUMMYFUNCTION("""COMPUTED_VALUE"""),67)</f>
        <v>67</v>
      </c>
      <c r="K89" s="54"/>
      <c r="L89" s="54">
        <f ca="1">IFERROR(__xludf.DUMMYFUNCTION("""COMPUTED_VALUE"""),55)</f>
        <v>55</v>
      </c>
      <c r="M89" s="54"/>
      <c r="N89" s="54">
        <f ca="1">IFERROR(__xludf.DUMMYFUNCTION("""COMPUTED_VALUE"""),1655)</f>
        <v>1655</v>
      </c>
      <c r="O89" s="54">
        <f ca="1">IFERROR(__xludf.DUMMYFUNCTION("""COMPUTED_VALUE"""),897)</f>
        <v>897</v>
      </c>
      <c r="P89" s="54"/>
      <c r="Q89" s="54">
        <f ca="1">IFERROR(__xludf.DUMMYFUNCTION("""COMPUTED_VALUE"""),488)</f>
        <v>488</v>
      </c>
      <c r="R89" s="54"/>
      <c r="S89" s="53"/>
      <c r="T89" s="53"/>
      <c r="U89" s="53"/>
      <c r="V89" s="53"/>
      <c r="W89" s="53"/>
      <c r="X89" s="53"/>
      <c r="Y89" s="53"/>
      <c r="Z89" s="2"/>
      <c r="AA89" s="2"/>
      <c r="AB89" s="2"/>
      <c r="AC89" s="2"/>
      <c r="AD89" s="2"/>
      <c r="AE89" s="2"/>
    </row>
    <row r="90" spans="1:31" ht="12.75" x14ac:dyDescent="0.2">
      <c r="A90" s="53">
        <f ca="1">IFERROR(__xludf.DUMMYFUNCTION("""COMPUTED_VALUE"""),85)</f>
        <v>85</v>
      </c>
      <c r="B90" s="53" t="str">
        <f ca="1">IFERROR(__xludf.DUMMYFUNCTION("""COMPUTED_VALUE"""),"TH Chi Lăng")</f>
        <v>TH Chi Lăng</v>
      </c>
      <c r="C90" s="53" t="str">
        <f ca="1">IFERROR(__xludf.DUMMYFUNCTION("""COMPUTED_VALUE"""),"TH")</f>
        <v>TH</v>
      </c>
      <c r="D90" s="53" t="str">
        <f ca="1">IFERROR(__xludf.DUMMYFUNCTION("""COMPUTED_VALUE"""),"Gò Vấp")</f>
        <v>Gò Vấp</v>
      </c>
      <c r="E90" s="54">
        <f ca="1">IFERROR(__xludf.DUMMYFUNCTION("""COMPUTED_VALUE"""),78)</f>
        <v>78</v>
      </c>
      <c r="F90" s="54">
        <f ca="1">IFERROR(__xludf.DUMMYFUNCTION("""COMPUTED_VALUE"""),78)</f>
        <v>78</v>
      </c>
      <c r="G90" s="54"/>
      <c r="H90" s="54">
        <f ca="1">IFERROR(__xludf.DUMMYFUNCTION("""COMPUTED_VALUE"""),78)</f>
        <v>78</v>
      </c>
      <c r="I90" s="54"/>
      <c r="J90" s="54">
        <f ca="1">IFERROR(__xludf.DUMMYFUNCTION("""COMPUTED_VALUE"""),78)</f>
        <v>78</v>
      </c>
      <c r="K90" s="54"/>
      <c r="L90" s="54">
        <f ca="1">IFERROR(__xludf.DUMMYFUNCTION("""COMPUTED_VALUE"""),56)</f>
        <v>56</v>
      </c>
      <c r="M90" s="54"/>
      <c r="N90" s="54">
        <f ca="1">IFERROR(__xludf.DUMMYFUNCTION("""COMPUTED_VALUE"""),1404)</f>
        <v>1404</v>
      </c>
      <c r="O90" s="54">
        <f ca="1">IFERROR(__xludf.DUMMYFUNCTION("""COMPUTED_VALUE"""),594)</f>
        <v>594</v>
      </c>
      <c r="P90" s="54"/>
      <c r="Q90" s="54">
        <f ca="1">IFERROR(__xludf.DUMMYFUNCTION("""COMPUTED_VALUE"""),387)</f>
        <v>387</v>
      </c>
      <c r="R90" s="54"/>
      <c r="S90" s="53"/>
      <c r="T90" s="53"/>
      <c r="U90" s="53"/>
      <c r="V90" s="53"/>
      <c r="W90" s="53"/>
      <c r="X90" s="53"/>
      <c r="Y90" s="53"/>
      <c r="Z90" s="2"/>
      <c r="AA90" s="2"/>
      <c r="AB90" s="2"/>
      <c r="AC90" s="2"/>
      <c r="AD90" s="2"/>
      <c r="AE90" s="2"/>
    </row>
    <row r="91" spans="1:31" ht="12.75" x14ac:dyDescent="0.2">
      <c r="A91" s="53">
        <f ca="1">IFERROR(__xludf.DUMMYFUNCTION("""COMPUTED_VALUE"""),86)</f>
        <v>86</v>
      </c>
      <c r="B91" s="53" t="str">
        <f ca="1">IFERROR(__xludf.DUMMYFUNCTION("""COMPUTED_VALUE"""),"TH Lê Văn Thọ")</f>
        <v>TH Lê Văn Thọ</v>
      </c>
      <c r="C91" s="53" t="str">
        <f ca="1">IFERROR(__xludf.DUMMYFUNCTION("""COMPUTED_VALUE"""),"TH")</f>
        <v>TH</v>
      </c>
      <c r="D91" s="53" t="str">
        <f ca="1">IFERROR(__xludf.DUMMYFUNCTION("""COMPUTED_VALUE"""),"Gò Vấp")</f>
        <v>Gò Vấp</v>
      </c>
      <c r="E91" s="54">
        <f ca="1">IFERROR(__xludf.DUMMYFUNCTION("""COMPUTED_VALUE"""),76)</f>
        <v>76</v>
      </c>
      <c r="F91" s="54">
        <f ca="1">IFERROR(__xludf.DUMMYFUNCTION("""COMPUTED_VALUE"""),76)</f>
        <v>76</v>
      </c>
      <c r="G91" s="54"/>
      <c r="H91" s="54">
        <f ca="1">IFERROR(__xludf.DUMMYFUNCTION("""COMPUTED_VALUE"""),76)</f>
        <v>76</v>
      </c>
      <c r="I91" s="54"/>
      <c r="J91" s="54">
        <f ca="1">IFERROR(__xludf.DUMMYFUNCTION("""COMPUTED_VALUE"""),71)</f>
        <v>71</v>
      </c>
      <c r="K91" s="54"/>
      <c r="L91" s="54">
        <f ca="1">IFERROR(__xludf.DUMMYFUNCTION("""COMPUTED_VALUE"""),61)</f>
        <v>61</v>
      </c>
      <c r="M91" s="54"/>
      <c r="N91" s="54">
        <f ca="1">IFERROR(__xludf.DUMMYFUNCTION("""COMPUTED_VALUE"""),1490)</f>
        <v>1490</v>
      </c>
      <c r="O91" s="54">
        <f ca="1">IFERROR(__xludf.DUMMYFUNCTION("""COMPUTED_VALUE"""),746)</f>
        <v>746</v>
      </c>
      <c r="P91" s="54"/>
      <c r="Q91" s="54">
        <f ca="1">IFERROR(__xludf.DUMMYFUNCTION("""COMPUTED_VALUE"""),629)</f>
        <v>629</v>
      </c>
      <c r="R91" s="54"/>
      <c r="S91" s="53"/>
      <c r="T91" s="53"/>
      <c r="U91" s="53"/>
      <c r="V91" s="53"/>
      <c r="W91" s="53"/>
      <c r="X91" s="53"/>
      <c r="Y91" s="53"/>
      <c r="Z91" s="2"/>
      <c r="AA91" s="2"/>
      <c r="AB91" s="2"/>
      <c r="AC91" s="2"/>
      <c r="AD91" s="2"/>
      <c r="AE91" s="2"/>
    </row>
    <row r="92" spans="1:31" ht="12.75" x14ac:dyDescent="0.2">
      <c r="A92" s="53">
        <f ca="1">IFERROR(__xludf.DUMMYFUNCTION("""COMPUTED_VALUE"""),87)</f>
        <v>87</v>
      </c>
      <c r="B92" s="53" t="str">
        <f ca="1">IFERROR(__xludf.DUMMYFUNCTION("""COMPUTED_VALUE"""),"TH Lê Thị Hồng Gấm")</f>
        <v>TH Lê Thị Hồng Gấm</v>
      </c>
      <c r="C92" s="53" t="str">
        <f ca="1">IFERROR(__xludf.DUMMYFUNCTION("""COMPUTED_VALUE"""),"TH")</f>
        <v>TH</v>
      </c>
      <c r="D92" s="53" t="str">
        <f ca="1">IFERROR(__xludf.DUMMYFUNCTION("""COMPUTED_VALUE"""),"Gò Vấp")</f>
        <v>Gò Vấp</v>
      </c>
      <c r="E92" s="54">
        <f ca="1">IFERROR(__xludf.DUMMYFUNCTION("""COMPUTED_VALUE"""),60)</f>
        <v>60</v>
      </c>
      <c r="F92" s="54">
        <f ca="1">IFERROR(__xludf.DUMMYFUNCTION("""COMPUTED_VALUE"""),60)</f>
        <v>60</v>
      </c>
      <c r="G92" s="54"/>
      <c r="H92" s="54">
        <f ca="1">IFERROR(__xludf.DUMMYFUNCTION("""COMPUTED_VALUE"""),60)</f>
        <v>60</v>
      </c>
      <c r="I92" s="54"/>
      <c r="J92" s="54">
        <f ca="1">IFERROR(__xludf.DUMMYFUNCTION("""COMPUTED_VALUE"""),53)</f>
        <v>53</v>
      </c>
      <c r="K92" s="54"/>
      <c r="L92" s="54">
        <f ca="1">IFERROR(__xludf.DUMMYFUNCTION("""COMPUTED_VALUE"""),20)</f>
        <v>20</v>
      </c>
      <c r="M92" s="54"/>
      <c r="N92" s="54">
        <f ca="1">IFERROR(__xludf.DUMMYFUNCTION("""COMPUTED_VALUE"""),1878)</f>
        <v>1878</v>
      </c>
      <c r="O92" s="54">
        <f ca="1">IFERROR(__xludf.DUMMYFUNCTION("""COMPUTED_VALUE"""),718)</f>
        <v>718</v>
      </c>
      <c r="P92" s="54"/>
      <c r="Q92" s="54">
        <f ca="1">IFERROR(__xludf.DUMMYFUNCTION("""COMPUTED_VALUE"""),563)</f>
        <v>563</v>
      </c>
      <c r="R92" s="54"/>
      <c r="S92" s="53"/>
      <c r="T92" s="53"/>
      <c r="U92" s="53"/>
      <c r="V92" s="53"/>
      <c r="W92" s="53"/>
      <c r="X92" s="53"/>
      <c r="Y92" s="53"/>
      <c r="Z92" s="2"/>
      <c r="AA92" s="2"/>
      <c r="AB92" s="2"/>
      <c r="AC92" s="2"/>
      <c r="AD92" s="2"/>
      <c r="AE92" s="2"/>
    </row>
    <row r="93" spans="1:31" ht="12.75" x14ac:dyDescent="0.2">
      <c r="A93" s="53">
        <f ca="1">IFERROR(__xludf.DUMMYFUNCTION("""COMPUTED_VALUE"""),88)</f>
        <v>88</v>
      </c>
      <c r="B93" s="53" t="str">
        <f ca="1">IFERROR(__xludf.DUMMYFUNCTION("""COMPUTED_VALUE"""),"TH Lam Sơn")</f>
        <v>TH Lam Sơn</v>
      </c>
      <c r="C93" s="53" t="str">
        <f ca="1">IFERROR(__xludf.DUMMYFUNCTION("""COMPUTED_VALUE"""),"TH")</f>
        <v>TH</v>
      </c>
      <c r="D93" s="53" t="str">
        <f ca="1">IFERROR(__xludf.DUMMYFUNCTION("""COMPUTED_VALUE"""),"Gò Vấp")</f>
        <v>Gò Vấp</v>
      </c>
      <c r="E93" s="54">
        <f ca="1">IFERROR(__xludf.DUMMYFUNCTION("""COMPUTED_VALUE"""),79)</f>
        <v>79</v>
      </c>
      <c r="F93" s="54">
        <f ca="1">IFERROR(__xludf.DUMMYFUNCTION("""COMPUTED_VALUE"""),79)</f>
        <v>79</v>
      </c>
      <c r="G93" s="54"/>
      <c r="H93" s="54">
        <f ca="1">IFERROR(__xludf.DUMMYFUNCTION("""COMPUTED_VALUE"""),79)</f>
        <v>79</v>
      </c>
      <c r="I93" s="54"/>
      <c r="J93" s="54">
        <f ca="1">IFERROR(__xludf.DUMMYFUNCTION("""COMPUTED_VALUE"""),79)</f>
        <v>79</v>
      </c>
      <c r="K93" s="54"/>
      <c r="L93" s="54">
        <f ca="1">IFERROR(__xludf.DUMMYFUNCTION("""COMPUTED_VALUE"""),72)</f>
        <v>72</v>
      </c>
      <c r="M93" s="54"/>
      <c r="N93" s="54">
        <f ca="1">IFERROR(__xludf.DUMMYFUNCTION("""COMPUTED_VALUE"""),1854)</f>
        <v>1854</v>
      </c>
      <c r="O93" s="54">
        <f ca="1">IFERROR(__xludf.DUMMYFUNCTION("""COMPUTED_VALUE"""),1064)</f>
        <v>1064</v>
      </c>
      <c r="P93" s="54"/>
      <c r="Q93" s="53">
        <f ca="1">IFERROR(__xludf.DUMMYFUNCTION("""COMPUTED_VALUE"""),975)</f>
        <v>975</v>
      </c>
      <c r="R93" s="53"/>
      <c r="S93" s="53"/>
      <c r="T93" s="53"/>
      <c r="U93" s="53"/>
      <c r="V93" s="53"/>
      <c r="W93" s="53"/>
      <c r="X93" s="53"/>
      <c r="Y93" s="53"/>
      <c r="Z93" s="2"/>
      <c r="AA93" s="2"/>
      <c r="AB93" s="2"/>
      <c r="AC93" s="2"/>
      <c r="AD93" s="2"/>
      <c r="AE93" s="2"/>
    </row>
    <row r="94" spans="1:31" ht="12.75" x14ac:dyDescent="0.2">
      <c r="A94" s="53">
        <f ca="1">IFERROR(__xludf.DUMMYFUNCTION("""COMPUTED_VALUE"""),89)</f>
        <v>89</v>
      </c>
      <c r="B94" s="53" t="str">
        <f ca="1">IFERROR(__xludf.DUMMYFUNCTION("""COMPUTED_VALUE"""),"TH Lê Quý Đôn")</f>
        <v>TH Lê Quý Đôn</v>
      </c>
      <c r="C94" s="53" t="str">
        <f ca="1">IFERROR(__xludf.DUMMYFUNCTION("""COMPUTED_VALUE"""),"TH")</f>
        <v>TH</v>
      </c>
      <c r="D94" s="53" t="str">
        <f ca="1">IFERROR(__xludf.DUMMYFUNCTION("""COMPUTED_VALUE"""),"Gò Vấp")</f>
        <v>Gò Vấp</v>
      </c>
      <c r="E94" s="54">
        <f ca="1">IFERROR(__xludf.DUMMYFUNCTION("""COMPUTED_VALUE"""),92)</f>
        <v>92</v>
      </c>
      <c r="F94" s="54">
        <f ca="1">IFERROR(__xludf.DUMMYFUNCTION("""COMPUTED_VALUE"""),92)</f>
        <v>92</v>
      </c>
      <c r="G94" s="54"/>
      <c r="H94" s="54">
        <f ca="1">IFERROR(__xludf.DUMMYFUNCTION("""COMPUTED_VALUE"""),92)</f>
        <v>92</v>
      </c>
      <c r="I94" s="54"/>
      <c r="J94" s="54">
        <f ca="1">IFERROR(__xludf.DUMMYFUNCTION("""COMPUTED_VALUE"""),88)</f>
        <v>88</v>
      </c>
      <c r="K94" s="54"/>
      <c r="L94" s="54">
        <f ca="1">IFERROR(__xludf.DUMMYFUNCTION("""COMPUTED_VALUE"""),72)</f>
        <v>72</v>
      </c>
      <c r="M94" s="54"/>
      <c r="N94" s="54">
        <f ca="1">IFERROR(__xludf.DUMMYFUNCTION("""COMPUTED_VALUE"""),2080)</f>
        <v>2080</v>
      </c>
      <c r="O94" s="54">
        <f ca="1">IFERROR(__xludf.DUMMYFUNCTION("""COMPUTED_VALUE"""),817)</f>
        <v>817</v>
      </c>
      <c r="P94" s="54"/>
      <c r="Q94" s="53">
        <f ca="1">IFERROR(__xludf.DUMMYFUNCTION("""COMPUTED_VALUE"""),624)</f>
        <v>624</v>
      </c>
      <c r="R94" s="53"/>
      <c r="S94" s="53"/>
      <c r="T94" s="53"/>
      <c r="U94" s="53"/>
      <c r="V94" s="53"/>
      <c r="W94" s="53"/>
      <c r="X94" s="53"/>
      <c r="Y94" s="53"/>
      <c r="Z94" s="2"/>
      <c r="AA94" s="2"/>
      <c r="AB94" s="2"/>
      <c r="AC94" s="2"/>
      <c r="AD94" s="2"/>
      <c r="AE94" s="2"/>
    </row>
    <row r="95" spans="1:31" ht="12.75" x14ac:dyDescent="0.2">
      <c r="A95" s="53">
        <f ca="1">IFERROR(__xludf.DUMMYFUNCTION("""COMPUTED_VALUE"""),90)</f>
        <v>90</v>
      </c>
      <c r="B95" s="53" t="str">
        <f ca="1">IFERROR(__xludf.DUMMYFUNCTION("""COMPUTED_VALUE"""),"TH Lê Hoàn")</f>
        <v>TH Lê Hoàn</v>
      </c>
      <c r="C95" s="53" t="str">
        <f ca="1">IFERROR(__xludf.DUMMYFUNCTION("""COMPUTED_VALUE"""),"TH")</f>
        <v>TH</v>
      </c>
      <c r="D95" s="53" t="str">
        <f ca="1">IFERROR(__xludf.DUMMYFUNCTION("""COMPUTED_VALUE"""),"Gò Vấp")</f>
        <v>Gò Vấp</v>
      </c>
      <c r="E95" s="54">
        <f ca="1">IFERROR(__xludf.DUMMYFUNCTION("""COMPUTED_VALUE"""),76)</f>
        <v>76</v>
      </c>
      <c r="F95" s="54">
        <f ca="1">IFERROR(__xludf.DUMMYFUNCTION("""COMPUTED_VALUE"""),76)</f>
        <v>76</v>
      </c>
      <c r="G95" s="54"/>
      <c r="H95" s="54">
        <f ca="1">IFERROR(__xludf.DUMMYFUNCTION("""COMPUTED_VALUE"""),76)</f>
        <v>76</v>
      </c>
      <c r="I95" s="54"/>
      <c r="J95" s="54">
        <f ca="1">IFERROR(__xludf.DUMMYFUNCTION("""COMPUTED_VALUE"""),71)</f>
        <v>71</v>
      </c>
      <c r="K95" s="54"/>
      <c r="L95" s="54">
        <f ca="1">IFERROR(__xludf.DUMMYFUNCTION("""COMPUTED_VALUE"""),48)</f>
        <v>48</v>
      </c>
      <c r="M95" s="54"/>
      <c r="N95" s="54">
        <f ca="1">IFERROR(__xludf.DUMMYFUNCTION("""COMPUTED_VALUE"""),1475)</f>
        <v>1475</v>
      </c>
      <c r="O95" s="54">
        <f ca="1">IFERROR(__xludf.DUMMYFUNCTION("""COMPUTED_VALUE"""),701)</f>
        <v>701</v>
      </c>
      <c r="P95" s="54"/>
      <c r="Q95" s="54">
        <f ca="1">IFERROR(__xludf.DUMMYFUNCTION("""COMPUTED_VALUE"""),442)</f>
        <v>442</v>
      </c>
      <c r="R95" s="54"/>
      <c r="S95" s="53"/>
      <c r="T95" s="53"/>
      <c r="U95" s="53"/>
      <c r="V95" s="53"/>
      <c r="W95" s="53"/>
      <c r="X95" s="53"/>
      <c r="Y95" s="53"/>
      <c r="Z95" s="2"/>
      <c r="AA95" s="2"/>
      <c r="AB95" s="2"/>
      <c r="AC95" s="2"/>
      <c r="AD95" s="2"/>
      <c r="AE95" s="2"/>
    </row>
    <row r="96" spans="1:31" ht="12.75" x14ac:dyDescent="0.2">
      <c r="A96" s="53">
        <f ca="1">IFERROR(__xludf.DUMMYFUNCTION("""COMPUTED_VALUE"""),91)</f>
        <v>91</v>
      </c>
      <c r="B96" s="53" t="str">
        <f ca="1">IFERROR(__xludf.DUMMYFUNCTION("""COMPUTED_VALUE"""),"TH Lê Đức Thọ")</f>
        <v>TH Lê Đức Thọ</v>
      </c>
      <c r="C96" s="53" t="str">
        <f ca="1">IFERROR(__xludf.DUMMYFUNCTION("""COMPUTED_VALUE"""),"TH")</f>
        <v>TH</v>
      </c>
      <c r="D96" s="53" t="str">
        <f ca="1">IFERROR(__xludf.DUMMYFUNCTION("""COMPUTED_VALUE"""),"Gò Vấp")</f>
        <v>Gò Vấp</v>
      </c>
      <c r="E96" s="54">
        <f ca="1">IFERROR(__xludf.DUMMYFUNCTION("""COMPUTED_VALUE"""),70)</f>
        <v>70</v>
      </c>
      <c r="F96" s="54">
        <f ca="1">IFERROR(__xludf.DUMMYFUNCTION("""COMPUTED_VALUE"""),70)</f>
        <v>70</v>
      </c>
      <c r="G96" s="54"/>
      <c r="H96" s="54">
        <f ca="1">IFERROR(__xludf.DUMMYFUNCTION("""COMPUTED_VALUE"""),70)</f>
        <v>70</v>
      </c>
      <c r="I96" s="54"/>
      <c r="J96" s="54">
        <f ca="1">IFERROR(__xludf.DUMMYFUNCTION("""COMPUTED_VALUE"""),70)</f>
        <v>70</v>
      </c>
      <c r="K96" s="54"/>
      <c r="L96" s="54">
        <f ca="1">IFERROR(__xludf.DUMMYFUNCTION("""COMPUTED_VALUE"""),68)</f>
        <v>68</v>
      </c>
      <c r="M96" s="54"/>
      <c r="N96" s="54">
        <f ca="1">IFERROR(__xludf.DUMMYFUNCTION("""COMPUTED_VALUE"""),850)</f>
        <v>850</v>
      </c>
      <c r="O96" s="54">
        <f ca="1">IFERROR(__xludf.DUMMYFUNCTION("""COMPUTED_VALUE"""),484)</f>
        <v>484</v>
      </c>
      <c r="P96" s="54"/>
      <c r="Q96" s="54">
        <f ca="1">IFERROR(__xludf.DUMMYFUNCTION("""COMPUTED_VALUE"""),366)</f>
        <v>366</v>
      </c>
      <c r="R96" s="54"/>
      <c r="S96" s="53"/>
      <c r="T96" s="53"/>
      <c r="U96" s="53"/>
      <c r="V96" s="53"/>
      <c r="W96" s="53"/>
      <c r="X96" s="53"/>
      <c r="Y96" s="53"/>
      <c r="Z96" s="2"/>
      <c r="AA96" s="2"/>
      <c r="AB96" s="2"/>
      <c r="AC96" s="2"/>
      <c r="AD96" s="2"/>
      <c r="AE96" s="2"/>
    </row>
    <row r="97" spans="1:31" ht="12.75" x14ac:dyDescent="0.2">
      <c r="A97" s="53">
        <f ca="1">IFERROR(__xludf.DUMMYFUNCTION("""COMPUTED_VALUE"""),92)</f>
        <v>92</v>
      </c>
      <c r="B97" s="53" t="str">
        <f ca="1">IFERROR(__xludf.DUMMYFUNCTION("""COMPUTED_VALUE"""),"TH Phan Chu Trinh")</f>
        <v>TH Phan Chu Trinh</v>
      </c>
      <c r="C97" s="53" t="str">
        <f ca="1">IFERROR(__xludf.DUMMYFUNCTION("""COMPUTED_VALUE"""),"TH")</f>
        <v>TH</v>
      </c>
      <c r="D97" s="53" t="str">
        <f ca="1">IFERROR(__xludf.DUMMYFUNCTION("""COMPUTED_VALUE"""),"Gò Vấp")</f>
        <v>Gò Vấp</v>
      </c>
      <c r="E97" s="54">
        <f ca="1">IFERROR(__xludf.DUMMYFUNCTION("""COMPUTED_VALUE"""),96)</f>
        <v>96</v>
      </c>
      <c r="F97" s="54">
        <f ca="1">IFERROR(__xludf.DUMMYFUNCTION("""COMPUTED_VALUE"""),96)</f>
        <v>96</v>
      </c>
      <c r="G97" s="54"/>
      <c r="H97" s="54">
        <f ca="1">IFERROR(__xludf.DUMMYFUNCTION("""COMPUTED_VALUE"""),96)</f>
        <v>96</v>
      </c>
      <c r="I97" s="54"/>
      <c r="J97" s="54">
        <f ca="1">IFERROR(__xludf.DUMMYFUNCTION("""COMPUTED_VALUE"""),92)</f>
        <v>92</v>
      </c>
      <c r="K97" s="54"/>
      <c r="L97" s="54">
        <f ca="1">IFERROR(__xludf.DUMMYFUNCTION("""COMPUTED_VALUE"""),61)</f>
        <v>61</v>
      </c>
      <c r="M97" s="54"/>
      <c r="N97" s="54">
        <f ca="1">IFERROR(__xludf.DUMMYFUNCTION("""COMPUTED_VALUE"""),2562)</f>
        <v>2562</v>
      </c>
      <c r="O97" s="54">
        <f ca="1">IFERROR(__xludf.DUMMYFUNCTION("""COMPUTED_VALUE"""),1160)</f>
        <v>1160</v>
      </c>
      <c r="P97" s="54"/>
      <c r="Q97" s="54">
        <f ca="1">IFERROR(__xludf.DUMMYFUNCTION("""COMPUTED_VALUE"""),856)</f>
        <v>856</v>
      </c>
      <c r="R97" s="54"/>
      <c r="S97" s="53"/>
      <c r="T97" s="53"/>
      <c r="U97" s="53"/>
      <c r="V97" s="53"/>
      <c r="W97" s="53"/>
      <c r="X97" s="53"/>
      <c r="Y97" s="53"/>
      <c r="Z97" s="2"/>
      <c r="AA97" s="2"/>
      <c r="AB97" s="2"/>
      <c r="AC97" s="2"/>
      <c r="AD97" s="2"/>
      <c r="AE97" s="2"/>
    </row>
    <row r="98" spans="1:31" ht="12.75" x14ac:dyDescent="0.2">
      <c r="A98" s="53">
        <f ca="1">IFERROR(__xludf.DUMMYFUNCTION("""COMPUTED_VALUE"""),93)</f>
        <v>93</v>
      </c>
      <c r="B98" s="53" t="str">
        <f ca="1">IFERROR(__xludf.DUMMYFUNCTION("""COMPUTED_VALUE"""),"TH Võ Thị Sáu")</f>
        <v>TH Võ Thị Sáu</v>
      </c>
      <c r="C98" s="53" t="str">
        <f ca="1">IFERROR(__xludf.DUMMYFUNCTION("""COMPUTED_VALUE"""),"TH")</f>
        <v>TH</v>
      </c>
      <c r="D98" s="53" t="str">
        <f ca="1">IFERROR(__xludf.DUMMYFUNCTION("""COMPUTED_VALUE"""),"Gò Vấp")</f>
        <v>Gò Vấp</v>
      </c>
      <c r="E98" s="54">
        <f ca="1">IFERROR(__xludf.DUMMYFUNCTION("""COMPUTED_VALUE"""),165)</f>
        <v>165</v>
      </c>
      <c r="F98" s="54">
        <f ca="1">IFERROR(__xludf.DUMMYFUNCTION("""COMPUTED_VALUE"""),165)</f>
        <v>165</v>
      </c>
      <c r="G98" s="54"/>
      <c r="H98" s="54">
        <f ca="1">IFERROR(__xludf.DUMMYFUNCTION("""COMPUTED_VALUE"""),165)</f>
        <v>165</v>
      </c>
      <c r="I98" s="54"/>
      <c r="J98" s="54">
        <f ca="1">IFERROR(__xludf.DUMMYFUNCTION("""COMPUTED_VALUE"""),165)</f>
        <v>165</v>
      </c>
      <c r="K98" s="54"/>
      <c r="L98" s="54">
        <f ca="1">IFERROR(__xludf.DUMMYFUNCTION("""COMPUTED_VALUE"""),140)</f>
        <v>140</v>
      </c>
      <c r="M98" s="54"/>
      <c r="N98" s="54">
        <f ca="1">IFERROR(__xludf.DUMMYFUNCTION("""COMPUTED_VALUE"""),3689)</f>
        <v>3689</v>
      </c>
      <c r="O98" s="54">
        <f ca="1">IFERROR(__xludf.DUMMYFUNCTION("""COMPUTED_VALUE"""),1755)</f>
        <v>1755</v>
      </c>
      <c r="P98" s="54"/>
      <c r="Q98" s="54">
        <f ca="1">IFERROR(__xludf.DUMMYFUNCTION("""COMPUTED_VALUE"""),1245)</f>
        <v>1245</v>
      </c>
      <c r="R98" s="54"/>
      <c r="S98" s="53"/>
      <c r="T98" s="53"/>
      <c r="U98" s="53"/>
      <c r="V98" s="53"/>
      <c r="W98" s="53"/>
      <c r="X98" s="53"/>
      <c r="Y98" s="53"/>
      <c r="Z98" s="2"/>
      <c r="AA98" s="2"/>
      <c r="AB98" s="2"/>
      <c r="AC98" s="2"/>
      <c r="AD98" s="2"/>
      <c r="AE98" s="2"/>
    </row>
    <row r="99" spans="1:31" ht="12.75" x14ac:dyDescent="0.2">
      <c r="A99" s="53">
        <f ca="1">IFERROR(__xludf.DUMMYFUNCTION("""COMPUTED_VALUE"""),94)</f>
        <v>94</v>
      </c>
      <c r="B99" s="53" t="str">
        <f ca="1">IFERROR(__xludf.DUMMYFUNCTION("""COMPUTED_VALUE"""),"TH Trần Quang Khải")</f>
        <v>TH Trần Quang Khải</v>
      </c>
      <c r="C99" s="53" t="str">
        <f ca="1">IFERROR(__xludf.DUMMYFUNCTION("""COMPUTED_VALUE"""),"TH")</f>
        <v>TH</v>
      </c>
      <c r="D99" s="53" t="str">
        <f ca="1">IFERROR(__xludf.DUMMYFUNCTION("""COMPUTED_VALUE"""),"Gò Vấp")</f>
        <v>Gò Vấp</v>
      </c>
      <c r="E99" s="54">
        <f ca="1">IFERROR(__xludf.DUMMYFUNCTION("""COMPUTED_VALUE"""),53)</f>
        <v>53</v>
      </c>
      <c r="F99" s="54">
        <f ca="1">IFERROR(__xludf.DUMMYFUNCTION("""COMPUTED_VALUE"""),53)</f>
        <v>53</v>
      </c>
      <c r="G99" s="54"/>
      <c r="H99" s="54">
        <f ca="1">IFERROR(__xludf.DUMMYFUNCTION("""COMPUTED_VALUE"""),53)</f>
        <v>53</v>
      </c>
      <c r="I99" s="54"/>
      <c r="J99" s="54">
        <f ca="1">IFERROR(__xludf.DUMMYFUNCTION("""COMPUTED_VALUE"""),53)</f>
        <v>53</v>
      </c>
      <c r="K99" s="54"/>
      <c r="L99" s="54">
        <f ca="1">IFERROR(__xludf.DUMMYFUNCTION("""COMPUTED_VALUE"""),51)</f>
        <v>51</v>
      </c>
      <c r="M99" s="54"/>
      <c r="N99" s="54">
        <f ca="1">IFERROR(__xludf.DUMMYFUNCTION("""COMPUTED_VALUE"""),1308)</f>
        <v>1308</v>
      </c>
      <c r="O99" s="54">
        <f ca="1">IFERROR(__xludf.DUMMYFUNCTION("""COMPUTED_VALUE"""),720)</f>
        <v>720</v>
      </c>
      <c r="P99" s="54"/>
      <c r="Q99" s="54">
        <f ca="1">IFERROR(__xludf.DUMMYFUNCTION("""COMPUTED_VALUE"""),506)</f>
        <v>506</v>
      </c>
      <c r="R99" s="54"/>
      <c r="S99" s="53"/>
      <c r="T99" s="53"/>
      <c r="U99" s="53"/>
      <c r="V99" s="53"/>
      <c r="W99" s="53"/>
      <c r="X99" s="53"/>
      <c r="Y99" s="53"/>
      <c r="Z99" s="2"/>
      <c r="AA99" s="2"/>
      <c r="AB99" s="2"/>
      <c r="AC99" s="2"/>
      <c r="AD99" s="2"/>
      <c r="AE99" s="2"/>
    </row>
    <row r="100" spans="1:31" ht="12.75" x14ac:dyDescent="0.2">
      <c r="A100" s="53">
        <f ca="1">IFERROR(__xludf.DUMMYFUNCTION("""COMPUTED_VALUE"""),95)</f>
        <v>95</v>
      </c>
      <c r="B100" s="53" t="str">
        <f ca="1">IFERROR(__xludf.DUMMYFUNCTION("""COMPUTED_VALUE"""),"TH Nhựt Tân")</f>
        <v>TH Nhựt Tân</v>
      </c>
      <c r="C100" s="53" t="str">
        <f ca="1">IFERROR(__xludf.DUMMYFUNCTION("""COMPUTED_VALUE"""),"TH")</f>
        <v>TH</v>
      </c>
      <c r="D100" s="53" t="str">
        <f ca="1">IFERROR(__xludf.DUMMYFUNCTION("""COMPUTED_VALUE"""),"Gò Vấp")</f>
        <v>Gò Vấp</v>
      </c>
      <c r="E100" s="54">
        <f ca="1">IFERROR(__xludf.DUMMYFUNCTION("""COMPUTED_VALUE"""),29)</f>
        <v>29</v>
      </c>
      <c r="F100" s="54">
        <f ca="1">IFERROR(__xludf.DUMMYFUNCTION("""COMPUTED_VALUE"""),29)</f>
        <v>29</v>
      </c>
      <c r="G100" s="54"/>
      <c r="H100" s="54">
        <f ca="1">IFERROR(__xludf.DUMMYFUNCTION("""COMPUTED_VALUE"""),29)</f>
        <v>29</v>
      </c>
      <c r="I100" s="54"/>
      <c r="J100" s="54">
        <f ca="1">IFERROR(__xludf.DUMMYFUNCTION("""COMPUTED_VALUE"""),29)</f>
        <v>29</v>
      </c>
      <c r="K100" s="54"/>
      <c r="L100" s="54">
        <f ca="1">IFERROR(__xludf.DUMMYFUNCTION("""COMPUTED_VALUE"""),18)</f>
        <v>18</v>
      </c>
      <c r="M100" s="54"/>
      <c r="N100" s="54">
        <f ca="1">IFERROR(__xludf.DUMMYFUNCTION("""COMPUTED_VALUE"""),263)</f>
        <v>263</v>
      </c>
      <c r="O100" s="54">
        <f ca="1">IFERROR(__xludf.DUMMYFUNCTION("""COMPUTED_VALUE"""),84)</f>
        <v>84</v>
      </c>
      <c r="P100" s="54"/>
      <c r="Q100" s="54">
        <f ca="1">IFERROR(__xludf.DUMMYFUNCTION("""COMPUTED_VALUE"""),41)</f>
        <v>41</v>
      </c>
      <c r="R100" s="54"/>
      <c r="S100" s="53"/>
      <c r="T100" s="53"/>
      <c r="U100" s="53"/>
      <c r="V100" s="53"/>
      <c r="W100" s="53"/>
      <c r="X100" s="53"/>
      <c r="Y100" s="53"/>
      <c r="Z100" s="2"/>
      <c r="AA100" s="2"/>
      <c r="AB100" s="2"/>
      <c r="AC100" s="2"/>
      <c r="AD100" s="2"/>
      <c r="AE100" s="2"/>
    </row>
    <row r="101" spans="1:31" ht="12.75" x14ac:dyDescent="0.2">
      <c r="A101" s="53">
        <f ca="1">IFERROR(__xludf.DUMMYFUNCTION("""COMPUTED_VALUE"""),96)</f>
        <v>96</v>
      </c>
      <c r="B101" s="53" t="str">
        <f ca="1">IFERROR(__xludf.DUMMYFUNCTION("""COMPUTED_VALUE"""),"TH Việt Mỹ")</f>
        <v>TH Việt Mỹ</v>
      </c>
      <c r="C101" s="53" t="str">
        <f ca="1">IFERROR(__xludf.DUMMYFUNCTION("""COMPUTED_VALUE"""),"TH")</f>
        <v>TH</v>
      </c>
      <c r="D101" s="53" t="str">
        <f ca="1">IFERROR(__xludf.DUMMYFUNCTION("""COMPUTED_VALUE"""),"Gò Vấp")</f>
        <v>Gò Vấp</v>
      </c>
      <c r="E101" s="54">
        <f ca="1">IFERROR(__xludf.DUMMYFUNCTION("""COMPUTED_VALUE"""),21)</f>
        <v>21</v>
      </c>
      <c r="F101" s="54">
        <f ca="1">IFERROR(__xludf.DUMMYFUNCTION("""COMPUTED_VALUE"""),21)</f>
        <v>21</v>
      </c>
      <c r="G101" s="54"/>
      <c r="H101" s="54">
        <f ca="1">IFERROR(__xludf.DUMMYFUNCTION("""COMPUTED_VALUE"""),21)</f>
        <v>21</v>
      </c>
      <c r="I101" s="54"/>
      <c r="J101" s="54">
        <f ca="1">IFERROR(__xludf.DUMMYFUNCTION("""COMPUTED_VALUE"""),21)</f>
        <v>21</v>
      </c>
      <c r="K101" s="54"/>
      <c r="L101" s="54">
        <f ca="1">IFERROR(__xludf.DUMMYFUNCTION("""COMPUTED_VALUE"""),15)</f>
        <v>15</v>
      </c>
      <c r="M101" s="54"/>
      <c r="N101" s="54">
        <f ca="1">IFERROR(__xludf.DUMMYFUNCTION("""COMPUTED_VALUE"""),81)</f>
        <v>81</v>
      </c>
      <c r="O101" s="54">
        <f ca="1">IFERROR(__xludf.DUMMYFUNCTION("""COMPUTED_VALUE"""),16)</f>
        <v>16</v>
      </c>
      <c r="P101" s="54"/>
      <c r="Q101" s="54">
        <f ca="1">IFERROR(__xludf.DUMMYFUNCTION("""COMPUTED_VALUE"""),11)</f>
        <v>11</v>
      </c>
      <c r="R101" s="54"/>
      <c r="S101" s="53"/>
      <c r="T101" s="53"/>
      <c r="U101" s="53"/>
      <c r="V101" s="53"/>
      <c r="W101" s="53"/>
      <c r="X101" s="53"/>
      <c r="Y101" s="53"/>
      <c r="Z101" s="2"/>
      <c r="AA101" s="2"/>
      <c r="AB101" s="2"/>
      <c r="AC101" s="2"/>
      <c r="AD101" s="2"/>
      <c r="AE101" s="2"/>
    </row>
    <row r="102" spans="1:31" ht="12.75" x14ac:dyDescent="0.2">
      <c r="A102" s="53">
        <f ca="1">IFERROR(__xludf.DUMMYFUNCTION("""COMPUTED_VALUE"""),97)</f>
        <v>97</v>
      </c>
      <c r="B102" s="53" t="str">
        <f ca="1">IFERROR(__xludf.DUMMYFUNCTION("""COMPUTED_VALUE"""),"THCS Nguyễn Văn Trỗi")</f>
        <v>THCS Nguyễn Văn Trỗi</v>
      </c>
      <c r="C102" s="53" t="str">
        <f ca="1">IFERROR(__xludf.DUMMYFUNCTION("""COMPUTED_VALUE"""),"THCS")</f>
        <v>THCS</v>
      </c>
      <c r="D102" s="53" t="str">
        <f ca="1">IFERROR(__xludf.DUMMYFUNCTION("""COMPUTED_VALUE"""),"Gò Vấp")</f>
        <v>Gò Vấp</v>
      </c>
      <c r="E102" s="54">
        <f ca="1">IFERROR(__xludf.DUMMYFUNCTION("""COMPUTED_VALUE"""),84)</f>
        <v>84</v>
      </c>
      <c r="F102" s="54">
        <f ca="1">IFERROR(__xludf.DUMMYFUNCTION("""COMPUTED_VALUE"""),84)</f>
        <v>84</v>
      </c>
      <c r="G102" s="54"/>
      <c r="H102" s="54">
        <f ca="1">IFERROR(__xludf.DUMMYFUNCTION("""COMPUTED_VALUE"""),84)</f>
        <v>84</v>
      </c>
      <c r="I102" s="54"/>
      <c r="J102" s="54">
        <f ca="1">IFERROR(__xludf.DUMMYFUNCTION("""COMPUTED_VALUE"""),80)</f>
        <v>80</v>
      </c>
      <c r="K102" s="54"/>
      <c r="L102" s="54">
        <f ca="1">IFERROR(__xludf.DUMMYFUNCTION("""COMPUTED_VALUE"""),59)</f>
        <v>59</v>
      </c>
      <c r="M102" s="54"/>
      <c r="N102" s="54">
        <f ca="1">IFERROR(__xludf.DUMMYFUNCTION("""COMPUTED_VALUE"""),373)</f>
        <v>373</v>
      </c>
      <c r="O102" s="54">
        <f ca="1">IFERROR(__xludf.DUMMYFUNCTION("""COMPUTED_VALUE"""),180)</f>
        <v>180</v>
      </c>
      <c r="P102" s="54"/>
      <c r="Q102" s="54">
        <f ca="1">IFERROR(__xludf.DUMMYFUNCTION("""COMPUTED_VALUE"""),118)</f>
        <v>118</v>
      </c>
      <c r="R102" s="54"/>
      <c r="S102" s="54">
        <f ca="1">IFERROR(__xludf.DUMMYFUNCTION("""COMPUTED_VALUE"""),1476)</f>
        <v>1476</v>
      </c>
      <c r="T102" s="53">
        <f ca="1">IFERROR(__xludf.DUMMYFUNCTION("""COMPUTED_VALUE"""),1476)</f>
        <v>1476</v>
      </c>
      <c r="U102" s="53"/>
      <c r="V102" s="54">
        <f ca="1">IFERROR(__xludf.DUMMYFUNCTION("""COMPUTED_VALUE"""),1475)</f>
        <v>1475</v>
      </c>
      <c r="W102" s="54"/>
      <c r="X102" s="54">
        <f ca="1">IFERROR(__xludf.DUMMYFUNCTION("""COMPUTED_VALUE"""),225)</f>
        <v>225</v>
      </c>
      <c r="Y102" s="54"/>
      <c r="Z102" s="2"/>
      <c r="AA102" s="2"/>
      <c r="AB102" s="2"/>
      <c r="AC102" s="2"/>
      <c r="AD102" s="2"/>
      <c r="AE102" s="2"/>
    </row>
    <row r="103" spans="1:31" ht="12.75" x14ac:dyDescent="0.2">
      <c r="A103" s="53">
        <f ca="1">IFERROR(__xludf.DUMMYFUNCTION("""COMPUTED_VALUE"""),98)</f>
        <v>98</v>
      </c>
      <c r="B103" s="53" t="str">
        <f ca="1">IFERROR(__xludf.DUMMYFUNCTION("""COMPUTED_VALUE"""),"THCS Trường Sơn")</f>
        <v>THCS Trường Sơn</v>
      </c>
      <c r="C103" s="53" t="str">
        <f ca="1">IFERROR(__xludf.DUMMYFUNCTION("""COMPUTED_VALUE"""),"THCS")</f>
        <v>THCS</v>
      </c>
      <c r="D103" s="53" t="str">
        <f ca="1">IFERROR(__xludf.DUMMYFUNCTION("""COMPUTED_VALUE"""),"Gò Vấp")</f>
        <v>Gò Vấp</v>
      </c>
      <c r="E103" s="54">
        <f ca="1">IFERROR(__xludf.DUMMYFUNCTION("""COMPUTED_VALUE"""),41)</f>
        <v>41</v>
      </c>
      <c r="F103" s="54">
        <f ca="1">IFERROR(__xludf.DUMMYFUNCTION("""COMPUTED_VALUE"""),41)</f>
        <v>41</v>
      </c>
      <c r="G103" s="54"/>
      <c r="H103" s="54">
        <f ca="1">IFERROR(__xludf.DUMMYFUNCTION("""COMPUTED_VALUE"""),41)</f>
        <v>41</v>
      </c>
      <c r="I103" s="54"/>
      <c r="J103" s="54">
        <f ca="1">IFERROR(__xludf.DUMMYFUNCTION("""COMPUTED_VALUE"""),41)</f>
        <v>41</v>
      </c>
      <c r="K103" s="54"/>
      <c r="L103" s="54">
        <f ca="1">IFERROR(__xludf.DUMMYFUNCTION("""COMPUTED_VALUE"""),27)</f>
        <v>27</v>
      </c>
      <c r="M103" s="54"/>
      <c r="N103" s="54">
        <f ca="1">IFERROR(__xludf.DUMMYFUNCTION("""COMPUTED_VALUE"""),240)</f>
        <v>240</v>
      </c>
      <c r="O103" s="54">
        <f ca="1">IFERROR(__xludf.DUMMYFUNCTION("""COMPUTED_VALUE"""),112)</f>
        <v>112</v>
      </c>
      <c r="P103" s="54"/>
      <c r="Q103" s="54">
        <f ca="1">IFERROR(__xludf.DUMMYFUNCTION("""COMPUTED_VALUE"""),95)</f>
        <v>95</v>
      </c>
      <c r="R103" s="54"/>
      <c r="S103" s="53">
        <f ca="1">IFERROR(__xludf.DUMMYFUNCTION("""COMPUTED_VALUE"""),668)</f>
        <v>668</v>
      </c>
      <c r="T103" s="53">
        <f ca="1">IFERROR(__xludf.DUMMYFUNCTION("""COMPUTED_VALUE"""),668)</f>
        <v>668</v>
      </c>
      <c r="U103" s="53"/>
      <c r="V103" s="53">
        <f ca="1">IFERROR(__xludf.DUMMYFUNCTION("""COMPUTED_VALUE"""),667)</f>
        <v>667</v>
      </c>
      <c r="W103" s="53"/>
      <c r="X103" s="53">
        <f ca="1">IFERROR(__xludf.DUMMYFUNCTION("""COMPUTED_VALUE"""),296)</f>
        <v>296</v>
      </c>
      <c r="Y103" s="53"/>
      <c r="Z103" s="2"/>
      <c r="AA103" s="2"/>
      <c r="AB103" s="2"/>
      <c r="AC103" s="2"/>
      <c r="AD103" s="2"/>
      <c r="AE103" s="2"/>
    </row>
    <row r="104" spans="1:31" ht="12.75" x14ac:dyDescent="0.2">
      <c r="A104" s="53">
        <f ca="1">IFERROR(__xludf.DUMMYFUNCTION("""COMPUTED_VALUE"""),99)</f>
        <v>99</v>
      </c>
      <c r="B104" s="53" t="str">
        <f ca="1">IFERROR(__xludf.DUMMYFUNCTION("""COMPUTED_VALUE"""),"THCS Nguyễn Văn Nghi")</f>
        <v>THCS Nguyễn Văn Nghi</v>
      </c>
      <c r="C104" s="53" t="str">
        <f ca="1">IFERROR(__xludf.DUMMYFUNCTION("""COMPUTED_VALUE"""),"THCS")</f>
        <v>THCS</v>
      </c>
      <c r="D104" s="53" t="str">
        <f ca="1">IFERROR(__xludf.DUMMYFUNCTION("""COMPUTED_VALUE"""),"Gò Vấp")</f>
        <v>Gò Vấp</v>
      </c>
      <c r="E104" s="54">
        <f ca="1">IFERROR(__xludf.DUMMYFUNCTION("""COMPUTED_VALUE"""),70)</f>
        <v>70</v>
      </c>
      <c r="F104" s="54">
        <f ca="1">IFERROR(__xludf.DUMMYFUNCTION("""COMPUTED_VALUE"""),70)</f>
        <v>70</v>
      </c>
      <c r="G104" s="54"/>
      <c r="H104" s="54">
        <f ca="1">IFERROR(__xludf.DUMMYFUNCTION("""COMPUTED_VALUE"""),70)</f>
        <v>70</v>
      </c>
      <c r="I104" s="54"/>
      <c r="J104" s="54">
        <f ca="1">IFERROR(__xludf.DUMMYFUNCTION("""COMPUTED_VALUE"""),67)</f>
        <v>67</v>
      </c>
      <c r="K104" s="54"/>
      <c r="L104" s="54">
        <f ca="1">IFERROR(__xludf.DUMMYFUNCTION("""COMPUTED_VALUE"""),35)</f>
        <v>35</v>
      </c>
      <c r="M104" s="54"/>
      <c r="N104" s="54">
        <f ca="1">IFERROR(__xludf.DUMMYFUNCTION("""COMPUTED_VALUE"""),503)</f>
        <v>503</v>
      </c>
      <c r="O104" s="54">
        <f ca="1">IFERROR(__xludf.DUMMYFUNCTION("""COMPUTED_VALUE"""),299)</f>
        <v>299</v>
      </c>
      <c r="P104" s="54"/>
      <c r="Q104" s="54">
        <f ca="1">IFERROR(__xludf.DUMMYFUNCTION("""COMPUTED_VALUE"""),231)</f>
        <v>231</v>
      </c>
      <c r="R104" s="54"/>
      <c r="S104" s="54">
        <f ca="1">IFERROR(__xludf.DUMMYFUNCTION("""COMPUTED_VALUE"""),1317)</f>
        <v>1317</v>
      </c>
      <c r="T104" s="53">
        <f ca="1">IFERROR(__xludf.DUMMYFUNCTION("""COMPUTED_VALUE"""),1189)</f>
        <v>1189</v>
      </c>
      <c r="U104" s="53"/>
      <c r="V104" s="54">
        <f ca="1">IFERROR(__xludf.DUMMYFUNCTION("""COMPUTED_VALUE"""),1070)</f>
        <v>1070</v>
      </c>
      <c r="W104" s="54"/>
      <c r="X104" s="54">
        <f ca="1">IFERROR(__xludf.DUMMYFUNCTION("""COMPUTED_VALUE"""),276)</f>
        <v>276</v>
      </c>
      <c r="Y104" s="54"/>
      <c r="Z104" s="2"/>
      <c r="AA104" s="2"/>
      <c r="AB104" s="2"/>
      <c r="AC104" s="2"/>
      <c r="AD104" s="2"/>
      <c r="AE104" s="2"/>
    </row>
    <row r="105" spans="1:31" ht="12.75" x14ac:dyDescent="0.2">
      <c r="A105" s="53">
        <f ca="1">IFERROR(__xludf.DUMMYFUNCTION("""COMPUTED_VALUE"""),100)</f>
        <v>100</v>
      </c>
      <c r="B105" s="53" t="str">
        <f ca="1">IFERROR(__xludf.DUMMYFUNCTION("""COMPUTED_VALUE"""),"THCS Gò Vấp")</f>
        <v>THCS Gò Vấp</v>
      </c>
      <c r="C105" s="53" t="str">
        <f ca="1">IFERROR(__xludf.DUMMYFUNCTION("""COMPUTED_VALUE"""),"THCS")</f>
        <v>THCS</v>
      </c>
      <c r="D105" s="53" t="str">
        <f ca="1">IFERROR(__xludf.DUMMYFUNCTION("""COMPUTED_VALUE"""),"Gò Vấp")</f>
        <v>Gò Vấp</v>
      </c>
      <c r="E105" s="54">
        <f ca="1">IFERROR(__xludf.DUMMYFUNCTION("""COMPUTED_VALUE"""),56)</f>
        <v>56</v>
      </c>
      <c r="F105" s="54">
        <f ca="1">IFERROR(__xludf.DUMMYFUNCTION("""COMPUTED_VALUE"""),56)</f>
        <v>56</v>
      </c>
      <c r="G105" s="54"/>
      <c r="H105" s="54">
        <f ca="1">IFERROR(__xludf.DUMMYFUNCTION("""COMPUTED_VALUE"""),56)</f>
        <v>56</v>
      </c>
      <c r="I105" s="54"/>
      <c r="J105" s="54">
        <f ca="1">IFERROR(__xludf.DUMMYFUNCTION("""COMPUTED_VALUE"""),42)</f>
        <v>42</v>
      </c>
      <c r="K105" s="54"/>
      <c r="L105" s="54">
        <f ca="1">IFERROR(__xludf.DUMMYFUNCTION("""COMPUTED_VALUE"""),33)</f>
        <v>33</v>
      </c>
      <c r="M105" s="54"/>
      <c r="N105" s="54">
        <f ca="1">IFERROR(__xludf.DUMMYFUNCTION("""COMPUTED_VALUE"""),453)</f>
        <v>453</v>
      </c>
      <c r="O105" s="54">
        <f ca="1">IFERROR(__xludf.DUMMYFUNCTION("""COMPUTED_VALUE"""),234)</f>
        <v>234</v>
      </c>
      <c r="P105" s="54"/>
      <c r="Q105" s="54">
        <f ca="1">IFERROR(__xludf.DUMMYFUNCTION("""COMPUTED_VALUE"""),166)</f>
        <v>166</v>
      </c>
      <c r="R105" s="54"/>
      <c r="S105" s="53">
        <f ca="1">IFERROR(__xludf.DUMMYFUNCTION("""COMPUTED_VALUE"""),756)</f>
        <v>756</v>
      </c>
      <c r="T105" s="53">
        <f ca="1">IFERROR(__xludf.DUMMYFUNCTION("""COMPUTED_VALUE"""),728)</f>
        <v>728</v>
      </c>
      <c r="U105" s="53"/>
      <c r="V105" s="53">
        <f ca="1">IFERROR(__xludf.DUMMYFUNCTION("""COMPUTED_VALUE"""),704)</f>
        <v>704</v>
      </c>
      <c r="W105" s="53"/>
      <c r="X105" s="53">
        <f ca="1">IFERROR(__xludf.DUMMYFUNCTION("""COMPUTED_VALUE"""),184)</f>
        <v>184</v>
      </c>
      <c r="Y105" s="53"/>
      <c r="Z105" s="2"/>
      <c r="AA105" s="2"/>
      <c r="AB105" s="2"/>
      <c r="AC105" s="2"/>
      <c r="AD105" s="2"/>
      <c r="AE105" s="2"/>
    </row>
    <row r="106" spans="1:31" ht="12.75" x14ac:dyDescent="0.2">
      <c r="A106" s="53">
        <f ca="1">IFERROR(__xludf.DUMMYFUNCTION("""COMPUTED_VALUE"""),101)</f>
        <v>101</v>
      </c>
      <c r="B106" s="53" t="str">
        <f ca="1">IFERROR(__xludf.DUMMYFUNCTION("""COMPUTED_VALUE"""),"THCS An Nhơn")</f>
        <v>THCS An Nhơn</v>
      </c>
      <c r="C106" s="53" t="str">
        <f ca="1">IFERROR(__xludf.DUMMYFUNCTION("""COMPUTED_VALUE"""),"THCS")</f>
        <v>THCS</v>
      </c>
      <c r="D106" s="53" t="str">
        <f ca="1">IFERROR(__xludf.DUMMYFUNCTION("""COMPUTED_VALUE"""),"Gò Vấp")</f>
        <v>Gò Vấp</v>
      </c>
      <c r="E106" s="54">
        <f ca="1">IFERROR(__xludf.DUMMYFUNCTION("""COMPUTED_VALUE"""),85)</f>
        <v>85</v>
      </c>
      <c r="F106" s="54">
        <f ca="1">IFERROR(__xludf.DUMMYFUNCTION("""COMPUTED_VALUE"""),85)</f>
        <v>85</v>
      </c>
      <c r="G106" s="54"/>
      <c r="H106" s="54">
        <f ca="1">IFERROR(__xludf.DUMMYFUNCTION("""COMPUTED_VALUE"""),85)</f>
        <v>85</v>
      </c>
      <c r="I106" s="54"/>
      <c r="J106" s="54">
        <f ca="1">IFERROR(__xludf.DUMMYFUNCTION("""COMPUTED_VALUE"""),79)</f>
        <v>79</v>
      </c>
      <c r="K106" s="54"/>
      <c r="L106" s="54">
        <f ca="1">IFERROR(__xludf.DUMMYFUNCTION("""COMPUTED_VALUE"""),25)</f>
        <v>25</v>
      </c>
      <c r="M106" s="54"/>
      <c r="N106" s="54">
        <f ca="1">IFERROR(__xludf.DUMMYFUNCTION("""COMPUTED_VALUE"""),789)</f>
        <v>789</v>
      </c>
      <c r="O106" s="54">
        <f ca="1">IFERROR(__xludf.DUMMYFUNCTION("""COMPUTED_VALUE"""),733)</f>
        <v>733</v>
      </c>
      <c r="P106" s="54"/>
      <c r="Q106" s="54">
        <f ca="1">IFERROR(__xludf.DUMMYFUNCTION("""COMPUTED_VALUE"""),567)</f>
        <v>567</v>
      </c>
      <c r="R106" s="54"/>
      <c r="S106" s="54">
        <f ca="1">IFERROR(__xludf.DUMMYFUNCTION("""COMPUTED_VALUE"""),1585)</f>
        <v>1585</v>
      </c>
      <c r="T106" s="53">
        <f ca="1">IFERROR(__xludf.DUMMYFUNCTION("""COMPUTED_VALUE"""),1483)</f>
        <v>1483</v>
      </c>
      <c r="U106" s="53"/>
      <c r="V106" s="54">
        <f ca="1">IFERROR(__xludf.DUMMYFUNCTION("""COMPUTED_VALUE"""),1447)</f>
        <v>1447</v>
      </c>
      <c r="W106" s="54"/>
      <c r="X106" s="54">
        <f ca="1">IFERROR(__xludf.DUMMYFUNCTION("""COMPUTED_VALUE"""),315)</f>
        <v>315</v>
      </c>
      <c r="Y106" s="54"/>
      <c r="Z106" s="2"/>
      <c r="AA106" s="2"/>
      <c r="AB106" s="2"/>
      <c r="AC106" s="2"/>
      <c r="AD106" s="2"/>
      <c r="AE106" s="2"/>
    </row>
    <row r="107" spans="1:31" ht="12.75" x14ac:dyDescent="0.2">
      <c r="A107" s="53">
        <f ca="1">IFERROR(__xludf.DUMMYFUNCTION("""COMPUTED_VALUE"""),102)</f>
        <v>102</v>
      </c>
      <c r="B107" s="53" t="str">
        <f ca="1">IFERROR(__xludf.DUMMYFUNCTION("""COMPUTED_VALUE"""),"THCS Phan Văn Trị")</f>
        <v>THCS Phan Văn Trị</v>
      </c>
      <c r="C107" s="53" t="str">
        <f ca="1">IFERROR(__xludf.DUMMYFUNCTION("""COMPUTED_VALUE"""),"THCS")</f>
        <v>THCS</v>
      </c>
      <c r="D107" s="53" t="str">
        <f ca="1">IFERROR(__xludf.DUMMYFUNCTION("""COMPUTED_VALUE"""),"Gò Vấp")</f>
        <v>Gò Vấp</v>
      </c>
      <c r="E107" s="54">
        <f ca="1">IFERROR(__xludf.DUMMYFUNCTION("""COMPUTED_VALUE"""),55)</f>
        <v>55</v>
      </c>
      <c r="F107" s="54">
        <f ca="1">IFERROR(__xludf.DUMMYFUNCTION("""COMPUTED_VALUE"""),55)</f>
        <v>55</v>
      </c>
      <c r="G107" s="54"/>
      <c r="H107" s="54">
        <f ca="1">IFERROR(__xludf.DUMMYFUNCTION("""COMPUTED_VALUE"""),55)</f>
        <v>55</v>
      </c>
      <c r="I107" s="54"/>
      <c r="J107" s="54">
        <f ca="1">IFERROR(__xludf.DUMMYFUNCTION("""COMPUTED_VALUE"""),55)</f>
        <v>55</v>
      </c>
      <c r="K107" s="54"/>
      <c r="L107" s="54">
        <f ca="1">IFERROR(__xludf.DUMMYFUNCTION("""COMPUTED_VALUE"""),30)</f>
        <v>30</v>
      </c>
      <c r="M107" s="54"/>
      <c r="N107" s="54">
        <f ca="1">IFERROR(__xludf.DUMMYFUNCTION("""COMPUTED_VALUE"""),265)</f>
        <v>265</v>
      </c>
      <c r="O107" s="54">
        <f ca="1">IFERROR(__xludf.DUMMYFUNCTION("""COMPUTED_VALUE"""),87)</f>
        <v>87</v>
      </c>
      <c r="P107" s="54"/>
      <c r="Q107" s="54">
        <f ca="1">IFERROR(__xludf.DUMMYFUNCTION("""COMPUTED_VALUE"""),56)</f>
        <v>56</v>
      </c>
      <c r="R107" s="54"/>
      <c r="S107" s="54">
        <f ca="1">IFERROR(__xludf.DUMMYFUNCTION("""COMPUTED_VALUE"""),608)</f>
        <v>608</v>
      </c>
      <c r="T107" s="53">
        <f ca="1">IFERROR(__xludf.DUMMYFUNCTION("""COMPUTED_VALUE"""),505)</f>
        <v>505</v>
      </c>
      <c r="U107" s="53"/>
      <c r="V107" s="54">
        <f ca="1">IFERROR(__xludf.DUMMYFUNCTION("""COMPUTED_VALUE"""),473)</f>
        <v>473</v>
      </c>
      <c r="W107" s="54"/>
      <c r="X107" s="54">
        <f ca="1">IFERROR(__xludf.DUMMYFUNCTION("""COMPUTED_VALUE"""),103)</f>
        <v>103</v>
      </c>
      <c r="Y107" s="54"/>
      <c r="Z107" s="2"/>
      <c r="AA107" s="2"/>
      <c r="AB107" s="2"/>
      <c r="AC107" s="2"/>
      <c r="AD107" s="2"/>
      <c r="AE107" s="2"/>
    </row>
    <row r="108" spans="1:31" ht="12.75" x14ac:dyDescent="0.2">
      <c r="A108" s="53">
        <f ca="1">IFERROR(__xludf.DUMMYFUNCTION("""COMPUTED_VALUE"""),103)</f>
        <v>103</v>
      </c>
      <c r="B108" s="53" t="str">
        <f ca="1">IFERROR(__xludf.DUMMYFUNCTION("""COMPUTED_VALUE"""),"THCS Quang Trung")</f>
        <v>THCS Quang Trung</v>
      </c>
      <c r="C108" s="53" t="str">
        <f ca="1">IFERROR(__xludf.DUMMYFUNCTION("""COMPUTED_VALUE"""),"THCS")</f>
        <v>THCS</v>
      </c>
      <c r="D108" s="53" t="str">
        <f ca="1">IFERROR(__xludf.DUMMYFUNCTION("""COMPUTED_VALUE"""),"Gò Vấp")</f>
        <v>Gò Vấp</v>
      </c>
      <c r="E108" s="54">
        <f ca="1">IFERROR(__xludf.DUMMYFUNCTION("""COMPUTED_VALUE"""),90)</f>
        <v>90</v>
      </c>
      <c r="F108" s="54">
        <f ca="1">IFERROR(__xludf.DUMMYFUNCTION("""COMPUTED_VALUE"""),90)</f>
        <v>90</v>
      </c>
      <c r="G108" s="54"/>
      <c r="H108" s="54">
        <f ca="1">IFERROR(__xludf.DUMMYFUNCTION("""COMPUTED_VALUE"""),90)</f>
        <v>90</v>
      </c>
      <c r="I108" s="54"/>
      <c r="J108" s="54">
        <f ca="1">IFERROR(__xludf.DUMMYFUNCTION("""COMPUTED_VALUE"""),84)</f>
        <v>84</v>
      </c>
      <c r="K108" s="54"/>
      <c r="L108" s="54">
        <f ca="1">IFERROR(__xludf.DUMMYFUNCTION("""COMPUTED_VALUE"""),56)</f>
        <v>56</v>
      </c>
      <c r="M108" s="54"/>
      <c r="N108" s="54">
        <f ca="1">IFERROR(__xludf.DUMMYFUNCTION("""COMPUTED_VALUE"""),639)</f>
        <v>639</v>
      </c>
      <c r="O108" s="54">
        <f ca="1">IFERROR(__xludf.DUMMYFUNCTION("""COMPUTED_VALUE"""),332)</f>
        <v>332</v>
      </c>
      <c r="P108" s="54"/>
      <c r="Q108" s="54">
        <f ca="1">IFERROR(__xludf.DUMMYFUNCTION("""COMPUTED_VALUE"""),204)</f>
        <v>204</v>
      </c>
      <c r="R108" s="54"/>
      <c r="S108" s="54">
        <f ca="1">IFERROR(__xludf.DUMMYFUNCTION("""COMPUTED_VALUE"""),1387)</f>
        <v>1387</v>
      </c>
      <c r="T108" s="53">
        <f ca="1">IFERROR(__xludf.DUMMYFUNCTION("""COMPUTED_VALUE"""),1291)</f>
        <v>1291</v>
      </c>
      <c r="U108" s="53"/>
      <c r="V108" s="54">
        <f ca="1">IFERROR(__xludf.DUMMYFUNCTION("""COMPUTED_VALUE"""),1121)</f>
        <v>1121</v>
      </c>
      <c r="W108" s="54"/>
      <c r="X108" s="54">
        <f ca="1">IFERROR(__xludf.DUMMYFUNCTION("""COMPUTED_VALUE"""),305)</f>
        <v>305</v>
      </c>
      <c r="Y108" s="54"/>
      <c r="Z108" s="2"/>
      <c r="AA108" s="2"/>
      <c r="AB108" s="2"/>
      <c r="AC108" s="2"/>
      <c r="AD108" s="2"/>
      <c r="AE108" s="2"/>
    </row>
    <row r="109" spans="1:31" ht="12.75" x14ac:dyDescent="0.2">
      <c r="A109" s="53">
        <f ca="1">IFERROR(__xludf.DUMMYFUNCTION("""COMPUTED_VALUE"""),104)</f>
        <v>104</v>
      </c>
      <c r="B109" s="53" t="str">
        <f ca="1">IFERROR(__xludf.DUMMYFUNCTION("""COMPUTED_VALUE"""),"THCS Phạm Văn Chiêu")</f>
        <v>THCS Phạm Văn Chiêu</v>
      </c>
      <c r="C109" s="53" t="str">
        <f ca="1">IFERROR(__xludf.DUMMYFUNCTION("""COMPUTED_VALUE"""),"THCS")</f>
        <v>THCS</v>
      </c>
      <c r="D109" s="53" t="str">
        <f ca="1">IFERROR(__xludf.DUMMYFUNCTION("""COMPUTED_VALUE"""),"Gò Vấp")</f>
        <v>Gò Vấp</v>
      </c>
      <c r="E109" s="54">
        <f ca="1">IFERROR(__xludf.DUMMYFUNCTION("""COMPUTED_VALUE"""),100)</f>
        <v>100</v>
      </c>
      <c r="F109" s="54">
        <f ca="1">IFERROR(__xludf.DUMMYFUNCTION("""COMPUTED_VALUE"""),100)</f>
        <v>100</v>
      </c>
      <c r="G109" s="54"/>
      <c r="H109" s="54">
        <f ca="1">IFERROR(__xludf.DUMMYFUNCTION("""COMPUTED_VALUE"""),100)</f>
        <v>100</v>
      </c>
      <c r="I109" s="54"/>
      <c r="J109" s="54">
        <f ca="1">IFERROR(__xludf.DUMMYFUNCTION("""COMPUTED_VALUE"""),100)</f>
        <v>100</v>
      </c>
      <c r="K109" s="54"/>
      <c r="L109" s="54">
        <f ca="1">IFERROR(__xludf.DUMMYFUNCTION("""COMPUTED_VALUE"""),84)</f>
        <v>84</v>
      </c>
      <c r="M109" s="54"/>
      <c r="N109" s="54">
        <f ca="1">IFERROR(__xludf.DUMMYFUNCTION("""COMPUTED_VALUE"""),799)</f>
        <v>799</v>
      </c>
      <c r="O109" s="54">
        <f ca="1">IFERROR(__xludf.DUMMYFUNCTION("""COMPUTED_VALUE"""),564)</f>
        <v>564</v>
      </c>
      <c r="P109" s="54"/>
      <c r="Q109" s="54">
        <f ca="1">IFERROR(__xludf.DUMMYFUNCTION("""COMPUTED_VALUE"""),397)</f>
        <v>397</v>
      </c>
      <c r="R109" s="54"/>
      <c r="S109" s="54">
        <f ca="1">IFERROR(__xludf.DUMMYFUNCTION("""COMPUTED_VALUE"""),1657)</f>
        <v>1657</v>
      </c>
      <c r="T109" s="53">
        <f ca="1">IFERROR(__xludf.DUMMYFUNCTION("""COMPUTED_VALUE"""),1520)</f>
        <v>1520</v>
      </c>
      <c r="U109" s="53"/>
      <c r="V109" s="54">
        <f ca="1">IFERROR(__xludf.DUMMYFUNCTION("""COMPUTED_VALUE"""),1487)</f>
        <v>1487</v>
      </c>
      <c r="W109" s="54"/>
      <c r="X109" s="54">
        <f ca="1">IFERROR(__xludf.DUMMYFUNCTION("""COMPUTED_VALUE"""),619)</f>
        <v>619</v>
      </c>
      <c r="Y109" s="54"/>
      <c r="Z109" s="2"/>
      <c r="AA109" s="2"/>
      <c r="AB109" s="2"/>
      <c r="AC109" s="2"/>
      <c r="AD109" s="2"/>
      <c r="AE109" s="2"/>
    </row>
    <row r="110" spans="1:31" ht="12.75" x14ac:dyDescent="0.2">
      <c r="A110" s="53">
        <f ca="1">IFERROR(__xludf.DUMMYFUNCTION("""COMPUTED_VALUE"""),105)</f>
        <v>105</v>
      </c>
      <c r="B110" s="53" t="str">
        <f ca="1">IFERROR(__xludf.DUMMYFUNCTION("""COMPUTED_VALUE"""),"THCS Thông Tây Hội")</f>
        <v>THCS Thông Tây Hội</v>
      </c>
      <c r="C110" s="53" t="str">
        <f ca="1">IFERROR(__xludf.DUMMYFUNCTION("""COMPUTED_VALUE"""),"THCS")</f>
        <v>THCS</v>
      </c>
      <c r="D110" s="53" t="str">
        <f ca="1">IFERROR(__xludf.DUMMYFUNCTION("""COMPUTED_VALUE"""),"Gò Vấp")</f>
        <v>Gò Vấp</v>
      </c>
      <c r="E110" s="54">
        <f ca="1">IFERROR(__xludf.DUMMYFUNCTION("""COMPUTED_VALUE"""),65)</f>
        <v>65</v>
      </c>
      <c r="F110" s="54">
        <f ca="1">IFERROR(__xludf.DUMMYFUNCTION("""COMPUTED_VALUE"""),65)</f>
        <v>65</v>
      </c>
      <c r="G110" s="54"/>
      <c r="H110" s="54">
        <f ca="1">IFERROR(__xludf.DUMMYFUNCTION("""COMPUTED_VALUE"""),65)</f>
        <v>65</v>
      </c>
      <c r="I110" s="54"/>
      <c r="J110" s="54">
        <f ca="1">IFERROR(__xludf.DUMMYFUNCTION("""COMPUTED_VALUE"""),63)</f>
        <v>63</v>
      </c>
      <c r="K110" s="54"/>
      <c r="L110" s="54">
        <f ca="1">IFERROR(__xludf.DUMMYFUNCTION("""COMPUTED_VALUE"""),19)</f>
        <v>19</v>
      </c>
      <c r="M110" s="54"/>
      <c r="N110" s="54">
        <f ca="1">IFERROR(__xludf.DUMMYFUNCTION("""COMPUTED_VALUE"""),292)</f>
        <v>292</v>
      </c>
      <c r="O110" s="54">
        <f ca="1">IFERROR(__xludf.DUMMYFUNCTION("""COMPUTED_VALUE"""),261)</f>
        <v>261</v>
      </c>
      <c r="P110" s="54"/>
      <c r="Q110" s="54">
        <f ca="1">IFERROR(__xludf.DUMMYFUNCTION("""COMPUTED_VALUE"""),184)</f>
        <v>184</v>
      </c>
      <c r="R110" s="54"/>
      <c r="S110" s="54">
        <f ca="1">IFERROR(__xludf.DUMMYFUNCTION("""COMPUTED_VALUE"""),1042)</f>
        <v>1042</v>
      </c>
      <c r="T110" s="53">
        <f ca="1">IFERROR(__xludf.DUMMYFUNCTION("""COMPUTED_VALUE"""),992)</f>
        <v>992</v>
      </c>
      <c r="U110" s="53"/>
      <c r="V110" s="54">
        <f ca="1">IFERROR(__xludf.DUMMYFUNCTION("""COMPUTED_VALUE"""),916)</f>
        <v>916</v>
      </c>
      <c r="W110" s="54"/>
      <c r="X110" s="54">
        <f ca="1">IFERROR(__xludf.DUMMYFUNCTION("""COMPUTED_VALUE"""),267)</f>
        <v>267</v>
      </c>
      <c r="Y110" s="54"/>
      <c r="Z110" s="2"/>
      <c r="AA110" s="2"/>
      <c r="AB110" s="2"/>
      <c r="AC110" s="2"/>
      <c r="AD110" s="2"/>
      <c r="AE110" s="2"/>
    </row>
    <row r="111" spans="1:31" ht="12.75" x14ac:dyDescent="0.2">
      <c r="A111" s="53">
        <f ca="1">IFERROR(__xludf.DUMMYFUNCTION("""COMPUTED_VALUE"""),106)</f>
        <v>106</v>
      </c>
      <c r="B111" s="53" t="str">
        <f ca="1">IFERROR(__xludf.DUMMYFUNCTION("""COMPUTED_VALUE"""),"THCS Nguyễn Du")</f>
        <v>THCS Nguyễn Du</v>
      </c>
      <c r="C111" s="53" t="str">
        <f ca="1">IFERROR(__xludf.DUMMYFUNCTION("""COMPUTED_VALUE"""),"THCS")</f>
        <v>THCS</v>
      </c>
      <c r="D111" s="53" t="str">
        <f ca="1">IFERROR(__xludf.DUMMYFUNCTION("""COMPUTED_VALUE"""),"Gò Vấp")</f>
        <v>Gò Vấp</v>
      </c>
      <c r="E111" s="54">
        <f ca="1">IFERROR(__xludf.DUMMYFUNCTION("""COMPUTED_VALUE"""),89)</f>
        <v>89</v>
      </c>
      <c r="F111" s="54">
        <f ca="1">IFERROR(__xludf.DUMMYFUNCTION("""COMPUTED_VALUE"""),89)</f>
        <v>89</v>
      </c>
      <c r="G111" s="54"/>
      <c r="H111" s="54">
        <f ca="1">IFERROR(__xludf.DUMMYFUNCTION("""COMPUTED_VALUE"""),88)</f>
        <v>88</v>
      </c>
      <c r="I111" s="54"/>
      <c r="J111" s="54">
        <f ca="1">IFERROR(__xludf.DUMMYFUNCTION("""COMPUTED_VALUE"""),86)</f>
        <v>86</v>
      </c>
      <c r="K111" s="54"/>
      <c r="L111" s="54">
        <f ca="1">IFERROR(__xludf.DUMMYFUNCTION("""COMPUTED_VALUE"""),57)</f>
        <v>57</v>
      </c>
      <c r="M111" s="54"/>
      <c r="N111" s="54">
        <f ca="1">IFERROR(__xludf.DUMMYFUNCTION("""COMPUTED_VALUE"""),547)</f>
        <v>547</v>
      </c>
      <c r="O111" s="54">
        <f ca="1">IFERROR(__xludf.DUMMYFUNCTION("""COMPUTED_VALUE"""),252)</f>
        <v>252</v>
      </c>
      <c r="P111" s="54"/>
      <c r="Q111" s="54">
        <f ca="1">IFERROR(__xludf.DUMMYFUNCTION("""COMPUTED_VALUE"""),186)</f>
        <v>186</v>
      </c>
      <c r="R111" s="54"/>
      <c r="S111" s="54">
        <f ca="1">IFERROR(__xludf.DUMMYFUNCTION("""COMPUTED_VALUE"""),1404)</f>
        <v>1404</v>
      </c>
      <c r="T111" s="54">
        <f ca="1">IFERROR(__xludf.DUMMYFUNCTION("""COMPUTED_VALUE"""),1298)</f>
        <v>1298</v>
      </c>
      <c r="U111" s="54"/>
      <c r="V111" s="54">
        <f ca="1">IFERROR(__xludf.DUMMYFUNCTION("""COMPUTED_VALUE"""),1215)</f>
        <v>1215</v>
      </c>
      <c r="W111" s="54"/>
      <c r="X111" s="54">
        <f ca="1">IFERROR(__xludf.DUMMYFUNCTION("""COMPUTED_VALUE"""),389)</f>
        <v>389</v>
      </c>
      <c r="Y111" s="54"/>
      <c r="Z111" s="2"/>
      <c r="AA111" s="2"/>
      <c r="AB111" s="2"/>
      <c r="AC111" s="2"/>
      <c r="AD111" s="2"/>
      <c r="AE111" s="2"/>
    </row>
    <row r="112" spans="1:31" ht="12.75" x14ac:dyDescent="0.2">
      <c r="A112" s="53">
        <f ca="1">IFERROR(__xludf.DUMMYFUNCTION("""COMPUTED_VALUE"""),107)</f>
        <v>107</v>
      </c>
      <c r="B112" s="53" t="str">
        <f ca="1">IFERROR(__xludf.DUMMYFUNCTION("""COMPUTED_VALUE"""),"THCS Tân Sơn")</f>
        <v>THCS Tân Sơn</v>
      </c>
      <c r="C112" s="53" t="str">
        <f ca="1">IFERROR(__xludf.DUMMYFUNCTION("""COMPUTED_VALUE"""),"THCS")</f>
        <v>THCS</v>
      </c>
      <c r="D112" s="53" t="str">
        <f ca="1">IFERROR(__xludf.DUMMYFUNCTION("""COMPUTED_VALUE"""),"Gò Vấp")</f>
        <v>Gò Vấp</v>
      </c>
      <c r="E112" s="54">
        <f ca="1">IFERROR(__xludf.DUMMYFUNCTION("""COMPUTED_VALUE"""),78)</f>
        <v>78</v>
      </c>
      <c r="F112" s="54">
        <f ca="1">IFERROR(__xludf.DUMMYFUNCTION("""COMPUTED_VALUE"""),78)</f>
        <v>78</v>
      </c>
      <c r="G112" s="54"/>
      <c r="H112" s="54">
        <f ca="1">IFERROR(__xludf.DUMMYFUNCTION("""COMPUTED_VALUE"""),78)</f>
        <v>78</v>
      </c>
      <c r="I112" s="54"/>
      <c r="J112" s="54">
        <f ca="1">IFERROR(__xludf.DUMMYFUNCTION("""COMPUTED_VALUE"""),77)</f>
        <v>77</v>
      </c>
      <c r="K112" s="54"/>
      <c r="L112" s="54">
        <f ca="1">IFERROR(__xludf.DUMMYFUNCTION("""COMPUTED_VALUE"""),44)</f>
        <v>44</v>
      </c>
      <c r="M112" s="54"/>
      <c r="N112" s="54">
        <f ca="1">IFERROR(__xludf.DUMMYFUNCTION("""COMPUTED_VALUE"""),402)</f>
        <v>402</v>
      </c>
      <c r="O112" s="54">
        <f ca="1">IFERROR(__xludf.DUMMYFUNCTION("""COMPUTED_VALUE"""),328)</f>
        <v>328</v>
      </c>
      <c r="P112" s="54"/>
      <c r="Q112" s="54">
        <f ca="1">IFERROR(__xludf.DUMMYFUNCTION("""COMPUTED_VALUE"""),240)</f>
        <v>240</v>
      </c>
      <c r="R112" s="54"/>
      <c r="S112" s="53">
        <f ca="1">IFERROR(__xludf.DUMMYFUNCTION("""COMPUTED_VALUE"""),1523)</f>
        <v>1523</v>
      </c>
      <c r="T112" s="53">
        <f ca="1">IFERROR(__xludf.DUMMYFUNCTION("""COMPUTED_VALUE"""),1514)</f>
        <v>1514</v>
      </c>
      <c r="U112" s="53"/>
      <c r="V112" s="53">
        <f ca="1">IFERROR(__xludf.DUMMYFUNCTION("""COMPUTED_VALUE"""),1476)</f>
        <v>1476</v>
      </c>
      <c r="W112" s="53"/>
      <c r="X112" s="53">
        <f ca="1">IFERROR(__xludf.DUMMYFUNCTION("""COMPUTED_VALUE"""),511)</f>
        <v>511</v>
      </c>
      <c r="Y112" s="53"/>
      <c r="Z112" s="2"/>
      <c r="AA112" s="2"/>
      <c r="AB112" s="2"/>
      <c r="AC112" s="2"/>
      <c r="AD112" s="2"/>
      <c r="AE112" s="2"/>
    </row>
    <row r="113" spans="1:31" ht="12.75" x14ac:dyDescent="0.2">
      <c r="A113" s="53">
        <f ca="1">IFERROR(__xludf.DUMMYFUNCTION("""COMPUTED_VALUE"""),108)</f>
        <v>108</v>
      </c>
      <c r="B113" s="53" t="str">
        <f ca="1">IFERROR(__xludf.DUMMYFUNCTION("""COMPUTED_VALUE"""),"THCS Nguyễn Trãi")</f>
        <v>THCS Nguyễn Trãi</v>
      </c>
      <c r="C113" s="53" t="str">
        <f ca="1">IFERROR(__xludf.DUMMYFUNCTION("""COMPUTED_VALUE"""),"THCS")</f>
        <v>THCS</v>
      </c>
      <c r="D113" s="53" t="str">
        <f ca="1">IFERROR(__xludf.DUMMYFUNCTION("""COMPUTED_VALUE"""),"Gò Vấp")</f>
        <v>Gò Vấp</v>
      </c>
      <c r="E113" s="54">
        <f ca="1">IFERROR(__xludf.DUMMYFUNCTION("""COMPUTED_VALUE"""),119)</f>
        <v>119</v>
      </c>
      <c r="F113" s="54">
        <f ca="1">IFERROR(__xludf.DUMMYFUNCTION("""COMPUTED_VALUE"""),119)</f>
        <v>119</v>
      </c>
      <c r="G113" s="54"/>
      <c r="H113" s="54">
        <f ca="1">IFERROR(__xludf.DUMMYFUNCTION("""COMPUTED_VALUE"""),119)</f>
        <v>119</v>
      </c>
      <c r="I113" s="54"/>
      <c r="J113" s="54">
        <f ca="1">IFERROR(__xludf.DUMMYFUNCTION("""COMPUTED_VALUE"""),111)</f>
        <v>111</v>
      </c>
      <c r="K113" s="54"/>
      <c r="L113" s="54">
        <f ca="1">IFERROR(__xludf.DUMMYFUNCTION("""COMPUTED_VALUE"""),83)</f>
        <v>83</v>
      </c>
      <c r="M113" s="54"/>
      <c r="N113" s="54">
        <f ca="1">IFERROR(__xludf.DUMMYFUNCTION("""COMPUTED_VALUE"""),654)</f>
        <v>654</v>
      </c>
      <c r="O113" s="54">
        <f ca="1">IFERROR(__xludf.DUMMYFUNCTION("""COMPUTED_VALUE"""),315)</f>
        <v>315</v>
      </c>
      <c r="P113" s="54"/>
      <c r="Q113" s="54">
        <f ca="1">IFERROR(__xludf.DUMMYFUNCTION("""COMPUTED_VALUE"""),225)</f>
        <v>225</v>
      </c>
      <c r="R113" s="54"/>
      <c r="S113" s="54">
        <f ca="1">IFERROR(__xludf.DUMMYFUNCTION("""COMPUTED_VALUE"""),2095)</f>
        <v>2095</v>
      </c>
      <c r="T113" s="53">
        <f ca="1">IFERROR(__xludf.DUMMYFUNCTION("""COMPUTED_VALUE"""),1898)</f>
        <v>1898</v>
      </c>
      <c r="U113" s="53"/>
      <c r="V113" s="54">
        <f ca="1">IFERROR(__xludf.DUMMYFUNCTION("""COMPUTED_VALUE"""),1786)</f>
        <v>1786</v>
      </c>
      <c r="W113" s="54"/>
      <c r="X113" s="54">
        <f ca="1">IFERROR(__xludf.DUMMYFUNCTION("""COMPUTED_VALUE"""),410)</f>
        <v>410</v>
      </c>
      <c r="Y113" s="54"/>
      <c r="Z113" s="2"/>
      <c r="AA113" s="2"/>
      <c r="AB113" s="2"/>
      <c r="AC113" s="2"/>
      <c r="AD113" s="2"/>
      <c r="AE113" s="2"/>
    </row>
    <row r="114" spans="1:31" ht="12.75" x14ac:dyDescent="0.2">
      <c r="A114" s="53">
        <f ca="1">IFERROR(__xludf.DUMMYFUNCTION("""COMPUTED_VALUE"""),109)</f>
        <v>109</v>
      </c>
      <c r="B114" s="53" t="str">
        <f ca="1">IFERROR(__xludf.DUMMYFUNCTION("""COMPUTED_VALUE"""),"THCS Huỳnh Văn Nghệ")</f>
        <v>THCS Huỳnh Văn Nghệ</v>
      </c>
      <c r="C114" s="53" t="str">
        <f ca="1">IFERROR(__xludf.DUMMYFUNCTION("""COMPUTED_VALUE"""),"THCS")</f>
        <v>THCS</v>
      </c>
      <c r="D114" s="53" t="str">
        <f ca="1">IFERROR(__xludf.DUMMYFUNCTION("""COMPUTED_VALUE"""),"Gò Vấp")</f>
        <v>Gò Vấp</v>
      </c>
      <c r="E114" s="54">
        <f ca="1">IFERROR(__xludf.DUMMYFUNCTION("""COMPUTED_VALUE"""),86)</f>
        <v>86</v>
      </c>
      <c r="F114" s="54">
        <f ca="1">IFERROR(__xludf.DUMMYFUNCTION("""COMPUTED_VALUE"""),86)</f>
        <v>86</v>
      </c>
      <c r="G114" s="54"/>
      <c r="H114" s="54">
        <f ca="1">IFERROR(__xludf.DUMMYFUNCTION("""COMPUTED_VALUE"""),86)</f>
        <v>86</v>
      </c>
      <c r="I114" s="54"/>
      <c r="J114" s="54">
        <f ca="1">IFERROR(__xludf.DUMMYFUNCTION("""COMPUTED_VALUE"""),82)</f>
        <v>82</v>
      </c>
      <c r="K114" s="54"/>
      <c r="L114" s="54">
        <f ca="1">IFERROR(__xludf.DUMMYFUNCTION("""COMPUTED_VALUE"""),65)</f>
        <v>65</v>
      </c>
      <c r="M114" s="54"/>
      <c r="N114" s="54">
        <f ca="1">IFERROR(__xludf.DUMMYFUNCTION("""COMPUTED_VALUE"""),785)</f>
        <v>785</v>
      </c>
      <c r="O114" s="54">
        <f ca="1">IFERROR(__xludf.DUMMYFUNCTION("""COMPUTED_VALUE"""),457)</f>
        <v>457</v>
      </c>
      <c r="P114" s="54"/>
      <c r="Q114" s="54">
        <f ca="1">IFERROR(__xludf.DUMMYFUNCTION("""COMPUTED_VALUE"""),315)</f>
        <v>315</v>
      </c>
      <c r="R114" s="54"/>
      <c r="S114" s="54">
        <f ca="1">IFERROR(__xludf.DUMMYFUNCTION("""COMPUTED_VALUE"""),1317)</f>
        <v>1317</v>
      </c>
      <c r="T114" s="54">
        <f ca="1">IFERROR(__xludf.DUMMYFUNCTION("""COMPUTED_VALUE"""),1235)</f>
        <v>1235</v>
      </c>
      <c r="U114" s="54"/>
      <c r="V114" s="54">
        <f ca="1">IFERROR(__xludf.DUMMYFUNCTION("""COMPUTED_VALUE"""),1146)</f>
        <v>1146</v>
      </c>
      <c r="W114" s="54"/>
      <c r="X114" s="54">
        <f ca="1">IFERROR(__xludf.DUMMYFUNCTION("""COMPUTED_VALUE"""),378)</f>
        <v>378</v>
      </c>
      <c r="Y114" s="54"/>
      <c r="Z114" s="2"/>
      <c r="AA114" s="2"/>
      <c r="AB114" s="2"/>
      <c r="AC114" s="2"/>
      <c r="AD114" s="2"/>
      <c r="AE114" s="2"/>
    </row>
    <row r="115" spans="1:31" ht="12.75" x14ac:dyDescent="0.2">
      <c r="A115" s="53">
        <f ca="1">IFERROR(__xludf.DUMMYFUNCTION("""COMPUTED_VALUE"""),110)</f>
        <v>110</v>
      </c>
      <c r="B115" s="53" t="str">
        <f ca="1">IFERROR(__xludf.DUMMYFUNCTION("""COMPUTED_VALUE"""),"THCS Phan Tây Hồ")</f>
        <v>THCS Phan Tây Hồ</v>
      </c>
      <c r="C115" s="53" t="str">
        <f ca="1">IFERROR(__xludf.DUMMYFUNCTION("""COMPUTED_VALUE"""),"THCS")</f>
        <v>THCS</v>
      </c>
      <c r="D115" s="53" t="str">
        <f ca="1">IFERROR(__xludf.DUMMYFUNCTION("""COMPUTED_VALUE"""),"Gò Vấp")</f>
        <v>Gò Vấp</v>
      </c>
      <c r="E115" s="54">
        <f ca="1">IFERROR(__xludf.DUMMYFUNCTION("""COMPUTED_VALUE"""),136)</f>
        <v>136</v>
      </c>
      <c r="F115" s="54">
        <f ca="1">IFERROR(__xludf.DUMMYFUNCTION("""COMPUTED_VALUE"""),136)</f>
        <v>136</v>
      </c>
      <c r="G115" s="54"/>
      <c r="H115" s="54">
        <f ca="1">IFERROR(__xludf.DUMMYFUNCTION("""COMPUTED_VALUE"""),135)</f>
        <v>135</v>
      </c>
      <c r="I115" s="54"/>
      <c r="J115" s="54">
        <f ca="1">IFERROR(__xludf.DUMMYFUNCTION("""COMPUTED_VALUE"""),130)</f>
        <v>130</v>
      </c>
      <c r="K115" s="54"/>
      <c r="L115" s="54">
        <f ca="1">IFERROR(__xludf.DUMMYFUNCTION("""COMPUTED_VALUE"""),62)</f>
        <v>62</v>
      </c>
      <c r="M115" s="54"/>
      <c r="N115" s="54">
        <f ca="1">IFERROR(__xludf.DUMMYFUNCTION("""COMPUTED_VALUE"""),809)</f>
        <v>809</v>
      </c>
      <c r="O115" s="54">
        <f ca="1">IFERROR(__xludf.DUMMYFUNCTION("""COMPUTED_VALUE"""),438)</f>
        <v>438</v>
      </c>
      <c r="P115" s="54"/>
      <c r="Q115" s="54">
        <f ca="1">IFERROR(__xludf.DUMMYFUNCTION("""COMPUTED_VALUE"""),346)</f>
        <v>346</v>
      </c>
      <c r="R115" s="54"/>
      <c r="S115" s="54">
        <f ca="1">IFERROR(__xludf.DUMMYFUNCTION("""COMPUTED_VALUE"""),1845)</f>
        <v>1845</v>
      </c>
      <c r="T115" s="53">
        <f ca="1">IFERROR(__xludf.DUMMYFUNCTION("""COMPUTED_VALUE"""),1635)</f>
        <v>1635</v>
      </c>
      <c r="U115" s="53"/>
      <c r="V115" s="54">
        <f ca="1">IFERROR(__xludf.DUMMYFUNCTION("""COMPUTED_VALUE"""),1630)</f>
        <v>1630</v>
      </c>
      <c r="W115" s="54"/>
      <c r="X115" s="54">
        <f ca="1">IFERROR(__xludf.DUMMYFUNCTION("""COMPUTED_VALUE"""),445)</f>
        <v>445</v>
      </c>
      <c r="Y115" s="54"/>
      <c r="Z115" s="2"/>
      <c r="AA115" s="2"/>
      <c r="AB115" s="2"/>
      <c r="AC115" s="2"/>
      <c r="AD115" s="2"/>
      <c r="AE115" s="2"/>
    </row>
    <row r="116" spans="1:31" ht="12.75" x14ac:dyDescent="0.2">
      <c r="A116" s="53">
        <f ca="1">IFERROR(__xludf.DUMMYFUNCTION("""COMPUTED_VALUE"""),111)</f>
        <v>111</v>
      </c>
      <c r="B116" s="53" t="str">
        <f ca="1">IFERROR(__xludf.DUMMYFUNCTION("""COMPUTED_VALUE"""),"THCS Lý Tự Trọng")</f>
        <v>THCS Lý Tự Trọng</v>
      </c>
      <c r="C116" s="53" t="str">
        <f ca="1">IFERROR(__xludf.DUMMYFUNCTION("""COMPUTED_VALUE"""),"THCS")</f>
        <v>THCS</v>
      </c>
      <c r="D116" s="53" t="str">
        <f ca="1">IFERROR(__xludf.DUMMYFUNCTION("""COMPUTED_VALUE"""),"Gò Vấp")</f>
        <v>Gò Vấp</v>
      </c>
      <c r="E116" s="54">
        <f ca="1">IFERROR(__xludf.DUMMYFUNCTION("""COMPUTED_VALUE"""),86)</f>
        <v>86</v>
      </c>
      <c r="F116" s="54">
        <f ca="1">IFERROR(__xludf.DUMMYFUNCTION("""COMPUTED_VALUE"""),85)</f>
        <v>85</v>
      </c>
      <c r="G116" s="54"/>
      <c r="H116" s="54">
        <f ca="1">IFERROR(__xludf.DUMMYFUNCTION("""COMPUTED_VALUE"""),85)</f>
        <v>85</v>
      </c>
      <c r="I116" s="54"/>
      <c r="J116" s="54">
        <f ca="1">IFERROR(__xludf.DUMMYFUNCTION("""COMPUTED_VALUE"""),85)</f>
        <v>85</v>
      </c>
      <c r="K116" s="54"/>
      <c r="L116" s="54">
        <f ca="1">IFERROR(__xludf.DUMMYFUNCTION("""COMPUTED_VALUE"""),60)</f>
        <v>60</v>
      </c>
      <c r="M116" s="54"/>
      <c r="N116" s="54">
        <f ca="1">IFERROR(__xludf.DUMMYFUNCTION("""COMPUTED_VALUE"""),295)</f>
        <v>295</v>
      </c>
      <c r="O116" s="54">
        <f ca="1">IFERROR(__xludf.DUMMYFUNCTION("""COMPUTED_VALUE"""),95)</f>
        <v>95</v>
      </c>
      <c r="P116" s="54"/>
      <c r="Q116" s="54">
        <f ca="1">IFERROR(__xludf.DUMMYFUNCTION("""COMPUTED_VALUE"""),43)</f>
        <v>43</v>
      </c>
      <c r="R116" s="54"/>
      <c r="S116" s="54">
        <f ca="1">IFERROR(__xludf.DUMMYFUNCTION("""COMPUTED_VALUE"""),1864)</f>
        <v>1864</v>
      </c>
      <c r="T116" s="54">
        <f ca="1">IFERROR(__xludf.DUMMYFUNCTION("""COMPUTED_VALUE"""),1766)</f>
        <v>1766</v>
      </c>
      <c r="U116" s="54"/>
      <c r="V116" s="54">
        <f ca="1">IFERROR(__xludf.DUMMYFUNCTION("""COMPUTED_VALUE"""),1470)</f>
        <v>1470</v>
      </c>
      <c r="W116" s="54"/>
      <c r="X116" s="54">
        <f ca="1">IFERROR(__xludf.DUMMYFUNCTION("""COMPUTED_VALUE"""),396)</f>
        <v>396</v>
      </c>
      <c r="Y116" s="54"/>
      <c r="Z116" s="2"/>
      <c r="AA116" s="2"/>
      <c r="AB116" s="2"/>
      <c r="AC116" s="2"/>
      <c r="AD116" s="2"/>
      <c r="AE116" s="2"/>
    </row>
    <row r="117" spans="1:31" ht="12.75" x14ac:dyDescent="0.2">
      <c r="A117" s="53">
        <f ca="1">IFERROR(__xludf.DUMMYFUNCTION("""COMPUTED_VALUE"""),112)</f>
        <v>112</v>
      </c>
      <c r="B117" s="53" t="str">
        <f ca="1">IFERROR(__xludf.DUMMYFUNCTION("""COMPUTED_VALUE"""),"THPT Gò Vấp")</f>
        <v>THPT Gò Vấp</v>
      </c>
      <c r="C117" s="53" t="str">
        <f ca="1">IFERROR(__xludf.DUMMYFUNCTION("""COMPUTED_VALUE"""),"THPT")</f>
        <v>THPT</v>
      </c>
      <c r="D117" s="53" t="str">
        <f ca="1">IFERROR(__xludf.DUMMYFUNCTION("""COMPUTED_VALUE"""),"Gò Vấp")</f>
        <v>Gò Vấp</v>
      </c>
      <c r="E117" s="54">
        <f ca="1">IFERROR(__xludf.DUMMYFUNCTION("""COMPUTED_VALUE"""),91)</f>
        <v>91</v>
      </c>
      <c r="F117" s="54">
        <f ca="1">IFERROR(__xludf.DUMMYFUNCTION("""COMPUTED_VALUE"""),91)</f>
        <v>91</v>
      </c>
      <c r="G117" s="54"/>
      <c r="H117" s="54">
        <f ca="1">IFERROR(__xludf.DUMMYFUNCTION("""COMPUTED_VALUE"""),91)</f>
        <v>91</v>
      </c>
      <c r="I117" s="54"/>
      <c r="J117" s="54">
        <f ca="1">IFERROR(__xludf.DUMMYFUNCTION("""COMPUTED_VALUE"""),77)</f>
        <v>77</v>
      </c>
      <c r="K117" s="54"/>
      <c r="L117" s="54">
        <f ca="1">IFERROR(__xludf.DUMMYFUNCTION("""COMPUTED_VALUE"""),30)</f>
        <v>30</v>
      </c>
      <c r="M117" s="54"/>
      <c r="N117" s="53"/>
      <c r="O117" s="53"/>
      <c r="P117" s="53"/>
      <c r="Q117" s="53"/>
      <c r="R117" s="53"/>
      <c r="S117" s="54">
        <f ca="1">IFERROR(__xludf.DUMMYFUNCTION("""COMPUTED_VALUE"""),1679)</f>
        <v>1679</v>
      </c>
      <c r="T117" s="54">
        <f ca="1">IFERROR(__xludf.DUMMYFUNCTION("""COMPUTED_VALUE"""),1670)</f>
        <v>1670</v>
      </c>
      <c r="U117" s="54"/>
      <c r="V117" s="54">
        <f ca="1">IFERROR(__xludf.DUMMYFUNCTION("""COMPUTED_VALUE"""),1651)</f>
        <v>1651</v>
      </c>
      <c r="W117" s="54"/>
      <c r="X117" s="54">
        <f ca="1">IFERROR(__xludf.DUMMYFUNCTION("""COMPUTED_VALUE"""),297)</f>
        <v>297</v>
      </c>
      <c r="Y117" s="54"/>
      <c r="Z117" s="2"/>
      <c r="AA117" s="2"/>
      <c r="AB117" s="2"/>
      <c r="AC117" s="2"/>
      <c r="AD117" s="2"/>
      <c r="AE117" s="2"/>
    </row>
    <row r="118" spans="1:31" ht="12.75" x14ac:dyDescent="0.2">
      <c r="A118" s="53">
        <f ca="1">IFERROR(__xludf.DUMMYFUNCTION("""COMPUTED_VALUE"""),113)</f>
        <v>113</v>
      </c>
      <c r="B118" s="53" t="str">
        <f ca="1">IFERROR(__xludf.DUMMYFUNCTION("""COMPUTED_VALUE"""),"THPT Nguyễn Công Trứ")</f>
        <v>THPT Nguyễn Công Trứ</v>
      </c>
      <c r="C118" s="53" t="str">
        <f ca="1">IFERROR(__xludf.DUMMYFUNCTION("""COMPUTED_VALUE"""),"THPT")</f>
        <v>THPT</v>
      </c>
      <c r="D118" s="53" t="str">
        <f ca="1">IFERROR(__xludf.DUMMYFUNCTION("""COMPUTED_VALUE"""),"Gò Vấp")</f>
        <v>Gò Vấp</v>
      </c>
      <c r="E118" s="54">
        <f ca="1">IFERROR(__xludf.DUMMYFUNCTION("""COMPUTED_VALUE"""),137)</f>
        <v>137</v>
      </c>
      <c r="F118" s="54">
        <f ca="1">IFERROR(__xludf.DUMMYFUNCTION("""COMPUTED_VALUE"""),137)</f>
        <v>137</v>
      </c>
      <c r="G118" s="54"/>
      <c r="H118" s="54">
        <f ca="1">IFERROR(__xludf.DUMMYFUNCTION("""COMPUTED_VALUE"""),137)</f>
        <v>137</v>
      </c>
      <c r="I118" s="54"/>
      <c r="J118" s="54">
        <f ca="1">IFERROR(__xludf.DUMMYFUNCTION("""COMPUTED_VALUE"""),120)</f>
        <v>120</v>
      </c>
      <c r="K118" s="54"/>
      <c r="L118" s="54">
        <f ca="1">IFERROR(__xludf.DUMMYFUNCTION("""COMPUTED_VALUE"""),32)</f>
        <v>32</v>
      </c>
      <c r="M118" s="54"/>
      <c r="N118" s="53"/>
      <c r="O118" s="53"/>
      <c r="P118" s="53"/>
      <c r="Q118" s="53"/>
      <c r="R118" s="53"/>
      <c r="S118" s="54">
        <f ca="1">IFERROR(__xludf.DUMMYFUNCTION("""COMPUTED_VALUE"""),2555)</f>
        <v>2555</v>
      </c>
      <c r="T118" s="53">
        <f ca="1">IFERROR(__xludf.DUMMYFUNCTION("""COMPUTED_VALUE"""),2548)</f>
        <v>2548</v>
      </c>
      <c r="U118" s="53"/>
      <c r="V118" s="54">
        <f ca="1">IFERROR(__xludf.DUMMYFUNCTION("""COMPUTED_VALUE"""),2540)</f>
        <v>2540</v>
      </c>
      <c r="W118" s="54"/>
      <c r="X118" s="54">
        <f ca="1">IFERROR(__xludf.DUMMYFUNCTION("""COMPUTED_VALUE"""),892)</f>
        <v>892</v>
      </c>
      <c r="Y118" s="54"/>
      <c r="Z118" s="2"/>
      <c r="AA118" s="2"/>
      <c r="AB118" s="2"/>
      <c r="AC118" s="2"/>
      <c r="AD118" s="2"/>
      <c r="AE118" s="2"/>
    </row>
    <row r="119" spans="1:31" ht="12.75" x14ac:dyDescent="0.2">
      <c r="A119" s="53">
        <f ca="1">IFERROR(__xludf.DUMMYFUNCTION("""COMPUTED_VALUE"""),114)</f>
        <v>114</v>
      </c>
      <c r="B119" s="53" t="str">
        <f ca="1">IFERROR(__xludf.DUMMYFUNCTION("""COMPUTED_VALUE"""),"THPT Trần Hưng Đạo")</f>
        <v>THPT Trần Hưng Đạo</v>
      </c>
      <c r="C119" s="53" t="str">
        <f ca="1">IFERROR(__xludf.DUMMYFUNCTION("""COMPUTED_VALUE"""),"THPT")</f>
        <v>THPT</v>
      </c>
      <c r="D119" s="53" t="str">
        <f ca="1">IFERROR(__xludf.DUMMYFUNCTION("""COMPUTED_VALUE"""),"Gò Vấp")</f>
        <v>Gò Vấp</v>
      </c>
      <c r="E119" s="54">
        <f ca="1">IFERROR(__xludf.DUMMYFUNCTION("""COMPUTED_VALUE"""),125)</f>
        <v>125</v>
      </c>
      <c r="F119" s="54">
        <f ca="1">IFERROR(__xludf.DUMMYFUNCTION("""COMPUTED_VALUE"""),125)</f>
        <v>125</v>
      </c>
      <c r="G119" s="54"/>
      <c r="H119" s="54">
        <f ca="1">IFERROR(__xludf.DUMMYFUNCTION("""COMPUTED_VALUE"""),125)</f>
        <v>125</v>
      </c>
      <c r="I119" s="54"/>
      <c r="J119" s="54">
        <f ca="1">IFERROR(__xludf.DUMMYFUNCTION("""COMPUTED_VALUE"""),125)</f>
        <v>125</v>
      </c>
      <c r="K119" s="54"/>
      <c r="L119" s="54">
        <f ca="1">IFERROR(__xludf.DUMMYFUNCTION("""COMPUTED_VALUE"""),15)</f>
        <v>15</v>
      </c>
      <c r="M119" s="54"/>
      <c r="N119" s="53"/>
      <c r="O119" s="53"/>
      <c r="P119" s="53"/>
      <c r="Q119" s="53"/>
      <c r="R119" s="53"/>
      <c r="S119" s="54">
        <f ca="1">IFERROR(__xludf.DUMMYFUNCTION("""COMPUTED_VALUE"""),2601)</f>
        <v>2601</v>
      </c>
      <c r="T119" s="53">
        <f ca="1">IFERROR(__xludf.DUMMYFUNCTION("""COMPUTED_VALUE"""),2553)</f>
        <v>2553</v>
      </c>
      <c r="U119" s="53"/>
      <c r="V119" s="54">
        <f ca="1">IFERROR(__xludf.DUMMYFUNCTION("""COMPUTED_VALUE"""),2488)</f>
        <v>2488</v>
      </c>
      <c r="W119" s="54"/>
      <c r="X119" s="54">
        <f ca="1">IFERROR(__xludf.DUMMYFUNCTION("""COMPUTED_VALUE"""),834)</f>
        <v>834</v>
      </c>
      <c r="Y119" s="54"/>
      <c r="Z119" s="2"/>
      <c r="AA119" s="2"/>
      <c r="AB119" s="2"/>
      <c r="AC119" s="2"/>
      <c r="AD119" s="2"/>
      <c r="AE119" s="2"/>
    </row>
    <row r="120" spans="1:31" ht="12.75" x14ac:dyDescent="0.2">
      <c r="A120" s="53">
        <f ca="1">IFERROR(__xludf.DUMMYFUNCTION("""COMPUTED_VALUE"""),115)</f>
        <v>115</v>
      </c>
      <c r="B120" s="53" t="str">
        <f ca="1">IFERROR(__xludf.DUMMYFUNCTION("""COMPUTED_VALUE"""),"THPT Nguyễn Trung Trực")</f>
        <v>THPT Nguyễn Trung Trực</v>
      </c>
      <c r="C120" s="53" t="str">
        <f ca="1">IFERROR(__xludf.DUMMYFUNCTION("""COMPUTED_VALUE"""),"THPT")</f>
        <v>THPT</v>
      </c>
      <c r="D120" s="53" t="str">
        <f ca="1">IFERROR(__xludf.DUMMYFUNCTION("""COMPUTED_VALUE"""),"Gò Vấp")</f>
        <v>Gò Vấp</v>
      </c>
      <c r="E120" s="54">
        <f ca="1">IFERROR(__xludf.DUMMYFUNCTION("""COMPUTED_VALUE"""),126)</f>
        <v>126</v>
      </c>
      <c r="F120" s="54">
        <f ca="1">IFERROR(__xludf.DUMMYFUNCTION("""COMPUTED_VALUE"""),126)</f>
        <v>126</v>
      </c>
      <c r="G120" s="54"/>
      <c r="H120" s="54">
        <f ca="1">IFERROR(__xludf.DUMMYFUNCTION("""COMPUTED_VALUE"""),126)</f>
        <v>126</v>
      </c>
      <c r="I120" s="54"/>
      <c r="J120" s="54">
        <f ca="1">IFERROR(__xludf.DUMMYFUNCTION("""COMPUTED_VALUE"""),118)</f>
        <v>118</v>
      </c>
      <c r="K120" s="54"/>
      <c r="L120" s="54">
        <f ca="1">IFERROR(__xludf.DUMMYFUNCTION("""COMPUTED_VALUE"""),21)</f>
        <v>21</v>
      </c>
      <c r="M120" s="54"/>
      <c r="N120" s="53"/>
      <c r="O120" s="53"/>
      <c r="P120" s="53"/>
      <c r="Q120" s="53"/>
      <c r="R120" s="53"/>
      <c r="S120" s="53">
        <f ca="1">IFERROR(__xludf.DUMMYFUNCTION("""COMPUTED_VALUE"""),2561)</f>
        <v>2561</v>
      </c>
      <c r="T120" s="53">
        <f ca="1">IFERROR(__xludf.DUMMYFUNCTION("""COMPUTED_VALUE"""),2547)</f>
        <v>2547</v>
      </c>
      <c r="U120" s="53"/>
      <c r="V120" s="53">
        <f ca="1">IFERROR(__xludf.DUMMYFUNCTION("""COMPUTED_VALUE"""),2539)</f>
        <v>2539</v>
      </c>
      <c r="W120" s="53"/>
      <c r="X120" s="53">
        <f ca="1">IFERROR(__xludf.DUMMYFUNCTION("""COMPUTED_VALUE"""),704)</f>
        <v>704</v>
      </c>
      <c r="Y120" s="53"/>
      <c r="Z120" s="2"/>
      <c r="AA120" s="2"/>
      <c r="AB120" s="2"/>
      <c r="AC120" s="2"/>
      <c r="AD120" s="2"/>
      <c r="AE120" s="2"/>
    </row>
    <row r="121" spans="1:31" ht="12.75" x14ac:dyDescent="0.2">
      <c r="A121" s="53">
        <f ca="1">IFERROR(__xludf.DUMMYFUNCTION("""COMPUTED_VALUE"""),116)</f>
        <v>116</v>
      </c>
      <c r="B121" s="53" t="str">
        <f ca="1">IFERROR(__xludf.DUMMYFUNCTION("""COMPUTED_VALUE"""),"THCS, THPT Hồng Hà")</f>
        <v>THCS, THPT Hồng Hà</v>
      </c>
      <c r="C121" s="53" t="str">
        <f ca="1">IFERROR(__xludf.DUMMYFUNCTION("""COMPUTED_VALUE"""),"THPT")</f>
        <v>THPT</v>
      </c>
      <c r="D121" s="53" t="str">
        <f ca="1">IFERROR(__xludf.DUMMYFUNCTION("""COMPUTED_VALUE"""),"Gò Vấp")</f>
        <v>Gò Vấp</v>
      </c>
      <c r="E121" s="54">
        <f ca="1">IFERROR(__xludf.DUMMYFUNCTION("""COMPUTED_VALUE"""),150)</f>
        <v>150</v>
      </c>
      <c r="F121" s="54">
        <f ca="1">IFERROR(__xludf.DUMMYFUNCTION("""COMPUTED_VALUE"""),150)</f>
        <v>150</v>
      </c>
      <c r="G121" s="54"/>
      <c r="H121" s="54">
        <f ca="1">IFERROR(__xludf.DUMMYFUNCTION("""COMPUTED_VALUE"""),150)</f>
        <v>150</v>
      </c>
      <c r="I121" s="54"/>
      <c r="J121" s="54">
        <f ca="1">IFERROR(__xludf.DUMMYFUNCTION("""COMPUTED_VALUE"""),145)</f>
        <v>145</v>
      </c>
      <c r="K121" s="54"/>
      <c r="L121" s="54">
        <f ca="1">IFERROR(__xludf.DUMMYFUNCTION("""COMPUTED_VALUE"""),50)</f>
        <v>50</v>
      </c>
      <c r="M121" s="54"/>
      <c r="N121" s="54">
        <f ca="1">IFERROR(__xludf.DUMMYFUNCTION("""COMPUTED_VALUE"""),65)</f>
        <v>65</v>
      </c>
      <c r="O121" s="54">
        <f ca="1">IFERROR(__xludf.DUMMYFUNCTION("""COMPUTED_VALUE"""),36)</f>
        <v>36</v>
      </c>
      <c r="P121" s="54"/>
      <c r="Q121" s="54">
        <f ca="1">IFERROR(__xludf.DUMMYFUNCTION("""COMPUTED_VALUE"""),20)</f>
        <v>20</v>
      </c>
      <c r="R121" s="54"/>
      <c r="S121" s="54">
        <f ca="1">IFERROR(__xludf.DUMMYFUNCTION("""COMPUTED_VALUE"""),1980)</f>
        <v>1980</v>
      </c>
      <c r="T121" s="53">
        <f ca="1">IFERROR(__xludf.DUMMYFUNCTION("""COMPUTED_VALUE"""),1940)</f>
        <v>1940</v>
      </c>
      <c r="U121" s="53"/>
      <c r="V121" s="54">
        <f ca="1">IFERROR(__xludf.DUMMYFUNCTION("""COMPUTED_VALUE"""),1910)</f>
        <v>1910</v>
      </c>
      <c r="W121" s="54"/>
      <c r="X121" s="54">
        <f ca="1">IFERROR(__xludf.DUMMYFUNCTION("""COMPUTED_VALUE"""),830)</f>
        <v>830</v>
      </c>
      <c r="Y121" s="54"/>
      <c r="Z121" s="2"/>
      <c r="AA121" s="2"/>
      <c r="AB121" s="2"/>
      <c r="AC121" s="2"/>
      <c r="AD121" s="2"/>
      <c r="AE121" s="2"/>
    </row>
    <row r="122" spans="1:31" ht="12.75" x14ac:dyDescent="0.2">
      <c r="A122" s="53">
        <f ca="1">IFERROR(__xludf.DUMMYFUNCTION("""COMPUTED_VALUE"""),117)</f>
        <v>117</v>
      </c>
      <c r="B122" s="53" t="str">
        <f ca="1">IFERROR(__xludf.DUMMYFUNCTION("""COMPUTED_VALUE"""),"THCS, THPT Phạm Ngũ Lão")</f>
        <v>THCS, THPT Phạm Ngũ Lão</v>
      </c>
      <c r="C122" s="53" t="str">
        <f ca="1">IFERROR(__xludf.DUMMYFUNCTION("""COMPUTED_VALUE"""),"THPT")</f>
        <v>THPT</v>
      </c>
      <c r="D122" s="53" t="str">
        <f ca="1">IFERROR(__xludf.DUMMYFUNCTION("""COMPUTED_VALUE"""),"Gò Vấp")</f>
        <v>Gò Vấp</v>
      </c>
      <c r="E122" s="54">
        <f ca="1">IFERROR(__xludf.DUMMYFUNCTION("""COMPUTED_VALUE"""),35)</f>
        <v>35</v>
      </c>
      <c r="F122" s="54">
        <f ca="1">IFERROR(__xludf.DUMMYFUNCTION("""COMPUTED_VALUE"""),35)</f>
        <v>35</v>
      </c>
      <c r="G122" s="54"/>
      <c r="H122" s="54">
        <f ca="1">IFERROR(__xludf.DUMMYFUNCTION("""COMPUTED_VALUE"""),35)</f>
        <v>35</v>
      </c>
      <c r="I122" s="54"/>
      <c r="J122" s="54">
        <f ca="1">IFERROR(__xludf.DUMMYFUNCTION("""COMPUTED_VALUE"""),35)</f>
        <v>35</v>
      </c>
      <c r="K122" s="54"/>
      <c r="L122" s="54">
        <f ca="1">IFERROR(__xludf.DUMMYFUNCTION("""COMPUTED_VALUE"""),14)</f>
        <v>14</v>
      </c>
      <c r="M122" s="54"/>
      <c r="N122" s="54">
        <f ca="1">IFERROR(__xludf.DUMMYFUNCTION("""COMPUTED_VALUE"""),0)</f>
        <v>0</v>
      </c>
      <c r="O122" s="54">
        <f ca="1">IFERROR(__xludf.DUMMYFUNCTION("""COMPUTED_VALUE"""),0)</f>
        <v>0</v>
      </c>
      <c r="P122" s="54"/>
      <c r="Q122" s="54">
        <f ca="1">IFERROR(__xludf.DUMMYFUNCTION("""COMPUTED_VALUE"""),0)</f>
        <v>0</v>
      </c>
      <c r="R122" s="54"/>
      <c r="S122" s="54">
        <f ca="1">IFERROR(__xludf.DUMMYFUNCTION("""COMPUTED_VALUE"""),470)</f>
        <v>470</v>
      </c>
      <c r="T122" s="54">
        <f ca="1">IFERROR(__xludf.DUMMYFUNCTION("""COMPUTED_VALUE"""),470)</f>
        <v>470</v>
      </c>
      <c r="U122" s="54"/>
      <c r="V122" s="54">
        <f ca="1">IFERROR(__xludf.DUMMYFUNCTION("""COMPUTED_VALUE"""),367)</f>
        <v>367</v>
      </c>
      <c r="W122" s="54"/>
      <c r="X122" s="54">
        <f ca="1">IFERROR(__xludf.DUMMYFUNCTION("""COMPUTED_VALUE"""),280)</f>
        <v>280</v>
      </c>
      <c r="Y122" s="54"/>
      <c r="Z122" s="2"/>
      <c r="AA122" s="2"/>
      <c r="AB122" s="2"/>
      <c r="AC122" s="2"/>
      <c r="AD122" s="2"/>
      <c r="AE122" s="2"/>
    </row>
    <row r="123" spans="1:31" ht="12.75" x14ac:dyDescent="0.2">
      <c r="A123" s="53">
        <f ca="1">IFERROR(__xludf.DUMMYFUNCTION("""COMPUTED_VALUE"""),118)</f>
        <v>118</v>
      </c>
      <c r="B123" s="53" t="str">
        <f ca="1">IFERROR(__xludf.DUMMYFUNCTION("""COMPUTED_VALUE"""),"THCS, THPT Trần Cao Vân")</f>
        <v>THCS, THPT Trần Cao Vân</v>
      </c>
      <c r="C123" s="53" t="str">
        <f ca="1">IFERROR(__xludf.DUMMYFUNCTION("""COMPUTED_VALUE"""),"THPT")</f>
        <v>THPT</v>
      </c>
      <c r="D123" s="53" t="str">
        <f ca="1">IFERROR(__xludf.DUMMYFUNCTION("""COMPUTED_VALUE"""),"Gò Vấp")</f>
        <v>Gò Vấp</v>
      </c>
      <c r="E123" s="54">
        <f ca="1">IFERROR(__xludf.DUMMYFUNCTION("""COMPUTED_VALUE"""),154)</f>
        <v>154</v>
      </c>
      <c r="F123" s="54">
        <f ca="1">IFERROR(__xludf.DUMMYFUNCTION("""COMPUTED_VALUE"""),154)</f>
        <v>154</v>
      </c>
      <c r="G123" s="54"/>
      <c r="H123" s="54">
        <f ca="1">IFERROR(__xludf.DUMMYFUNCTION("""COMPUTED_VALUE"""),154)</f>
        <v>154</v>
      </c>
      <c r="I123" s="54"/>
      <c r="J123" s="54">
        <f ca="1">IFERROR(__xludf.DUMMYFUNCTION("""COMPUTED_VALUE"""),154)</f>
        <v>154</v>
      </c>
      <c r="K123" s="54"/>
      <c r="L123" s="54">
        <f ca="1">IFERROR(__xludf.DUMMYFUNCTION("""COMPUTED_VALUE"""),109)</f>
        <v>109</v>
      </c>
      <c r="M123" s="54"/>
      <c r="N123" s="54">
        <f ca="1">IFERROR(__xludf.DUMMYFUNCTION("""COMPUTED_VALUE"""),21)</f>
        <v>21</v>
      </c>
      <c r="O123" s="54">
        <f ca="1">IFERROR(__xludf.DUMMYFUNCTION("""COMPUTED_VALUE"""),21)</f>
        <v>21</v>
      </c>
      <c r="P123" s="54"/>
      <c r="Q123" s="54">
        <f ca="1">IFERROR(__xludf.DUMMYFUNCTION("""COMPUTED_VALUE"""),14)</f>
        <v>14</v>
      </c>
      <c r="R123" s="54"/>
      <c r="S123" s="54">
        <f ca="1">IFERROR(__xludf.DUMMYFUNCTION("""COMPUTED_VALUE"""),2017)</f>
        <v>2017</v>
      </c>
      <c r="T123" s="53">
        <f ca="1">IFERROR(__xludf.DUMMYFUNCTION("""COMPUTED_VALUE"""),2017)</f>
        <v>2017</v>
      </c>
      <c r="U123" s="53"/>
      <c r="V123" s="54">
        <f ca="1">IFERROR(__xludf.DUMMYFUNCTION("""COMPUTED_VALUE"""),2004)</f>
        <v>2004</v>
      </c>
      <c r="W123" s="54"/>
      <c r="X123" s="54">
        <f ca="1">IFERROR(__xludf.DUMMYFUNCTION("""COMPUTED_VALUE"""),854)</f>
        <v>854</v>
      </c>
      <c r="Y123" s="54"/>
      <c r="Z123" s="2"/>
      <c r="AA123" s="2"/>
      <c r="AB123" s="2"/>
      <c r="AC123" s="2"/>
      <c r="AD123" s="2"/>
      <c r="AE123" s="2"/>
    </row>
    <row r="124" spans="1:31" ht="12.75" x14ac:dyDescent="0.2">
      <c r="A124" s="53">
        <f ca="1">IFERROR(__xludf.DUMMYFUNCTION("""COMPUTED_VALUE"""),119)</f>
        <v>119</v>
      </c>
      <c r="B124" s="53" t="str">
        <f ca="1">IFERROR(__xludf.DUMMYFUNCTION("""COMPUTED_VALUE"""),"THPT Việt Nhật")</f>
        <v>THPT Việt Nhật</v>
      </c>
      <c r="C124" s="53" t="str">
        <f ca="1">IFERROR(__xludf.DUMMYFUNCTION("""COMPUTED_VALUE"""),"THPT")</f>
        <v>THPT</v>
      </c>
      <c r="D124" s="53" t="str">
        <f ca="1">IFERROR(__xludf.DUMMYFUNCTION("""COMPUTED_VALUE"""),"Gò Vấp")</f>
        <v>Gò Vấp</v>
      </c>
      <c r="E124" s="54">
        <f ca="1">IFERROR(__xludf.DUMMYFUNCTION("""COMPUTED_VALUE"""),45)</f>
        <v>45</v>
      </c>
      <c r="F124" s="54">
        <f ca="1">IFERROR(__xludf.DUMMYFUNCTION("""COMPUTED_VALUE"""),45)</f>
        <v>45</v>
      </c>
      <c r="G124" s="54"/>
      <c r="H124" s="54">
        <f ca="1">IFERROR(__xludf.DUMMYFUNCTION("""COMPUTED_VALUE"""),45)</f>
        <v>45</v>
      </c>
      <c r="I124" s="54"/>
      <c r="J124" s="54">
        <f ca="1">IFERROR(__xludf.DUMMYFUNCTION("""COMPUTED_VALUE"""),45)</f>
        <v>45</v>
      </c>
      <c r="K124" s="54"/>
      <c r="L124" s="54">
        <f ca="1">IFERROR(__xludf.DUMMYFUNCTION("""COMPUTED_VALUE"""),5)</f>
        <v>5</v>
      </c>
      <c r="M124" s="54"/>
      <c r="N124" s="53"/>
      <c r="O124" s="53"/>
      <c r="P124" s="53"/>
      <c r="Q124" s="53"/>
      <c r="R124" s="53"/>
      <c r="S124" s="54">
        <f ca="1">IFERROR(__xludf.DUMMYFUNCTION("""COMPUTED_VALUE"""),239)</f>
        <v>239</v>
      </c>
      <c r="T124" s="53">
        <f ca="1">IFERROR(__xludf.DUMMYFUNCTION("""COMPUTED_VALUE"""),327)</f>
        <v>327</v>
      </c>
      <c r="U124" s="53"/>
      <c r="V124" s="54">
        <f ca="1">IFERROR(__xludf.DUMMYFUNCTION("""COMPUTED_VALUE"""),237)</f>
        <v>237</v>
      </c>
      <c r="W124" s="54"/>
      <c r="X124" s="54">
        <f ca="1">IFERROR(__xludf.DUMMYFUNCTION("""COMPUTED_VALUE"""),100)</f>
        <v>100</v>
      </c>
      <c r="Y124" s="54"/>
      <c r="Z124" s="2"/>
      <c r="AA124" s="2"/>
      <c r="AB124" s="2"/>
      <c r="AC124" s="2"/>
      <c r="AD124" s="2"/>
      <c r="AE124" s="2"/>
    </row>
    <row r="125" spans="1:31" ht="12.75" x14ac:dyDescent="0.2">
      <c r="A125" s="53">
        <f ca="1">IFERROR(__xludf.DUMMYFUNCTION("""COMPUTED_VALUE"""),120)</f>
        <v>120</v>
      </c>
      <c r="B125" s="53" t="str">
        <f ca="1">IFERROR(__xludf.DUMMYFUNCTION("""COMPUTED_VALUE"""),"THPT Thăng Long")</f>
        <v>THPT Thăng Long</v>
      </c>
      <c r="C125" s="53" t="str">
        <f ca="1">IFERROR(__xludf.DUMMYFUNCTION("""COMPUTED_VALUE"""),"THPT")</f>
        <v>THPT</v>
      </c>
      <c r="D125" s="53" t="str">
        <f ca="1">IFERROR(__xludf.DUMMYFUNCTION("""COMPUTED_VALUE"""),"Gò Vấp")</f>
        <v>Gò Vấp</v>
      </c>
      <c r="E125" s="54">
        <f ca="1">IFERROR(__xludf.DUMMYFUNCTION("""COMPUTED_VALUE"""),30)</f>
        <v>30</v>
      </c>
      <c r="F125" s="54">
        <f ca="1">IFERROR(__xludf.DUMMYFUNCTION("""COMPUTED_VALUE"""),30)</f>
        <v>30</v>
      </c>
      <c r="G125" s="54"/>
      <c r="H125" s="54">
        <f ca="1">IFERROR(__xludf.DUMMYFUNCTION("""COMPUTED_VALUE"""),30)</f>
        <v>30</v>
      </c>
      <c r="I125" s="54"/>
      <c r="J125" s="54">
        <f ca="1">IFERROR(__xludf.DUMMYFUNCTION("""COMPUTED_VALUE"""),30)</f>
        <v>30</v>
      </c>
      <c r="K125" s="54"/>
      <c r="L125" s="54">
        <f ca="1">IFERROR(__xludf.DUMMYFUNCTION("""COMPUTED_VALUE"""),8)</f>
        <v>8</v>
      </c>
      <c r="M125" s="54"/>
      <c r="N125" s="53"/>
      <c r="O125" s="53"/>
      <c r="P125" s="53"/>
      <c r="Q125" s="53"/>
      <c r="R125" s="53"/>
      <c r="S125" s="54">
        <f ca="1">IFERROR(__xludf.DUMMYFUNCTION("""COMPUTED_VALUE"""),562)</f>
        <v>562</v>
      </c>
      <c r="T125" s="53">
        <f ca="1">IFERROR(__xludf.DUMMYFUNCTION("""COMPUTED_VALUE"""),556)</f>
        <v>556</v>
      </c>
      <c r="U125" s="53"/>
      <c r="V125" s="54">
        <f ca="1">IFERROR(__xludf.DUMMYFUNCTION("""COMPUTED_VALUE"""),328)</f>
        <v>328</v>
      </c>
      <c r="W125" s="54"/>
      <c r="X125" s="54">
        <f ca="1">IFERROR(__xludf.DUMMYFUNCTION("""COMPUTED_VALUE"""),265)</f>
        <v>265</v>
      </c>
      <c r="Y125" s="54"/>
      <c r="Z125" s="2"/>
      <c r="AA125" s="2"/>
      <c r="AB125" s="2"/>
      <c r="AC125" s="2"/>
      <c r="AD125" s="2"/>
      <c r="AE125" s="2"/>
    </row>
    <row r="126" spans="1:31" ht="12.75" x14ac:dyDescent="0.2">
      <c r="A126" s="53">
        <f ca="1">IFERROR(__xludf.DUMMYFUNCTION("""COMPUTED_VALUE"""),121)</f>
        <v>121</v>
      </c>
      <c r="B126" s="53" t="str">
        <f ca="1">IFERROR(__xludf.DUMMYFUNCTION("""COMPUTED_VALUE"""),"THPT Thành Nhân")</f>
        <v>THPT Thành Nhân</v>
      </c>
      <c r="C126" s="53" t="str">
        <f ca="1">IFERROR(__xludf.DUMMYFUNCTION("""COMPUTED_VALUE"""),"THPT")</f>
        <v>THPT</v>
      </c>
      <c r="D126" s="53" t="str">
        <f ca="1">IFERROR(__xludf.DUMMYFUNCTION("""COMPUTED_VALUE"""),"Gò Vấp")</f>
        <v>Gò Vấp</v>
      </c>
      <c r="E126" s="54">
        <f ca="1">IFERROR(__xludf.DUMMYFUNCTION("""COMPUTED_VALUE"""),94)</f>
        <v>94</v>
      </c>
      <c r="F126" s="54">
        <f ca="1">IFERROR(__xludf.DUMMYFUNCTION("""COMPUTED_VALUE"""),94)</f>
        <v>94</v>
      </c>
      <c r="G126" s="54"/>
      <c r="H126" s="54">
        <f ca="1">IFERROR(__xludf.DUMMYFUNCTION("""COMPUTED_VALUE"""),94)</f>
        <v>94</v>
      </c>
      <c r="I126" s="54"/>
      <c r="J126" s="54">
        <f ca="1">IFERROR(__xludf.DUMMYFUNCTION("""COMPUTED_VALUE"""),94)</f>
        <v>94</v>
      </c>
      <c r="K126" s="54"/>
      <c r="L126" s="54">
        <f ca="1">IFERROR(__xludf.DUMMYFUNCTION("""COMPUTED_VALUE"""),12)</f>
        <v>12</v>
      </c>
      <c r="M126" s="54"/>
      <c r="N126" s="53"/>
      <c r="O126" s="53"/>
      <c r="P126" s="53"/>
      <c r="Q126" s="53"/>
      <c r="R126" s="53"/>
      <c r="S126" s="53">
        <f ca="1">IFERROR(__xludf.DUMMYFUNCTION("""COMPUTED_VALUE"""),722)</f>
        <v>722</v>
      </c>
      <c r="T126" s="53">
        <f ca="1">IFERROR(__xludf.DUMMYFUNCTION("""COMPUTED_VALUE"""),722)</f>
        <v>722</v>
      </c>
      <c r="U126" s="53"/>
      <c r="V126" s="53">
        <f ca="1">IFERROR(__xludf.DUMMYFUNCTION("""COMPUTED_VALUE"""),722)</f>
        <v>722</v>
      </c>
      <c r="W126" s="53"/>
      <c r="X126" s="53">
        <f ca="1">IFERROR(__xludf.DUMMYFUNCTION("""COMPUTED_VALUE"""),650)</f>
        <v>650</v>
      </c>
      <c r="Y126" s="53"/>
      <c r="Z126" s="2"/>
      <c r="AA126" s="2"/>
      <c r="AB126" s="2"/>
      <c r="AC126" s="2"/>
      <c r="AD126" s="2"/>
      <c r="AE126" s="2"/>
    </row>
    <row r="127" spans="1:31" ht="12.75" x14ac:dyDescent="0.2">
      <c r="A127" s="53">
        <f ca="1">IFERROR(__xludf.DUMMYFUNCTION("""COMPUTED_VALUE"""),122)</f>
        <v>122</v>
      </c>
      <c r="B127" s="53" t="str">
        <f ca="1">IFERROR(__xludf.DUMMYFUNCTION("""COMPUTED_VALUE"""),"Trường PTDL Hermann Gmeiner")</f>
        <v>Trường PTDL Hermann Gmeiner</v>
      </c>
      <c r="C127" s="53" t="str">
        <f ca="1">IFERROR(__xludf.DUMMYFUNCTION("""COMPUTED_VALUE"""),"THPT")</f>
        <v>THPT</v>
      </c>
      <c r="D127" s="53" t="str">
        <f ca="1">IFERROR(__xludf.DUMMYFUNCTION("""COMPUTED_VALUE"""),"Gò Vấp")</f>
        <v>Gò Vấp</v>
      </c>
      <c r="E127" s="54">
        <f ca="1">IFERROR(__xludf.DUMMYFUNCTION("""COMPUTED_VALUE"""),67)</f>
        <v>67</v>
      </c>
      <c r="F127" s="54">
        <f ca="1">IFERROR(__xludf.DUMMYFUNCTION("""COMPUTED_VALUE"""),67)</f>
        <v>67</v>
      </c>
      <c r="G127" s="54"/>
      <c r="H127" s="54">
        <f ca="1">IFERROR(__xludf.DUMMYFUNCTION("""COMPUTED_VALUE"""),67)</f>
        <v>67</v>
      </c>
      <c r="I127" s="54"/>
      <c r="J127" s="54">
        <f ca="1">IFERROR(__xludf.DUMMYFUNCTION("""COMPUTED_VALUE"""),67)</f>
        <v>67</v>
      </c>
      <c r="K127" s="54"/>
      <c r="L127" s="54">
        <f ca="1">IFERROR(__xludf.DUMMYFUNCTION("""COMPUTED_VALUE"""),15)</f>
        <v>15</v>
      </c>
      <c r="M127" s="54"/>
      <c r="N127" s="54">
        <f ca="1">IFERROR(__xludf.DUMMYFUNCTION("""COMPUTED_VALUE"""),470)</f>
        <v>470</v>
      </c>
      <c r="O127" s="54">
        <f ca="1">IFERROR(__xludf.DUMMYFUNCTION("""COMPUTED_VALUE"""),208)</f>
        <v>208</v>
      </c>
      <c r="P127" s="54"/>
      <c r="Q127" s="54">
        <f ca="1">IFERROR(__xludf.DUMMYFUNCTION("""COMPUTED_VALUE"""),172)</f>
        <v>172</v>
      </c>
      <c r="R127" s="54"/>
      <c r="S127" s="54">
        <f ca="1">IFERROR(__xludf.DUMMYFUNCTION("""COMPUTED_VALUE"""),706)</f>
        <v>706</v>
      </c>
      <c r="T127" s="53">
        <f ca="1">IFERROR(__xludf.DUMMYFUNCTION("""COMPUTED_VALUE"""),432)</f>
        <v>432</v>
      </c>
      <c r="U127" s="53"/>
      <c r="V127" s="54">
        <f ca="1">IFERROR(__xludf.DUMMYFUNCTION("""COMPUTED_VALUE"""),417)</f>
        <v>417</v>
      </c>
      <c r="W127" s="54"/>
      <c r="X127" s="54">
        <f ca="1">IFERROR(__xludf.DUMMYFUNCTION("""COMPUTED_VALUE"""),247)</f>
        <v>247</v>
      </c>
      <c r="Y127" s="54"/>
      <c r="Z127" s="2"/>
      <c r="AA127" s="2"/>
      <c r="AB127" s="2"/>
      <c r="AC127" s="2"/>
      <c r="AD127" s="2"/>
      <c r="AE127" s="2"/>
    </row>
    <row r="128" spans="1:31" ht="12.75" x14ac:dyDescent="0.2">
      <c r="A128" s="53">
        <f ca="1">IFERROR(__xludf.DUMMYFUNCTION("""COMPUTED_VALUE"""),123)</f>
        <v>123</v>
      </c>
      <c r="B128" s="53" t="str">
        <f ca="1">IFERROR(__xludf.DUMMYFUNCTION("""COMPUTED_VALUE"""),"TH, THCS, THPT Nam Mỹ")</f>
        <v>TH, THCS, THPT Nam Mỹ</v>
      </c>
      <c r="C128" s="53" t="str">
        <f ca="1">IFERROR(__xludf.DUMMYFUNCTION("""COMPUTED_VALUE"""),"THPT")</f>
        <v>THPT</v>
      </c>
      <c r="D128" s="53" t="str">
        <f ca="1">IFERROR(__xludf.DUMMYFUNCTION("""COMPUTED_VALUE"""),"Gò Vấp")</f>
        <v>Gò Vấp</v>
      </c>
      <c r="E128" s="54">
        <f ca="1">IFERROR(__xludf.DUMMYFUNCTION("""COMPUTED_VALUE"""),212)</f>
        <v>212</v>
      </c>
      <c r="F128" s="54">
        <f ca="1">IFERROR(__xludf.DUMMYFUNCTION("""COMPUTED_VALUE"""),212)</f>
        <v>212</v>
      </c>
      <c r="G128" s="54"/>
      <c r="H128" s="54">
        <f ca="1">IFERROR(__xludf.DUMMYFUNCTION("""COMPUTED_VALUE"""),212)</f>
        <v>212</v>
      </c>
      <c r="I128" s="54"/>
      <c r="J128" s="54">
        <f ca="1">IFERROR(__xludf.DUMMYFUNCTION("""COMPUTED_VALUE"""),163)</f>
        <v>163</v>
      </c>
      <c r="K128" s="54"/>
      <c r="L128" s="54">
        <f ca="1">IFERROR(__xludf.DUMMYFUNCTION("""COMPUTED_VALUE"""),6)</f>
        <v>6</v>
      </c>
      <c r="M128" s="54"/>
      <c r="N128" s="54">
        <f ca="1">IFERROR(__xludf.DUMMYFUNCTION("""COMPUTED_VALUE"""),455)</f>
        <v>455</v>
      </c>
      <c r="O128" s="54">
        <f ca="1">IFERROR(__xludf.DUMMYFUNCTION("""COMPUTED_VALUE"""),58)</f>
        <v>58</v>
      </c>
      <c r="P128" s="54"/>
      <c r="Q128" s="54">
        <f ca="1">IFERROR(__xludf.DUMMYFUNCTION("""COMPUTED_VALUE"""),46)</f>
        <v>46</v>
      </c>
      <c r="R128" s="54"/>
      <c r="S128" s="54">
        <f ca="1">IFERROR(__xludf.DUMMYFUNCTION("""COMPUTED_VALUE"""),266)</f>
        <v>266</v>
      </c>
      <c r="T128" s="53">
        <f ca="1">IFERROR(__xludf.DUMMYFUNCTION("""COMPUTED_VALUE"""),266)</f>
        <v>266</v>
      </c>
      <c r="U128" s="53"/>
      <c r="V128" s="54">
        <f ca="1">IFERROR(__xludf.DUMMYFUNCTION("""COMPUTED_VALUE"""),266)</f>
        <v>266</v>
      </c>
      <c r="W128" s="54"/>
      <c r="X128" s="54">
        <f ca="1">IFERROR(__xludf.DUMMYFUNCTION("""COMPUTED_VALUE"""),13)</f>
        <v>13</v>
      </c>
      <c r="Y128" s="54"/>
      <c r="Z128" s="2"/>
      <c r="AA128" s="2"/>
      <c r="AB128" s="2"/>
      <c r="AC128" s="2"/>
      <c r="AD128" s="2"/>
      <c r="AE128" s="2"/>
    </row>
    <row r="129" spans="1:31" ht="12.75" x14ac:dyDescent="0.2">
      <c r="A129" s="53">
        <f ca="1">IFERROR(__xludf.DUMMYFUNCTION("""COMPUTED_VALUE"""),124)</f>
        <v>124</v>
      </c>
      <c r="B129" s="53" t="str">
        <f ca="1">IFERROR(__xludf.DUMMYFUNCTION("""COMPUTED_VALUE"""),"TH, THCS, THPT Việt Anh")</f>
        <v>TH, THCS, THPT Việt Anh</v>
      </c>
      <c r="C129" s="53" t="str">
        <f ca="1">IFERROR(__xludf.DUMMYFUNCTION("""COMPUTED_VALUE"""),"THPT")</f>
        <v>THPT</v>
      </c>
      <c r="D129" s="53" t="str">
        <f ca="1">IFERROR(__xludf.DUMMYFUNCTION("""COMPUTED_VALUE"""),"Gò Vấp")</f>
        <v>Gò Vấp</v>
      </c>
      <c r="E129" s="54">
        <f ca="1">IFERROR(__xludf.DUMMYFUNCTION("""COMPUTED_VALUE"""),89)</f>
        <v>89</v>
      </c>
      <c r="F129" s="54">
        <f ca="1">IFERROR(__xludf.DUMMYFUNCTION("""COMPUTED_VALUE"""),89)</f>
        <v>89</v>
      </c>
      <c r="G129" s="54"/>
      <c r="H129" s="54">
        <f ca="1">IFERROR(__xludf.DUMMYFUNCTION("""COMPUTED_VALUE"""),89)</f>
        <v>89</v>
      </c>
      <c r="I129" s="54"/>
      <c r="J129" s="54">
        <f ca="1">IFERROR(__xludf.DUMMYFUNCTION("""COMPUTED_VALUE"""),73)</f>
        <v>73</v>
      </c>
      <c r="K129" s="54"/>
      <c r="L129" s="54">
        <f ca="1">IFERROR(__xludf.DUMMYFUNCTION("""COMPUTED_VALUE"""),14)</f>
        <v>14</v>
      </c>
      <c r="M129" s="54"/>
      <c r="N129" s="54">
        <f ca="1">IFERROR(__xludf.DUMMYFUNCTION("""COMPUTED_VALUE"""),101)</f>
        <v>101</v>
      </c>
      <c r="O129" s="54">
        <f ca="1">IFERROR(__xludf.DUMMYFUNCTION("""COMPUTED_VALUE"""),21)</f>
        <v>21</v>
      </c>
      <c r="P129" s="54"/>
      <c r="Q129" s="54">
        <f ca="1">IFERROR(__xludf.DUMMYFUNCTION("""COMPUTED_VALUE"""),13)</f>
        <v>13</v>
      </c>
      <c r="R129" s="54"/>
      <c r="S129" s="54">
        <f ca="1">IFERROR(__xludf.DUMMYFUNCTION("""COMPUTED_VALUE"""),345)</f>
        <v>345</v>
      </c>
      <c r="T129" s="53">
        <f ca="1">IFERROR(__xludf.DUMMYFUNCTION("""COMPUTED_VALUE"""),236)</f>
        <v>236</v>
      </c>
      <c r="U129" s="53"/>
      <c r="V129" s="54">
        <f ca="1">IFERROR(__xludf.DUMMYFUNCTION("""COMPUTED_VALUE"""),224)</f>
        <v>224</v>
      </c>
      <c r="W129" s="54"/>
      <c r="X129" s="54">
        <f ca="1">IFERROR(__xludf.DUMMYFUNCTION("""COMPUTED_VALUE"""),50)</f>
        <v>50</v>
      </c>
      <c r="Y129" s="54"/>
      <c r="Z129" s="2"/>
      <c r="AA129" s="2"/>
      <c r="AB129" s="2"/>
      <c r="AC129" s="2"/>
      <c r="AD129" s="2"/>
      <c r="AE129" s="2"/>
    </row>
    <row r="130" spans="1:31" ht="12.75" x14ac:dyDescent="0.2">
      <c r="A130" s="53">
        <f ca="1">IFERROR(__xludf.DUMMYFUNCTION("""COMPUTED_VALUE"""),125)</f>
        <v>125</v>
      </c>
      <c r="B130" s="53" t="str">
        <f ca="1">IFERROR(__xludf.DUMMYFUNCTION("""COMPUTED_VALUE"""),"TH, THCS, THPT Nam Việt")</f>
        <v>TH, THCS, THPT Nam Việt</v>
      </c>
      <c r="C130" s="53" t="str">
        <f ca="1">IFERROR(__xludf.DUMMYFUNCTION("""COMPUTED_VALUE"""),"THPT")</f>
        <v>THPT</v>
      </c>
      <c r="D130" s="53" t="str">
        <f ca="1">IFERROR(__xludf.DUMMYFUNCTION("""COMPUTED_VALUE"""),"Gò Vấp")</f>
        <v>Gò Vấp</v>
      </c>
      <c r="E130" s="54">
        <f ca="1">IFERROR(__xludf.DUMMYFUNCTION("""COMPUTED_VALUE"""),113)</f>
        <v>113</v>
      </c>
      <c r="F130" s="54">
        <f ca="1">IFERROR(__xludf.DUMMYFUNCTION("""COMPUTED_VALUE"""),113)</f>
        <v>113</v>
      </c>
      <c r="G130" s="54"/>
      <c r="H130" s="54">
        <f ca="1">IFERROR(__xludf.DUMMYFUNCTION("""COMPUTED_VALUE"""),113)</f>
        <v>113</v>
      </c>
      <c r="I130" s="54"/>
      <c r="J130" s="54">
        <f ca="1">IFERROR(__xludf.DUMMYFUNCTION("""COMPUTED_VALUE"""),113)</f>
        <v>113</v>
      </c>
      <c r="K130" s="54"/>
      <c r="L130" s="54">
        <f ca="1">IFERROR(__xludf.DUMMYFUNCTION("""COMPUTED_VALUE"""),21)</f>
        <v>21</v>
      </c>
      <c r="M130" s="54"/>
      <c r="N130" s="54">
        <f ca="1">IFERROR(__xludf.DUMMYFUNCTION("""COMPUTED_VALUE"""),363)</f>
        <v>363</v>
      </c>
      <c r="O130" s="54">
        <f ca="1">IFERROR(__xludf.DUMMYFUNCTION("""COMPUTED_VALUE"""),263)</f>
        <v>263</v>
      </c>
      <c r="P130" s="54"/>
      <c r="Q130" s="54">
        <f ca="1">IFERROR(__xludf.DUMMYFUNCTION("""COMPUTED_VALUE"""),178)</f>
        <v>178</v>
      </c>
      <c r="R130" s="54"/>
      <c r="S130" s="53">
        <f ca="1">IFERROR(__xludf.DUMMYFUNCTION("""COMPUTED_VALUE"""),744)</f>
        <v>744</v>
      </c>
      <c r="T130" s="53">
        <f ca="1">IFERROR(__xludf.DUMMYFUNCTION("""COMPUTED_VALUE"""),686)</f>
        <v>686</v>
      </c>
      <c r="U130" s="53"/>
      <c r="V130" s="53">
        <f ca="1">IFERROR(__xludf.DUMMYFUNCTION("""COMPUTED_VALUE"""),534)</f>
        <v>534</v>
      </c>
      <c r="W130" s="53"/>
      <c r="X130" s="53">
        <f ca="1">IFERROR(__xludf.DUMMYFUNCTION("""COMPUTED_VALUE"""),102)</f>
        <v>102</v>
      </c>
      <c r="Y130" s="53"/>
      <c r="Z130" s="2"/>
      <c r="AA130" s="2"/>
      <c r="AB130" s="2"/>
      <c r="AC130" s="2"/>
      <c r="AD130" s="2"/>
      <c r="AE130" s="2"/>
    </row>
    <row r="131" spans="1:31" ht="12.75" x14ac:dyDescent="0.2">
      <c r="A131" s="53">
        <f ca="1">IFERROR(__xludf.DUMMYFUNCTION("""COMPUTED_VALUE"""),126)</f>
        <v>126</v>
      </c>
      <c r="B131" s="53" t="str">
        <f ca="1">IFERROR(__xludf.DUMMYFUNCTION("""COMPUTED_VALUE"""),"TH, THCS và THPT Sài Gòn - Gia Định")</f>
        <v>TH, THCS và THPT Sài Gòn - Gia Định</v>
      </c>
      <c r="C131" s="53" t="str">
        <f ca="1">IFERROR(__xludf.DUMMYFUNCTION("""COMPUTED_VALUE"""),"THPT")</f>
        <v>THPT</v>
      </c>
      <c r="D131" s="53" t="str">
        <f ca="1">IFERROR(__xludf.DUMMYFUNCTION("""COMPUTED_VALUE"""),"Gò Vấp")</f>
        <v>Gò Vấp</v>
      </c>
      <c r="E131" s="54">
        <f ca="1">IFERROR(__xludf.DUMMYFUNCTION("""COMPUTED_VALUE"""),19)</f>
        <v>19</v>
      </c>
      <c r="F131" s="54">
        <f ca="1">IFERROR(__xludf.DUMMYFUNCTION("""COMPUTED_VALUE"""),19)</f>
        <v>19</v>
      </c>
      <c r="G131" s="54"/>
      <c r="H131" s="54">
        <f ca="1">IFERROR(__xludf.DUMMYFUNCTION("""COMPUTED_VALUE"""),19)</f>
        <v>19</v>
      </c>
      <c r="I131" s="54"/>
      <c r="J131" s="54">
        <f ca="1">IFERROR(__xludf.DUMMYFUNCTION("""COMPUTED_VALUE"""),19)</f>
        <v>19</v>
      </c>
      <c r="K131" s="54"/>
      <c r="L131" s="54">
        <f ca="1">IFERROR(__xludf.DUMMYFUNCTION("""COMPUTED_VALUE"""),19)</f>
        <v>19</v>
      </c>
      <c r="M131" s="54"/>
      <c r="N131" s="54">
        <f ca="1">IFERROR(__xludf.DUMMYFUNCTION("""COMPUTED_VALUE"""),0)</f>
        <v>0</v>
      </c>
      <c r="O131" s="54">
        <f ca="1">IFERROR(__xludf.DUMMYFUNCTION("""COMPUTED_VALUE"""),0)</f>
        <v>0</v>
      </c>
      <c r="P131" s="54"/>
      <c r="Q131" s="54">
        <f ca="1">IFERROR(__xludf.DUMMYFUNCTION("""COMPUTED_VALUE"""),0)</f>
        <v>0</v>
      </c>
      <c r="R131" s="54"/>
      <c r="S131" s="53">
        <f ca="1">IFERROR(__xludf.DUMMYFUNCTION("""COMPUTED_VALUE"""),33)</f>
        <v>33</v>
      </c>
      <c r="T131" s="53">
        <f ca="1">IFERROR(__xludf.DUMMYFUNCTION("""COMPUTED_VALUE"""),33)</f>
        <v>33</v>
      </c>
      <c r="U131" s="53"/>
      <c r="V131" s="53">
        <f ca="1">IFERROR(__xludf.DUMMYFUNCTION("""COMPUTED_VALUE"""),33)</f>
        <v>33</v>
      </c>
      <c r="W131" s="53"/>
      <c r="X131" s="53">
        <f ca="1">IFERROR(__xludf.DUMMYFUNCTION("""COMPUTED_VALUE"""),33)</f>
        <v>33</v>
      </c>
      <c r="Y131" s="53"/>
      <c r="Z131" s="2"/>
      <c r="AA131" s="2"/>
      <c r="AB131" s="2"/>
      <c r="AC131" s="2"/>
      <c r="AD131" s="2"/>
      <c r="AE131" s="2"/>
    </row>
    <row r="132" spans="1:31" ht="12.75" x14ac:dyDescent="0.2">
      <c r="A132" s="53">
        <f ca="1">IFERROR(__xludf.DUMMYFUNCTION("""COMPUTED_VALUE"""),127)</f>
        <v>127</v>
      </c>
      <c r="B132" s="53" t="str">
        <f ca="1">IFERROR(__xludf.DUMMYFUNCTION("""COMPUTED_VALUE"""),"Trường Quốc tế Việt Úc")</f>
        <v>Trường Quốc tế Việt Úc</v>
      </c>
      <c r="C132" s="53" t="str">
        <f ca="1">IFERROR(__xludf.DUMMYFUNCTION("""COMPUTED_VALUE"""),"THPT")</f>
        <v>THPT</v>
      </c>
      <c r="D132" s="53" t="str">
        <f ca="1">IFERROR(__xludf.DUMMYFUNCTION("""COMPUTED_VALUE"""),"Gò Vấp")</f>
        <v>Gò Vấp</v>
      </c>
      <c r="E132" s="54">
        <f ca="1">IFERROR(__xludf.DUMMYFUNCTION("""COMPUTED_VALUE"""),263)</f>
        <v>263</v>
      </c>
      <c r="F132" s="54">
        <f ca="1">IFERROR(__xludf.DUMMYFUNCTION("""COMPUTED_VALUE"""),263)</f>
        <v>263</v>
      </c>
      <c r="G132" s="54"/>
      <c r="H132" s="54">
        <f ca="1">IFERROR(__xludf.DUMMYFUNCTION("""COMPUTED_VALUE"""),262)</f>
        <v>262</v>
      </c>
      <c r="I132" s="54"/>
      <c r="J132" s="54">
        <f ca="1">IFERROR(__xludf.DUMMYFUNCTION("""COMPUTED_VALUE"""),171)</f>
        <v>171</v>
      </c>
      <c r="K132" s="54"/>
      <c r="L132" s="54">
        <f ca="1">IFERROR(__xludf.DUMMYFUNCTION("""COMPUTED_VALUE"""),25)</f>
        <v>25</v>
      </c>
      <c r="M132" s="54"/>
      <c r="N132" s="54">
        <f ca="1">IFERROR(__xludf.DUMMYFUNCTION("""COMPUTED_VALUE"""),782)</f>
        <v>782</v>
      </c>
      <c r="O132" s="54">
        <f ca="1">IFERROR(__xludf.DUMMYFUNCTION("""COMPUTED_VALUE"""),227)</f>
        <v>227</v>
      </c>
      <c r="P132" s="54"/>
      <c r="Q132" s="54">
        <f ca="1">IFERROR(__xludf.DUMMYFUNCTION("""COMPUTED_VALUE"""),122)</f>
        <v>122</v>
      </c>
      <c r="R132" s="54"/>
      <c r="S132" s="53">
        <f ca="1">IFERROR(__xludf.DUMMYFUNCTION("""COMPUTED_VALUE"""),631)</f>
        <v>631</v>
      </c>
      <c r="T132" s="53">
        <f ca="1">IFERROR(__xludf.DUMMYFUNCTION("""COMPUTED_VALUE"""),520)</f>
        <v>520</v>
      </c>
      <c r="U132" s="53"/>
      <c r="V132" s="53">
        <f ca="1">IFERROR(__xludf.DUMMYFUNCTION("""COMPUTED_VALUE"""),513)</f>
        <v>513</v>
      </c>
      <c r="W132" s="53"/>
      <c r="X132" s="53">
        <f ca="1">IFERROR(__xludf.DUMMYFUNCTION("""COMPUTED_VALUE"""),29)</f>
        <v>29</v>
      </c>
      <c r="Y132" s="53"/>
      <c r="Z132" s="2"/>
      <c r="AA132" s="2"/>
      <c r="AB132" s="2"/>
      <c r="AC132" s="2"/>
      <c r="AD132" s="2"/>
      <c r="AE132" s="2"/>
    </row>
    <row r="133" spans="1:31" ht="12.75" x14ac:dyDescent="0.2">
      <c r="A133" s="53">
        <f ca="1">IFERROR(__xludf.DUMMYFUNCTION("""COMPUTED_VALUE"""),128)</f>
        <v>128</v>
      </c>
      <c r="B133" s="53" t="str">
        <f ca="1">IFERROR(__xludf.DUMMYFUNCTION("""COMPUTED_VALUE"""),"TH, THCS, THPT Nguyễn Tri Phương")</f>
        <v>TH, THCS, THPT Nguyễn Tri Phương</v>
      </c>
      <c r="C133" s="53" t="str">
        <f ca="1">IFERROR(__xludf.DUMMYFUNCTION("""COMPUTED_VALUE"""),"THPT")</f>
        <v>THPT</v>
      </c>
      <c r="D133" s="53" t="str">
        <f ca="1">IFERROR(__xludf.DUMMYFUNCTION("""COMPUTED_VALUE"""),"Gò Vấp")</f>
        <v>Gò Vấp</v>
      </c>
      <c r="E133" s="54">
        <f ca="1">IFERROR(__xludf.DUMMYFUNCTION("""COMPUTED_VALUE"""),61)</f>
        <v>61</v>
      </c>
      <c r="F133" s="54">
        <f ca="1">IFERROR(__xludf.DUMMYFUNCTION("""COMPUTED_VALUE"""),61)</f>
        <v>61</v>
      </c>
      <c r="G133" s="54"/>
      <c r="H133" s="54">
        <f ca="1">IFERROR(__xludf.DUMMYFUNCTION("""COMPUTED_VALUE"""),61)</f>
        <v>61</v>
      </c>
      <c r="I133" s="54"/>
      <c r="J133" s="54">
        <f ca="1">IFERROR(__xludf.DUMMYFUNCTION("""COMPUTED_VALUE"""),50)</f>
        <v>50</v>
      </c>
      <c r="K133" s="54"/>
      <c r="L133" s="54">
        <f ca="1">IFERROR(__xludf.DUMMYFUNCTION("""COMPUTED_VALUE"""),5)</f>
        <v>5</v>
      </c>
      <c r="M133" s="54"/>
      <c r="N133" s="54">
        <f ca="1">IFERROR(__xludf.DUMMYFUNCTION("""COMPUTED_VALUE"""),376)</f>
        <v>376</v>
      </c>
      <c r="O133" s="54">
        <f ca="1">IFERROR(__xludf.DUMMYFUNCTION("""COMPUTED_VALUE"""),51)</f>
        <v>51</v>
      </c>
      <c r="P133" s="54"/>
      <c r="Q133" s="54">
        <f ca="1">IFERROR(__xludf.DUMMYFUNCTION("""COMPUTED_VALUE"""),48)</f>
        <v>48</v>
      </c>
      <c r="R133" s="54"/>
      <c r="S133" s="54">
        <f ca="1">IFERROR(__xludf.DUMMYFUNCTION("""COMPUTED_VALUE"""),64)</f>
        <v>64</v>
      </c>
      <c r="T133" s="53">
        <f ca="1">IFERROR(__xludf.DUMMYFUNCTION("""COMPUTED_VALUE"""),64)</f>
        <v>64</v>
      </c>
      <c r="U133" s="53"/>
      <c r="V133" s="54">
        <f ca="1">IFERROR(__xludf.DUMMYFUNCTION("""COMPUTED_VALUE"""),64)</f>
        <v>64</v>
      </c>
      <c r="W133" s="54"/>
      <c r="X133" s="54">
        <f ca="1">IFERROR(__xludf.DUMMYFUNCTION("""COMPUTED_VALUE"""),12)</f>
        <v>12</v>
      </c>
      <c r="Y133" s="54"/>
      <c r="Z133" s="2"/>
      <c r="AA133" s="2"/>
      <c r="AB133" s="2"/>
      <c r="AC133" s="2"/>
      <c r="AD133" s="2"/>
      <c r="AE133" s="2"/>
    </row>
    <row r="134" spans="1:31" ht="12.75" x14ac:dyDescent="0.2">
      <c r="A134" s="53">
        <f ca="1">IFERROR(__xludf.DUMMYFUNCTION("""COMPUTED_VALUE"""),129)</f>
        <v>129</v>
      </c>
      <c r="B134" s="53" t="str">
        <f ca="1">IFERROR(__xludf.DUMMYFUNCTION("""COMPUTED_VALUE"""),"TH, THCS, THPT Ngô Thời Nhiệm")</f>
        <v>TH, THCS, THPT Ngô Thời Nhiệm</v>
      </c>
      <c r="C134" s="53" t="str">
        <f ca="1">IFERROR(__xludf.DUMMYFUNCTION("""COMPUTED_VALUE"""),"THPT")</f>
        <v>THPT</v>
      </c>
      <c r="D134" s="53" t="str">
        <f ca="1">IFERROR(__xludf.DUMMYFUNCTION("""COMPUTED_VALUE"""),"Gò Vấp")</f>
        <v>Gò Vấp</v>
      </c>
      <c r="E134" s="54">
        <f ca="1">IFERROR(__xludf.DUMMYFUNCTION("""COMPUTED_VALUE"""),78)</f>
        <v>78</v>
      </c>
      <c r="F134" s="54">
        <f ca="1">IFERROR(__xludf.DUMMYFUNCTION("""COMPUTED_VALUE"""),78)</f>
        <v>78</v>
      </c>
      <c r="G134" s="54"/>
      <c r="H134" s="54">
        <f ca="1">IFERROR(__xludf.DUMMYFUNCTION("""COMPUTED_VALUE"""),78)</f>
        <v>78</v>
      </c>
      <c r="I134" s="54"/>
      <c r="J134" s="54">
        <f ca="1">IFERROR(__xludf.DUMMYFUNCTION("""COMPUTED_VALUE"""),78)</f>
        <v>78</v>
      </c>
      <c r="K134" s="54"/>
      <c r="L134" s="54">
        <f ca="1">IFERROR(__xludf.DUMMYFUNCTION("""COMPUTED_VALUE"""),27)</f>
        <v>27</v>
      </c>
      <c r="M134" s="54"/>
      <c r="N134" s="54">
        <f ca="1">IFERROR(__xludf.DUMMYFUNCTION("""COMPUTED_VALUE"""),375)</f>
        <v>375</v>
      </c>
      <c r="O134" s="54">
        <f ca="1">IFERROR(__xludf.DUMMYFUNCTION("""COMPUTED_VALUE"""),81)</f>
        <v>81</v>
      </c>
      <c r="P134" s="54"/>
      <c r="Q134" s="54">
        <f ca="1">IFERROR(__xludf.DUMMYFUNCTION("""COMPUTED_VALUE"""),27)</f>
        <v>27</v>
      </c>
      <c r="R134" s="54"/>
      <c r="S134" s="54">
        <f ca="1">IFERROR(__xludf.DUMMYFUNCTION("""COMPUTED_VALUE"""),607)</f>
        <v>607</v>
      </c>
      <c r="T134" s="53">
        <f ca="1">IFERROR(__xludf.DUMMYFUNCTION("""COMPUTED_VALUE"""),574)</f>
        <v>574</v>
      </c>
      <c r="U134" s="53"/>
      <c r="V134" s="54">
        <f ca="1">IFERROR(__xludf.DUMMYFUNCTION("""COMPUTED_VALUE"""),574)</f>
        <v>574</v>
      </c>
      <c r="W134" s="54"/>
      <c r="X134" s="54">
        <f ca="1">IFERROR(__xludf.DUMMYFUNCTION("""COMPUTED_VALUE"""),82)</f>
        <v>82</v>
      </c>
      <c r="Y134" s="54"/>
      <c r="Z134" s="2"/>
      <c r="AA134" s="2"/>
      <c r="AB134" s="2"/>
      <c r="AC134" s="2"/>
      <c r="AD134" s="2"/>
      <c r="AE134" s="2"/>
    </row>
    <row r="135" spans="1:31" ht="12.75" x14ac:dyDescent="0.2">
      <c r="A135" s="53">
        <f ca="1">IFERROR(__xludf.DUMMYFUNCTION("""COMPUTED_VALUE"""),130)</f>
        <v>130</v>
      </c>
      <c r="B135" s="53" t="str">
        <f ca="1">IFERROR(__xludf.DUMMYFUNCTION("""COMPUTED_VALUE"""),"THPT Lý Thái Tổ")</f>
        <v>THPT Lý Thái Tổ</v>
      </c>
      <c r="C135" s="53" t="str">
        <f ca="1">IFERROR(__xludf.DUMMYFUNCTION("""COMPUTED_VALUE"""),"THPT")</f>
        <v>THPT</v>
      </c>
      <c r="D135" s="53" t="str">
        <f ca="1">IFERROR(__xludf.DUMMYFUNCTION("""COMPUTED_VALUE"""),"Gò Vấp")</f>
        <v>Gò Vấp</v>
      </c>
      <c r="E135" s="54">
        <f ca="1">IFERROR(__xludf.DUMMYFUNCTION("""COMPUTED_VALUE"""),111)</f>
        <v>111</v>
      </c>
      <c r="F135" s="54">
        <f ca="1">IFERROR(__xludf.DUMMYFUNCTION("""COMPUTED_VALUE"""),111)</f>
        <v>111</v>
      </c>
      <c r="G135" s="54"/>
      <c r="H135" s="54">
        <f ca="1">IFERROR(__xludf.DUMMYFUNCTION("""COMPUTED_VALUE"""),111)</f>
        <v>111</v>
      </c>
      <c r="I135" s="54"/>
      <c r="J135" s="54">
        <f ca="1">IFERROR(__xludf.DUMMYFUNCTION("""COMPUTED_VALUE"""),111)</f>
        <v>111</v>
      </c>
      <c r="K135" s="54"/>
      <c r="L135" s="54">
        <f ca="1">IFERROR(__xludf.DUMMYFUNCTION("""COMPUTED_VALUE"""),0)</f>
        <v>0</v>
      </c>
      <c r="M135" s="54"/>
      <c r="N135" s="53"/>
      <c r="O135" s="53"/>
      <c r="P135" s="53"/>
      <c r="Q135" s="53"/>
      <c r="R135" s="53"/>
      <c r="S135" s="54">
        <f ca="1">IFERROR(__xludf.DUMMYFUNCTION("""COMPUTED_VALUE"""),644)</f>
        <v>644</v>
      </c>
      <c r="T135" s="54">
        <f ca="1">IFERROR(__xludf.DUMMYFUNCTION("""COMPUTED_VALUE"""),608)</f>
        <v>608</v>
      </c>
      <c r="U135" s="54"/>
      <c r="V135" s="54">
        <f ca="1">IFERROR(__xludf.DUMMYFUNCTION("""COMPUTED_VALUE"""),608)</f>
        <v>608</v>
      </c>
      <c r="W135" s="54"/>
      <c r="X135" s="54">
        <f ca="1">IFERROR(__xludf.DUMMYFUNCTION("""COMPUTED_VALUE"""),108)</f>
        <v>108</v>
      </c>
      <c r="Y135" s="54"/>
      <c r="Z135" s="2"/>
      <c r="AA135" s="2"/>
      <c r="AB135" s="2"/>
      <c r="AC135" s="2"/>
      <c r="AD135" s="2"/>
      <c r="AE135" s="2"/>
    </row>
    <row r="136" spans="1:31" ht="12.75" x14ac:dyDescent="0.2">
      <c r="A136" s="53">
        <f ca="1">IFERROR(__xludf.DUMMYFUNCTION("""COMPUTED_VALUE"""),131)</f>
        <v>131</v>
      </c>
      <c r="B136" s="53" t="str">
        <f ca="1">IFERROR(__xludf.DUMMYFUNCTION("""COMPUTED_VALUE"""),"Chuyên biệt hy Vọng")</f>
        <v>Chuyên biệt hy Vọng</v>
      </c>
      <c r="C136" s="53" t="str">
        <f ca="1">IFERROR(__xludf.DUMMYFUNCTION("""COMPUTED_VALUE"""),"CB")</f>
        <v>CB</v>
      </c>
      <c r="D136" s="53" t="str">
        <f ca="1">IFERROR(__xludf.DUMMYFUNCTION("""COMPUTED_VALUE"""),"Gò Vấp")</f>
        <v>Gò Vấp</v>
      </c>
      <c r="E136" s="54">
        <f ca="1">IFERROR(__xludf.DUMMYFUNCTION("""COMPUTED_VALUE"""),33)</f>
        <v>33</v>
      </c>
      <c r="F136" s="54">
        <f ca="1">IFERROR(__xludf.DUMMYFUNCTION("""COMPUTED_VALUE"""),33)</f>
        <v>33</v>
      </c>
      <c r="G136" s="54"/>
      <c r="H136" s="54">
        <f ca="1">IFERROR(__xludf.DUMMYFUNCTION("""COMPUTED_VALUE"""),33)</f>
        <v>33</v>
      </c>
      <c r="I136" s="54"/>
      <c r="J136" s="54">
        <f ca="1">IFERROR(__xludf.DUMMYFUNCTION("""COMPUTED_VALUE"""),31)</f>
        <v>31</v>
      </c>
      <c r="K136" s="54"/>
      <c r="L136" s="54">
        <f ca="1">IFERROR(__xludf.DUMMYFUNCTION("""COMPUTED_VALUE"""),5)</f>
        <v>5</v>
      </c>
      <c r="M136" s="54"/>
      <c r="N136" s="54">
        <f ca="1">IFERROR(__xludf.DUMMYFUNCTION("""COMPUTED_VALUE"""),93)</f>
        <v>93</v>
      </c>
      <c r="O136" s="54">
        <f ca="1">IFERROR(__xludf.DUMMYFUNCTION("""COMPUTED_VALUE"""),64)</f>
        <v>64</v>
      </c>
      <c r="P136" s="54"/>
      <c r="Q136" s="54">
        <f ca="1">IFERROR(__xludf.DUMMYFUNCTION("""COMPUTED_VALUE"""),43)</f>
        <v>43</v>
      </c>
      <c r="R136" s="54"/>
      <c r="S136" s="54">
        <f ca="1">IFERROR(__xludf.DUMMYFUNCTION("""COMPUTED_VALUE"""),56)</f>
        <v>56</v>
      </c>
      <c r="T136" s="53">
        <f ca="1">IFERROR(__xludf.DUMMYFUNCTION("""COMPUTED_VALUE"""),55)</f>
        <v>55</v>
      </c>
      <c r="U136" s="53"/>
      <c r="V136" s="54">
        <f ca="1">IFERROR(__xludf.DUMMYFUNCTION("""COMPUTED_VALUE"""),55)</f>
        <v>55</v>
      </c>
      <c r="W136" s="54"/>
      <c r="X136" s="54">
        <f ca="1">IFERROR(__xludf.DUMMYFUNCTION("""COMPUTED_VALUE"""),33)</f>
        <v>33</v>
      </c>
      <c r="Y136" s="54"/>
      <c r="Z136" s="2"/>
      <c r="AA136" s="2"/>
      <c r="AB136" s="2"/>
      <c r="AC136" s="2"/>
      <c r="AD136" s="2"/>
      <c r="AE136" s="2"/>
    </row>
    <row r="137" spans="1:31" ht="12.75" x14ac:dyDescent="0.2">
      <c r="A137" s="53">
        <f ca="1">IFERROR(__xludf.DUMMYFUNCTION("""COMPUTED_VALUE"""),132)</f>
        <v>132</v>
      </c>
      <c r="B137" s="53" t="str">
        <f ca="1">IFERROR(__xludf.DUMMYFUNCTION("""COMPUTED_VALUE"""),"GDTX")</f>
        <v>GDTX</v>
      </c>
      <c r="C137" s="53" t="str">
        <f ca="1">IFERROR(__xludf.DUMMYFUNCTION("""COMPUTED_VALUE"""),"GDTX")</f>
        <v>GDTX</v>
      </c>
      <c r="D137" s="53" t="str">
        <f ca="1">IFERROR(__xludf.DUMMYFUNCTION("""COMPUTED_VALUE"""),"Gò Vấp")</f>
        <v>Gò Vấp</v>
      </c>
      <c r="E137" s="54">
        <f ca="1">IFERROR(__xludf.DUMMYFUNCTION("""COMPUTED_VALUE"""),45)</f>
        <v>45</v>
      </c>
      <c r="F137" s="54">
        <f ca="1">IFERROR(__xludf.DUMMYFUNCTION("""COMPUTED_VALUE"""),45)</f>
        <v>45</v>
      </c>
      <c r="G137" s="54"/>
      <c r="H137" s="54">
        <f ca="1">IFERROR(__xludf.DUMMYFUNCTION("""COMPUTED_VALUE"""),44)</f>
        <v>44</v>
      </c>
      <c r="I137" s="54"/>
      <c r="J137" s="54">
        <f ca="1">IFERROR(__xludf.DUMMYFUNCTION("""COMPUTED_VALUE"""),44)</f>
        <v>44</v>
      </c>
      <c r="K137" s="54"/>
      <c r="L137" s="54">
        <f ca="1">IFERROR(__xludf.DUMMYFUNCTION("""COMPUTED_VALUE"""),19)</f>
        <v>19</v>
      </c>
      <c r="M137" s="54"/>
      <c r="N137" s="53"/>
      <c r="O137" s="53"/>
      <c r="P137" s="53"/>
      <c r="Q137" s="53"/>
      <c r="R137" s="53"/>
      <c r="S137" s="53">
        <f ca="1">IFERROR(__xludf.DUMMYFUNCTION("""COMPUTED_VALUE"""),625)</f>
        <v>625</v>
      </c>
      <c r="T137" s="53">
        <f ca="1">IFERROR(__xludf.DUMMYFUNCTION("""COMPUTED_VALUE"""),625)</f>
        <v>625</v>
      </c>
      <c r="U137" s="53"/>
      <c r="V137" s="53">
        <f ca="1">IFERROR(__xludf.DUMMYFUNCTION("""COMPUTED_VALUE"""),625)</f>
        <v>625</v>
      </c>
      <c r="W137" s="53"/>
      <c r="X137" s="53">
        <f ca="1">IFERROR(__xludf.DUMMYFUNCTION("""COMPUTED_VALUE"""),127)</f>
        <v>127</v>
      </c>
      <c r="Y137" s="53"/>
      <c r="Z137" s="2"/>
      <c r="AA137" s="2"/>
      <c r="AB137" s="2"/>
      <c r="AC137" s="2"/>
      <c r="AD137" s="2"/>
      <c r="AE137" s="2"/>
    </row>
    <row r="138" spans="1:31" ht="12.75" x14ac:dyDescent="0.2">
      <c r="A138" s="53"/>
      <c r="B138" s="53"/>
      <c r="C138" s="53" t="str">
        <f ca="1">IFERROR(__xludf.DUMMYFUNCTION("""COMPUTED_VALUE"""),"TC")</f>
        <v>TC</v>
      </c>
      <c r="D138" s="53"/>
      <c r="E138" s="54">
        <f ca="1">IFERROR(__xludf.DUMMYFUNCTION("""COMPUTED_VALUE"""),7258)</f>
        <v>7258</v>
      </c>
      <c r="F138" s="54">
        <f ca="1">IFERROR(__xludf.DUMMYFUNCTION("""COMPUTED_VALUE"""),7257)</f>
        <v>7257</v>
      </c>
      <c r="G138" s="54"/>
      <c r="H138" s="54">
        <f ca="1">IFERROR(__xludf.DUMMYFUNCTION("""COMPUTED_VALUE"""),7247)</f>
        <v>7247</v>
      </c>
      <c r="I138" s="54"/>
      <c r="J138" s="54">
        <f ca="1">IFERROR(__xludf.DUMMYFUNCTION("""COMPUTED_VALUE"""),6896)</f>
        <v>6896</v>
      </c>
      <c r="K138" s="54"/>
      <c r="L138" s="54">
        <f ca="1">IFERROR(__xludf.DUMMYFUNCTION("""COMPUTED_VALUE"""),3522)</f>
        <v>3522</v>
      </c>
      <c r="M138" s="54"/>
      <c r="N138" s="54">
        <f ca="1">IFERROR(__xludf.DUMMYFUNCTION("""COMPUTED_VALUE"""),55647)</f>
        <v>55647</v>
      </c>
      <c r="O138" s="54">
        <f ca="1">IFERROR(__xludf.DUMMYFUNCTION("""COMPUTED_VALUE"""),26276)</f>
        <v>26276</v>
      </c>
      <c r="P138" s="54"/>
      <c r="Q138" s="54">
        <f ca="1">IFERROR(__xludf.DUMMYFUNCTION("""COMPUTED_VALUE"""),19037)</f>
        <v>19037</v>
      </c>
      <c r="R138" s="54"/>
      <c r="S138" s="54">
        <f ca="1">IFERROR(__xludf.DUMMYFUNCTION("""COMPUTED_VALUE"""),40651)</f>
        <v>40651</v>
      </c>
      <c r="T138" s="54">
        <f ca="1">IFERROR(__xludf.DUMMYFUNCTION("""COMPUTED_VALUE"""),38647)</f>
        <v>38647</v>
      </c>
      <c r="U138" s="54"/>
      <c r="V138" s="54">
        <f ca="1">IFERROR(__xludf.DUMMYFUNCTION("""COMPUTED_VALUE"""),36782)</f>
        <v>36782</v>
      </c>
      <c r="W138" s="54"/>
      <c r="X138" s="54">
        <f ca="1">IFERROR(__xludf.DUMMYFUNCTION("""COMPUTED_VALUE"""),11661)</f>
        <v>11661</v>
      </c>
      <c r="Y138" s="54"/>
      <c r="Z138" s="2"/>
      <c r="AA138" s="2"/>
      <c r="AB138" s="2"/>
      <c r="AC138" s="2"/>
      <c r="AD138" s="2"/>
      <c r="AE138" s="2"/>
    </row>
    <row r="139" spans="1:31" ht="12.75" x14ac:dyDescent="0.2">
      <c r="A139" s="53"/>
      <c r="B139" s="53"/>
      <c r="C139" s="53"/>
      <c r="D139" s="53"/>
      <c r="E139" s="54">
        <f ca="1">IFERROR(__xludf.DUMMYFUNCTION("""COMPUTED_VALUE"""),7258)</f>
        <v>7258</v>
      </c>
      <c r="F139" s="54">
        <f ca="1">IFERROR(__xludf.DUMMYFUNCTION("""COMPUTED_VALUE"""),7257)</f>
        <v>7257</v>
      </c>
      <c r="G139" s="54"/>
      <c r="H139" s="54">
        <f ca="1">IFERROR(__xludf.DUMMYFUNCTION("""COMPUTED_VALUE"""),7247)</f>
        <v>7247</v>
      </c>
      <c r="I139" s="54"/>
      <c r="J139" s="54">
        <f ca="1">IFERROR(__xludf.DUMMYFUNCTION("""COMPUTED_VALUE"""),6896)</f>
        <v>6896</v>
      </c>
      <c r="K139" s="54"/>
      <c r="L139" s="54">
        <f ca="1">IFERROR(__xludf.DUMMYFUNCTION("""COMPUTED_VALUE"""),3522)</f>
        <v>3522</v>
      </c>
      <c r="M139" s="54"/>
      <c r="N139" s="54">
        <f ca="1">IFERROR(__xludf.DUMMYFUNCTION("""COMPUTED_VALUE"""),55647)</f>
        <v>55647</v>
      </c>
      <c r="O139" s="54">
        <f ca="1">IFERROR(__xludf.DUMMYFUNCTION("""COMPUTED_VALUE"""),26276)</f>
        <v>26276</v>
      </c>
      <c r="P139" s="54"/>
      <c r="Q139" s="54">
        <f ca="1">IFERROR(__xludf.DUMMYFUNCTION("""COMPUTED_VALUE"""),19037)</f>
        <v>19037</v>
      </c>
      <c r="R139" s="54"/>
      <c r="S139" s="54">
        <f ca="1">IFERROR(__xludf.DUMMYFUNCTION("""COMPUTED_VALUE"""),40651)</f>
        <v>40651</v>
      </c>
      <c r="T139" s="54">
        <f ca="1">IFERROR(__xludf.DUMMYFUNCTION("""COMPUTED_VALUE"""),38647)</f>
        <v>38647</v>
      </c>
      <c r="U139" s="54"/>
      <c r="V139" s="54">
        <f ca="1">IFERROR(__xludf.DUMMYFUNCTION("""COMPUTED_VALUE"""),36782)</f>
        <v>36782</v>
      </c>
      <c r="W139" s="54"/>
      <c r="X139" s="54">
        <f ca="1">IFERROR(__xludf.DUMMYFUNCTION("""COMPUTED_VALUE"""),11661)</f>
        <v>11661</v>
      </c>
      <c r="Y139" s="54"/>
      <c r="Z139" s="2"/>
      <c r="AA139" s="2"/>
      <c r="AB139" s="2"/>
      <c r="AC139" s="2"/>
      <c r="AD139" s="2"/>
      <c r="AE139" s="2"/>
    </row>
    <row r="140" spans="1:31" ht="12.75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2.75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2.75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2.75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2.75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2.75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2.75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2.75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2.75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2.75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2.75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2.75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2.75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2.75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2.75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2.75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2.75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2.75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2.75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2.75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2.75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2.75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2.75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2.75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2.75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2.75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2.75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2.75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2.75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2.75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2.75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2.75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2.75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2.75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2.75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2.75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2.75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2.75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2.75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2.75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2.75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2.75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2.75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2.75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2.75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2.75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2.75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2.75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2.75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2.75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2.75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2.75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2.75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2.75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2.75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2.75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2.75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2.75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2.75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2.75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2.75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2.75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2.75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2.75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2.75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2.75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2.75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2.75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2.75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2.75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2.75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2.75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2.75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2.75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2.75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2.75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2.75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2.75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2.75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2.75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2.75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2.75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2.75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2.75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2.75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2.75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2.75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2.75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2.75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2.75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2.75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2.75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2.75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2.75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2.75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2.75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2.75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2.75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2.75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2.75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2.75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2.75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2.75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2.75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2.75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2.75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2.75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2.75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2.75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2.75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2.75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2.75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2.75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2.75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2.75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2.75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2.75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2.75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2.75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2.75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2.75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2.75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2.75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2.75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2.75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2.75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2.75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2.75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2.75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2.75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2.75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2.75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2.75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2.75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2.75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2.75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2.75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2.75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2.75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2.75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2.75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2.75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2.75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2.75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2.75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2.75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2.75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2.75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2.75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2.75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2.75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2.75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2.75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2.75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2.75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2.75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2.75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2.75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2.75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2.75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2.75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2.75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2.75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2.75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2.75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2.75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2.75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2.75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2.75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2.75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2.75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2.75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2.75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2.75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2.75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2.75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2.75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2.75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2.75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2.75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2.75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2.75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2.75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2.75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2.75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2.75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2.75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2.75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2.75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2.75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2.75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2.75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2.75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2.75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2.75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2.75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2.75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2.75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2.75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2.75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2.75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2.75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2.75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2.75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2.75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2.75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2.75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2.75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2.75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2.75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2.75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2.75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2.75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2.75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2.75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2.75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2.75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2.75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2.75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2.75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2.75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2.75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2.75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2.75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2.75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2.75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2.75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2.75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2.75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2.75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2.75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2.75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2.75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2.75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2.75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2.75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2.75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2.75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2.75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2.75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2.75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2.75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2.75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2.75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2.75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2.75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2.75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2.75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2.75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2.75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2.75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2.75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2.75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2.75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2.75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2.75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2.75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2.75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2.75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2.75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2.75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2.75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2.75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2.75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2.75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2.75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2.75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2.75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2.75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2.75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2.75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2.75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2.75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2.75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2.75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2.75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2.75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2.75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2.75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2.75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2.75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2.75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2.75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2.75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2.75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2.75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2.75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2.75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2.75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2.75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2.75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2.75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2.75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2.75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2.75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2.75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2.75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2.75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2.75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2.75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2.75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2.75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2.75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2.75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2.75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2.75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2.75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2.75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2.75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2.75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2.75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2.75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2.75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2.75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2.75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2.75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2.75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2.75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2.75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2.75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2.75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2.75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2.75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2.75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2.75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2.75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2.75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2.75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2.75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2.75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2.75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2.75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2.75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2.75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2.75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2.75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2.75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2.75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2.75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2.75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2.75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2.75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2.75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2.75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2.75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2.75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2.75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2.75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2.75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2.75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2.75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2.75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2.75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2.75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2.75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2.75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2.75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2.75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2.75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2.75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2.75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2.75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2.75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2.75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2.75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2.75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2.75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2.75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2.75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2.75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2.75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2.75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2.75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2.75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2.75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2.75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2.75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2.75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2.75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2.75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2.75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2.75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2.75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2.75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2.75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2.75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2.75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2.75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2.75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2.75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2.75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2.75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2.75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2.75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2.75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2.75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2.75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2.75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2.75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2.75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2.75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2.75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2.75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2.75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2.75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2.75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2.75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2.75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2.75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2.75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2.75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2.75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2.75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2.75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2.75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2.75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2.75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2.75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2.75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2.75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2.75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2.75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2.75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2.75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2.75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2.75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2.75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2.75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2.75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2.75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2.75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2.75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2.75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2.75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2.75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2.75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2.75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2.75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2.75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2.75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2.75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2.75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2.75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2.75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2.75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2.75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2.75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2.75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2.75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2.75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2.75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2.75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2.75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2.75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2.75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2.75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2.75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2.75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2.75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2.75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2.75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2.75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2.75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2.75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2.75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2.75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2.75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2.75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2.75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2.75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2.75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2.75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2.75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2.75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2.75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2.75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2.75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2.75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2.75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2.75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2.75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2.75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2.75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2.75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2.75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2.75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2.75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2.75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2.75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2.75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2.75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2.75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2.75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2.75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2.75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2.75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2.75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2.75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2.75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2.75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2.75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2.75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2.75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2.75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2.75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2.75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2.75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2.75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2.75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2.75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2.75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2.75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2.75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2.75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2.75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2.75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2.75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2.75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2.75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2.75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2.75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2.75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2.75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2.75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2.75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2.75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2.75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2.75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2.75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2.75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2.75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2.75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2.75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2.75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2.75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2.75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2.75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2.75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2.75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2.75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2.75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2.75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2.75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2.75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2.75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2.75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2.75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2.75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2.75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2.75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2.75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2.75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2.75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2.75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2.75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2.75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2.75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2.75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2.75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2.75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2.75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2.75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2.75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2.75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2.75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2.75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2.75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2.75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2.75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2.75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2.75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2.75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2.75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2.75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2.75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2.75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2.75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2.75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2.75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2.75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2.75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2.75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2.75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2.75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2.75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2.75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2.75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2.75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2.75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2.75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2.75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2.75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2.75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2.75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2.75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2.75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2.75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2.75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2.75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2.75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2.75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2.75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2.75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2.75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2.75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2.75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2.75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2.75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2.75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2.75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2.75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2.75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2.75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2.75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2.75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2.75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2.75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2.75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2.75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2.75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2.75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2.75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2.75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2.75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2.75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2.75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2.75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2.75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2.75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2.75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2.75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2.75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2.75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2.75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2.75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2.75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2.75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2.75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2.75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2.75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2.75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2.75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2.75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2.75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2.75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2.75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2.75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2.75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2.75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2.75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2.75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2.75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2.75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2.75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2.75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2.75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2.75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2.75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2.75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2.75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2.75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2.75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2.75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2.75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2.75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2.75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2.75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2.75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2.75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2.75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2.75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2.75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2.75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2.75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2.75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2.75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2.75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2.75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2.75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2.75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2.75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2.75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2.75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2.75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2.75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2.75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2.75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2.75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2.75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2.75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2.75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2.75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2.75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2.75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2.75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2.75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2.75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2.75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2.75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2.75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2.75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2.75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2.75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2.75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2.75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2.75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2.75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2.75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2.75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2.75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2.75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2.75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2.75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2.75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2.75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2.75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2.75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2.75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2.75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2.75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2.75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2.75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2.75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2.75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2.75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2.75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2.75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2.75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2.75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2.75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2.75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2.75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2.75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2.75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2.75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2.75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2.75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2.75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2.75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2.75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2.75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2.75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2.75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2.75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2.75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2.75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2.75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2.75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2.75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2.75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2.75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2.75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2.75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2.75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2.75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2.75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2.75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2.75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2.75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2.75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2.75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2.75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2.75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2.75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2.75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2.75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2.75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2.75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2.75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2.75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2.75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2.75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2.75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2.75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2.75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2.75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2.75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2.75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2.75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2.75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2.75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2.75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2.75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2.75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2.75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2.75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2.75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2.75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2.75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2.75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2.75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2.75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2.75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2.75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2.75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2.75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2.75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2.75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2.75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2.75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2.75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2.75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2.75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2.75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2.75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2.75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2.75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2.75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2.75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2.75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2.75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2.75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2.75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2.75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2.75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2.75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2.75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2.75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2.75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2.75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2.75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2.75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2.75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2.75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2.75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2.75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2.75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2.75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2.75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2.75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2.75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2.75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2.75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2.75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2.75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2.75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2.75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2.75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2.75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2.75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2.75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2.75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2.75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2.75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2.75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2.75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2.75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2.75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2.75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2.75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2.75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2.75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2.75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2.75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2.75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2.75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2.75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2.75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 ht="12.75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 ht="12.75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  <row r="1000" spans="1:31" ht="12.75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</row>
  </sheetData>
  <mergeCells count="16">
    <mergeCell ref="N3:R3"/>
    <mergeCell ref="S3:Y3"/>
    <mergeCell ref="F4:G4"/>
    <mergeCell ref="H4:I4"/>
    <mergeCell ref="J4:K4"/>
    <mergeCell ref="L4:M4"/>
    <mergeCell ref="O4:P4"/>
    <mergeCell ref="Q4:R4"/>
    <mergeCell ref="T4:U4"/>
    <mergeCell ref="V4:W4"/>
    <mergeCell ref="X4:Y4"/>
    <mergeCell ref="A3:A4"/>
    <mergeCell ref="B3:B4"/>
    <mergeCell ref="C3:C4"/>
    <mergeCell ref="D3:D4"/>
    <mergeCell ref="E3:M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E1000"/>
  <sheetViews>
    <sheetView zoomScale="85" zoomScaleNormal="85" workbookViewId="0">
      <selection activeCell="B21" sqref="B21"/>
    </sheetView>
  </sheetViews>
  <sheetFormatPr defaultColWidth="12.5703125" defaultRowHeight="15.75" customHeight="1" x14ac:dyDescent="0.2"/>
  <cols>
    <col min="1" max="1" width="12.5703125" style="3"/>
    <col min="2" max="2" width="38.140625" style="3" customWidth="1"/>
    <col min="3" max="4" width="12.5703125" style="3"/>
    <col min="5" max="5" width="10.42578125" style="3" customWidth="1"/>
    <col min="6" max="13" width="8.85546875" style="3" customWidth="1"/>
    <col min="14" max="14" width="10.42578125" style="3" customWidth="1"/>
    <col min="15" max="18" width="8.85546875" style="3" customWidth="1"/>
    <col min="19" max="19" width="10.42578125" style="3" customWidth="1"/>
    <col min="20" max="25" width="8.85546875" style="3" customWidth="1"/>
    <col min="26" max="16384" width="12.5703125" style="3"/>
  </cols>
  <sheetData>
    <row r="1" spans="1:31" ht="26.25" customHeight="1" x14ac:dyDescent="0.2">
      <c r="A1" s="49" t="s">
        <v>15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ht="35.25" customHeight="1" x14ac:dyDescent="0.2">
      <c r="A2" s="4" t="s">
        <v>26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</row>
    <row r="3" spans="1:31" ht="30.75" customHeight="1" x14ac:dyDescent="0.2">
      <c r="A3" s="89" t="str">
        <f ca="1">IFERROR(__xludf.DUMMYFUNCTION("IMPORTRANGE(""https://docs.google.com/spreadsheets/d/1giFCfPZvq6d2WPbrXwJ7ksTcnSjmuNbU5G4IRrh5hOk/edit#gid=0"",""PN!A14:T500"")"),"STT")</f>
        <v>STT</v>
      </c>
      <c r="B3" s="89" t="str">
        <f ca="1">IFERROR(__xludf.DUMMYFUNCTION("""COMPUTED_VALUE"""),"TRƯỜNG")</f>
        <v>TRƯỜNG</v>
      </c>
      <c r="C3" s="89" t="str">
        <f ca="1">IFERROR(__xludf.DUMMYFUNCTION("""COMPUTED_VALUE"""),"BẬC HỌC (MN, TH, THCS, THPT, CB, GDTX)")</f>
        <v>BẬC HỌC (MN, TH, THCS, THPT, CB, GDTX)</v>
      </c>
      <c r="D3" s="89" t="str">
        <f ca="1">IFERROR(__xludf.DUMMYFUNCTION("""COMPUTED_VALUE"""),"THÀNH PHỐ, QUẬN, HUYỆN")</f>
        <v>THÀNH PHỐ, QUẬN, HUYỆN</v>
      </c>
      <c r="E3" s="91" t="str">
        <f ca="1">IFERROR(__xludf.DUMMYFUNCTION("""COMPUTED_VALUE"""),"Cán bộ - Giáo viên - Nhân viên")</f>
        <v>Cán bộ - Giáo viên - Nhân viên</v>
      </c>
      <c r="F3" s="92"/>
      <c r="G3" s="92"/>
      <c r="H3" s="92"/>
      <c r="I3" s="92"/>
      <c r="J3" s="92"/>
      <c r="K3" s="92"/>
      <c r="L3" s="92"/>
      <c r="M3" s="92"/>
      <c r="N3" s="93" t="str">
        <f ca="1">IFERROR(__xludf.DUMMYFUNCTION("""COMPUTED_VALUE"""),"Học sinh từ 5 đến dưới 12 tuổi")</f>
        <v>Học sinh từ 5 đến dưới 12 tuổi</v>
      </c>
      <c r="O3" s="92"/>
      <c r="P3" s="92"/>
      <c r="Q3" s="92"/>
      <c r="R3" s="92"/>
      <c r="S3" s="94" t="str">
        <f ca="1">IFERROR(__xludf.DUMMYFUNCTION("""COMPUTED_VALUE"""),"Học sinh từ 12 đến dưới 18 tuổi")</f>
        <v>Học sinh từ 12 đến dưới 18 tuổi</v>
      </c>
      <c r="T3" s="95"/>
      <c r="U3" s="95"/>
      <c r="V3" s="95"/>
      <c r="W3" s="95"/>
      <c r="X3" s="95"/>
      <c r="Y3" s="95"/>
      <c r="Z3" s="2"/>
      <c r="AA3" s="2"/>
      <c r="AB3" s="2"/>
      <c r="AC3" s="2"/>
      <c r="AD3" s="2"/>
      <c r="AE3" s="2"/>
    </row>
    <row r="4" spans="1:31" ht="27" customHeight="1" x14ac:dyDescent="0.2">
      <c r="A4" s="90"/>
      <c r="B4" s="90"/>
      <c r="C4" s="90"/>
      <c r="D4" s="90"/>
      <c r="E4" s="7" t="str">
        <f ca="1">IFERROR(__xludf.DUMMYFUNCTION("""COMPUTED_VALUE"""),"Tổng CB-GV-NV")</f>
        <v>Tổng CB-GV-NV</v>
      </c>
      <c r="F4" s="96" t="s">
        <v>22</v>
      </c>
      <c r="G4" s="97"/>
      <c r="H4" s="96" t="s">
        <v>23</v>
      </c>
      <c r="I4" s="97"/>
      <c r="J4" s="96" t="s">
        <v>24</v>
      </c>
      <c r="K4" s="97"/>
      <c r="L4" s="96" t="s">
        <v>25</v>
      </c>
      <c r="M4" s="97"/>
      <c r="N4" s="7" t="str">
        <f ca="1">IFERROR(__xludf.DUMMYFUNCTION("""COMPUTED_VALUE"""),"Tổng học sinh")</f>
        <v>Tổng học sinh</v>
      </c>
      <c r="O4" s="96" t="s">
        <v>22</v>
      </c>
      <c r="P4" s="97"/>
      <c r="Q4" s="96" t="s">
        <v>23</v>
      </c>
      <c r="R4" s="97"/>
      <c r="S4" s="8" t="str">
        <f ca="1">IFERROR(__xludf.DUMMYFUNCTION("""COMPUTED_VALUE"""),"Tổng học sinh")</f>
        <v>Tổng học sinh</v>
      </c>
      <c r="T4" s="98" t="s">
        <v>22</v>
      </c>
      <c r="U4" s="99"/>
      <c r="V4" s="98" t="s">
        <v>23</v>
      </c>
      <c r="W4" s="99"/>
      <c r="X4" s="98" t="s">
        <v>24</v>
      </c>
      <c r="Y4" s="99"/>
      <c r="Z4" s="2"/>
      <c r="AA4" s="2"/>
      <c r="AB4" s="2"/>
      <c r="AC4" s="2"/>
      <c r="AD4" s="2"/>
      <c r="AE4" s="2"/>
    </row>
    <row r="5" spans="1:31" ht="12.75" x14ac:dyDescent="0.2">
      <c r="A5" s="50" t="str">
        <f ca="1">IFERROR(__xludf.DUMMYFUNCTION("""COMPUTED_VALUE"""),"TỔNG TOÀN QUẬN/HUYỆN/TP")</f>
        <v>TỔNG TOÀN QUẬN/HUYỆN/TP</v>
      </c>
      <c r="B5" s="20"/>
      <c r="C5" s="20"/>
      <c r="D5" s="20" t="str">
        <f ca="1">IFERROR(__xludf.DUMMYFUNCTION("""COMPUTED_VALUE"""),"PHÚ NHUẬN")</f>
        <v>PHÚ NHUẬN</v>
      </c>
      <c r="E5" s="15">
        <f ca="1">IFERROR(__xludf.DUMMYFUNCTION("""COMPUTED_VALUE"""),2782)</f>
        <v>2782</v>
      </c>
      <c r="F5" s="15">
        <f ca="1">IFERROR(__xludf.DUMMYFUNCTION("""COMPUTED_VALUE"""),2760)</f>
        <v>2760</v>
      </c>
      <c r="G5" s="51">
        <f ca="1">IFERROR(F5/E5,"")</f>
        <v>0.99209202012940334</v>
      </c>
      <c r="H5" s="15">
        <f ca="1">IFERROR(__xludf.DUMMYFUNCTION("""COMPUTED_VALUE"""),2760)</f>
        <v>2760</v>
      </c>
      <c r="I5" s="51">
        <f ca="1">IFERROR(H5/E5,"")</f>
        <v>0.99209202012940334</v>
      </c>
      <c r="J5" s="15">
        <f ca="1">IFERROR(__xludf.DUMMYFUNCTION("""COMPUTED_VALUE"""),2482)</f>
        <v>2482</v>
      </c>
      <c r="K5" s="51">
        <f ca="1">IFERROR(J5/E5,"")</f>
        <v>0.89216391085549962</v>
      </c>
      <c r="L5" s="15">
        <f ca="1">IFERROR(__xludf.DUMMYFUNCTION("""COMPUTED_VALUE"""),1263)</f>
        <v>1263</v>
      </c>
      <c r="M5" s="51">
        <f ca="1">IFERROR(L5/E5,"")</f>
        <v>0.45398993529834653</v>
      </c>
      <c r="N5" s="15">
        <f ca="1">IFERROR(__xludf.DUMMYFUNCTION("""COMPUTED_VALUE"""),13952)</f>
        <v>13952</v>
      </c>
      <c r="O5" s="15">
        <f ca="1">IFERROR(__xludf.DUMMYFUNCTION("""COMPUTED_VALUE"""),6822)</f>
        <v>6822</v>
      </c>
      <c r="P5" s="51">
        <f ca="1">IFERROR(O5/N5,"")</f>
        <v>0.48896215596330272</v>
      </c>
      <c r="Q5" s="15">
        <f ca="1">IFERROR(__xludf.DUMMYFUNCTION("""COMPUTED_VALUE"""),3703)</f>
        <v>3703</v>
      </c>
      <c r="R5" s="51">
        <f ca="1">IFERROR(Q5/N5,"")</f>
        <v>0.2654099770642202</v>
      </c>
      <c r="S5" s="15">
        <f ca="1">IFERROR(__xludf.DUMMYFUNCTION("""COMPUTED_VALUE"""),11798)</f>
        <v>11798</v>
      </c>
      <c r="T5" s="15">
        <f ca="1">IFERROR(__xludf.DUMMYFUNCTION("""COMPUTED_VALUE"""),11460)</f>
        <v>11460</v>
      </c>
      <c r="U5" s="51">
        <f ca="1">IFERROR(T5/S5,"")</f>
        <v>0.97135107645363616</v>
      </c>
      <c r="V5" s="15">
        <f ca="1">IFERROR(__xludf.DUMMYFUNCTION("""COMPUTED_VALUE"""),11132)</f>
        <v>11132</v>
      </c>
      <c r="W5" s="51">
        <f ca="1">IFERROR(V5/S5,"")</f>
        <v>0.94354975419562637</v>
      </c>
      <c r="X5" s="15">
        <f ca="1">IFERROR(__xludf.DUMMYFUNCTION("""COMPUTED_VALUE"""),4167)</f>
        <v>4167</v>
      </c>
      <c r="Y5" s="51">
        <f ca="1">IFERROR(X5/S5,"")</f>
        <v>0.35319545685709441</v>
      </c>
      <c r="Z5" s="2"/>
      <c r="AA5" s="2"/>
      <c r="AB5" s="2"/>
      <c r="AC5" s="2"/>
      <c r="AD5" s="2"/>
      <c r="AE5" s="2"/>
    </row>
    <row r="6" spans="1:31" ht="12.75" x14ac:dyDescent="0.2">
      <c r="A6" s="52" t="str">
        <f ca="1">IFERROR(__xludf.DUMMYFUNCTION("""COMPUTED_VALUE"""),"Mầm non")</f>
        <v>Mầm non</v>
      </c>
      <c r="B6" s="53"/>
      <c r="C6" s="53"/>
      <c r="D6" s="53"/>
      <c r="E6" s="54">
        <f ca="1">IFERROR(__xludf.DUMMYFUNCTION("""COMPUTED_VALUE"""),874)</f>
        <v>874</v>
      </c>
      <c r="F6" s="54">
        <f ca="1">IFERROR(__xludf.DUMMYFUNCTION("""COMPUTED_VALUE"""),859)</f>
        <v>859</v>
      </c>
      <c r="G6" s="51">
        <f t="shared" ref="G6:G69" ca="1" si="0">IFERROR(F6/E6,"")</f>
        <v>0.98283752860411899</v>
      </c>
      <c r="H6" s="54">
        <f ca="1">IFERROR(__xludf.DUMMYFUNCTION("""COMPUTED_VALUE"""),859)</f>
        <v>859</v>
      </c>
      <c r="I6" s="51">
        <f t="shared" ref="I6:I69" ca="1" si="1">IFERROR(H6/E6,"")</f>
        <v>0.98283752860411899</v>
      </c>
      <c r="J6" s="54">
        <f ca="1">IFERROR(__xludf.DUMMYFUNCTION("""COMPUTED_VALUE"""),806)</f>
        <v>806</v>
      </c>
      <c r="K6" s="51">
        <f t="shared" ref="K6:K69" ca="1" si="2">IFERROR(J6/E6,"")</f>
        <v>0.9221967963386728</v>
      </c>
      <c r="L6" s="54">
        <f ca="1">IFERROR(__xludf.DUMMYFUNCTION("""COMPUTED_VALUE"""),499)</f>
        <v>499</v>
      </c>
      <c r="M6" s="51">
        <f t="shared" ref="M6:M69" ca="1" si="3">IFERROR(L6/E6,"")</f>
        <v>0.57093821510297482</v>
      </c>
      <c r="N6" s="54">
        <f ca="1">IFERROR(__xludf.DUMMYFUNCTION("""COMPUTED_VALUE"""),1350)</f>
        <v>1350</v>
      </c>
      <c r="O6" s="54">
        <f ca="1">IFERROR(__xludf.DUMMYFUNCTION("""COMPUTED_VALUE"""),155)</f>
        <v>155</v>
      </c>
      <c r="P6" s="51">
        <f t="shared" ref="P6:P69" ca="1" si="4">IFERROR(O6/N6,"")</f>
        <v>0.11481481481481481</v>
      </c>
      <c r="Q6" s="54">
        <f ca="1">IFERROR(__xludf.DUMMYFUNCTION("""COMPUTED_VALUE"""),50)</f>
        <v>50</v>
      </c>
      <c r="R6" s="51">
        <f t="shared" ref="R6:R69" ca="1" si="5">IFERROR(Q6/N6,"")</f>
        <v>3.7037037037037035E-2</v>
      </c>
      <c r="S6" s="54">
        <f ca="1">IFERROR(__xludf.DUMMYFUNCTION("""COMPUTED_VALUE"""),0)</f>
        <v>0</v>
      </c>
      <c r="T6" s="54">
        <f ca="1">IFERROR(__xludf.DUMMYFUNCTION("""COMPUTED_VALUE"""),0)</f>
        <v>0</v>
      </c>
      <c r="U6" s="51" t="str">
        <f t="shared" ref="U6:U69" ca="1" si="6">IFERROR(T6/S6,"")</f>
        <v/>
      </c>
      <c r="V6" s="54">
        <f ca="1">IFERROR(__xludf.DUMMYFUNCTION("""COMPUTED_VALUE"""),0)</f>
        <v>0</v>
      </c>
      <c r="W6" s="51" t="str">
        <f t="shared" ref="W6:W69" ca="1" si="7">IFERROR(V6/S6,"")</f>
        <v/>
      </c>
      <c r="X6" s="54">
        <f ca="1">IFERROR(__xludf.DUMMYFUNCTION("""COMPUTED_VALUE"""),0)</f>
        <v>0</v>
      </c>
      <c r="Y6" s="51" t="str">
        <f t="shared" ref="Y6:Y69" ca="1" si="8">IFERROR(X6/S6,"")</f>
        <v/>
      </c>
      <c r="Z6" s="2"/>
      <c r="AA6" s="2"/>
      <c r="AB6" s="2"/>
      <c r="AC6" s="2"/>
      <c r="AD6" s="2"/>
      <c r="AE6" s="2"/>
    </row>
    <row r="7" spans="1:31" ht="12.75" x14ac:dyDescent="0.2">
      <c r="A7" s="53">
        <f ca="1">IFERROR(__xludf.DUMMYFUNCTION("""COMPUTED_VALUE"""),1)</f>
        <v>1</v>
      </c>
      <c r="B7" s="53" t="str">
        <f ca="1">IFERROR(__xludf.DUMMYFUNCTION("""COMPUTED_VALUE"""),"MNSC 1")</f>
        <v>MNSC 1</v>
      </c>
      <c r="C7" s="53" t="str">
        <f ca="1">IFERROR(__xludf.DUMMYFUNCTION("""COMPUTED_VALUE"""),"MN")</f>
        <v>MN</v>
      </c>
      <c r="D7" s="53" t="str">
        <f ca="1">IFERROR(__xludf.DUMMYFUNCTION("""COMPUTED_VALUE"""),"PHÚ NHUẬN")</f>
        <v>PHÚ NHUẬN</v>
      </c>
      <c r="E7" s="54">
        <f ca="1">IFERROR(__xludf.DUMMYFUNCTION("""COMPUTED_VALUE"""),28)</f>
        <v>28</v>
      </c>
      <c r="F7" s="54">
        <f ca="1">IFERROR(__xludf.DUMMYFUNCTION("""COMPUTED_VALUE"""),28)</f>
        <v>28</v>
      </c>
      <c r="G7" s="51">
        <f t="shared" ca="1" si="0"/>
        <v>1</v>
      </c>
      <c r="H7" s="54">
        <f ca="1">IFERROR(__xludf.DUMMYFUNCTION("""COMPUTED_VALUE"""),28)</f>
        <v>28</v>
      </c>
      <c r="I7" s="51">
        <f t="shared" ca="1" si="1"/>
        <v>1</v>
      </c>
      <c r="J7" s="54">
        <f ca="1">IFERROR(__xludf.DUMMYFUNCTION("""COMPUTED_VALUE"""),28)</f>
        <v>28</v>
      </c>
      <c r="K7" s="51">
        <f t="shared" ca="1" si="2"/>
        <v>1</v>
      </c>
      <c r="L7" s="54">
        <f ca="1">IFERROR(__xludf.DUMMYFUNCTION("""COMPUTED_VALUE"""),18)</f>
        <v>18</v>
      </c>
      <c r="M7" s="51">
        <f t="shared" ca="1" si="3"/>
        <v>0.6428571428571429</v>
      </c>
      <c r="N7" s="54">
        <f ca="1">IFERROR(__xludf.DUMMYFUNCTION("""COMPUTED_VALUE"""),65)</f>
        <v>65</v>
      </c>
      <c r="O7" s="54">
        <f ca="1">IFERROR(__xludf.DUMMYFUNCTION("""COMPUTED_VALUE"""),2)</f>
        <v>2</v>
      </c>
      <c r="P7" s="51">
        <f t="shared" ca="1" si="4"/>
        <v>3.0769230769230771E-2</v>
      </c>
      <c r="Q7" s="54">
        <f ca="1">IFERROR(__xludf.DUMMYFUNCTION("""COMPUTED_VALUE"""),0)</f>
        <v>0</v>
      </c>
      <c r="R7" s="51">
        <f t="shared" ca="1" si="5"/>
        <v>0</v>
      </c>
      <c r="S7" s="53"/>
      <c r="T7" s="53"/>
      <c r="U7" s="51" t="str">
        <f t="shared" si="6"/>
        <v/>
      </c>
      <c r="V7" s="53"/>
      <c r="W7" s="51" t="str">
        <f t="shared" si="7"/>
        <v/>
      </c>
      <c r="X7" s="53"/>
      <c r="Y7" s="51" t="str">
        <f t="shared" si="8"/>
        <v/>
      </c>
      <c r="Z7" s="2"/>
      <c r="AA7" s="2"/>
      <c r="AB7" s="2"/>
      <c r="AC7" s="2"/>
      <c r="AD7" s="2"/>
      <c r="AE7" s="2"/>
    </row>
    <row r="8" spans="1:31" ht="12.75" x14ac:dyDescent="0.2">
      <c r="A8" s="53">
        <f ca="1">IFERROR(__xludf.DUMMYFUNCTION("""COMPUTED_VALUE"""),2)</f>
        <v>2</v>
      </c>
      <c r="B8" s="53" t="str">
        <f ca="1">IFERROR(__xludf.DUMMYFUNCTION("""COMPUTED_VALUE"""),"MNSC 2")</f>
        <v>MNSC 2</v>
      </c>
      <c r="C8" s="53" t="str">
        <f ca="1">IFERROR(__xludf.DUMMYFUNCTION("""COMPUTED_VALUE"""),"MN")</f>
        <v>MN</v>
      </c>
      <c r="D8" s="53" t="str">
        <f ca="1">IFERROR(__xludf.DUMMYFUNCTION("""COMPUTED_VALUE"""),"PHÚ NHUẬN")</f>
        <v>PHÚ NHUẬN</v>
      </c>
      <c r="E8" s="54">
        <f ca="1">IFERROR(__xludf.DUMMYFUNCTION("""COMPUTED_VALUE"""),19)</f>
        <v>19</v>
      </c>
      <c r="F8" s="54">
        <f ca="1">IFERROR(__xludf.DUMMYFUNCTION("""COMPUTED_VALUE"""),19)</f>
        <v>19</v>
      </c>
      <c r="G8" s="51">
        <f t="shared" ca="1" si="0"/>
        <v>1</v>
      </c>
      <c r="H8" s="53">
        <f ca="1">IFERROR(__xludf.DUMMYFUNCTION("""COMPUTED_VALUE"""),19)</f>
        <v>19</v>
      </c>
      <c r="I8" s="51">
        <f t="shared" ca="1" si="1"/>
        <v>1</v>
      </c>
      <c r="J8" s="54">
        <f ca="1">IFERROR(__xludf.DUMMYFUNCTION("""COMPUTED_VALUE"""),19)</f>
        <v>19</v>
      </c>
      <c r="K8" s="51">
        <f t="shared" ca="1" si="2"/>
        <v>1</v>
      </c>
      <c r="L8" s="54">
        <f ca="1">IFERROR(__xludf.DUMMYFUNCTION("""COMPUTED_VALUE"""),17)</f>
        <v>17</v>
      </c>
      <c r="M8" s="51">
        <f t="shared" ca="1" si="3"/>
        <v>0.89473684210526316</v>
      </c>
      <c r="N8" s="54">
        <f ca="1">IFERROR(__xludf.DUMMYFUNCTION("""COMPUTED_VALUE"""),12)</f>
        <v>12</v>
      </c>
      <c r="O8" s="54">
        <f ca="1">IFERROR(__xludf.DUMMYFUNCTION("""COMPUTED_VALUE"""),2)</f>
        <v>2</v>
      </c>
      <c r="P8" s="51">
        <f t="shared" ca="1" si="4"/>
        <v>0.16666666666666666</v>
      </c>
      <c r="Q8" s="54">
        <f ca="1">IFERROR(__xludf.DUMMYFUNCTION("""COMPUTED_VALUE"""),0)</f>
        <v>0</v>
      </c>
      <c r="R8" s="51">
        <f t="shared" ca="1" si="5"/>
        <v>0</v>
      </c>
      <c r="S8" s="53"/>
      <c r="T8" s="53"/>
      <c r="U8" s="51" t="str">
        <f t="shared" si="6"/>
        <v/>
      </c>
      <c r="V8" s="53"/>
      <c r="W8" s="51" t="str">
        <f t="shared" si="7"/>
        <v/>
      </c>
      <c r="X8" s="53"/>
      <c r="Y8" s="51" t="str">
        <f t="shared" si="8"/>
        <v/>
      </c>
      <c r="Z8" s="2"/>
      <c r="AA8" s="2"/>
      <c r="AB8" s="2"/>
      <c r="AC8" s="2"/>
      <c r="AD8" s="2"/>
      <c r="AE8" s="2"/>
    </row>
    <row r="9" spans="1:31" ht="12.75" x14ac:dyDescent="0.2">
      <c r="A9" s="53">
        <f ca="1">IFERROR(__xludf.DUMMYFUNCTION("""COMPUTED_VALUE"""),3)</f>
        <v>3</v>
      </c>
      <c r="B9" s="53" t="str">
        <f ca="1">IFERROR(__xludf.DUMMYFUNCTION("""COMPUTED_VALUE"""),"MNSC 3")</f>
        <v>MNSC 3</v>
      </c>
      <c r="C9" s="53" t="str">
        <f ca="1">IFERROR(__xludf.DUMMYFUNCTION("""COMPUTED_VALUE"""),"MN")</f>
        <v>MN</v>
      </c>
      <c r="D9" s="53" t="str">
        <f ca="1">IFERROR(__xludf.DUMMYFUNCTION("""COMPUTED_VALUE"""),"PHÚ NHUẬN")</f>
        <v>PHÚ NHUẬN</v>
      </c>
      <c r="E9" s="54">
        <f ca="1">IFERROR(__xludf.DUMMYFUNCTION("""COMPUTED_VALUE"""),23)</f>
        <v>23</v>
      </c>
      <c r="F9" s="54">
        <f ca="1">IFERROR(__xludf.DUMMYFUNCTION("""COMPUTED_VALUE"""),22)</f>
        <v>22</v>
      </c>
      <c r="G9" s="51">
        <f t="shared" ca="1" si="0"/>
        <v>0.95652173913043481</v>
      </c>
      <c r="H9" s="54">
        <f ca="1">IFERROR(__xludf.DUMMYFUNCTION("""COMPUTED_VALUE"""),22)</f>
        <v>22</v>
      </c>
      <c r="I9" s="51">
        <f t="shared" ca="1" si="1"/>
        <v>0.95652173913043481</v>
      </c>
      <c r="J9" s="54">
        <f ca="1">IFERROR(__xludf.DUMMYFUNCTION("""COMPUTED_VALUE"""),22)</f>
        <v>22</v>
      </c>
      <c r="K9" s="51">
        <f t="shared" ca="1" si="2"/>
        <v>0.95652173913043481</v>
      </c>
      <c r="L9" s="54">
        <f ca="1">IFERROR(__xludf.DUMMYFUNCTION("""COMPUTED_VALUE"""),18)</f>
        <v>18</v>
      </c>
      <c r="M9" s="51">
        <f t="shared" ca="1" si="3"/>
        <v>0.78260869565217395</v>
      </c>
      <c r="N9" s="54">
        <f ca="1">IFERROR(__xludf.DUMMYFUNCTION("""COMPUTED_VALUE"""),54)</f>
        <v>54</v>
      </c>
      <c r="O9" s="54">
        <f ca="1">IFERROR(__xludf.DUMMYFUNCTION("""COMPUTED_VALUE"""),25)</f>
        <v>25</v>
      </c>
      <c r="P9" s="51">
        <f t="shared" ca="1" si="4"/>
        <v>0.46296296296296297</v>
      </c>
      <c r="Q9" s="54">
        <f ca="1">IFERROR(__xludf.DUMMYFUNCTION("""COMPUTED_VALUE"""),12)</f>
        <v>12</v>
      </c>
      <c r="R9" s="51">
        <f t="shared" ca="1" si="5"/>
        <v>0.22222222222222221</v>
      </c>
      <c r="S9" s="53"/>
      <c r="T9" s="53"/>
      <c r="U9" s="51" t="str">
        <f t="shared" si="6"/>
        <v/>
      </c>
      <c r="V9" s="53"/>
      <c r="W9" s="51" t="str">
        <f t="shared" si="7"/>
        <v/>
      </c>
      <c r="X9" s="53"/>
      <c r="Y9" s="51" t="str">
        <f t="shared" si="8"/>
        <v/>
      </c>
      <c r="Z9" s="2"/>
      <c r="AA9" s="2"/>
      <c r="AB9" s="2"/>
      <c r="AC9" s="2"/>
      <c r="AD9" s="2"/>
      <c r="AE9" s="2"/>
    </row>
    <row r="10" spans="1:31" ht="12.75" x14ac:dyDescent="0.2">
      <c r="A10" s="53">
        <f ca="1">IFERROR(__xludf.DUMMYFUNCTION("""COMPUTED_VALUE"""),4)</f>
        <v>4</v>
      </c>
      <c r="B10" s="53" t="str">
        <f ca="1">IFERROR(__xludf.DUMMYFUNCTION("""COMPUTED_VALUE"""),"MNSC 4")</f>
        <v>MNSC 4</v>
      </c>
      <c r="C10" s="53" t="str">
        <f ca="1">IFERROR(__xludf.DUMMYFUNCTION("""COMPUTED_VALUE"""),"MN")</f>
        <v>MN</v>
      </c>
      <c r="D10" s="53" t="str">
        <f ca="1">IFERROR(__xludf.DUMMYFUNCTION("""COMPUTED_VALUE"""),"PHÚ NHUẬN")</f>
        <v>PHÚ NHUẬN</v>
      </c>
      <c r="E10" s="54">
        <f ca="1">IFERROR(__xludf.DUMMYFUNCTION("""COMPUTED_VALUE"""),34)</f>
        <v>34</v>
      </c>
      <c r="F10" s="54">
        <f ca="1">IFERROR(__xludf.DUMMYFUNCTION("""COMPUTED_VALUE"""),34)</f>
        <v>34</v>
      </c>
      <c r="G10" s="51">
        <f t="shared" ca="1" si="0"/>
        <v>1</v>
      </c>
      <c r="H10" s="54">
        <f ca="1">IFERROR(__xludf.DUMMYFUNCTION("""COMPUTED_VALUE"""),34)</f>
        <v>34</v>
      </c>
      <c r="I10" s="51">
        <f t="shared" ca="1" si="1"/>
        <v>1</v>
      </c>
      <c r="J10" s="54">
        <f ca="1">IFERROR(__xludf.DUMMYFUNCTION("""COMPUTED_VALUE"""),34)</f>
        <v>34</v>
      </c>
      <c r="K10" s="51">
        <f t="shared" ca="1" si="2"/>
        <v>1</v>
      </c>
      <c r="L10" s="54">
        <f ca="1">IFERROR(__xludf.DUMMYFUNCTION("""COMPUTED_VALUE"""),25)</f>
        <v>25</v>
      </c>
      <c r="M10" s="51">
        <f t="shared" ca="1" si="3"/>
        <v>0.73529411764705888</v>
      </c>
      <c r="N10" s="54">
        <f ca="1">IFERROR(__xludf.DUMMYFUNCTION("""COMPUTED_VALUE"""),76)</f>
        <v>76</v>
      </c>
      <c r="O10" s="54">
        <f ca="1">IFERROR(__xludf.DUMMYFUNCTION("""COMPUTED_VALUE"""),2)</f>
        <v>2</v>
      </c>
      <c r="P10" s="51">
        <f t="shared" ca="1" si="4"/>
        <v>2.6315789473684209E-2</v>
      </c>
      <c r="Q10" s="54">
        <f ca="1">IFERROR(__xludf.DUMMYFUNCTION("""COMPUTED_VALUE"""),0)</f>
        <v>0</v>
      </c>
      <c r="R10" s="51">
        <f t="shared" ca="1" si="5"/>
        <v>0</v>
      </c>
      <c r="S10" s="53"/>
      <c r="T10" s="53"/>
      <c r="U10" s="51" t="str">
        <f t="shared" si="6"/>
        <v/>
      </c>
      <c r="V10" s="53"/>
      <c r="W10" s="51" t="str">
        <f t="shared" si="7"/>
        <v/>
      </c>
      <c r="X10" s="53"/>
      <c r="Y10" s="51" t="str">
        <f t="shared" si="8"/>
        <v/>
      </c>
      <c r="Z10" s="2"/>
      <c r="AA10" s="2"/>
      <c r="AB10" s="2"/>
      <c r="AC10" s="2"/>
      <c r="AD10" s="2"/>
      <c r="AE10" s="2"/>
    </row>
    <row r="11" spans="1:31" ht="12.75" x14ac:dyDescent="0.2">
      <c r="A11" s="53">
        <f ca="1">IFERROR(__xludf.DUMMYFUNCTION("""COMPUTED_VALUE"""),5)</f>
        <v>5</v>
      </c>
      <c r="B11" s="53" t="str">
        <f ca="1">IFERROR(__xludf.DUMMYFUNCTION("""COMPUTED_VALUE"""),"MNSC 5")</f>
        <v>MNSC 5</v>
      </c>
      <c r="C11" s="53" t="str">
        <f ca="1">IFERROR(__xludf.DUMMYFUNCTION("""COMPUTED_VALUE"""),"MN")</f>
        <v>MN</v>
      </c>
      <c r="D11" s="53" t="str">
        <f ca="1">IFERROR(__xludf.DUMMYFUNCTION("""COMPUTED_VALUE"""),"PHÚ NHUẬN")</f>
        <v>PHÚ NHUẬN</v>
      </c>
      <c r="E11" s="54">
        <f ca="1">IFERROR(__xludf.DUMMYFUNCTION("""COMPUTED_VALUE"""),30)</f>
        <v>30</v>
      </c>
      <c r="F11" s="54">
        <f ca="1">IFERROR(__xludf.DUMMYFUNCTION("""COMPUTED_VALUE"""),30)</f>
        <v>30</v>
      </c>
      <c r="G11" s="51">
        <f t="shared" ca="1" si="0"/>
        <v>1</v>
      </c>
      <c r="H11" s="54">
        <f ca="1">IFERROR(__xludf.DUMMYFUNCTION("""COMPUTED_VALUE"""),30)</f>
        <v>30</v>
      </c>
      <c r="I11" s="51">
        <f t="shared" ca="1" si="1"/>
        <v>1</v>
      </c>
      <c r="J11" s="54">
        <f ca="1">IFERROR(__xludf.DUMMYFUNCTION("""COMPUTED_VALUE"""),30)</f>
        <v>30</v>
      </c>
      <c r="K11" s="51">
        <f t="shared" ca="1" si="2"/>
        <v>1</v>
      </c>
      <c r="L11" s="54">
        <f ca="1">IFERROR(__xludf.DUMMYFUNCTION("""COMPUTED_VALUE"""),28)</f>
        <v>28</v>
      </c>
      <c r="M11" s="51">
        <f t="shared" ca="1" si="3"/>
        <v>0.93333333333333335</v>
      </c>
      <c r="N11" s="54">
        <f ca="1">IFERROR(__xludf.DUMMYFUNCTION("""COMPUTED_VALUE"""),75)</f>
        <v>75</v>
      </c>
      <c r="O11" s="54">
        <f ca="1">IFERROR(__xludf.DUMMYFUNCTION("""COMPUTED_VALUE"""),3)</f>
        <v>3</v>
      </c>
      <c r="P11" s="51">
        <f t="shared" ca="1" si="4"/>
        <v>0.04</v>
      </c>
      <c r="Q11" s="54">
        <f ca="1">IFERROR(__xludf.DUMMYFUNCTION("""COMPUTED_VALUE"""),3)</f>
        <v>3</v>
      </c>
      <c r="R11" s="51">
        <f t="shared" ca="1" si="5"/>
        <v>0.04</v>
      </c>
      <c r="S11" s="53"/>
      <c r="T11" s="53"/>
      <c r="U11" s="51" t="str">
        <f t="shared" si="6"/>
        <v/>
      </c>
      <c r="V11" s="53"/>
      <c r="W11" s="51" t="str">
        <f t="shared" si="7"/>
        <v/>
      </c>
      <c r="X11" s="53"/>
      <c r="Y11" s="51" t="str">
        <f t="shared" si="8"/>
        <v/>
      </c>
      <c r="Z11" s="2"/>
      <c r="AA11" s="2"/>
      <c r="AB11" s="2"/>
      <c r="AC11" s="2"/>
      <c r="AD11" s="2"/>
      <c r="AE11" s="2"/>
    </row>
    <row r="12" spans="1:31" ht="12.75" x14ac:dyDescent="0.2">
      <c r="A12" s="53">
        <f ca="1">IFERROR(__xludf.DUMMYFUNCTION("""COMPUTED_VALUE"""),6)</f>
        <v>6</v>
      </c>
      <c r="B12" s="53" t="str">
        <f ca="1">IFERROR(__xludf.DUMMYFUNCTION("""COMPUTED_VALUE"""),"MNSC 7")</f>
        <v>MNSC 7</v>
      </c>
      <c r="C12" s="53" t="str">
        <f ca="1">IFERROR(__xludf.DUMMYFUNCTION("""COMPUTED_VALUE"""),"MN")</f>
        <v>MN</v>
      </c>
      <c r="D12" s="53" t="str">
        <f ca="1">IFERROR(__xludf.DUMMYFUNCTION("""COMPUTED_VALUE"""),"PHÚ NHUẬN")</f>
        <v>PHÚ NHUẬN</v>
      </c>
      <c r="E12" s="54">
        <f ca="1">IFERROR(__xludf.DUMMYFUNCTION("""COMPUTED_VALUE"""),48)</f>
        <v>48</v>
      </c>
      <c r="F12" s="54">
        <f ca="1">IFERROR(__xludf.DUMMYFUNCTION("""COMPUTED_VALUE"""),48)</f>
        <v>48</v>
      </c>
      <c r="G12" s="51">
        <f t="shared" ca="1" si="0"/>
        <v>1</v>
      </c>
      <c r="H12" s="54">
        <f ca="1">IFERROR(__xludf.DUMMYFUNCTION("""COMPUTED_VALUE"""),48)</f>
        <v>48</v>
      </c>
      <c r="I12" s="51">
        <f t="shared" ca="1" si="1"/>
        <v>1</v>
      </c>
      <c r="J12" s="54">
        <f ca="1">IFERROR(__xludf.DUMMYFUNCTION("""COMPUTED_VALUE"""),48)</f>
        <v>48</v>
      </c>
      <c r="K12" s="51">
        <f t="shared" ca="1" si="2"/>
        <v>1</v>
      </c>
      <c r="L12" s="54">
        <f ca="1">IFERROR(__xludf.DUMMYFUNCTION("""COMPUTED_VALUE"""),31)</f>
        <v>31</v>
      </c>
      <c r="M12" s="51">
        <f t="shared" ca="1" si="3"/>
        <v>0.64583333333333337</v>
      </c>
      <c r="N12" s="54">
        <f ca="1">IFERROR(__xludf.DUMMYFUNCTION("""COMPUTED_VALUE"""),107)</f>
        <v>107</v>
      </c>
      <c r="O12" s="54">
        <f ca="1">IFERROR(__xludf.DUMMYFUNCTION("""COMPUTED_VALUE"""),36)</f>
        <v>36</v>
      </c>
      <c r="P12" s="51">
        <f t="shared" ca="1" si="4"/>
        <v>0.3364485981308411</v>
      </c>
      <c r="Q12" s="54">
        <f ca="1">IFERROR(__xludf.DUMMYFUNCTION("""COMPUTED_VALUE"""),15)</f>
        <v>15</v>
      </c>
      <c r="R12" s="51">
        <f t="shared" ca="1" si="5"/>
        <v>0.14018691588785046</v>
      </c>
      <c r="S12" s="53"/>
      <c r="T12" s="53"/>
      <c r="U12" s="51" t="str">
        <f t="shared" si="6"/>
        <v/>
      </c>
      <c r="V12" s="53"/>
      <c r="W12" s="51" t="str">
        <f t="shared" si="7"/>
        <v/>
      </c>
      <c r="X12" s="53"/>
      <c r="Y12" s="51" t="str">
        <f t="shared" si="8"/>
        <v/>
      </c>
      <c r="Z12" s="2"/>
      <c r="AA12" s="2"/>
      <c r="AB12" s="2"/>
      <c r="AC12" s="2"/>
      <c r="AD12" s="2"/>
      <c r="AE12" s="2"/>
    </row>
    <row r="13" spans="1:31" ht="12.75" x14ac:dyDescent="0.2">
      <c r="A13" s="53">
        <f ca="1">IFERROR(__xludf.DUMMYFUNCTION("""COMPUTED_VALUE"""),7)</f>
        <v>7</v>
      </c>
      <c r="B13" s="53" t="str">
        <f ca="1">IFERROR(__xludf.DUMMYFUNCTION("""COMPUTED_VALUE"""),"MNSC 8")</f>
        <v>MNSC 8</v>
      </c>
      <c r="C13" s="53" t="str">
        <f ca="1">IFERROR(__xludf.DUMMYFUNCTION("""COMPUTED_VALUE"""),"MN")</f>
        <v>MN</v>
      </c>
      <c r="D13" s="53" t="str">
        <f ca="1">IFERROR(__xludf.DUMMYFUNCTION("""COMPUTED_VALUE"""),"PHÚ NHUẬN")</f>
        <v>PHÚ NHUẬN</v>
      </c>
      <c r="E13" s="54">
        <f ca="1">IFERROR(__xludf.DUMMYFUNCTION("""COMPUTED_VALUE"""),30)</f>
        <v>30</v>
      </c>
      <c r="F13" s="54">
        <f ca="1">IFERROR(__xludf.DUMMYFUNCTION("""COMPUTED_VALUE"""),30)</f>
        <v>30</v>
      </c>
      <c r="G13" s="51">
        <f t="shared" ca="1" si="0"/>
        <v>1</v>
      </c>
      <c r="H13" s="54">
        <f ca="1">IFERROR(__xludf.DUMMYFUNCTION("""COMPUTED_VALUE"""),30)</f>
        <v>30</v>
      </c>
      <c r="I13" s="51">
        <f t="shared" ca="1" si="1"/>
        <v>1</v>
      </c>
      <c r="J13" s="54">
        <f ca="1">IFERROR(__xludf.DUMMYFUNCTION("""COMPUTED_VALUE"""),30)</f>
        <v>30</v>
      </c>
      <c r="K13" s="51">
        <f t="shared" ca="1" si="2"/>
        <v>1</v>
      </c>
      <c r="L13" s="54">
        <f ca="1">IFERROR(__xludf.DUMMYFUNCTION("""COMPUTED_VALUE"""),20)</f>
        <v>20</v>
      </c>
      <c r="M13" s="51">
        <f t="shared" ca="1" si="3"/>
        <v>0.66666666666666663</v>
      </c>
      <c r="N13" s="54">
        <f ca="1">IFERROR(__xludf.DUMMYFUNCTION("""COMPUTED_VALUE"""),47)</f>
        <v>47</v>
      </c>
      <c r="O13" s="54">
        <f ca="1">IFERROR(__xludf.DUMMYFUNCTION("""COMPUTED_VALUE"""),9)</f>
        <v>9</v>
      </c>
      <c r="P13" s="51">
        <f t="shared" ca="1" si="4"/>
        <v>0.19148936170212766</v>
      </c>
      <c r="Q13" s="54">
        <f ca="1">IFERROR(__xludf.DUMMYFUNCTION("""COMPUTED_VALUE"""),2)</f>
        <v>2</v>
      </c>
      <c r="R13" s="51">
        <f t="shared" ca="1" si="5"/>
        <v>4.2553191489361701E-2</v>
      </c>
      <c r="S13" s="53"/>
      <c r="T13" s="53"/>
      <c r="U13" s="51" t="str">
        <f t="shared" si="6"/>
        <v/>
      </c>
      <c r="V13" s="53"/>
      <c r="W13" s="51" t="str">
        <f t="shared" si="7"/>
        <v/>
      </c>
      <c r="X13" s="53"/>
      <c r="Y13" s="51" t="str">
        <f t="shared" si="8"/>
        <v/>
      </c>
      <c r="Z13" s="2"/>
      <c r="AA13" s="2"/>
      <c r="AB13" s="2"/>
      <c r="AC13" s="2"/>
      <c r="AD13" s="2"/>
      <c r="AE13" s="2"/>
    </row>
    <row r="14" spans="1:31" ht="12.75" x14ac:dyDescent="0.2">
      <c r="A14" s="53">
        <f ca="1">IFERROR(__xludf.DUMMYFUNCTION("""COMPUTED_VALUE"""),8)</f>
        <v>8</v>
      </c>
      <c r="B14" s="53" t="str">
        <f ca="1">IFERROR(__xludf.DUMMYFUNCTION("""COMPUTED_VALUE"""),"MNSC 9")</f>
        <v>MNSC 9</v>
      </c>
      <c r="C14" s="53" t="str">
        <f ca="1">IFERROR(__xludf.DUMMYFUNCTION("""COMPUTED_VALUE"""),"MN")</f>
        <v>MN</v>
      </c>
      <c r="D14" s="53" t="str">
        <f ca="1">IFERROR(__xludf.DUMMYFUNCTION("""COMPUTED_VALUE"""),"PHÚ NHUẬN")</f>
        <v>PHÚ NHUẬN</v>
      </c>
      <c r="E14" s="54">
        <f ca="1">IFERROR(__xludf.DUMMYFUNCTION("""COMPUTED_VALUE"""),32)</f>
        <v>32</v>
      </c>
      <c r="F14" s="54">
        <f ca="1">IFERROR(__xludf.DUMMYFUNCTION("""COMPUTED_VALUE"""),32)</f>
        <v>32</v>
      </c>
      <c r="G14" s="51">
        <f t="shared" ca="1" si="0"/>
        <v>1</v>
      </c>
      <c r="H14" s="54">
        <f ca="1">IFERROR(__xludf.DUMMYFUNCTION("""COMPUTED_VALUE"""),32)</f>
        <v>32</v>
      </c>
      <c r="I14" s="51">
        <f t="shared" ca="1" si="1"/>
        <v>1</v>
      </c>
      <c r="J14" s="54">
        <f ca="1">IFERROR(__xludf.DUMMYFUNCTION("""COMPUTED_VALUE"""),32)</f>
        <v>32</v>
      </c>
      <c r="K14" s="51">
        <f t="shared" ca="1" si="2"/>
        <v>1</v>
      </c>
      <c r="L14" s="54">
        <f ca="1">IFERROR(__xludf.DUMMYFUNCTION("""COMPUTED_VALUE"""),24)</f>
        <v>24</v>
      </c>
      <c r="M14" s="51">
        <f t="shared" ca="1" si="3"/>
        <v>0.75</v>
      </c>
      <c r="N14" s="54">
        <f ca="1">IFERROR(__xludf.DUMMYFUNCTION("""COMPUTED_VALUE"""),58)</f>
        <v>58</v>
      </c>
      <c r="O14" s="54">
        <f ca="1">IFERROR(__xludf.DUMMYFUNCTION("""COMPUTED_VALUE"""),3)</f>
        <v>3</v>
      </c>
      <c r="P14" s="51">
        <f t="shared" ca="1" si="4"/>
        <v>5.1724137931034482E-2</v>
      </c>
      <c r="Q14" s="54">
        <f ca="1">IFERROR(__xludf.DUMMYFUNCTION("""COMPUTED_VALUE"""),0)</f>
        <v>0</v>
      </c>
      <c r="R14" s="51">
        <f t="shared" ca="1" si="5"/>
        <v>0</v>
      </c>
      <c r="S14" s="53"/>
      <c r="T14" s="53"/>
      <c r="U14" s="51" t="str">
        <f t="shared" si="6"/>
        <v/>
      </c>
      <c r="V14" s="53"/>
      <c r="W14" s="51" t="str">
        <f t="shared" si="7"/>
        <v/>
      </c>
      <c r="X14" s="53"/>
      <c r="Y14" s="51" t="str">
        <f t="shared" si="8"/>
        <v/>
      </c>
      <c r="Z14" s="2"/>
      <c r="AA14" s="2"/>
      <c r="AB14" s="2"/>
      <c r="AC14" s="2"/>
      <c r="AD14" s="2"/>
      <c r="AE14" s="2"/>
    </row>
    <row r="15" spans="1:31" ht="12.75" x14ac:dyDescent="0.2">
      <c r="A15" s="53">
        <f ca="1">IFERROR(__xludf.DUMMYFUNCTION("""COMPUTED_VALUE"""),9)</f>
        <v>9</v>
      </c>
      <c r="B15" s="53" t="str">
        <f ca="1">IFERROR(__xludf.DUMMYFUNCTION("""COMPUTED_VALUE"""),"MNSC 10")</f>
        <v>MNSC 10</v>
      </c>
      <c r="C15" s="53" t="str">
        <f ca="1">IFERROR(__xludf.DUMMYFUNCTION("""COMPUTED_VALUE"""),"MN")</f>
        <v>MN</v>
      </c>
      <c r="D15" s="53" t="str">
        <f ca="1">IFERROR(__xludf.DUMMYFUNCTION("""COMPUTED_VALUE"""),"PHÚ NHUẬN")</f>
        <v>PHÚ NHUẬN</v>
      </c>
      <c r="E15" s="54">
        <f ca="1">IFERROR(__xludf.DUMMYFUNCTION("""COMPUTED_VALUE"""),46)</f>
        <v>46</v>
      </c>
      <c r="F15" s="54">
        <f ca="1">IFERROR(__xludf.DUMMYFUNCTION("""COMPUTED_VALUE"""),47)</f>
        <v>47</v>
      </c>
      <c r="G15" s="51">
        <f t="shared" ca="1" si="0"/>
        <v>1.0217391304347827</v>
      </c>
      <c r="H15" s="54">
        <f ca="1">IFERROR(__xludf.DUMMYFUNCTION("""COMPUTED_VALUE"""),47)</f>
        <v>47</v>
      </c>
      <c r="I15" s="51">
        <f t="shared" ca="1" si="1"/>
        <v>1.0217391304347827</v>
      </c>
      <c r="J15" s="54">
        <f ca="1">IFERROR(__xludf.DUMMYFUNCTION("""COMPUTED_VALUE"""),45)</f>
        <v>45</v>
      </c>
      <c r="K15" s="51">
        <f t="shared" ca="1" si="2"/>
        <v>0.97826086956521741</v>
      </c>
      <c r="L15" s="54">
        <f ca="1">IFERROR(__xludf.DUMMYFUNCTION("""COMPUTED_VALUE"""),20)</f>
        <v>20</v>
      </c>
      <c r="M15" s="51">
        <f t="shared" ca="1" si="3"/>
        <v>0.43478260869565216</v>
      </c>
      <c r="N15" s="54">
        <f ca="1">IFERROR(__xludf.DUMMYFUNCTION("""COMPUTED_VALUE"""),78)</f>
        <v>78</v>
      </c>
      <c r="O15" s="54">
        <f ca="1">IFERROR(__xludf.DUMMYFUNCTION("""COMPUTED_VALUE"""),10)</f>
        <v>10</v>
      </c>
      <c r="P15" s="51">
        <f t="shared" ca="1" si="4"/>
        <v>0.12820512820512819</v>
      </c>
      <c r="Q15" s="54">
        <f ca="1">IFERROR(__xludf.DUMMYFUNCTION("""COMPUTED_VALUE"""),4)</f>
        <v>4</v>
      </c>
      <c r="R15" s="51">
        <f t="shared" ca="1" si="5"/>
        <v>5.128205128205128E-2</v>
      </c>
      <c r="S15" s="53"/>
      <c r="T15" s="53"/>
      <c r="U15" s="51" t="str">
        <f t="shared" si="6"/>
        <v/>
      </c>
      <c r="V15" s="53"/>
      <c r="W15" s="51" t="str">
        <f t="shared" si="7"/>
        <v/>
      </c>
      <c r="X15" s="53"/>
      <c r="Y15" s="51" t="str">
        <f t="shared" si="8"/>
        <v/>
      </c>
      <c r="Z15" s="2"/>
      <c r="AA15" s="2"/>
      <c r="AB15" s="2"/>
      <c r="AC15" s="2"/>
      <c r="AD15" s="2"/>
      <c r="AE15" s="2"/>
    </row>
    <row r="16" spans="1:31" ht="12.75" x14ac:dyDescent="0.2">
      <c r="A16" s="53">
        <f ca="1">IFERROR(__xludf.DUMMYFUNCTION("""COMPUTED_VALUE"""),10)</f>
        <v>10</v>
      </c>
      <c r="B16" s="53" t="str">
        <f ca="1">IFERROR(__xludf.DUMMYFUNCTION("""COMPUTED_VALUE"""),"MNSC 11")</f>
        <v>MNSC 11</v>
      </c>
      <c r="C16" s="53" t="str">
        <f ca="1">IFERROR(__xludf.DUMMYFUNCTION("""COMPUTED_VALUE"""),"MN")</f>
        <v>MN</v>
      </c>
      <c r="D16" s="53" t="str">
        <f ca="1">IFERROR(__xludf.DUMMYFUNCTION("""COMPUTED_VALUE"""),"PHÚ NHUẬN")</f>
        <v>PHÚ NHUẬN</v>
      </c>
      <c r="E16" s="54">
        <f ca="1">IFERROR(__xludf.DUMMYFUNCTION("""COMPUTED_VALUE"""),32)</f>
        <v>32</v>
      </c>
      <c r="F16" s="54">
        <f ca="1">IFERROR(__xludf.DUMMYFUNCTION("""COMPUTED_VALUE"""),29)</f>
        <v>29</v>
      </c>
      <c r="G16" s="51">
        <f t="shared" ca="1" si="0"/>
        <v>0.90625</v>
      </c>
      <c r="H16" s="54">
        <f ca="1">IFERROR(__xludf.DUMMYFUNCTION("""COMPUTED_VALUE"""),29)</f>
        <v>29</v>
      </c>
      <c r="I16" s="51">
        <f t="shared" ca="1" si="1"/>
        <v>0.90625</v>
      </c>
      <c r="J16" s="54">
        <f ca="1">IFERROR(__xludf.DUMMYFUNCTION("""COMPUTED_VALUE"""),30)</f>
        <v>30</v>
      </c>
      <c r="K16" s="51">
        <f t="shared" ca="1" si="2"/>
        <v>0.9375</v>
      </c>
      <c r="L16" s="54">
        <f ca="1">IFERROR(__xludf.DUMMYFUNCTION("""COMPUTED_VALUE"""),7)</f>
        <v>7</v>
      </c>
      <c r="M16" s="51">
        <f t="shared" ca="1" si="3"/>
        <v>0.21875</v>
      </c>
      <c r="N16" s="54">
        <f ca="1">IFERROR(__xludf.DUMMYFUNCTION("""COMPUTED_VALUE"""),85)</f>
        <v>85</v>
      </c>
      <c r="O16" s="54">
        <f ca="1">IFERROR(__xludf.DUMMYFUNCTION("""COMPUTED_VALUE"""),17)</f>
        <v>17</v>
      </c>
      <c r="P16" s="51">
        <f t="shared" ca="1" si="4"/>
        <v>0.2</v>
      </c>
      <c r="Q16" s="54">
        <f ca="1">IFERROR(__xludf.DUMMYFUNCTION("""COMPUTED_VALUE"""),7)</f>
        <v>7</v>
      </c>
      <c r="R16" s="51">
        <f t="shared" ca="1" si="5"/>
        <v>8.2352941176470587E-2</v>
      </c>
      <c r="S16" s="53"/>
      <c r="T16" s="53"/>
      <c r="U16" s="51" t="str">
        <f t="shared" si="6"/>
        <v/>
      </c>
      <c r="V16" s="53"/>
      <c r="W16" s="51" t="str">
        <f t="shared" si="7"/>
        <v/>
      </c>
      <c r="X16" s="53"/>
      <c r="Y16" s="51" t="str">
        <f t="shared" si="8"/>
        <v/>
      </c>
      <c r="Z16" s="2"/>
      <c r="AA16" s="2"/>
      <c r="AB16" s="2"/>
      <c r="AC16" s="2"/>
      <c r="AD16" s="2"/>
      <c r="AE16" s="2"/>
    </row>
    <row r="17" spans="1:31" ht="12.75" x14ac:dyDescent="0.2">
      <c r="A17" s="53">
        <f ca="1">IFERROR(__xludf.DUMMYFUNCTION("""COMPUTED_VALUE"""),11)</f>
        <v>11</v>
      </c>
      <c r="B17" s="53" t="str">
        <f ca="1">IFERROR(__xludf.DUMMYFUNCTION("""COMPUTED_VALUE"""),"MNSC 12")</f>
        <v>MNSC 12</v>
      </c>
      <c r="C17" s="53" t="str">
        <f ca="1">IFERROR(__xludf.DUMMYFUNCTION("""COMPUTED_VALUE"""),"MN")</f>
        <v>MN</v>
      </c>
      <c r="D17" s="53" t="str">
        <f ca="1">IFERROR(__xludf.DUMMYFUNCTION("""COMPUTED_VALUE"""),"PHÚ NHUẬN")</f>
        <v>PHÚ NHUẬN</v>
      </c>
      <c r="E17" s="54">
        <f ca="1">IFERROR(__xludf.DUMMYFUNCTION("""COMPUTED_VALUE"""),18)</f>
        <v>18</v>
      </c>
      <c r="F17" s="54">
        <f ca="1">IFERROR(__xludf.DUMMYFUNCTION("""COMPUTED_VALUE"""),18)</f>
        <v>18</v>
      </c>
      <c r="G17" s="51">
        <f t="shared" ca="1" si="0"/>
        <v>1</v>
      </c>
      <c r="H17" s="54">
        <f ca="1">IFERROR(__xludf.DUMMYFUNCTION("""COMPUTED_VALUE"""),18)</f>
        <v>18</v>
      </c>
      <c r="I17" s="51">
        <f t="shared" ca="1" si="1"/>
        <v>1</v>
      </c>
      <c r="J17" s="54">
        <f ca="1">IFERROR(__xludf.DUMMYFUNCTION("""COMPUTED_VALUE"""),18)</f>
        <v>18</v>
      </c>
      <c r="K17" s="51">
        <f t="shared" ca="1" si="2"/>
        <v>1</v>
      </c>
      <c r="L17" s="54">
        <f ca="1">IFERROR(__xludf.DUMMYFUNCTION("""COMPUTED_VALUE"""),16)</f>
        <v>16</v>
      </c>
      <c r="M17" s="51">
        <f t="shared" ca="1" si="3"/>
        <v>0.88888888888888884</v>
      </c>
      <c r="N17" s="54">
        <f ca="1">IFERROR(__xludf.DUMMYFUNCTION("""COMPUTED_VALUE"""),40)</f>
        <v>40</v>
      </c>
      <c r="O17" s="54">
        <f ca="1">IFERROR(__xludf.DUMMYFUNCTION("""COMPUTED_VALUE"""),4)</f>
        <v>4</v>
      </c>
      <c r="P17" s="51">
        <f t="shared" ca="1" si="4"/>
        <v>0.1</v>
      </c>
      <c r="Q17" s="54">
        <f ca="1">IFERROR(__xludf.DUMMYFUNCTION("""COMPUTED_VALUE"""),0)</f>
        <v>0</v>
      </c>
      <c r="R17" s="51">
        <f t="shared" ca="1" si="5"/>
        <v>0</v>
      </c>
      <c r="S17" s="53"/>
      <c r="T17" s="53"/>
      <c r="U17" s="51" t="str">
        <f t="shared" si="6"/>
        <v/>
      </c>
      <c r="V17" s="53"/>
      <c r="W17" s="51" t="str">
        <f t="shared" si="7"/>
        <v/>
      </c>
      <c r="X17" s="53"/>
      <c r="Y17" s="51" t="str">
        <f t="shared" si="8"/>
        <v/>
      </c>
      <c r="Z17" s="2"/>
      <c r="AA17" s="2"/>
      <c r="AB17" s="2"/>
      <c r="AC17" s="2"/>
      <c r="AD17" s="2"/>
      <c r="AE17" s="2"/>
    </row>
    <row r="18" spans="1:31" ht="12.75" x14ac:dyDescent="0.2">
      <c r="A18" s="53">
        <f ca="1">IFERROR(__xludf.DUMMYFUNCTION("""COMPUTED_VALUE"""),12)</f>
        <v>12</v>
      </c>
      <c r="B18" s="53" t="str">
        <f ca="1">IFERROR(__xludf.DUMMYFUNCTION("""COMPUTED_VALUE"""),"MNSC 14")</f>
        <v>MNSC 14</v>
      </c>
      <c r="C18" s="53" t="str">
        <f ca="1">IFERROR(__xludf.DUMMYFUNCTION("""COMPUTED_VALUE"""),"MN")</f>
        <v>MN</v>
      </c>
      <c r="D18" s="53" t="str">
        <f ca="1">IFERROR(__xludf.DUMMYFUNCTION("""COMPUTED_VALUE"""),"PHÚ NHUẬN")</f>
        <v>PHÚ NHUẬN</v>
      </c>
      <c r="E18" s="54">
        <f ca="1">IFERROR(__xludf.DUMMYFUNCTION("""COMPUTED_VALUE"""),35)</f>
        <v>35</v>
      </c>
      <c r="F18" s="54">
        <f ca="1">IFERROR(__xludf.DUMMYFUNCTION("""COMPUTED_VALUE"""),31)</f>
        <v>31</v>
      </c>
      <c r="G18" s="51">
        <f t="shared" ca="1" si="0"/>
        <v>0.88571428571428568</v>
      </c>
      <c r="H18" s="54">
        <f ca="1">IFERROR(__xludf.DUMMYFUNCTION("""COMPUTED_VALUE"""),31)</f>
        <v>31</v>
      </c>
      <c r="I18" s="51">
        <f t="shared" ca="1" si="1"/>
        <v>0.88571428571428568</v>
      </c>
      <c r="J18" s="54">
        <f ca="1">IFERROR(__xludf.DUMMYFUNCTION("""COMPUTED_VALUE"""),31)</f>
        <v>31</v>
      </c>
      <c r="K18" s="51">
        <f t="shared" ca="1" si="2"/>
        <v>0.88571428571428568</v>
      </c>
      <c r="L18" s="54">
        <f ca="1">IFERROR(__xludf.DUMMYFUNCTION("""COMPUTED_VALUE"""),19)</f>
        <v>19</v>
      </c>
      <c r="M18" s="51">
        <f t="shared" ca="1" si="3"/>
        <v>0.54285714285714282</v>
      </c>
      <c r="N18" s="54">
        <f ca="1">IFERROR(__xludf.DUMMYFUNCTION("""COMPUTED_VALUE"""),82)</f>
        <v>82</v>
      </c>
      <c r="O18" s="54">
        <f ca="1">IFERROR(__xludf.DUMMYFUNCTION("""COMPUTED_VALUE"""),3)</f>
        <v>3</v>
      </c>
      <c r="P18" s="51">
        <f t="shared" ca="1" si="4"/>
        <v>3.6585365853658534E-2</v>
      </c>
      <c r="Q18" s="54">
        <f ca="1">IFERROR(__xludf.DUMMYFUNCTION("""COMPUTED_VALUE"""),2)</f>
        <v>2</v>
      </c>
      <c r="R18" s="51">
        <f t="shared" ca="1" si="5"/>
        <v>2.4390243902439025E-2</v>
      </c>
      <c r="S18" s="53"/>
      <c r="T18" s="53"/>
      <c r="U18" s="51" t="str">
        <f t="shared" si="6"/>
        <v/>
      </c>
      <c r="V18" s="53"/>
      <c r="W18" s="51" t="str">
        <f t="shared" si="7"/>
        <v/>
      </c>
      <c r="X18" s="53"/>
      <c r="Y18" s="51" t="str">
        <f t="shared" si="8"/>
        <v/>
      </c>
      <c r="Z18" s="2"/>
      <c r="AA18" s="2"/>
      <c r="AB18" s="2"/>
      <c r="AC18" s="2"/>
      <c r="AD18" s="2"/>
      <c r="AE18" s="2"/>
    </row>
    <row r="19" spans="1:31" ht="12.75" x14ac:dyDescent="0.2">
      <c r="A19" s="53">
        <f ca="1">IFERROR(__xludf.DUMMYFUNCTION("""COMPUTED_VALUE"""),13)</f>
        <v>13</v>
      </c>
      <c r="B19" s="53" t="str">
        <f ca="1">IFERROR(__xludf.DUMMYFUNCTION("""COMPUTED_VALUE"""),"MNSC 15")</f>
        <v>MNSC 15</v>
      </c>
      <c r="C19" s="53" t="str">
        <f ca="1">IFERROR(__xludf.DUMMYFUNCTION("""COMPUTED_VALUE"""),"MN")</f>
        <v>MN</v>
      </c>
      <c r="D19" s="53" t="str">
        <f ca="1">IFERROR(__xludf.DUMMYFUNCTION("""COMPUTED_VALUE"""),"PHÚ NHUẬN")</f>
        <v>PHÚ NHUẬN</v>
      </c>
      <c r="E19" s="54">
        <f ca="1">IFERROR(__xludf.DUMMYFUNCTION("""COMPUTED_VALUE"""),34)</f>
        <v>34</v>
      </c>
      <c r="F19" s="54">
        <f ca="1">IFERROR(__xludf.DUMMYFUNCTION("""COMPUTED_VALUE"""),34)</f>
        <v>34</v>
      </c>
      <c r="G19" s="51">
        <f t="shared" ca="1" si="0"/>
        <v>1</v>
      </c>
      <c r="H19" s="54">
        <f ca="1">IFERROR(__xludf.DUMMYFUNCTION("""COMPUTED_VALUE"""),34)</f>
        <v>34</v>
      </c>
      <c r="I19" s="51">
        <f t="shared" ca="1" si="1"/>
        <v>1</v>
      </c>
      <c r="J19" s="54">
        <f ca="1">IFERROR(__xludf.DUMMYFUNCTION("""COMPUTED_VALUE"""),34)</f>
        <v>34</v>
      </c>
      <c r="K19" s="51">
        <f t="shared" ca="1" si="2"/>
        <v>1</v>
      </c>
      <c r="L19" s="54">
        <f ca="1">IFERROR(__xludf.DUMMYFUNCTION("""COMPUTED_VALUE"""),21)</f>
        <v>21</v>
      </c>
      <c r="M19" s="51">
        <f t="shared" ca="1" si="3"/>
        <v>0.61764705882352944</v>
      </c>
      <c r="N19" s="54">
        <f ca="1">IFERROR(__xludf.DUMMYFUNCTION("""COMPUTED_VALUE"""),49)</f>
        <v>49</v>
      </c>
      <c r="O19" s="54">
        <f ca="1">IFERROR(__xludf.DUMMYFUNCTION("""COMPUTED_VALUE"""),5)</f>
        <v>5</v>
      </c>
      <c r="P19" s="51">
        <f t="shared" ca="1" si="4"/>
        <v>0.10204081632653061</v>
      </c>
      <c r="Q19" s="54">
        <f ca="1">IFERROR(__xludf.DUMMYFUNCTION("""COMPUTED_VALUE"""),1)</f>
        <v>1</v>
      </c>
      <c r="R19" s="51">
        <f t="shared" ca="1" si="5"/>
        <v>2.0408163265306121E-2</v>
      </c>
      <c r="S19" s="53"/>
      <c r="T19" s="53"/>
      <c r="U19" s="51" t="str">
        <f t="shared" si="6"/>
        <v/>
      </c>
      <c r="V19" s="53"/>
      <c r="W19" s="51" t="str">
        <f t="shared" si="7"/>
        <v/>
      </c>
      <c r="X19" s="53"/>
      <c r="Y19" s="51" t="str">
        <f t="shared" si="8"/>
        <v/>
      </c>
      <c r="Z19" s="2"/>
      <c r="AA19" s="2"/>
      <c r="AB19" s="2"/>
      <c r="AC19" s="2"/>
      <c r="AD19" s="2"/>
      <c r="AE19" s="2"/>
    </row>
    <row r="20" spans="1:31" ht="12.75" x14ac:dyDescent="0.2">
      <c r="A20" s="53">
        <f ca="1">IFERROR(__xludf.DUMMYFUNCTION("""COMPUTED_VALUE"""),14)</f>
        <v>14</v>
      </c>
      <c r="B20" s="53" t="str">
        <f ca="1">IFERROR(__xludf.DUMMYFUNCTION("""COMPUTED_VALUE"""),"MNSC 17")</f>
        <v>MNSC 17</v>
      </c>
      <c r="C20" s="53" t="str">
        <f ca="1">IFERROR(__xludf.DUMMYFUNCTION("""COMPUTED_VALUE"""),"MN")</f>
        <v>MN</v>
      </c>
      <c r="D20" s="53" t="str">
        <f ca="1">IFERROR(__xludf.DUMMYFUNCTION("""COMPUTED_VALUE"""),"PHÚ NHUẬN")</f>
        <v>PHÚ NHUẬN</v>
      </c>
      <c r="E20" s="54">
        <f ca="1">IFERROR(__xludf.DUMMYFUNCTION("""COMPUTED_VALUE"""),18)</f>
        <v>18</v>
      </c>
      <c r="F20" s="54">
        <f ca="1">IFERROR(__xludf.DUMMYFUNCTION("""COMPUTED_VALUE"""),17)</f>
        <v>17</v>
      </c>
      <c r="G20" s="51">
        <f t="shared" ca="1" si="0"/>
        <v>0.94444444444444442</v>
      </c>
      <c r="H20" s="54">
        <f ca="1">IFERROR(__xludf.DUMMYFUNCTION("""COMPUTED_VALUE"""),17)</f>
        <v>17</v>
      </c>
      <c r="I20" s="51">
        <f t="shared" ca="1" si="1"/>
        <v>0.94444444444444442</v>
      </c>
      <c r="J20" s="54">
        <f ca="1">IFERROR(__xludf.DUMMYFUNCTION("""COMPUTED_VALUE"""),18)</f>
        <v>18</v>
      </c>
      <c r="K20" s="51">
        <f t="shared" ca="1" si="2"/>
        <v>1</v>
      </c>
      <c r="L20" s="54">
        <f ca="1">IFERROR(__xludf.DUMMYFUNCTION("""COMPUTED_VALUE"""),17)</f>
        <v>17</v>
      </c>
      <c r="M20" s="51">
        <f t="shared" ca="1" si="3"/>
        <v>0.94444444444444442</v>
      </c>
      <c r="N20" s="54">
        <f ca="1">IFERROR(__xludf.DUMMYFUNCTION("""COMPUTED_VALUE"""),29)</f>
        <v>29</v>
      </c>
      <c r="O20" s="54">
        <f ca="1">IFERROR(__xludf.DUMMYFUNCTION("""COMPUTED_VALUE"""),0)</f>
        <v>0</v>
      </c>
      <c r="P20" s="51">
        <f t="shared" ca="1" si="4"/>
        <v>0</v>
      </c>
      <c r="Q20" s="54">
        <f ca="1">IFERROR(__xludf.DUMMYFUNCTION("""COMPUTED_VALUE"""),0)</f>
        <v>0</v>
      </c>
      <c r="R20" s="51">
        <f t="shared" ca="1" si="5"/>
        <v>0</v>
      </c>
      <c r="S20" s="53"/>
      <c r="T20" s="53"/>
      <c r="U20" s="51" t="str">
        <f t="shared" si="6"/>
        <v/>
      </c>
      <c r="V20" s="53"/>
      <c r="W20" s="51" t="str">
        <f t="shared" si="7"/>
        <v/>
      </c>
      <c r="X20" s="53"/>
      <c r="Y20" s="51" t="str">
        <f t="shared" si="8"/>
        <v/>
      </c>
      <c r="Z20" s="2"/>
      <c r="AA20" s="2"/>
      <c r="AB20" s="2"/>
      <c r="AC20" s="2"/>
      <c r="AD20" s="2"/>
      <c r="AE20" s="2"/>
    </row>
    <row r="21" spans="1:31" ht="12.75" x14ac:dyDescent="0.2">
      <c r="A21" s="53">
        <f ca="1">IFERROR(__xludf.DUMMYFUNCTION("""COMPUTED_VALUE"""),15)</f>
        <v>15</v>
      </c>
      <c r="B21" s="53" t="str">
        <f ca="1">IFERROR(__xludf.DUMMYFUNCTION("""COMPUTED_VALUE"""),"MG HƯƠNG SEN")</f>
        <v>MG HƯƠNG SEN</v>
      </c>
      <c r="C21" s="53" t="str">
        <f ca="1">IFERROR(__xludf.DUMMYFUNCTION("""COMPUTED_VALUE"""),"MN")</f>
        <v>MN</v>
      </c>
      <c r="D21" s="53" t="str">
        <f ca="1">IFERROR(__xludf.DUMMYFUNCTION("""COMPUTED_VALUE"""),"PHÚ NHUẬN")</f>
        <v>PHÚ NHUẬN</v>
      </c>
      <c r="E21" s="54">
        <f ca="1">IFERROR(__xludf.DUMMYFUNCTION("""COMPUTED_VALUE"""),24)</f>
        <v>24</v>
      </c>
      <c r="F21" s="54">
        <f ca="1">IFERROR(__xludf.DUMMYFUNCTION("""COMPUTED_VALUE"""),26)</f>
        <v>26</v>
      </c>
      <c r="G21" s="51">
        <f t="shared" ca="1" si="0"/>
        <v>1.0833333333333333</v>
      </c>
      <c r="H21" s="54">
        <f ca="1">IFERROR(__xludf.DUMMYFUNCTION("""COMPUTED_VALUE"""),26)</f>
        <v>26</v>
      </c>
      <c r="I21" s="51">
        <f t="shared" ca="1" si="1"/>
        <v>1.0833333333333333</v>
      </c>
      <c r="J21" s="54">
        <f ca="1">IFERROR(__xludf.DUMMYFUNCTION("""COMPUTED_VALUE"""),24)</f>
        <v>24</v>
      </c>
      <c r="K21" s="51">
        <f t="shared" ca="1" si="2"/>
        <v>1</v>
      </c>
      <c r="L21" s="54">
        <f ca="1">IFERROR(__xludf.DUMMYFUNCTION("""COMPUTED_VALUE"""),21)</f>
        <v>21</v>
      </c>
      <c r="M21" s="51">
        <f t="shared" ca="1" si="3"/>
        <v>0.875</v>
      </c>
      <c r="N21" s="54">
        <f ca="1">IFERROR(__xludf.DUMMYFUNCTION("""COMPUTED_VALUE"""),43)</f>
        <v>43</v>
      </c>
      <c r="O21" s="54">
        <f ca="1">IFERROR(__xludf.DUMMYFUNCTION("""COMPUTED_VALUE"""),1)</f>
        <v>1</v>
      </c>
      <c r="P21" s="51">
        <f t="shared" ca="1" si="4"/>
        <v>2.3255813953488372E-2</v>
      </c>
      <c r="Q21" s="54">
        <f ca="1">IFERROR(__xludf.DUMMYFUNCTION("""COMPUTED_VALUE"""),0)</f>
        <v>0</v>
      </c>
      <c r="R21" s="51">
        <f t="shared" ca="1" si="5"/>
        <v>0</v>
      </c>
      <c r="S21" s="53"/>
      <c r="T21" s="53"/>
      <c r="U21" s="51" t="str">
        <f t="shared" si="6"/>
        <v/>
      </c>
      <c r="V21" s="53"/>
      <c r="W21" s="51" t="str">
        <f t="shared" si="7"/>
        <v/>
      </c>
      <c r="X21" s="53"/>
      <c r="Y21" s="51" t="str">
        <f t="shared" si="8"/>
        <v/>
      </c>
      <c r="Z21" s="2"/>
      <c r="AA21" s="2"/>
      <c r="AB21" s="2"/>
      <c r="AC21" s="2"/>
      <c r="AD21" s="2"/>
      <c r="AE21" s="2"/>
    </row>
    <row r="22" spans="1:31" ht="12.75" x14ac:dyDescent="0.2">
      <c r="A22" s="53">
        <f ca="1">IFERROR(__xludf.DUMMYFUNCTION("""COMPUTED_VALUE"""),16)</f>
        <v>16</v>
      </c>
      <c r="B22" s="53" t="str">
        <f ca="1">IFERROR(__xludf.DUMMYFUNCTION("""COMPUTED_VALUE"""),"Mầm non Tuổi Thơ Kỳ Diệu")</f>
        <v>Mầm non Tuổi Thơ Kỳ Diệu</v>
      </c>
      <c r="C22" s="53" t="str">
        <f ca="1">IFERROR(__xludf.DUMMYFUNCTION("""COMPUTED_VALUE"""),"MN")</f>
        <v>MN</v>
      </c>
      <c r="D22" s="53" t="str">
        <f ca="1">IFERROR(__xludf.DUMMYFUNCTION("""COMPUTED_VALUE"""),"PHÚ NHUẬN")</f>
        <v>PHÚ NHUẬN</v>
      </c>
      <c r="E22" s="54">
        <f ca="1">IFERROR(__xludf.DUMMYFUNCTION("""COMPUTED_VALUE"""),9)</f>
        <v>9</v>
      </c>
      <c r="F22" s="54">
        <f ca="1">IFERROR(__xludf.DUMMYFUNCTION("""COMPUTED_VALUE"""),9)</f>
        <v>9</v>
      </c>
      <c r="G22" s="51">
        <f t="shared" ca="1" si="0"/>
        <v>1</v>
      </c>
      <c r="H22" s="54">
        <f ca="1">IFERROR(__xludf.DUMMYFUNCTION("""COMPUTED_VALUE"""),9)</f>
        <v>9</v>
      </c>
      <c r="I22" s="51">
        <f t="shared" ca="1" si="1"/>
        <v>1</v>
      </c>
      <c r="J22" s="54">
        <f ca="1">IFERROR(__xludf.DUMMYFUNCTION("""COMPUTED_VALUE"""),9)</f>
        <v>9</v>
      </c>
      <c r="K22" s="51">
        <f t="shared" ca="1" si="2"/>
        <v>1</v>
      </c>
      <c r="L22" s="54">
        <f ca="1">IFERROR(__xludf.DUMMYFUNCTION("""COMPUTED_VALUE"""),9)</f>
        <v>9</v>
      </c>
      <c r="M22" s="51">
        <f t="shared" ca="1" si="3"/>
        <v>1</v>
      </c>
      <c r="N22" s="54">
        <f ca="1">IFERROR(__xludf.DUMMYFUNCTION("""COMPUTED_VALUE"""),4)</f>
        <v>4</v>
      </c>
      <c r="O22" s="54">
        <f ca="1">IFERROR(__xludf.DUMMYFUNCTION("""COMPUTED_VALUE"""),0)</f>
        <v>0</v>
      </c>
      <c r="P22" s="51">
        <f t="shared" ca="1" si="4"/>
        <v>0</v>
      </c>
      <c r="Q22" s="54">
        <f ca="1">IFERROR(__xludf.DUMMYFUNCTION("""COMPUTED_VALUE"""),0)</f>
        <v>0</v>
      </c>
      <c r="R22" s="51">
        <f t="shared" ca="1" si="5"/>
        <v>0</v>
      </c>
      <c r="S22" s="53"/>
      <c r="T22" s="53"/>
      <c r="U22" s="51" t="str">
        <f t="shared" si="6"/>
        <v/>
      </c>
      <c r="V22" s="53"/>
      <c r="W22" s="51" t="str">
        <f t="shared" si="7"/>
        <v/>
      </c>
      <c r="X22" s="53"/>
      <c r="Y22" s="51" t="str">
        <f t="shared" si="8"/>
        <v/>
      </c>
      <c r="Z22" s="2"/>
      <c r="AA22" s="2"/>
      <c r="AB22" s="2"/>
      <c r="AC22" s="2"/>
      <c r="AD22" s="2"/>
      <c r="AE22" s="2"/>
    </row>
    <row r="23" spans="1:31" ht="12.75" x14ac:dyDescent="0.2">
      <c r="A23" s="53">
        <f ca="1">IFERROR(__xludf.DUMMYFUNCTION("""COMPUTED_VALUE"""),17)</f>
        <v>17</v>
      </c>
      <c r="B23" s="53" t="str">
        <f ca="1">IFERROR(__xludf.DUMMYFUNCTION("""COMPUTED_VALUE"""),"Mầm non Mặt Trời Hồng")</f>
        <v>Mầm non Mặt Trời Hồng</v>
      </c>
      <c r="C23" s="53" t="str">
        <f ca="1">IFERROR(__xludf.DUMMYFUNCTION("""COMPUTED_VALUE"""),"MN")</f>
        <v>MN</v>
      </c>
      <c r="D23" s="53" t="str">
        <f ca="1">IFERROR(__xludf.DUMMYFUNCTION("""COMPUTED_VALUE"""),"PHÚ NHUẬN")</f>
        <v>PHÚ NHUẬN</v>
      </c>
      <c r="E23" s="54">
        <f ca="1">IFERROR(__xludf.DUMMYFUNCTION("""COMPUTED_VALUE"""),35)</f>
        <v>35</v>
      </c>
      <c r="F23" s="54">
        <f ca="1">IFERROR(__xludf.DUMMYFUNCTION("""COMPUTED_VALUE"""),32)</f>
        <v>32</v>
      </c>
      <c r="G23" s="51">
        <f t="shared" ca="1" si="0"/>
        <v>0.91428571428571426</v>
      </c>
      <c r="H23" s="54">
        <f ca="1">IFERROR(__xludf.DUMMYFUNCTION("""COMPUTED_VALUE"""),32)</f>
        <v>32</v>
      </c>
      <c r="I23" s="51">
        <f t="shared" ca="1" si="1"/>
        <v>0.91428571428571426</v>
      </c>
      <c r="J23" s="54">
        <f ca="1">IFERROR(__xludf.DUMMYFUNCTION("""COMPUTED_VALUE"""),32)</f>
        <v>32</v>
      </c>
      <c r="K23" s="51">
        <f t="shared" ca="1" si="2"/>
        <v>0.91428571428571426</v>
      </c>
      <c r="L23" s="54">
        <f ca="1">IFERROR(__xludf.DUMMYFUNCTION("""COMPUTED_VALUE"""),18)</f>
        <v>18</v>
      </c>
      <c r="M23" s="51">
        <f t="shared" ca="1" si="3"/>
        <v>0.51428571428571423</v>
      </c>
      <c r="N23" s="54">
        <f ca="1">IFERROR(__xludf.DUMMYFUNCTION("""COMPUTED_VALUE"""),43)</f>
        <v>43</v>
      </c>
      <c r="O23" s="54">
        <f ca="1">IFERROR(__xludf.DUMMYFUNCTION("""COMPUTED_VALUE"""),0)</f>
        <v>0</v>
      </c>
      <c r="P23" s="51">
        <f t="shared" ca="1" si="4"/>
        <v>0</v>
      </c>
      <c r="Q23" s="54">
        <f ca="1">IFERROR(__xludf.DUMMYFUNCTION("""COMPUTED_VALUE"""),0)</f>
        <v>0</v>
      </c>
      <c r="R23" s="51">
        <f t="shared" ca="1" si="5"/>
        <v>0</v>
      </c>
      <c r="S23" s="53"/>
      <c r="T23" s="53"/>
      <c r="U23" s="51" t="str">
        <f t="shared" si="6"/>
        <v/>
      </c>
      <c r="V23" s="53"/>
      <c r="W23" s="51" t="str">
        <f t="shared" si="7"/>
        <v/>
      </c>
      <c r="X23" s="53"/>
      <c r="Y23" s="51" t="str">
        <f t="shared" si="8"/>
        <v/>
      </c>
      <c r="Z23" s="2"/>
      <c r="AA23" s="2"/>
      <c r="AB23" s="2"/>
      <c r="AC23" s="2"/>
      <c r="AD23" s="2"/>
      <c r="AE23" s="2"/>
    </row>
    <row r="24" spans="1:31" ht="12.75" x14ac:dyDescent="0.2">
      <c r="A24" s="53">
        <f ca="1">IFERROR(__xludf.DUMMYFUNCTION("""COMPUTED_VALUE"""),18)</f>
        <v>18</v>
      </c>
      <c r="B24" s="53" t="str">
        <f ca="1">IFERROR(__xludf.DUMMYFUNCTION("""COMPUTED_VALUE"""),"Mầm non Cánh Diều Tuổi Thơ")</f>
        <v>Mầm non Cánh Diều Tuổi Thơ</v>
      </c>
      <c r="C24" s="53" t="str">
        <f ca="1">IFERROR(__xludf.DUMMYFUNCTION("""COMPUTED_VALUE"""),"MN")</f>
        <v>MN</v>
      </c>
      <c r="D24" s="53" t="str">
        <f ca="1">IFERROR(__xludf.DUMMYFUNCTION("""COMPUTED_VALUE"""),"PHÚ NHUẬN")</f>
        <v>PHÚ NHUẬN</v>
      </c>
      <c r="E24" s="54">
        <f ca="1">IFERROR(__xludf.DUMMYFUNCTION("""COMPUTED_VALUE"""),20)</f>
        <v>20</v>
      </c>
      <c r="F24" s="54">
        <f ca="1">IFERROR(__xludf.DUMMYFUNCTION("""COMPUTED_VALUE"""),20)</f>
        <v>20</v>
      </c>
      <c r="G24" s="51">
        <f t="shared" ca="1" si="0"/>
        <v>1</v>
      </c>
      <c r="H24" s="54">
        <f ca="1">IFERROR(__xludf.DUMMYFUNCTION("""COMPUTED_VALUE"""),20)</f>
        <v>20</v>
      </c>
      <c r="I24" s="51">
        <f t="shared" ca="1" si="1"/>
        <v>1</v>
      </c>
      <c r="J24" s="54">
        <f ca="1">IFERROR(__xludf.DUMMYFUNCTION("""COMPUTED_VALUE"""),20)</f>
        <v>20</v>
      </c>
      <c r="K24" s="51">
        <f t="shared" ca="1" si="2"/>
        <v>1</v>
      </c>
      <c r="L24" s="54">
        <f ca="1">IFERROR(__xludf.DUMMYFUNCTION("""COMPUTED_VALUE"""),3)</f>
        <v>3</v>
      </c>
      <c r="M24" s="51">
        <f t="shared" ca="1" si="3"/>
        <v>0.15</v>
      </c>
      <c r="N24" s="54">
        <f ca="1">IFERROR(__xludf.DUMMYFUNCTION("""COMPUTED_VALUE"""),20)</f>
        <v>20</v>
      </c>
      <c r="O24" s="54">
        <f ca="1">IFERROR(__xludf.DUMMYFUNCTION("""COMPUTED_VALUE"""),0)</f>
        <v>0</v>
      </c>
      <c r="P24" s="51">
        <f t="shared" ca="1" si="4"/>
        <v>0</v>
      </c>
      <c r="Q24" s="54">
        <f ca="1">IFERROR(__xludf.DUMMYFUNCTION("""COMPUTED_VALUE"""),0)</f>
        <v>0</v>
      </c>
      <c r="R24" s="51">
        <f t="shared" ca="1" si="5"/>
        <v>0</v>
      </c>
      <c r="S24" s="53"/>
      <c r="T24" s="53"/>
      <c r="U24" s="51" t="str">
        <f t="shared" si="6"/>
        <v/>
      </c>
      <c r="V24" s="53"/>
      <c r="W24" s="51" t="str">
        <f t="shared" si="7"/>
        <v/>
      </c>
      <c r="X24" s="53"/>
      <c r="Y24" s="51" t="str">
        <f t="shared" si="8"/>
        <v/>
      </c>
      <c r="Z24" s="2"/>
      <c r="AA24" s="2"/>
      <c r="AB24" s="2"/>
      <c r="AC24" s="2"/>
      <c r="AD24" s="2"/>
      <c r="AE24" s="2"/>
    </row>
    <row r="25" spans="1:31" ht="12.75" x14ac:dyDescent="0.2">
      <c r="A25" s="53">
        <f ca="1">IFERROR(__xludf.DUMMYFUNCTION("""COMPUTED_VALUE"""),19)</f>
        <v>19</v>
      </c>
      <c r="B25" s="53" t="str">
        <f ca="1">IFERROR(__xludf.DUMMYFUNCTION("""COMPUTED_VALUE"""),"Mầm non Tesla")</f>
        <v>Mầm non Tesla</v>
      </c>
      <c r="C25" s="53" t="str">
        <f ca="1">IFERROR(__xludf.DUMMYFUNCTION("""COMPUTED_VALUE"""),"MN")</f>
        <v>MN</v>
      </c>
      <c r="D25" s="53" t="str">
        <f ca="1">IFERROR(__xludf.DUMMYFUNCTION("""COMPUTED_VALUE"""),"PHÚ NHUẬN")</f>
        <v>PHÚ NHUẬN</v>
      </c>
      <c r="E25" s="54">
        <f ca="1">IFERROR(__xludf.DUMMYFUNCTION("""COMPUTED_VALUE"""),7)</f>
        <v>7</v>
      </c>
      <c r="F25" s="54">
        <f ca="1">IFERROR(__xludf.DUMMYFUNCTION("""COMPUTED_VALUE"""),7)</f>
        <v>7</v>
      </c>
      <c r="G25" s="51">
        <f t="shared" ca="1" si="0"/>
        <v>1</v>
      </c>
      <c r="H25" s="54">
        <f ca="1">IFERROR(__xludf.DUMMYFUNCTION("""COMPUTED_VALUE"""),7)</f>
        <v>7</v>
      </c>
      <c r="I25" s="51">
        <f t="shared" ca="1" si="1"/>
        <v>1</v>
      </c>
      <c r="J25" s="54">
        <f ca="1">IFERROR(__xludf.DUMMYFUNCTION("""COMPUTED_VALUE"""),7)</f>
        <v>7</v>
      </c>
      <c r="K25" s="51">
        <f t="shared" ca="1" si="2"/>
        <v>1</v>
      </c>
      <c r="L25" s="54">
        <f ca="1">IFERROR(__xludf.DUMMYFUNCTION("""COMPUTED_VALUE"""),0)</f>
        <v>0</v>
      </c>
      <c r="M25" s="51">
        <f t="shared" ca="1" si="3"/>
        <v>0</v>
      </c>
      <c r="N25" s="54">
        <f ca="1">IFERROR(__xludf.DUMMYFUNCTION("""COMPUTED_VALUE"""),0)</f>
        <v>0</v>
      </c>
      <c r="O25" s="54">
        <f ca="1">IFERROR(__xludf.DUMMYFUNCTION("""COMPUTED_VALUE"""),0)</f>
        <v>0</v>
      </c>
      <c r="P25" s="51" t="str">
        <f t="shared" ca="1" si="4"/>
        <v/>
      </c>
      <c r="Q25" s="54">
        <f ca="1">IFERROR(__xludf.DUMMYFUNCTION("""COMPUTED_VALUE"""),0)</f>
        <v>0</v>
      </c>
      <c r="R25" s="51" t="str">
        <f t="shared" ca="1" si="5"/>
        <v/>
      </c>
      <c r="S25" s="53"/>
      <c r="T25" s="53"/>
      <c r="U25" s="51" t="str">
        <f t="shared" si="6"/>
        <v/>
      </c>
      <c r="V25" s="53"/>
      <c r="W25" s="51" t="str">
        <f t="shared" si="7"/>
        <v/>
      </c>
      <c r="X25" s="53"/>
      <c r="Y25" s="51" t="str">
        <f t="shared" si="8"/>
        <v/>
      </c>
      <c r="Z25" s="2"/>
      <c r="AA25" s="2"/>
      <c r="AB25" s="2"/>
      <c r="AC25" s="2"/>
      <c r="AD25" s="2"/>
      <c r="AE25" s="2"/>
    </row>
    <row r="26" spans="1:31" ht="12.75" x14ac:dyDescent="0.2">
      <c r="A26" s="53">
        <f ca="1">IFERROR(__xludf.DUMMYFUNCTION("""COMPUTED_VALUE"""),20)</f>
        <v>20</v>
      </c>
      <c r="B26" s="53" t="str">
        <f ca="1">IFERROR(__xludf.DUMMYFUNCTION("""COMPUTED_VALUE"""),"Mầm non Hoa Sứ")</f>
        <v>Mầm non Hoa Sứ</v>
      </c>
      <c r="C26" s="53" t="str">
        <f ca="1">IFERROR(__xludf.DUMMYFUNCTION("""COMPUTED_VALUE"""),"MN")</f>
        <v>MN</v>
      </c>
      <c r="D26" s="53" t="str">
        <f ca="1">IFERROR(__xludf.DUMMYFUNCTION("""COMPUTED_VALUE"""),"PHÚ NHUẬN")</f>
        <v>PHÚ NHUẬN</v>
      </c>
      <c r="E26" s="54">
        <f ca="1">IFERROR(__xludf.DUMMYFUNCTION("""COMPUTED_VALUE"""),14)</f>
        <v>14</v>
      </c>
      <c r="F26" s="54">
        <f ca="1">IFERROR(__xludf.DUMMYFUNCTION("""COMPUTED_VALUE"""),14)</f>
        <v>14</v>
      </c>
      <c r="G26" s="51">
        <f t="shared" ca="1" si="0"/>
        <v>1</v>
      </c>
      <c r="H26" s="54">
        <f ca="1">IFERROR(__xludf.DUMMYFUNCTION("""COMPUTED_VALUE"""),14)</f>
        <v>14</v>
      </c>
      <c r="I26" s="51">
        <f t="shared" ca="1" si="1"/>
        <v>1</v>
      </c>
      <c r="J26" s="54">
        <f ca="1">IFERROR(__xludf.DUMMYFUNCTION("""COMPUTED_VALUE"""),14)</f>
        <v>14</v>
      </c>
      <c r="K26" s="51">
        <f t="shared" ca="1" si="2"/>
        <v>1</v>
      </c>
      <c r="L26" s="54">
        <f ca="1">IFERROR(__xludf.DUMMYFUNCTION("""COMPUTED_VALUE"""),13)</f>
        <v>13</v>
      </c>
      <c r="M26" s="51">
        <f t="shared" ca="1" si="3"/>
        <v>0.9285714285714286</v>
      </c>
      <c r="N26" s="54">
        <f ca="1">IFERROR(__xludf.DUMMYFUNCTION("""COMPUTED_VALUE"""),12)</f>
        <v>12</v>
      </c>
      <c r="O26" s="54">
        <f ca="1">IFERROR(__xludf.DUMMYFUNCTION("""COMPUTED_VALUE"""),3)</f>
        <v>3</v>
      </c>
      <c r="P26" s="51">
        <f t="shared" ca="1" si="4"/>
        <v>0.25</v>
      </c>
      <c r="Q26" s="54">
        <f ca="1">IFERROR(__xludf.DUMMYFUNCTION("""COMPUTED_VALUE"""),0)</f>
        <v>0</v>
      </c>
      <c r="R26" s="51">
        <f t="shared" ca="1" si="5"/>
        <v>0</v>
      </c>
      <c r="S26" s="53"/>
      <c r="T26" s="53"/>
      <c r="U26" s="51" t="str">
        <f t="shared" si="6"/>
        <v/>
      </c>
      <c r="V26" s="53"/>
      <c r="W26" s="51" t="str">
        <f t="shared" si="7"/>
        <v/>
      </c>
      <c r="X26" s="53"/>
      <c r="Y26" s="51" t="str">
        <f t="shared" si="8"/>
        <v/>
      </c>
      <c r="Z26" s="2"/>
      <c r="AA26" s="2"/>
      <c r="AB26" s="2"/>
      <c r="AC26" s="2"/>
      <c r="AD26" s="2"/>
      <c r="AE26" s="2"/>
    </row>
    <row r="27" spans="1:31" ht="12.75" x14ac:dyDescent="0.2">
      <c r="A27" s="53">
        <f ca="1">IFERROR(__xludf.DUMMYFUNCTION("""COMPUTED_VALUE"""),21)</f>
        <v>21</v>
      </c>
      <c r="B27" s="53" t="str">
        <f ca="1">IFERROR(__xludf.DUMMYFUNCTION("""COMPUTED_VALUE"""),"Mầm non Hạnh Phúc")</f>
        <v>Mầm non Hạnh Phúc</v>
      </c>
      <c r="C27" s="53" t="str">
        <f ca="1">IFERROR(__xludf.DUMMYFUNCTION("""COMPUTED_VALUE"""),"MN")</f>
        <v>MN</v>
      </c>
      <c r="D27" s="53" t="str">
        <f ca="1">IFERROR(__xludf.DUMMYFUNCTION("""COMPUTED_VALUE"""),"PHÚ NHUẬN")</f>
        <v>PHÚ NHUẬN</v>
      </c>
      <c r="E27" s="54">
        <f ca="1">IFERROR(__xludf.DUMMYFUNCTION("""COMPUTED_VALUE"""),12)</f>
        <v>12</v>
      </c>
      <c r="F27" s="54">
        <f ca="1">IFERROR(__xludf.DUMMYFUNCTION("""COMPUTED_VALUE"""),12)</f>
        <v>12</v>
      </c>
      <c r="G27" s="51">
        <f t="shared" ca="1" si="0"/>
        <v>1</v>
      </c>
      <c r="H27" s="54">
        <f ca="1">IFERROR(__xludf.DUMMYFUNCTION("""COMPUTED_VALUE"""),12)</f>
        <v>12</v>
      </c>
      <c r="I27" s="51">
        <f t="shared" ca="1" si="1"/>
        <v>1</v>
      </c>
      <c r="J27" s="54">
        <f ca="1">IFERROR(__xludf.DUMMYFUNCTION("""COMPUTED_VALUE"""),12)</f>
        <v>12</v>
      </c>
      <c r="K27" s="51">
        <f t="shared" ca="1" si="2"/>
        <v>1</v>
      </c>
      <c r="L27" s="54">
        <f ca="1">IFERROR(__xludf.DUMMYFUNCTION("""COMPUTED_VALUE"""),9)</f>
        <v>9</v>
      </c>
      <c r="M27" s="51">
        <f t="shared" ca="1" si="3"/>
        <v>0.75</v>
      </c>
      <c r="N27" s="54">
        <f ca="1">IFERROR(__xludf.DUMMYFUNCTION("""COMPUTED_VALUE"""),8)</f>
        <v>8</v>
      </c>
      <c r="O27" s="54">
        <f ca="1">IFERROR(__xludf.DUMMYFUNCTION("""COMPUTED_VALUE"""),1)</f>
        <v>1</v>
      </c>
      <c r="P27" s="51">
        <f t="shared" ca="1" si="4"/>
        <v>0.125</v>
      </c>
      <c r="Q27" s="54">
        <f ca="1">IFERROR(__xludf.DUMMYFUNCTION("""COMPUTED_VALUE"""),0)</f>
        <v>0</v>
      </c>
      <c r="R27" s="51">
        <f t="shared" ca="1" si="5"/>
        <v>0</v>
      </c>
      <c r="S27" s="53"/>
      <c r="T27" s="53"/>
      <c r="U27" s="51" t="str">
        <f t="shared" si="6"/>
        <v/>
      </c>
      <c r="V27" s="53"/>
      <c r="W27" s="51" t="str">
        <f t="shared" si="7"/>
        <v/>
      </c>
      <c r="X27" s="53"/>
      <c r="Y27" s="51" t="str">
        <f t="shared" si="8"/>
        <v/>
      </c>
      <c r="Z27" s="2"/>
      <c r="AA27" s="2"/>
      <c r="AB27" s="2"/>
      <c r="AC27" s="2"/>
      <c r="AD27" s="2"/>
      <c r="AE27" s="2"/>
    </row>
    <row r="28" spans="1:31" ht="12.75" x14ac:dyDescent="0.2">
      <c r="A28" s="53">
        <f ca="1">IFERROR(__xludf.DUMMYFUNCTION("""COMPUTED_VALUE"""),22)</f>
        <v>22</v>
      </c>
      <c r="B28" s="53" t="str">
        <f ca="1">IFERROR(__xludf.DUMMYFUNCTION("""COMPUTED_VALUE"""),"Mầm non Thiên Thần Nhỏ")</f>
        <v>Mầm non Thiên Thần Nhỏ</v>
      </c>
      <c r="C28" s="53" t="str">
        <f ca="1">IFERROR(__xludf.DUMMYFUNCTION("""COMPUTED_VALUE"""),"MN")</f>
        <v>MN</v>
      </c>
      <c r="D28" s="53" t="str">
        <f ca="1">IFERROR(__xludf.DUMMYFUNCTION("""COMPUTED_VALUE"""),"PHÚ NHUẬN")</f>
        <v>PHÚ NHUẬN</v>
      </c>
      <c r="E28" s="54">
        <f ca="1">IFERROR(__xludf.DUMMYFUNCTION("""COMPUTED_VALUE"""),8)</f>
        <v>8</v>
      </c>
      <c r="F28" s="54">
        <f ca="1">IFERROR(__xludf.DUMMYFUNCTION("""COMPUTED_VALUE"""),8)</f>
        <v>8</v>
      </c>
      <c r="G28" s="51">
        <f t="shared" ca="1" si="0"/>
        <v>1</v>
      </c>
      <c r="H28" s="54">
        <f ca="1">IFERROR(__xludf.DUMMYFUNCTION("""COMPUTED_VALUE"""),8)</f>
        <v>8</v>
      </c>
      <c r="I28" s="51">
        <f t="shared" ca="1" si="1"/>
        <v>1</v>
      </c>
      <c r="J28" s="54">
        <f ca="1">IFERROR(__xludf.DUMMYFUNCTION("""COMPUTED_VALUE"""),8)</f>
        <v>8</v>
      </c>
      <c r="K28" s="51">
        <f t="shared" ca="1" si="2"/>
        <v>1</v>
      </c>
      <c r="L28" s="54">
        <f ca="1">IFERROR(__xludf.DUMMYFUNCTION("""COMPUTED_VALUE"""),4)</f>
        <v>4</v>
      </c>
      <c r="M28" s="51">
        <f t="shared" ca="1" si="3"/>
        <v>0.5</v>
      </c>
      <c r="N28" s="54">
        <f ca="1">IFERROR(__xludf.DUMMYFUNCTION("""COMPUTED_VALUE"""),7)</f>
        <v>7</v>
      </c>
      <c r="O28" s="54">
        <f ca="1">IFERROR(__xludf.DUMMYFUNCTION("""COMPUTED_VALUE"""),0)</f>
        <v>0</v>
      </c>
      <c r="P28" s="51">
        <f t="shared" ca="1" si="4"/>
        <v>0</v>
      </c>
      <c r="Q28" s="54">
        <f ca="1">IFERROR(__xludf.DUMMYFUNCTION("""COMPUTED_VALUE"""),0)</f>
        <v>0</v>
      </c>
      <c r="R28" s="51">
        <f t="shared" ca="1" si="5"/>
        <v>0</v>
      </c>
      <c r="S28" s="53"/>
      <c r="T28" s="53"/>
      <c r="U28" s="51" t="str">
        <f t="shared" si="6"/>
        <v/>
      </c>
      <c r="V28" s="53"/>
      <c r="W28" s="51" t="str">
        <f t="shared" si="7"/>
        <v/>
      </c>
      <c r="X28" s="53"/>
      <c r="Y28" s="51" t="str">
        <f t="shared" si="8"/>
        <v/>
      </c>
      <c r="Z28" s="2"/>
      <c r="AA28" s="2"/>
      <c r="AB28" s="2"/>
      <c r="AC28" s="2"/>
      <c r="AD28" s="2"/>
      <c r="AE28" s="2"/>
    </row>
    <row r="29" spans="1:31" ht="12.75" x14ac:dyDescent="0.2">
      <c r="A29" s="53">
        <f ca="1">IFERROR(__xludf.DUMMYFUNCTION("""COMPUTED_VALUE"""),23)</f>
        <v>23</v>
      </c>
      <c r="B29" s="53" t="str">
        <f ca="1">IFERROR(__xludf.DUMMYFUNCTION("""COMPUTED_VALUE"""),"Mầm non Mỉm Cười")</f>
        <v>Mầm non Mỉm Cười</v>
      </c>
      <c r="C29" s="53" t="str">
        <f ca="1">IFERROR(__xludf.DUMMYFUNCTION("""COMPUTED_VALUE"""),"MN")</f>
        <v>MN</v>
      </c>
      <c r="D29" s="53" t="str">
        <f ca="1">IFERROR(__xludf.DUMMYFUNCTION("""COMPUTED_VALUE"""),"PHÚ NHUẬN")</f>
        <v>PHÚ NHUẬN</v>
      </c>
      <c r="E29" s="54">
        <f ca="1">IFERROR(__xludf.DUMMYFUNCTION("""COMPUTED_VALUE"""),10)</f>
        <v>10</v>
      </c>
      <c r="F29" s="54">
        <f ca="1">IFERROR(__xludf.DUMMYFUNCTION("""COMPUTED_VALUE"""),10)</f>
        <v>10</v>
      </c>
      <c r="G29" s="51">
        <f t="shared" ca="1" si="0"/>
        <v>1</v>
      </c>
      <c r="H29" s="54">
        <f ca="1">IFERROR(__xludf.DUMMYFUNCTION("""COMPUTED_VALUE"""),10)</f>
        <v>10</v>
      </c>
      <c r="I29" s="51">
        <f t="shared" ca="1" si="1"/>
        <v>1</v>
      </c>
      <c r="J29" s="54">
        <f ca="1">IFERROR(__xludf.DUMMYFUNCTION("""COMPUTED_VALUE"""),10)</f>
        <v>10</v>
      </c>
      <c r="K29" s="51">
        <f t="shared" ca="1" si="2"/>
        <v>1</v>
      </c>
      <c r="L29" s="54">
        <f ca="1">IFERROR(__xludf.DUMMYFUNCTION("""COMPUTED_VALUE"""),4)</f>
        <v>4</v>
      </c>
      <c r="M29" s="51">
        <f t="shared" ca="1" si="3"/>
        <v>0.4</v>
      </c>
      <c r="N29" s="54">
        <f ca="1">IFERROR(__xludf.DUMMYFUNCTION("""COMPUTED_VALUE"""),4)</f>
        <v>4</v>
      </c>
      <c r="O29" s="54">
        <f ca="1">IFERROR(__xludf.DUMMYFUNCTION("""COMPUTED_VALUE"""),0)</f>
        <v>0</v>
      </c>
      <c r="P29" s="51">
        <f t="shared" ca="1" si="4"/>
        <v>0</v>
      </c>
      <c r="Q29" s="54">
        <f ca="1">IFERROR(__xludf.DUMMYFUNCTION("""COMPUTED_VALUE"""),0)</f>
        <v>0</v>
      </c>
      <c r="R29" s="51">
        <f t="shared" ca="1" si="5"/>
        <v>0</v>
      </c>
      <c r="S29" s="53"/>
      <c r="T29" s="53"/>
      <c r="U29" s="51" t="str">
        <f t="shared" si="6"/>
        <v/>
      </c>
      <c r="V29" s="53"/>
      <c r="W29" s="51" t="str">
        <f t="shared" si="7"/>
        <v/>
      </c>
      <c r="X29" s="53"/>
      <c r="Y29" s="51" t="str">
        <f t="shared" si="8"/>
        <v/>
      </c>
      <c r="Z29" s="2"/>
      <c r="AA29" s="2"/>
      <c r="AB29" s="2"/>
      <c r="AC29" s="2"/>
      <c r="AD29" s="2"/>
      <c r="AE29" s="2"/>
    </row>
    <row r="30" spans="1:31" ht="12.75" x14ac:dyDescent="0.2">
      <c r="A30" s="53">
        <f ca="1">IFERROR(__xludf.DUMMYFUNCTION("""COMPUTED_VALUE"""),24)</f>
        <v>24</v>
      </c>
      <c r="B30" s="53" t="str">
        <f ca="1">IFERROR(__xludf.DUMMYFUNCTION("""COMPUTED_VALUE"""),"Mầm non Ngôi Nhà Kỳ Diệu")</f>
        <v>Mầm non Ngôi Nhà Kỳ Diệu</v>
      </c>
      <c r="C30" s="53" t="str">
        <f ca="1">IFERROR(__xludf.DUMMYFUNCTION("""COMPUTED_VALUE"""),"MN")</f>
        <v>MN</v>
      </c>
      <c r="D30" s="53" t="str">
        <f ca="1">IFERROR(__xludf.DUMMYFUNCTION("""COMPUTED_VALUE"""),"PHÚ NHUẬN")</f>
        <v>PHÚ NHUẬN</v>
      </c>
      <c r="E30" s="54">
        <f ca="1">IFERROR(__xludf.DUMMYFUNCTION("""COMPUTED_VALUE"""),16)</f>
        <v>16</v>
      </c>
      <c r="F30" s="54">
        <f ca="1">IFERROR(__xludf.DUMMYFUNCTION("""COMPUTED_VALUE"""),16)</f>
        <v>16</v>
      </c>
      <c r="G30" s="51">
        <f t="shared" ca="1" si="0"/>
        <v>1</v>
      </c>
      <c r="H30" s="54">
        <f ca="1">IFERROR(__xludf.DUMMYFUNCTION("""COMPUTED_VALUE"""),16)</f>
        <v>16</v>
      </c>
      <c r="I30" s="51">
        <f t="shared" ca="1" si="1"/>
        <v>1</v>
      </c>
      <c r="J30" s="54">
        <f ca="1">IFERROR(__xludf.DUMMYFUNCTION("""COMPUTED_VALUE"""),16)</f>
        <v>16</v>
      </c>
      <c r="K30" s="51">
        <f t="shared" ca="1" si="2"/>
        <v>1</v>
      </c>
      <c r="L30" s="54">
        <f ca="1">IFERROR(__xludf.DUMMYFUNCTION("""COMPUTED_VALUE"""),1)</f>
        <v>1</v>
      </c>
      <c r="M30" s="51">
        <f t="shared" ca="1" si="3"/>
        <v>6.25E-2</v>
      </c>
      <c r="N30" s="54">
        <f ca="1">IFERROR(__xludf.DUMMYFUNCTION("""COMPUTED_VALUE"""),22)</f>
        <v>22</v>
      </c>
      <c r="O30" s="54">
        <f ca="1">IFERROR(__xludf.DUMMYFUNCTION("""COMPUTED_VALUE"""),0)</f>
        <v>0</v>
      </c>
      <c r="P30" s="51">
        <f t="shared" ca="1" si="4"/>
        <v>0</v>
      </c>
      <c r="Q30" s="53"/>
      <c r="R30" s="51">
        <f t="shared" ca="1" si="5"/>
        <v>0</v>
      </c>
      <c r="S30" s="53"/>
      <c r="T30" s="53"/>
      <c r="U30" s="51" t="str">
        <f t="shared" si="6"/>
        <v/>
      </c>
      <c r="V30" s="53"/>
      <c r="W30" s="51" t="str">
        <f t="shared" si="7"/>
        <v/>
      </c>
      <c r="X30" s="53"/>
      <c r="Y30" s="51" t="str">
        <f t="shared" si="8"/>
        <v/>
      </c>
      <c r="Z30" s="2"/>
      <c r="AA30" s="2"/>
      <c r="AB30" s="2"/>
      <c r="AC30" s="2"/>
      <c r="AD30" s="2"/>
      <c r="AE30" s="2"/>
    </row>
    <row r="31" spans="1:31" ht="12.75" x14ac:dyDescent="0.2">
      <c r="A31" s="53">
        <f ca="1">IFERROR(__xludf.DUMMYFUNCTION("""COMPUTED_VALUE"""),25)</f>
        <v>25</v>
      </c>
      <c r="B31" s="53" t="str">
        <f ca="1">IFERROR(__xludf.DUMMYFUNCTION("""COMPUTED_VALUE"""),"Mầm non Vườn Yêu Thương")</f>
        <v>Mầm non Vườn Yêu Thương</v>
      </c>
      <c r="C31" s="53" t="str">
        <f ca="1">IFERROR(__xludf.DUMMYFUNCTION("""COMPUTED_VALUE"""),"MN")</f>
        <v>MN</v>
      </c>
      <c r="D31" s="53" t="str">
        <f ca="1">IFERROR(__xludf.DUMMYFUNCTION("""COMPUTED_VALUE"""),"PHÚ NHUẬN")</f>
        <v>PHÚ NHUẬN</v>
      </c>
      <c r="E31" s="54">
        <f ca="1">IFERROR(__xludf.DUMMYFUNCTION("""COMPUTED_VALUE"""),13)</f>
        <v>13</v>
      </c>
      <c r="F31" s="54">
        <f ca="1">IFERROR(__xludf.DUMMYFUNCTION("""COMPUTED_VALUE"""),13)</f>
        <v>13</v>
      </c>
      <c r="G31" s="51">
        <f t="shared" ca="1" si="0"/>
        <v>1</v>
      </c>
      <c r="H31" s="54">
        <f ca="1">IFERROR(__xludf.DUMMYFUNCTION("""COMPUTED_VALUE"""),13)</f>
        <v>13</v>
      </c>
      <c r="I31" s="51">
        <f t="shared" ca="1" si="1"/>
        <v>1</v>
      </c>
      <c r="J31" s="54">
        <f ca="1">IFERROR(__xludf.DUMMYFUNCTION("""COMPUTED_VALUE"""),13)</f>
        <v>13</v>
      </c>
      <c r="K31" s="51">
        <f t="shared" ca="1" si="2"/>
        <v>1</v>
      </c>
      <c r="L31" s="54">
        <f ca="1">IFERROR(__xludf.DUMMYFUNCTION("""COMPUTED_VALUE"""),4)</f>
        <v>4</v>
      </c>
      <c r="M31" s="51">
        <f t="shared" ca="1" si="3"/>
        <v>0.30769230769230771</v>
      </c>
      <c r="N31" s="54">
        <f ca="1">IFERROR(__xludf.DUMMYFUNCTION("""COMPUTED_VALUE"""),7)</f>
        <v>7</v>
      </c>
      <c r="O31" s="54">
        <f ca="1">IFERROR(__xludf.DUMMYFUNCTION("""COMPUTED_VALUE"""),0)</f>
        <v>0</v>
      </c>
      <c r="P31" s="51">
        <f t="shared" ca="1" si="4"/>
        <v>0</v>
      </c>
      <c r="Q31" s="54">
        <f ca="1">IFERROR(__xludf.DUMMYFUNCTION("""COMPUTED_VALUE"""),0)</f>
        <v>0</v>
      </c>
      <c r="R31" s="51">
        <f t="shared" ca="1" si="5"/>
        <v>0</v>
      </c>
      <c r="S31" s="53"/>
      <c r="T31" s="53"/>
      <c r="U31" s="51" t="str">
        <f t="shared" si="6"/>
        <v/>
      </c>
      <c r="V31" s="53"/>
      <c r="W31" s="51" t="str">
        <f t="shared" si="7"/>
        <v/>
      </c>
      <c r="X31" s="53"/>
      <c r="Y31" s="51" t="str">
        <f t="shared" si="8"/>
        <v/>
      </c>
      <c r="Z31" s="2"/>
      <c r="AA31" s="2"/>
      <c r="AB31" s="2"/>
      <c r="AC31" s="2"/>
      <c r="AD31" s="2"/>
      <c r="AE31" s="2"/>
    </row>
    <row r="32" spans="1:31" ht="12.75" x14ac:dyDescent="0.2">
      <c r="A32" s="53">
        <f ca="1">IFERROR(__xludf.DUMMYFUNCTION("""COMPUTED_VALUE"""),26)</f>
        <v>26</v>
      </c>
      <c r="B32" s="53" t="str">
        <f ca="1">IFERROR(__xludf.DUMMYFUNCTION("""COMPUTED_VALUE"""),"Mầm non Nắng Hồng")</f>
        <v>Mầm non Nắng Hồng</v>
      </c>
      <c r="C32" s="53" t="str">
        <f ca="1">IFERROR(__xludf.DUMMYFUNCTION("""COMPUTED_VALUE"""),"MN")</f>
        <v>MN</v>
      </c>
      <c r="D32" s="53" t="str">
        <f ca="1">IFERROR(__xludf.DUMMYFUNCTION("""COMPUTED_VALUE"""),"PHÚ NHUẬN")</f>
        <v>PHÚ NHUẬN</v>
      </c>
      <c r="E32" s="54">
        <f ca="1">IFERROR(__xludf.DUMMYFUNCTION("""COMPUTED_VALUE"""),15)</f>
        <v>15</v>
      </c>
      <c r="F32" s="54">
        <f ca="1">IFERROR(__xludf.DUMMYFUNCTION("""COMPUTED_VALUE"""),13)</f>
        <v>13</v>
      </c>
      <c r="G32" s="51">
        <f t="shared" ca="1" si="0"/>
        <v>0.8666666666666667</v>
      </c>
      <c r="H32" s="54">
        <f ca="1">IFERROR(__xludf.DUMMYFUNCTION("""COMPUTED_VALUE"""),13)</f>
        <v>13</v>
      </c>
      <c r="I32" s="51">
        <f t="shared" ca="1" si="1"/>
        <v>0.8666666666666667</v>
      </c>
      <c r="J32" s="54">
        <f ca="1">IFERROR(__xludf.DUMMYFUNCTION("""COMPUTED_VALUE"""),9)</f>
        <v>9</v>
      </c>
      <c r="K32" s="51">
        <f t="shared" ca="1" si="2"/>
        <v>0.6</v>
      </c>
      <c r="L32" s="54">
        <f ca="1">IFERROR(__xludf.DUMMYFUNCTION("""COMPUTED_VALUE"""),6)</f>
        <v>6</v>
      </c>
      <c r="M32" s="51">
        <f t="shared" ca="1" si="3"/>
        <v>0.4</v>
      </c>
      <c r="N32" s="54">
        <f ca="1">IFERROR(__xludf.DUMMYFUNCTION("""COMPUTED_VALUE"""),13)</f>
        <v>13</v>
      </c>
      <c r="O32" s="53"/>
      <c r="P32" s="51">
        <f t="shared" ca="1" si="4"/>
        <v>0</v>
      </c>
      <c r="Q32" s="54">
        <f ca="1">IFERROR(__xludf.DUMMYFUNCTION("""COMPUTED_VALUE"""),0)</f>
        <v>0</v>
      </c>
      <c r="R32" s="51">
        <f t="shared" ca="1" si="5"/>
        <v>0</v>
      </c>
      <c r="S32" s="53"/>
      <c r="T32" s="53"/>
      <c r="U32" s="51" t="str">
        <f t="shared" si="6"/>
        <v/>
      </c>
      <c r="V32" s="53"/>
      <c r="W32" s="51" t="str">
        <f t="shared" si="7"/>
        <v/>
      </c>
      <c r="X32" s="53"/>
      <c r="Y32" s="51" t="str">
        <f t="shared" si="8"/>
        <v/>
      </c>
      <c r="Z32" s="2"/>
      <c r="AA32" s="2"/>
      <c r="AB32" s="2"/>
      <c r="AC32" s="2"/>
      <c r="AD32" s="2"/>
      <c r="AE32" s="2"/>
    </row>
    <row r="33" spans="1:31" ht="12.75" x14ac:dyDescent="0.2">
      <c r="A33" s="53">
        <f ca="1">IFERROR(__xludf.DUMMYFUNCTION("""COMPUTED_VALUE"""),27)</f>
        <v>27</v>
      </c>
      <c r="B33" s="53" t="str">
        <f ca="1">IFERROR(__xludf.DUMMYFUNCTION("""COMPUTED_VALUE"""),"MN Thành phố Tuổi thơ")</f>
        <v>MN Thành phố Tuổi thơ</v>
      </c>
      <c r="C33" s="53" t="str">
        <f ca="1">IFERROR(__xludf.DUMMYFUNCTION("""COMPUTED_VALUE"""),"MN")</f>
        <v>MN</v>
      </c>
      <c r="D33" s="53" t="str">
        <f ca="1">IFERROR(__xludf.DUMMYFUNCTION("""COMPUTED_VALUE"""),"PHÚ NHUẬN")</f>
        <v>PHÚ NHUẬN</v>
      </c>
      <c r="E33" s="54">
        <f ca="1">IFERROR(__xludf.DUMMYFUNCTION("""COMPUTED_VALUE"""),25)</f>
        <v>25</v>
      </c>
      <c r="F33" s="54">
        <f ca="1">IFERROR(__xludf.DUMMYFUNCTION("""COMPUTED_VALUE"""),25)</f>
        <v>25</v>
      </c>
      <c r="G33" s="51">
        <f t="shared" ca="1" si="0"/>
        <v>1</v>
      </c>
      <c r="H33" s="54">
        <f ca="1">IFERROR(__xludf.DUMMYFUNCTION("""COMPUTED_VALUE"""),25)</f>
        <v>25</v>
      </c>
      <c r="I33" s="51">
        <f t="shared" ca="1" si="1"/>
        <v>1</v>
      </c>
      <c r="J33" s="54">
        <f ca="1">IFERROR(__xludf.DUMMYFUNCTION("""COMPUTED_VALUE"""),25)</f>
        <v>25</v>
      </c>
      <c r="K33" s="51">
        <f t="shared" ca="1" si="2"/>
        <v>1</v>
      </c>
      <c r="L33" s="54">
        <f ca="1">IFERROR(__xludf.DUMMYFUNCTION("""COMPUTED_VALUE"""),16)</f>
        <v>16</v>
      </c>
      <c r="M33" s="51">
        <f t="shared" ca="1" si="3"/>
        <v>0.64</v>
      </c>
      <c r="N33" s="54">
        <f ca="1">IFERROR(__xludf.DUMMYFUNCTION("""COMPUTED_VALUE"""),17)</f>
        <v>17</v>
      </c>
      <c r="O33" s="54">
        <f ca="1">IFERROR(__xludf.DUMMYFUNCTION("""COMPUTED_VALUE"""),0)</f>
        <v>0</v>
      </c>
      <c r="P33" s="51">
        <f t="shared" ca="1" si="4"/>
        <v>0</v>
      </c>
      <c r="Q33" s="54">
        <f ca="1">IFERROR(__xludf.DUMMYFUNCTION("""COMPUTED_VALUE"""),0)</f>
        <v>0</v>
      </c>
      <c r="R33" s="51">
        <f t="shared" ca="1" si="5"/>
        <v>0</v>
      </c>
      <c r="S33" s="53"/>
      <c r="T33" s="53"/>
      <c r="U33" s="51" t="str">
        <f t="shared" si="6"/>
        <v/>
      </c>
      <c r="V33" s="53"/>
      <c r="W33" s="51" t="str">
        <f t="shared" si="7"/>
        <v/>
      </c>
      <c r="X33" s="53"/>
      <c r="Y33" s="51" t="str">
        <f t="shared" si="8"/>
        <v/>
      </c>
      <c r="Z33" s="2"/>
      <c r="AA33" s="2"/>
      <c r="AB33" s="2"/>
      <c r="AC33" s="2"/>
      <c r="AD33" s="2"/>
      <c r="AE33" s="2"/>
    </row>
    <row r="34" spans="1:31" ht="12.75" x14ac:dyDescent="0.2">
      <c r="A34" s="53">
        <f ca="1">IFERROR(__xludf.DUMMYFUNCTION("""COMPUTED_VALUE"""),28)</f>
        <v>28</v>
      </c>
      <c r="B34" s="53" t="str">
        <f ca="1">IFERROR(__xludf.DUMMYFUNCTION("""COMPUTED_VALUE"""),"Mầm non Bàn tay nhỏ")</f>
        <v>Mầm non Bàn tay nhỏ</v>
      </c>
      <c r="C34" s="53" t="str">
        <f ca="1">IFERROR(__xludf.DUMMYFUNCTION("""COMPUTED_VALUE"""),"MN")</f>
        <v>MN</v>
      </c>
      <c r="D34" s="53" t="str">
        <f ca="1">IFERROR(__xludf.DUMMYFUNCTION("""COMPUTED_VALUE"""),"PHÚ NHUẬN")</f>
        <v>PHÚ NHUẬN</v>
      </c>
      <c r="E34" s="54">
        <f ca="1">IFERROR(__xludf.DUMMYFUNCTION("""COMPUTED_VALUE"""),37)</f>
        <v>37</v>
      </c>
      <c r="F34" s="54">
        <f ca="1">IFERROR(__xludf.DUMMYFUNCTION("""COMPUTED_VALUE"""),35)</f>
        <v>35</v>
      </c>
      <c r="G34" s="51">
        <f t="shared" ca="1" si="0"/>
        <v>0.94594594594594594</v>
      </c>
      <c r="H34" s="54">
        <f ca="1">IFERROR(__xludf.DUMMYFUNCTION("""COMPUTED_VALUE"""),35)</f>
        <v>35</v>
      </c>
      <c r="I34" s="51">
        <f t="shared" ca="1" si="1"/>
        <v>0.94594594594594594</v>
      </c>
      <c r="J34" s="54">
        <f ca="1">IFERROR(__xludf.DUMMYFUNCTION("""COMPUTED_VALUE"""),16)</f>
        <v>16</v>
      </c>
      <c r="K34" s="51">
        <f t="shared" ca="1" si="2"/>
        <v>0.43243243243243246</v>
      </c>
      <c r="L34" s="54">
        <f ca="1">IFERROR(__xludf.DUMMYFUNCTION("""COMPUTED_VALUE"""),13)</f>
        <v>13</v>
      </c>
      <c r="M34" s="51">
        <f t="shared" ca="1" si="3"/>
        <v>0.35135135135135137</v>
      </c>
      <c r="N34" s="54">
        <f ca="1">IFERROR(__xludf.DUMMYFUNCTION("""COMPUTED_VALUE"""),24)</f>
        <v>24</v>
      </c>
      <c r="O34" s="54">
        <f ca="1">IFERROR(__xludf.DUMMYFUNCTION("""COMPUTED_VALUE"""),4)</f>
        <v>4</v>
      </c>
      <c r="P34" s="51">
        <f t="shared" ca="1" si="4"/>
        <v>0.16666666666666666</v>
      </c>
      <c r="Q34" s="54">
        <f ca="1">IFERROR(__xludf.DUMMYFUNCTION("""COMPUTED_VALUE"""),2)</f>
        <v>2</v>
      </c>
      <c r="R34" s="51">
        <f t="shared" ca="1" si="5"/>
        <v>8.3333333333333329E-2</v>
      </c>
      <c r="S34" s="53"/>
      <c r="T34" s="53"/>
      <c r="U34" s="51" t="str">
        <f t="shared" si="6"/>
        <v/>
      </c>
      <c r="V34" s="53"/>
      <c r="W34" s="51" t="str">
        <f t="shared" si="7"/>
        <v/>
      </c>
      <c r="X34" s="53"/>
      <c r="Y34" s="51" t="str">
        <f t="shared" si="8"/>
        <v/>
      </c>
      <c r="Z34" s="2"/>
      <c r="AA34" s="2"/>
      <c r="AB34" s="2"/>
      <c r="AC34" s="2"/>
      <c r="AD34" s="2"/>
      <c r="AE34" s="2"/>
    </row>
    <row r="35" spans="1:31" ht="12.75" x14ac:dyDescent="0.2">
      <c r="A35" s="53">
        <f ca="1">IFERROR(__xludf.DUMMYFUNCTION("""COMPUTED_VALUE"""),29)</f>
        <v>29</v>
      </c>
      <c r="B35" s="53" t="str">
        <f ca="1">IFERROR(__xludf.DUMMYFUNCTION("""COMPUTED_VALUE"""),"Mầm non Hải Âu bay")</f>
        <v>Mầm non Hải Âu bay</v>
      </c>
      <c r="C35" s="53" t="str">
        <f ca="1">IFERROR(__xludf.DUMMYFUNCTION("""COMPUTED_VALUE"""),"MN")</f>
        <v>MN</v>
      </c>
      <c r="D35" s="53" t="str">
        <f ca="1">IFERROR(__xludf.DUMMYFUNCTION("""COMPUTED_VALUE"""),"PHÚ NHUẬN")</f>
        <v>PHÚ NHUẬN</v>
      </c>
      <c r="E35" s="54">
        <f ca="1">IFERROR(__xludf.DUMMYFUNCTION("""COMPUTED_VALUE"""),19)</f>
        <v>19</v>
      </c>
      <c r="F35" s="54">
        <f ca="1">IFERROR(__xludf.DUMMYFUNCTION("""COMPUTED_VALUE"""),19)</f>
        <v>19</v>
      </c>
      <c r="G35" s="51">
        <f t="shared" ca="1" si="0"/>
        <v>1</v>
      </c>
      <c r="H35" s="54">
        <f ca="1">IFERROR(__xludf.DUMMYFUNCTION("""COMPUTED_VALUE"""),19)</f>
        <v>19</v>
      </c>
      <c r="I35" s="51">
        <f t="shared" ca="1" si="1"/>
        <v>1</v>
      </c>
      <c r="J35" s="54">
        <f ca="1">IFERROR(__xludf.DUMMYFUNCTION("""COMPUTED_VALUE"""),8)</f>
        <v>8</v>
      </c>
      <c r="K35" s="51">
        <f t="shared" ca="1" si="2"/>
        <v>0.42105263157894735</v>
      </c>
      <c r="L35" s="54">
        <f ca="1">IFERROR(__xludf.DUMMYFUNCTION("""COMPUTED_VALUE"""),11)</f>
        <v>11</v>
      </c>
      <c r="M35" s="51">
        <f t="shared" ca="1" si="3"/>
        <v>0.57894736842105265</v>
      </c>
      <c r="N35" s="54">
        <f ca="1">IFERROR(__xludf.DUMMYFUNCTION("""COMPUTED_VALUE"""),15)</f>
        <v>15</v>
      </c>
      <c r="O35" s="54">
        <f ca="1">IFERROR(__xludf.DUMMYFUNCTION("""COMPUTED_VALUE"""),0)</f>
        <v>0</v>
      </c>
      <c r="P35" s="51">
        <f t="shared" ca="1" si="4"/>
        <v>0</v>
      </c>
      <c r="Q35" s="54">
        <f ca="1">IFERROR(__xludf.DUMMYFUNCTION("""COMPUTED_VALUE"""),0)</f>
        <v>0</v>
      </c>
      <c r="R35" s="51">
        <f t="shared" ca="1" si="5"/>
        <v>0</v>
      </c>
      <c r="S35" s="53"/>
      <c r="T35" s="53"/>
      <c r="U35" s="51" t="str">
        <f t="shared" si="6"/>
        <v/>
      </c>
      <c r="V35" s="53"/>
      <c r="W35" s="51" t="str">
        <f t="shared" si="7"/>
        <v/>
      </c>
      <c r="X35" s="53"/>
      <c r="Y35" s="51" t="str">
        <f t="shared" si="8"/>
        <v/>
      </c>
      <c r="Z35" s="2"/>
      <c r="AA35" s="2"/>
      <c r="AB35" s="2"/>
      <c r="AC35" s="2"/>
      <c r="AD35" s="2"/>
      <c r="AE35" s="2"/>
    </row>
    <row r="36" spans="1:31" ht="12.75" x14ac:dyDescent="0.2">
      <c r="A36" s="53">
        <f ca="1">IFERROR(__xludf.DUMMYFUNCTION("""COMPUTED_VALUE"""),30)</f>
        <v>30</v>
      </c>
      <c r="B36" s="53"/>
      <c r="C36" s="53"/>
      <c r="D36" s="53" t="str">
        <f ca="1">IFERROR(__xludf.DUMMYFUNCTION("""COMPUTED_VALUE"""),"PHÚ NHUẬN")</f>
        <v>PHÚ NHUẬN</v>
      </c>
      <c r="E36" s="54">
        <f ca="1">IFERROR(__xludf.DUMMYFUNCTION("""COMPUTED_VALUE"""),12)</f>
        <v>12</v>
      </c>
      <c r="F36" s="54">
        <f ca="1">IFERROR(__xludf.DUMMYFUNCTION("""COMPUTED_VALUE"""),12)</f>
        <v>12</v>
      </c>
      <c r="G36" s="51">
        <f t="shared" ca="1" si="0"/>
        <v>1</v>
      </c>
      <c r="H36" s="54">
        <f ca="1">IFERROR(__xludf.DUMMYFUNCTION("""COMPUTED_VALUE"""),12)</f>
        <v>12</v>
      </c>
      <c r="I36" s="51">
        <f t="shared" ca="1" si="1"/>
        <v>1</v>
      </c>
      <c r="J36" s="54">
        <f ca="1">IFERROR(__xludf.DUMMYFUNCTION("""COMPUTED_VALUE"""),12)</f>
        <v>12</v>
      </c>
      <c r="K36" s="51">
        <f t="shared" ca="1" si="2"/>
        <v>1</v>
      </c>
      <c r="L36" s="54">
        <f ca="1">IFERROR(__xludf.DUMMYFUNCTION("""COMPUTED_VALUE"""),0)</f>
        <v>0</v>
      </c>
      <c r="M36" s="51">
        <f t="shared" ca="1" si="3"/>
        <v>0</v>
      </c>
      <c r="N36" s="54">
        <f ca="1">IFERROR(__xludf.DUMMYFUNCTION("""COMPUTED_VALUE"""),34)</f>
        <v>34</v>
      </c>
      <c r="O36" s="54">
        <f ca="1">IFERROR(__xludf.DUMMYFUNCTION("""COMPUTED_VALUE"""),1)</f>
        <v>1</v>
      </c>
      <c r="P36" s="51">
        <f t="shared" ca="1" si="4"/>
        <v>2.9411764705882353E-2</v>
      </c>
      <c r="Q36" s="54">
        <f ca="1">IFERROR(__xludf.DUMMYFUNCTION("""COMPUTED_VALUE"""),0)</f>
        <v>0</v>
      </c>
      <c r="R36" s="51">
        <f t="shared" ca="1" si="5"/>
        <v>0</v>
      </c>
      <c r="S36" s="53"/>
      <c r="T36" s="53"/>
      <c r="U36" s="51" t="str">
        <f t="shared" si="6"/>
        <v/>
      </c>
      <c r="V36" s="53"/>
      <c r="W36" s="51" t="str">
        <f t="shared" si="7"/>
        <v/>
      </c>
      <c r="X36" s="53"/>
      <c r="Y36" s="51" t="str">
        <f t="shared" si="8"/>
        <v/>
      </c>
      <c r="Z36" s="2"/>
      <c r="AA36" s="2"/>
      <c r="AB36" s="2"/>
      <c r="AC36" s="2"/>
      <c r="AD36" s="2"/>
      <c r="AE36" s="2"/>
    </row>
    <row r="37" spans="1:31" ht="12.75" x14ac:dyDescent="0.2">
      <c r="A37" s="53">
        <f ca="1">IFERROR(__xludf.DUMMYFUNCTION("""COMPUTED_VALUE"""),31)</f>
        <v>31</v>
      </c>
      <c r="B37" s="53" t="str">
        <f ca="1">IFERROR(__xludf.DUMMYFUNCTION("""COMPUTED_VALUE"""),"Mẫu giáo Đa Minh")</f>
        <v>Mẫu giáo Đa Minh</v>
      </c>
      <c r="C37" s="53" t="str">
        <f ca="1">IFERROR(__xludf.DUMMYFUNCTION("""COMPUTED_VALUE"""),"MN")</f>
        <v>MN</v>
      </c>
      <c r="D37" s="53" t="str">
        <f ca="1">IFERROR(__xludf.DUMMYFUNCTION("""COMPUTED_VALUE"""),"PHÚ NHUẬN")</f>
        <v>PHÚ NHUẬN</v>
      </c>
      <c r="E37" s="54">
        <f ca="1">IFERROR(__xludf.DUMMYFUNCTION("""COMPUTED_VALUE"""),8)</f>
        <v>8</v>
      </c>
      <c r="F37" s="54">
        <f ca="1">IFERROR(__xludf.DUMMYFUNCTION("""COMPUTED_VALUE"""),6)</f>
        <v>6</v>
      </c>
      <c r="G37" s="51">
        <f t="shared" ca="1" si="0"/>
        <v>0.75</v>
      </c>
      <c r="H37" s="54">
        <f ca="1">IFERROR(__xludf.DUMMYFUNCTION("""COMPUTED_VALUE"""),6)</f>
        <v>6</v>
      </c>
      <c r="I37" s="51">
        <f t="shared" ca="1" si="1"/>
        <v>0.75</v>
      </c>
      <c r="J37" s="54">
        <f ca="1">IFERROR(__xludf.DUMMYFUNCTION("""COMPUTED_VALUE"""),6)</f>
        <v>6</v>
      </c>
      <c r="K37" s="51">
        <f t="shared" ca="1" si="2"/>
        <v>0.75</v>
      </c>
      <c r="L37" s="54">
        <f ca="1">IFERROR(__xludf.DUMMYFUNCTION("""COMPUTED_VALUE"""),0)</f>
        <v>0</v>
      </c>
      <c r="M37" s="51">
        <f t="shared" ca="1" si="3"/>
        <v>0</v>
      </c>
      <c r="N37" s="54">
        <f ca="1">IFERROR(__xludf.DUMMYFUNCTION("""COMPUTED_VALUE"""),23)</f>
        <v>23</v>
      </c>
      <c r="O37" s="54">
        <f ca="1">IFERROR(__xludf.DUMMYFUNCTION("""COMPUTED_VALUE"""),3)</f>
        <v>3</v>
      </c>
      <c r="P37" s="51">
        <f t="shared" ca="1" si="4"/>
        <v>0.13043478260869565</v>
      </c>
      <c r="Q37" s="54">
        <f ca="1">IFERROR(__xludf.DUMMYFUNCTION("""COMPUTED_VALUE"""),0)</f>
        <v>0</v>
      </c>
      <c r="R37" s="51">
        <f t="shared" ca="1" si="5"/>
        <v>0</v>
      </c>
      <c r="S37" s="53"/>
      <c r="T37" s="53"/>
      <c r="U37" s="51" t="str">
        <f t="shared" si="6"/>
        <v/>
      </c>
      <c r="V37" s="53"/>
      <c r="W37" s="51" t="str">
        <f t="shared" si="7"/>
        <v/>
      </c>
      <c r="X37" s="53"/>
      <c r="Y37" s="51" t="str">
        <f t="shared" si="8"/>
        <v/>
      </c>
      <c r="Z37" s="2"/>
      <c r="AA37" s="2"/>
      <c r="AB37" s="2"/>
      <c r="AC37" s="2"/>
      <c r="AD37" s="2"/>
      <c r="AE37" s="2"/>
    </row>
    <row r="38" spans="1:31" ht="12.75" x14ac:dyDescent="0.2">
      <c r="A38" s="53">
        <f ca="1">IFERROR(__xludf.DUMMYFUNCTION("""COMPUTED_VALUE"""),32)</f>
        <v>32</v>
      </c>
      <c r="B38" s="53" t="str">
        <f ca="1">IFERROR(__xludf.DUMMYFUNCTION("""COMPUTED_VALUE"""),"Mẫu giáo Họa Mi 14A")</f>
        <v>Mẫu giáo Họa Mi 14A</v>
      </c>
      <c r="C38" s="53" t="str">
        <f ca="1">IFERROR(__xludf.DUMMYFUNCTION("""COMPUTED_VALUE"""),"MN")</f>
        <v>MN</v>
      </c>
      <c r="D38" s="53" t="str">
        <f ca="1">IFERROR(__xludf.DUMMYFUNCTION("""COMPUTED_VALUE"""),"PHÚ NHUẬN")</f>
        <v>PHÚ NHUẬN</v>
      </c>
      <c r="E38" s="54">
        <f ca="1">IFERROR(__xludf.DUMMYFUNCTION("""COMPUTED_VALUE"""),18)</f>
        <v>18</v>
      </c>
      <c r="F38" s="54">
        <f ca="1">IFERROR(__xludf.DUMMYFUNCTION("""COMPUTED_VALUE"""),18)</f>
        <v>18</v>
      </c>
      <c r="G38" s="51">
        <f t="shared" ca="1" si="0"/>
        <v>1</v>
      </c>
      <c r="H38" s="54">
        <f ca="1">IFERROR(__xludf.DUMMYFUNCTION("""COMPUTED_VALUE"""),18)</f>
        <v>18</v>
      </c>
      <c r="I38" s="51">
        <f t="shared" ca="1" si="1"/>
        <v>1</v>
      </c>
      <c r="J38" s="54">
        <f ca="1">IFERROR(__xludf.DUMMYFUNCTION("""COMPUTED_VALUE"""),18)</f>
        <v>18</v>
      </c>
      <c r="K38" s="51">
        <f t="shared" ca="1" si="2"/>
        <v>1</v>
      </c>
      <c r="L38" s="54">
        <f ca="1">IFERROR(__xludf.DUMMYFUNCTION("""COMPUTED_VALUE"""),2)</f>
        <v>2</v>
      </c>
      <c r="M38" s="51">
        <f t="shared" ca="1" si="3"/>
        <v>0.1111111111111111</v>
      </c>
      <c r="N38" s="54">
        <f ca="1">IFERROR(__xludf.DUMMYFUNCTION("""COMPUTED_VALUE"""),62)</f>
        <v>62</v>
      </c>
      <c r="O38" s="54">
        <f ca="1">IFERROR(__xludf.DUMMYFUNCTION("""COMPUTED_VALUE"""),3)</f>
        <v>3</v>
      </c>
      <c r="P38" s="51">
        <f t="shared" ca="1" si="4"/>
        <v>4.8387096774193547E-2</v>
      </c>
      <c r="Q38" s="54">
        <f ca="1">IFERROR(__xludf.DUMMYFUNCTION("""COMPUTED_VALUE"""),0)</f>
        <v>0</v>
      </c>
      <c r="R38" s="51">
        <f t="shared" ca="1" si="5"/>
        <v>0</v>
      </c>
      <c r="S38" s="53"/>
      <c r="T38" s="53"/>
      <c r="U38" s="51" t="str">
        <f t="shared" si="6"/>
        <v/>
      </c>
      <c r="V38" s="53"/>
      <c r="W38" s="51" t="str">
        <f t="shared" si="7"/>
        <v/>
      </c>
      <c r="X38" s="53"/>
      <c r="Y38" s="51" t="str">
        <f t="shared" si="8"/>
        <v/>
      </c>
      <c r="Z38" s="2"/>
      <c r="AA38" s="2"/>
      <c r="AB38" s="2"/>
      <c r="AC38" s="2"/>
      <c r="AD38" s="2"/>
      <c r="AE38" s="2"/>
    </row>
    <row r="39" spans="1:31" ht="12.75" x14ac:dyDescent="0.2">
      <c r="A39" s="53">
        <f ca="1">IFERROR(__xludf.DUMMYFUNCTION("""COMPUTED_VALUE"""),33)</f>
        <v>33</v>
      </c>
      <c r="B39" s="53" t="str">
        <f ca="1">IFERROR(__xludf.DUMMYFUNCTION("""COMPUTED_VALUE"""),"Mẫu giáo Sơn Ca 5")</f>
        <v>Mẫu giáo Sơn Ca 5</v>
      </c>
      <c r="C39" s="53" t="str">
        <f ca="1">IFERROR(__xludf.DUMMYFUNCTION("""COMPUTED_VALUE"""),"MN")</f>
        <v>MN</v>
      </c>
      <c r="D39" s="53" t="str">
        <f ca="1">IFERROR(__xludf.DUMMYFUNCTION("""COMPUTED_VALUE"""),"PHÚ NHUẬN")</f>
        <v>PHÚ NHUẬN</v>
      </c>
      <c r="E39" s="54">
        <f ca="1">IFERROR(__xludf.DUMMYFUNCTION("""COMPUTED_VALUE"""),76)</f>
        <v>76</v>
      </c>
      <c r="F39" s="54">
        <f ca="1">IFERROR(__xludf.DUMMYFUNCTION("""COMPUTED_VALUE"""),76)</f>
        <v>76</v>
      </c>
      <c r="G39" s="51">
        <f t="shared" ca="1" si="0"/>
        <v>1</v>
      </c>
      <c r="H39" s="54">
        <f ca="1">IFERROR(__xludf.DUMMYFUNCTION("""COMPUTED_VALUE"""),76)</f>
        <v>76</v>
      </c>
      <c r="I39" s="51">
        <f t="shared" ca="1" si="1"/>
        <v>1</v>
      </c>
      <c r="J39" s="54">
        <f ca="1">IFERROR(__xludf.DUMMYFUNCTION("""COMPUTED_VALUE"""),76)</f>
        <v>76</v>
      </c>
      <c r="K39" s="51">
        <f t="shared" ca="1" si="2"/>
        <v>1</v>
      </c>
      <c r="L39" s="54">
        <f ca="1">IFERROR(__xludf.DUMMYFUNCTION("""COMPUTED_VALUE"""),73)</f>
        <v>73</v>
      </c>
      <c r="M39" s="51">
        <f t="shared" ca="1" si="3"/>
        <v>0.96052631578947367</v>
      </c>
      <c r="N39" s="54">
        <f ca="1">IFERROR(__xludf.DUMMYFUNCTION("""COMPUTED_VALUE"""),79)</f>
        <v>79</v>
      </c>
      <c r="O39" s="54">
        <f ca="1">IFERROR(__xludf.DUMMYFUNCTION("""COMPUTED_VALUE"""),16)</f>
        <v>16</v>
      </c>
      <c r="P39" s="51">
        <f t="shared" ca="1" si="4"/>
        <v>0.20253164556962025</v>
      </c>
      <c r="Q39" s="54">
        <f ca="1">IFERROR(__xludf.DUMMYFUNCTION("""COMPUTED_VALUE"""),0)</f>
        <v>0</v>
      </c>
      <c r="R39" s="51">
        <f t="shared" ca="1" si="5"/>
        <v>0</v>
      </c>
      <c r="S39" s="53"/>
      <c r="T39" s="53"/>
      <c r="U39" s="51" t="str">
        <f t="shared" si="6"/>
        <v/>
      </c>
      <c r="V39" s="53"/>
      <c r="W39" s="51" t="str">
        <f t="shared" si="7"/>
        <v/>
      </c>
      <c r="X39" s="53"/>
      <c r="Y39" s="51" t="str">
        <f t="shared" si="8"/>
        <v/>
      </c>
      <c r="Z39" s="2"/>
      <c r="AA39" s="2"/>
      <c r="AB39" s="2"/>
      <c r="AC39" s="2"/>
      <c r="AD39" s="2"/>
      <c r="AE39" s="2"/>
    </row>
    <row r="40" spans="1:31" ht="12.75" x14ac:dyDescent="0.2">
      <c r="A40" s="53">
        <f ca="1">IFERROR(__xludf.DUMMYFUNCTION("""COMPUTED_VALUE"""),34)</f>
        <v>34</v>
      </c>
      <c r="B40" s="53" t="str">
        <f ca="1">IFERROR(__xludf.DUMMYFUNCTION("""COMPUTED_VALUE"""),"Mẫu giáo Họa Mi 1")</f>
        <v>Mẫu giáo Họa Mi 1</v>
      </c>
      <c r="C40" s="53" t="str">
        <f ca="1">IFERROR(__xludf.DUMMYFUNCTION("""COMPUTED_VALUE"""),"MN")</f>
        <v>MN</v>
      </c>
      <c r="D40" s="53" t="str">
        <f ca="1">IFERROR(__xludf.DUMMYFUNCTION("""COMPUTED_VALUE"""),"PHÚ NHUẬN")</f>
        <v>PHÚ NHUẬN</v>
      </c>
      <c r="E40" s="54">
        <f ca="1">IFERROR(__xludf.DUMMYFUNCTION("""COMPUTED_VALUE"""),6)</f>
        <v>6</v>
      </c>
      <c r="F40" s="54">
        <f ca="1">IFERROR(__xludf.DUMMYFUNCTION("""COMPUTED_VALUE"""),6)</f>
        <v>6</v>
      </c>
      <c r="G40" s="51">
        <f t="shared" ca="1" si="0"/>
        <v>1</v>
      </c>
      <c r="H40" s="54">
        <f ca="1">IFERROR(__xludf.DUMMYFUNCTION("""COMPUTED_VALUE"""),6)</f>
        <v>6</v>
      </c>
      <c r="I40" s="51">
        <f t="shared" ca="1" si="1"/>
        <v>1</v>
      </c>
      <c r="J40" s="54">
        <f ca="1">IFERROR(__xludf.DUMMYFUNCTION("""COMPUTED_VALUE"""),2)</f>
        <v>2</v>
      </c>
      <c r="K40" s="51">
        <f t="shared" ca="1" si="2"/>
        <v>0.33333333333333331</v>
      </c>
      <c r="L40" s="54">
        <f ca="1">IFERROR(__xludf.DUMMYFUNCTION("""COMPUTED_VALUE"""),3)</f>
        <v>3</v>
      </c>
      <c r="M40" s="51">
        <f t="shared" ca="1" si="3"/>
        <v>0.5</v>
      </c>
      <c r="N40" s="54">
        <f ca="1">IFERROR(__xludf.DUMMYFUNCTION("""COMPUTED_VALUE"""),18)</f>
        <v>18</v>
      </c>
      <c r="O40" s="54">
        <f ca="1">IFERROR(__xludf.DUMMYFUNCTION("""COMPUTED_VALUE"""),2)</f>
        <v>2</v>
      </c>
      <c r="P40" s="51">
        <f t="shared" ca="1" si="4"/>
        <v>0.1111111111111111</v>
      </c>
      <c r="Q40" s="54">
        <f ca="1">IFERROR(__xludf.DUMMYFUNCTION("""COMPUTED_VALUE"""),2)</f>
        <v>2</v>
      </c>
      <c r="R40" s="51">
        <f t="shared" ca="1" si="5"/>
        <v>0.1111111111111111</v>
      </c>
      <c r="S40" s="53"/>
      <c r="T40" s="53"/>
      <c r="U40" s="51" t="str">
        <f t="shared" si="6"/>
        <v/>
      </c>
      <c r="V40" s="53"/>
      <c r="W40" s="51" t="str">
        <f t="shared" si="7"/>
        <v/>
      </c>
      <c r="X40" s="53"/>
      <c r="Y40" s="51" t="str">
        <f t="shared" si="8"/>
        <v/>
      </c>
      <c r="Z40" s="2"/>
      <c r="AA40" s="2"/>
      <c r="AB40" s="2"/>
      <c r="AC40" s="2"/>
      <c r="AD40" s="2"/>
      <c r="AE40" s="2"/>
    </row>
    <row r="41" spans="1:31" ht="12.75" x14ac:dyDescent="0.2">
      <c r="A41" s="53">
        <f ca="1">IFERROR(__xludf.DUMMYFUNCTION("""COMPUTED_VALUE"""),35)</f>
        <v>35</v>
      </c>
      <c r="B41" s="53" t="str">
        <f ca="1">IFERROR(__xludf.DUMMYFUNCTION("""COMPUTED_VALUE"""),"Mầm non Học Viện Toàn Cầu")</f>
        <v>Mầm non Học Viện Toàn Cầu</v>
      </c>
      <c r="C41" s="53" t="str">
        <f ca="1">IFERROR(__xludf.DUMMYFUNCTION("""COMPUTED_VALUE"""),"MN")</f>
        <v>MN</v>
      </c>
      <c r="D41" s="53" t="str">
        <f ca="1">IFERROR(__xludf.DUMMYFUNCTION("""COMPUTED_VALUE"""),"PHÚ NHUẬN")</f>
        <v>PHÚ NHUẬN</v>
      </c>
      <c r="E41" s="54">
        <f ca="1">IFERROR(__xludf.DUMMYFUNCTION("""COMPUTED_VALUE"""),12)</f>
        <v>12</v>
      </c>
      <c r="F41" s="54">
        <f ca="1">IFERROR(__xludf.DUMMYFUNCTION("""COMPUTED_VALUE"""),12)</f>
        <v>12</v>
      </c>
      <c r="G41" s="51">
        <f t="shared" ca="1" si="0"/>
        <v>1</v>
      </c>
      <c r="H41" s="54">
        <f ca="1">IFERROR(__xludf.DUMMYFUNCTION("""COMPUTED_VALUE"""),12)</f>
        <v>12</v>
      </c>
      <c r="I41" s="51">
        <f t="shared" ca="1" si="1"/>
        <v>1</v>
      </c>
      <c r="J41" s="54">
        <f ca="1">IFERROR(__xludf.DUMMYFUNCTION("""COMPUTED_VALUE"""),6)</f>
        <v>6</v>
      </c>
      <c r="K41" s="51">
        <f t="shared" ca="1" si="2"/>
        <v>0.5</v>
      </c>
      <c r="L41" s="54">
        <f ca="1">IFERROR(__xludf.DUMMYFUNCTION("""COMPUTED_VALUE"""),2)</f>
        <v>2</v>
      </c>
      <c r="M41" s="51">
        <f t="shared" ca="1" si="3"/>
        <v>0.16666666666666666</v>
      </c>
      <c r="N41" s="54">
        <f ca="1">IFERROR(__xludf.DUMMYFUNCTION("""COMPUTED_VALUE"""),6)</f>
        <v>6</v>
      </c>
      <c r="O41" s="54">
        <f ca="1">IFERROR(__xludf.DUMMYFUNCTION("""COMPUTED_VALUE"""),0)</f>
        <v>0</v>
      </c>
      <c r="P41" s="51">
        <f t="shared" ca="1" si="4"/>
        <v>0</v>
      </c>
      <c r="Q41" s="54">
        <f ca="1">IFERROR(__xludf.DUMMYFUNCTION("""COMPUTED_VALUE"""),0)</f>
        <v>0</v>
      </c>
      <c r="R41" s="51">
        <f t="shared" ca="1" si="5"/>
        <v>0</v>
      </c>
      <c r="S41" s="53"/>
      <c r="T41" s="53"/>
      <c r="U41" s="51" t="str">
        <f t="shared" si="6"/>
        <v/>
      </c>
      <c r="V41" s="53"/>
      <c r="W41" s="51" t="str">
        <f t="shared" si="7"/>
        <v/>
      </c>
      <c r="X41" s="53"/>
      <c r="Y41" s="51" t="str">
        <f t="shared" si="8"/>
        <v/>
      </c>
      <c r="Z41" s="2"/>
      <c r="AA41" s="2"/>
      <c r="AB41" s="2"/>
      <c r="AC41" s="2"/>
      <c r="AD41" s="2"/>
      <c r="AE41" s="2"/>
    </row>
    <row r="42" spans="1:31" ht="12.75" x14ac:dyDescent="0.2">
      <c r="A42" s="53">
        <f ca="1">IFERROR(__xludf.DUMMYFUNCTION("""COMPUTED_VALUE"""),36)</f>
        <v>36</v>
      </c>
      <c r="B42" s="53" t="str">
        <f ca="1">IFERROR(__xludf.DUMMYFUNCTION("""COMPUTED_VALUE"""),"Mầm non Tổ Ong Vàng")</f>
        <v>Mầm non Tổ Ong Vàng</v>
      </c>
      <c r="C42" s="53" t="str">
        <f ca="1">IFERROR(__xludf.DUMMYFUNCTION("""COMPUTED_VALUE"""),"MN")</f>
        <v>MN</v>
      </c>
      <c r="D42" s="53" t="str">
        <f ca="1">IFERROR(__xludf.DUMMYFUNCTION("""COMPUTED_VALUE"""),"PHÚ NHUẬN")</f>
        <v>PHÚ NHUẬN</v>
      </c>
      <c r="E42" s="54">
        <f ca="1">IFERROR(__xludf.DUMMYFUNCTION("""COMPUTED_VALUE"""),14)</f>
        <v>14</v>
      </c>
      <c r="F42" s="54">
        <f ca="1">IFERROR(__xludf.DUMMYFUNCTION("""COMPUTED_VALUE"""),14)</f>
        <v>14</v>
      </c>
      <c r="G42" s="51">
        <f t="shared" ca="1" si="0"/>
        <v>1</v>
      </c>
      <c r="H42" s="54">
        <f ca="1">IFERROR(__xludf.DUMMYFUNCTION("""COMPUTED_VALUE"""),14)</f>
        <v>14</v>
      </c>
      <c r="I42" s="51">
        <f t="shared" ca="1" si="1"/>
        <v>1</v>
      </c>
      <c r="J42" s="54">
        <f ca="1">IFERROR(__xludf.DUMMYFUNCTION("""COMPUTED_VALUE"""),7)</f>
        <v>7</v>
      </c>
      <c r="K42" s="51">
        <f t="shared" ca="1" si="2"/>
        <v>0.5</v>
      </c>
      <c r="L42" s="54">
        <f ca="1">IFERROR(__xludf.DUMMYFUNCTION("""COMPUTED_VALUE"""),0)</f>
        <v>0</v>
      </c>
      <c r="M42" s="51">
        <f t="shared" ca="1" si="3"/>
        <v>0</v>
      </c>
      <c r="N42" s="54">
        <f ca="1">IFERROR(__xludf.DUMMYFUNCTION("""COMPUTED_VALUE"""),12)</f>
        <v>12</v>
      </c>
      <c r="O42" s="54">
        <f ca="1">IFERROR(__xludf.DUMMYFUNCTION("""COMPUTED_VALUE"""),0)</f>
        <v>0</v>
      </c>
      <c r="P42" s="51">
        <f t="shared" ca="1" si="4"/>
        <v>0</v>
      </c>
      <c r="Q42" s="54">
        <f ca="1">IFERROR(__xludf.DUMMYFUNCTION("""COMPUTED_VALUE"""),0)</f>
        <v>0</v>
      </c>
      <c r="R42" s="51">
        <f t="shared" ca="1" si="5"/>
        <v>0</v>
      </c>
      <c r="S42" s="53"/>
      <c r="T42" s="53"/>
      <c r="U42" s="51" t="str">
        <f t="shared" si="6"/>
        <v/>
      </c>
      <c r="V42" s="53"/>
      <c r="W42" s="51" t="str">
        <f t="shared" si="7"/>
        <v/>
      </c>
      <c r="X42" s="53"/>
      <c r="Y42" s="51" t="str">
        <f t="shared" si="8"/>
        <v/>
      </c>
      <c r="Z42" s="2"/>
      <c r="AA42" s="2"/>
      <c r="AB42" s="2"/>
      <c r="AC42" s="2"/>
      <c r="AD42" s="2"/>
      <c r="AE42" s="2"/>
    </row>
    <row r="43" spans="1:31" ht="12.75" x14ac:dyDescent="0.2">
      <c r="A43" s="53">
        <f ca="1">IFERROR(__xludf.DUMMYFUNCTION("""COMPUTED_VALUE"""),37)</f>
        <v>37</v>
      </c>
      <c r="B43" s="53" t="str">
        <f ca="1">IFERROR(__xludf.DUMMYFUNCTION("""COMPUTED_VALUE"""),"Mầm non Bầu Trời Xanh")</f>
        <v>Mầm non Bầu Trời Xanh</v>
      </c>
      <c r="C43" s="53" t="str">
        <f ca="1">IFERROR(__xludf.DUMMYFUNCTION("""COMPUTED_VALUE"""),"MN")</f>
        <v>MN</v>
      </c>
      <c r="D43" s="53" t="str">
        <f ca="1">IFERROR(__xludf.DUMMYFUNCTION("""COMPUTED_VALUE"""),"PHÚ NHUẬN")</f>
        <v>PHÚ NHUẬN</v>
      </c>
      <c r="E43" s="54">
        <f ca="1">IFERROR(__xludf.DUMMYFUNCTION("""COMPUTED_VALUE"""),21)</f>
        <v>21</v>
      </c>
      <c r="F43" s="54">
        <f ca="1">IFERROR(__xludf.DUMMYFUNCTION("""COMPUTED_VALUE"""),21)</f>
        <v>21</v>
      </c>
      <c r="G43" s="51">
        <f t="shared" ca="1" si="0"/>
        <v>1</v>
      </c>
      <c r="H43" s="54">
        <f ca="1">IFERROR(__xludf.DUMMYFUNCTION("""COMPUTED_VALUE"""),21)</f>
        <v>21</v>
      </c>
      <c r="I43" s="51">
        <f t="shared" ca="1" si="1"/>
        <v>1</v>
      </c>
      <c r="J43" s="54">
        <f ca="1">IFERROR(__xludf.DUMMYFUNCTION("""COMPUTED_VALUE"""),21)</f>
        <v>21</v>
      </c>
      <c r="K43" s="51">
        <f t="shared" ca="1" si="2"/>
        <v>1</v>
      </c>
      <c r="L43" s="54">
        <f ca="1">IFERROR(__xludf.DUMMYFUNCTION("""COMPUTED_VALUE"""),6)</f>
        <v>6</v>
      </c>
      <c r="M43" s="51">
        <f t="shared" ca="1" si="3"/>
        <v>0.2857142857142857</v>
      </c>
      <c r="N43" s="54">
        <f ca="1">IFERROR(__xludf.DUMMYFUNCTION("""COMPUTED_VALUE"""),12)</f>
        <v>12</v>
      </c>
      <c r="O43" s="54">
        <f ca="1">IFERROR(__xludf.DUMMYFUNCTION("""COMPUTED_VALUE"""),0)</f>
        <v>0</v>
      </c>
      <c r="P43" s="51">
        <f t="shared" ca="1" si="4"/>
        <v>0</v>
      </c>
      <c r="Q43" s="54">
        <f ca="1">IFERROR(__xludf.DUMMYFUNCTION("""COMPUTED_VALUE"""),0)</f>
        <v>0</v>
      </c>
      <c r="R43" s="51">
        <f t="shared" ca="1" si="5"/>
        <v>0</v>
      </c>
      <c r="S43" s="53"/>
      <c r="T43" s="53"/>
      <c r="U43" s="51" t="str">
        <f t="shared" si="6"/>
        <v/>
      </c>
      <c r="V43" s="53"/>
      <c r="W43" s="51" t="str">
        <f t="shared" si="7"/>
        <v/>
      </c>
      <c r="X43" s="53"/>
      <c r="Y43" s="51" t="str">
        <f t="shared" si="8"/>
        <v/>
      </c>
      <c r="Z43" s="2"/>
      <c r="AA43" s="2"/>
      <c r="AB43" s="2"/>
      <c r="AC43" s="2"/>
      <c r="AD43" s="2"/>
      <c r="AE43" s="2"/>
    </row>
    <row r="44" spans="1:31" ht="12.75" x14ac:dyDescent="0.2">
      <c r="A44" s="53">
        <f ca="1">IFERROR(__xludf.DUMMYFUNCTION("""COMPUTED_VALUE"""),38)</f>
        <v>38</v>
      </c>
      <c r="B44" s="53" t="str">
        <f ca="1">IFERROR(__xludf.DUMMYFUNCTION("""COMPUTED_VALUE"""),"Mầm non Cộng Đồng Tí Hon")</f>
        <v>Mầm non Cộng Đồng Tí Hon</v>
      </c>
      <c r="C44" s="53" t="str">
        <f ca="1">IFERROR(__xludf.DUMMYFUNCTION("""COMPUTED_VALUE"""),"MN")</f>
        <v>MN</v>
      </c>
      <c r="D44" s="53" t="str">
        <f ca="1">IFERROR(__xludf.DUMMYFUNCTION("""COMPUTED_VALUE"""),"PHÚ NHUẬN")</f>
        <v>PHÚ NHUẬN</v>
      </c>
      <c r="E44" s="54">
        <f ca="1">IFERROR(__xludf.DUMMYFUNCTION("""COMPUTED_VALUE"""),16)</f>
        <v>16</v>
      </c>
      <c r="F44" s="54">
        <f ca="1">IFERROR(__xludf.DUMMYFUNCTION("""COMPUTED_VALUE"""),16)</f>
        <v>16</v>
      </c>
      <c r="G44" s="51">
        <f t="shared" ca="1" si="0"/>
        <v>1</v>
      </c>
      <c r="H44" s="54">
        <f ca="1">IFERROR(__xludf.DUMMYFUNCTION("""COMPUTED_VALUE"""),16)</f>
        <v>16</v>
      </c>
      <c r="I44" s="51">
        <f t="shared" ca="1" si="1"/>
        <v>1</v>
      </c>
      <c r="J44" s="54">
        <f ca="1">IFERROR(__xludf.DUMMYFUNCTION("""COMPUTED_VALUE"""),16)</f>
        <v>16</v>
      </c>
      <c r="K44" s="51">
        <f t="shared" ca="1" si="2"/>
        <v>1</v>
      </c>
      <c r="L44" s="54">
        <f ca="1">IFERROR(__xludf.DUMMYFUNCTION("""COMPUTED_VALUE"""),0)</f>
        <v>0</v>
      </c>
      <c r="M44" s="51">
        <f t="shared" ca="1" si="3"/>
        <v>0</v>
      </c>
      <c r="N44" s="54">
        <f ca="1">IFERROR(__xludf.DUMMYFUNCTION("""COMPUTED_VALUE"""),8)</f>
        <v>8</v>
      </c>
      <c r="O44" s="54">
        <f ca="1">IFERROR(__xludf.DUMMYFUNCTION("""COMPUTED_VALUE"""),0)</f>
        <v>0</v>
      </c>
      <c r="P44" s="51">
        <f t="shared" ca="1" si="4"/>
        <v>0</v>
      </c>
      <c r="Q44" s="54">
        <f ca="1">IFERROR(__xludf.DUMMYFUNCTION("""COMPUTED_VALUE"""),0)</f>
        <v>0</v>
      </c>
      <c r="R44" s="51">
        <f t="shared" ca="1" si="5"/>
        <v>0</v>
      </c>
      <c r="S44" s="53"/>
      <c r="T44" s="53"/>
      <c r="U44" s="51" t="str">
        <f t="shared" si="6"/>
        <v/>
      </c>
      <c r="V44" s="53"/>
      <c r="W44" s="51" t="str">
        <f t="shared" si="7"/>
        <v/>
      </c>
      <c r="X44" s="53"/>
      <c r="Y44" s="51" t="str">
        <f t="shared" si="8"/>
        <v/>
      </c>
      <c r="Z44" s="2"/>
      <c r="AA44" s="2"/>
      <c r="AB44" s="2"/>
      <c r="AC44" s="2"/>
      <c r="AD44" s="2"/>
      <c r="AE44" s="2"/>
    </row>
    <row r="45" spans="1:31" ht="12.75" x14ac:dyDescent="0.2">
      <c r="A45" s="52" t="str">
        <f ca="1">IFERROR(__xludf.DUMMYFUNCTION("""COMPUTED_VALUE"""),"Tiểu học")</f>
        <v>Tiểu học</v>
      </c>
      <c r="B45" s="53"/>
      <c r="C45" s="53"/>
      <c r="D45" s="53"/>
      <c r="E45" s="54">
        <f ca="1">IFERROR(__xludf.DUMMYFUNCTION("""COMPUTED_VALUE"""),619)</f>
        <v>619</v>
      </c>
      <c r="F45" s="54">
        <f ca="1">IFERROR(__xludf.DUMMYFUNCTION("""COMPUTED_VALUE"""),612)</f>
        <v>612</v>
      </c>
      <c r="G45" s="51">
        <f t="shared" ca="1" si="0"/>
        <v>0.98869143780290791</v>
      </c>
      <c r="H45" s="54">
        <f ca="1">IFERROR(__xludf.DUMMYFUNCTION("""COMPUTED_VALUE"""),612)</f>
        <v>612</v>
      </c>
      <c r="I45" s="51">
        <f t="shared" ca="1" si="1"/>
        <v>0.98869143780290791</v>
      </c>
      <c r="J45" s="54">
        <f ca="1">IFERROR(__xludf.DUMMYFUNCTION("""COMPUTED_VALUE"""),586)</f>
        <v>586</v>
      </c>
      <c r="K45" s="51">
        <f t="shared" ca="1" si="2"/>
        <v>0.94668820678513732</v>
      </c>
      <c r="L45" s="54">
        <f ca="1">IFERROR(__xludf.DUMMYFUNCTION("""COMPUTED_VALUE"""),300)</f>
        <v>300</v>
      </c>
      <c r="M45" s="51">
        <f t="shared" ca="1" si="3"/>
        <v>0.48465266558966075</v>
      </c>
      <c r="N45" s="54">
        <f ca="1">IFERROR(__xludf.DUMMYFUNCTION("""COMPUTED_VALUE"""),10243)</f>
        <v>10243</v>
      </c>
      <c r="O45" s="54">
        <f ca="1">IFERROR(__xludf.DUMMYFUNCTION("""COMPUTED_VALUE"""),5272)</f>
        <v>5272</v>
      </c>
      <c r="P45" s="51">
        <f t="shared" ca="1" si="4"/>
        <v>0.51469296104656836</v>
      </c>
      <c r="Q45" s="54">
        <f ca="1">IFERROR(__xludf.DUMMYFUNCTION("""COMPUTED_VALUE"""),2860)</f>
        <v>2860</v>
      </c>
      <c r="R45" s="51">
        <f t="shared" ca="1" si="5"/>
        <v>0.27921507370887433</v>
      </c>
      <c r="S45" s="54">
        <f ca="1">IFERROR(__xludf.DUMMYFUNCTION("""COMPUTED_VALUE"""),0)</f>
        <v>0</v>
      </c>
      <c r="T45" s="54">
        <f ca="1">IFERROR(__xludf.DUMMYFUNCTION("""COMPUTED_VALUE"""),0)</f>
        <v>0</v>
      </c>
      <c r="U45" s="51" t="str">
        <f t="shared" ca="1" si="6"/>
        <v/>
      </c>
      <c r="V45" s="54">
        <f ca="1">IFERROR(__xludf.DUMMYFUNCTION("""COMPUTED_VALUE"""),0)</f>
        <v>0</v>
      </c>
      <c r="W45" s="51" t="str">
        <f t="shared" ca="1" si="7"/>
        <v/>
      </c>
      <c r="X45" s="54">
        <f ca="1">IFERROR(__xludf.DUMMYFUNCTION("""COMPUTED_VALUE"""),0)</f>
        <v>0</v>
      </c>
      <c r="Y45" s="51" t="str">
        <f t="shared" ca="1" si="8"/>
        <v/>
      </c>
      <c r="Z45" s="2"/>
      <c r="AA45" s="2"/>
      <c r="AB45" s="2"/>
      <c r="AC45" s="2"/>
      <c r="AD45" s="2"/>
      <c r="AE45" s="2"/>
    </row>
    <row r="46" spans="1:31" ht="12.75" x14ac:dyDescent="0.2">
      <c r="A46" s="53">
        <f ca="1">IFERROR(__xludf.DUMMYFUNCTION("""COMPUTED_VALUE"""),39)</f>
        <v>39</v>
      </c>
      <c r="B46" s="53" t="str">
        <f ca="1">IFERROR(__xludf.DUMMYFUNCTION("""COMPUTED_VALUE"""),"Tiểu học Cổ Loa")</f>
        <v>Tiểu học Cổ Loa</v>
      </c>
      <c r="C46" s="53" t="str">
        <f ca="1">IFERROR(__xludf.DUMMYFUNCTION("""COMPUTED_VALUE"""),"TH")</f>
        <v>TH</v>
      </c>
      <c r="D46" s="53" t="str">
        <f ca="1">IFERROR(__xludf.DUMMYFUNCTION("""COMPUTED_VALUE"""),"PHÚ NHUẬN")</f>
        <v>PHÚ NHUẬN</v>
      </c>
      <c r="E46" s="54">
        <f ca="1">IFERROR(__xludf.DUMMYFUNCTION("""COMPUTED_VALUE"""),63)</f>
        <v>63</v>
      </c>
      <c r="F46" s="54">
        <f ca="1">IFERROR(__xludf.DUMMYFUNCTION("""COMPUTED_VALUE"""),59)</f>
        <v>59</v>
      </c>
      <c r="G46" s="51">
        <f t="shared" ca="1" si="0"/>
        <v>0.93650793650793651</v>
      </c>
      <c r="H46" s="54">
        <f ca="1">IFERROR(__xludf.DUMMYFUNCTION("""COMPUTED_VALUE"""),59)</f>
        <v>59</v>
      </c>
      <c r="I46" s="51">
        <f t="shared" ca="1" si="1"/>
        <v>0.93650793650793651</v>
      </c>
      <c r="J46" s="54">
        <f ca="1">IFERROR(__xludf.DUMMYFUNCTION("""COMPUTED_VALUE"""),59)</f>
        <v>59</v>
      </c>
      <c r="K46" s="51">
        <f t="shared" ca="1" si="2"/>
        <v>0.93650793650793651</v>
      </c>
      <c r="L46" s="54">
        <f ca="1">IFERROR(__xludf.DUMMYFUNCTION("""COMPUTED_VALUE"""),38)</f>
        <v>38</v>
      </c>
      <c r="M46" s="51">
        <f t="shared" ca="1" si="3"/>
        <v>0.60317460317460314</v>
      </c>
      <c r="N46" s="54">
        <f ca="1">IFERROR(__xludf.DUMMYFUNCTION("""COMPUTED_VALUE"""),942)</f>
        <v>942</v>
      </c>
      <c r="O46" s="54">
        <f ca="1">IFERROR(__xludf.DUMMYFUNCTION("""COMPUTED_VALUE"""),467)</f>
        <v>467</v>
      </c>
      <c r="P46" s="51">
        <f t="shared" ca="1" si="4"/>
        <v>0.49575371549893843</v>
      </c>
      <c r="Q46" s="54">
        <f ca="1">IFERROR(__xludf.DUMMYFUNCTION("""COMPUTED_VALUE"""),266)</f>
        <v>266</v>
      </c>
      <c r="R46" s="51">
        <f t="shared" ca="1" si="5"/>
        <v>0.28237791932059447</v>
      </c>
      <c r="S46" s="53"/>
      <c r="T46" s="53"/>
      <c r="U46" s="51" t="str">
        <f t="shared" si="6"/>
        <v/>
      </c>
      <c r="V46" s="53"/>
      <c r="W46" s="51" t="str">
        <f t="shared" si="7"/>
        <v/>
      </c>
      <c r="X46" s="53"/>
      <c r="Y46" s="51" t="str">
        <f t="shared" si="8"/>
        <v/>
      </c>
      <c r="Z46" s="2"/>
      <c r="AA46" s="2"/>
      <c r="AB46" s="2"/>
      <c r="AC46" s="2"/>
      <c r="AD46" s="2"/>
      <c r="AE46" s="2"/>
    </row>
    <row r="47" spans="1:31" ht="12.75" x14ac:dyDescent="0.2">
      <c r="A47" s="53">
        <f ca="1">IFERROR(__xludf.DUMMYFUNCTION("""COMPUTED_VALUE"""),40)</f>
        <v>40</v>
      </c>
      <c r="B47" s="53" t="str">
        <f ca="1">IFERROR(__xludf.DUMMYFUNCTION("""COMPUTED_VALUE"""),"Tiểu học Đông Ba")</f>
        <v>Tiểu học Đông Ba</v>
      </c>
      <c r="C47" s="53" t="str">
        <f ca="1">IFERROR(__xludf.DUMMYFUNCTION("""COMPUTED_VALUE"""),"TH")</f>
        <v>TH</v>
      </c>
      <c r="D47" s="53" t="str">
        <f ca="1">IFERROR(__xludf.DUMMYFUNCTION("""COMPUTED_VALUE"""),"PHÚ NHUẬN")</f>
        <v>PHÚ NHUẬN</v>
      </c>
      <c r="E47" s="54">
        <f ca="1">IFERROR(__xludf.DUMMYFUNCTION("""COMPUTED_VALUE"""),70)</f>
        <v>70</v>
      </c>
      <c r="F47" s="54">
        <f ca="1">IFERROR(__xludf.DUMMYFUNCTION("""COMPUTED_VALUE"""),70)</f>
        <v>70</v>
      </c>
      <c r="G47" s="51">
        <f t="shared" ca="1" si="0"/>
        <v>1</v>
      </c>
      <c r="H47" s="54">
        <f ca="1">IFERROR(__xludf.DUMMYFUNCTION("""COMPUTED_VALUE"""),70)</f>
        <v>70</v>
      </c>
      <c r="I47" s="51">
        <f t="shared" ca="1" si="1"/>
        <v>1</v>
      </c>
      <c r="J47" s="54">
        <f ca="1">IFERROR(__xludf.DUMMYFUNCTION("""COMPUTED_VALUE"""),70)</f>
        <v>70</v>
      </c>
      <c r="K47" s="51">
        <f t="shared" ca="1" si="2"/>
        <v>1</v>
      </c>
      <c r="L47" s="54">
        <f ca="1">IFERROR(__xludf.DUMMYFUNCTION("""COMPUTED_VALUE"""),45)</f>
        <v>45</v>
      </c>
      <c r="M47" s="51">
        <f t="shared" ca="1" si="3"/>
        <v>0.6428571428571429</v>
      </c>
      <c r="N47" s="54">
        <f ca="1">IFERROR(__xludf.DUMMYFUNCTION("""COMPUTED_VALUE"""),1136)</f>
        <v>1136</v>
      </c>
      <c r="O47" s="54">
        <f ca="1">IFERROR(__xludf.DUMMYFUNCTION("""COMPUTED_VALUE"""),309)</f>
        <v>309</v>
      </c>
      <c r="P47" s="51">
        <f t="shared" ca="1" si="4"/>
        <v>0.27200704225352113</v>
      </c>
      <c r="Q47" s="54">
        <f ca="1">IFERROR(__xludf.DUMMYFUNCTION("""COMPUTED_VALUE"""),196)</f>
        <v>196</v>
      </c>
      <c r="R47" s="51">
        <f t="shared" ca="1" si="5"/>
        <v>0.17253521126760563</v>
      </c>
      <c r="S47" s="53"/>
      <c r="T47" s="53"/>
      <c r="U47" s="51" t="str">
        <f t="shared" si="6"/>
        <v/>
      </c>
      <c r="V47" s="53"/>
      <c r="W47" s="51" t="str">
        <f t="shared" si="7"/>
        <v/>
      </c>
      <c r="X47" s="53"/>
      <c r="Y47" s="51" t="str">
        <f t="shared" si="8"/>
        <v/>
      </c>
      <c r="Z47" s="2"/>
      <c r="AA47" s="2"/>
      <c r="AB47" s="2"/>
      <c r="AC47" s="2"/>
      <c r="AD47" s="2"/>
      <c r="AE47" s="2"/>
    </row>
    <row r="48" spans="1:31" ht="12.75" x14ac:dyDescent="0.2">
      <c r="A48" s="53">
        <f ca="1">IFERROR(__xludf.DUMMYFUNCTION("""COMPUTED_VALUE"""),41)</f>
        <v>41</v>
      </c>
      <c r="B48" s="53" t="str">
        <f ca="1">IFERROR(__xludf.DUMMYFUNCTION("""COMPUTED_VALUE"""),"Tiểu học Phạm Ngọc Thạch")</f>
        <v>Tiểu học Phạm Ngọc Thạch</v>
      </c>
      <c r="C48" s="53" t="str">
        <f ca="1">IFERROR(__xludf.DUMMYFUNCTION("""COMPUTED_VALUE"""),"TH")</f>
        <v>TH</v>
      </c>
      <c r="D48" s="53" t="str">
        <f ca="1">IFERROR(__xludf.DUMMYFUNCTION("""COMPUTED_VALUE"""),"PHÚ NHUẬN")</f>
        <v>PHÚ NHUẬN</v>
      </c>
      <c r="E48" s="54">
        <f ca="1">IFERROR(__xludf.DUMMYFUNCTION("""COMPUTED_VALUE"""),34)</f>
        <v>34</v>
      </c>
      <c r="F48" s="54">
        <f ca="1">IFERROR(__xludf.DUMMYFUNCTION("""COMPUTED_VALUE"""),34)</f>
        <v>34</v>
      </c>
      <c r="G48" s="51">
        <f t="shared" ca="1" si="0"/>
        <v>1</v>
      </c>
      <c r="H48" s="54">
        <f ca="1">IFERROR(__xludf.DUMMYFUNCTION("""COMPUTED_VALUE"""),34)</f>
        <v>34</v>
      </c>
      <c r="I48" s="51">
        <f t="shared" ca="1" si="1"/>
        <v>1</v>
      </c>
      <c r="J48" s="54">
        <f ca="1">IFERROR(__xludf.DUMMYFUNCTION("""COMPUTED_VALUE"""),31)</f>
        <v>31</v>
      </c>
      <c r="K48" s="51">
        <f t="shared" ca="1" si="2"/>
        <v>0.91176470588235292</v>
      </c>
      <c r="L48" s="54">
        <f ca="1">IFERROR(__xludf.DUMMYFUNCTION("""COMPUTED_VALUE"""),20)</f>
        <v>20</v>
      </c>
      <c r="M48" s="51">
        <f t="shared" ca="1" si="3"/>
        <v>0.58823529411764708</v>
      </c>
      <c r="N48" s="54">
        <f ca="1">IFERROR(__xludf.DUMMYFUNCTION("""COMPUTED_VALUE"""),447)</f>
        <v>447</v>
      </c>
      <c r="O48" s="54">
        <f ca="1">IFERROR(__xludf.DUMMYFUNCTION("""COMPUTED_VALUE"""),233)</f>
        <v>233</v>
      </c>
      <c r="P48" s="51">
        <f t="shared" ca="1" si="4"/>
        <v>0.52125279642058164</v>
      </c>
      <c r="Q48" s="54">
        <f ca="1">IFERROR(__xludf.DUMMYFUNCTION("""COMPUTED_VALUE"""),134)</f>
        <v>134</v>
      </c>
      <c r="R48" s="51">
        <f t="shared" ca="1" si="5"/>
        <v>0.29977628635346754</v>
      </c>
      <c r="S48" s="53"/>
      <c r="T48" s="53"/>
      <c r="U48" s="51" t="str">
        <f t="shared" si="6"/>
        <v/>
      </c>
      <c r="V48" s="53"/>
      <c r="W48" s="51" t="str">
        <f t="shared" si="7"/>
        <v/>
      </c>
      <c r="X48" s="53"/>
      <c r="Y48" s="51" t="str">
        <f t="shared" si="8"/>
        <v/>
      </c>
      <c r="Z48" s="2"/>
      <c r="AA48" s="2"/>
      <c r="AB48" s="2"/>
      <c r="AC48" s="2"/>
      <c r="AD48" s="2"/>
      <c r="AE48" s="2"/>
    </row>
    <row r="49" spans="1:31" ht="12.75" x14ac:dyDescent="0.2">
      <c r="A49" s="53">
        <f ca="1">IFERROR(__xludf.DUMMYFUNCTION("""COMPUTED_VALUE"""),42)</f>
        <v>42</v>
      </c>
      <c r="B49" s="53" t="str">
        <f ca="1">IFERROR(__xludf.DUMMYFUNCTION("""COMPUTED_VALUE"""),"Tiểu học Nguyễn Đình Chính")</f>
        <v>Tiểu học Nguyễn Đình Chính</v>
      </c>
      <c r="C49" s="53" t="str">
        <f ca="1">IFERROR(__xludf.DUMMYFUNCTION("""COMPUTED_VALUE"""),"TH")</f>
        <v>TH</v>
      </c>
      <c r="D49" s="53" t="str">
        <f ca="1">IFERROR(__xludf.DUMMYFUNCTION("""COMPUTED_VALUE"""),"PHÚ NHUẬN")</f>
        <v>PHÚ NHUẬN</v>
      </c>
      <c r="E49" s="54">
        <f ca="1">IFERROR(__xludf.DUMMYFUNCTION("""COMPUTED_VALUE"""),67)</f>
        <v>67</v>
      </c>
      <c r="F49" s="54">
        <f ca="1">IFERROR(__xludf.DUMMYFUNCTION("""COMPUTED_VALUE"""),67)</f>
        <v>67</v>
      </c>
      <c r="G49" s="51">
        <f t="shared" ca="1" si="0"/>
        <v>1</v>
      </c>
      <c r="H49" s="54">
        <f ca="1">IFERROR(__xludf.DUMMYFUNCTION("""COMPUTED_VALUE"""),67)</f>
        <v>67</v>
      </c>
      <c r="I49" s="51">
        <f t="shared" ca="1" si="1"/>
        <v>1</v>
      </c>
      <c r="J49" s="54">
        <f ca="1">IFERROR(__xludf.DUMMYFUNCTION("""COMPUTED_VALUE"""),67)</f>
        <v>67</v>
      </c>
      <c r="K49" s="51">
        <f t="shared" ca="1" si="2"/>
        <v>1</v>
      </c>
      <c r="L49" s="54">
        <f ca="1">IFERROR(__xludf.DUMMYFUNCTION("""COMPUTED_VALUE"""),52)</f>
        <v>52</v>
      </c>
      <c r="M49" s="51">
        <f t="shared" ca="1" si="3"/>
        <v>0.77611940298507465</v>
      </c>
      <c r="N49" s="54">
        <f ca="1">IFERROR(__xludf.DUMMYFUNCTION("""COMPUTED_VALUE"""),1042)</f>
        <v>1042</v>
      </c>
      <c r="O49" s="54">
        <f ca="1">IFERROR(__xludf.DUMMYFUNCTION("""COMPUTED_VALUE"""),602)</f>
        <v>602</v>
      </c>
      <c r="P49" s="51">
        <f t="shared" ca="1" si="4"/>
        <v>0.57773512476007682</v>
      </c>
      <c r="Q49" s="54">
        <f ca="1">IFERROR(__xludf.DUMMYFUNCTION("""COMPUTED_VALUE"""),261)</f>
        <v>261</v>
      </c>
      <c r="R49" s="51">
        <f t="shared" ca="1" si="5"/>
        <v>0.25047984644913629</v>
      </c>
      <c r="S49" s="53"/>
      <c r="T49" s="53"/>
      <c r="U49" s="51" t="str">
        <f t="shared" si="6"/>
        <v/>
      </c>
      <c r="V49" s="53"/>
      <c r="W49" s="51" t="str">
        <f t="shared" si="7"/>
        <v/>
      </c>
      <c r="X49" s="53"/>
      <c r="Y49" s="51" t="str">
        <f t="shared" si="8"/>
        <v/>
      </c>
      <c r="Z49" s="2"/>
      <c r="AA49" s="2"/>
      <c r="AB49" s="2"/>
      <c r="AC49" s="2"/>
      <c r="AD49" s="2"/>
      <c r="AE49" s="2"/>
    </row>
    <row r="50" spans="1:31" ht="12.75" x14ac:dyDescent="0.2">
      <c r="A50" s="53">
        <f ca="1">IFERROR(__xludf.DUMMYFUNCTION("""COMPUTED_VALUE"""),43)</f>
        <v>43</v>
      </c>
      <c r="B50" s="53" t="str">
        <f ca="1">IFERROR(__xludf.DUMMYFUNCTION("""COMPUTED_VALUE"""),"Tiểu học Lê Đình Chinh")</f>
        <v>Tiểu học Lê Đình Chinh</v>
      </c>
      <c r="C50" s="53" t="str">
        <f ca="1">IFERROR(__xludf.DUMMYFUNCTION("""COMPUTED_VALUE"""),"TH")</f>
        <v>TH</v>
      </c>
      <c r="D50" s="53" t="str">
        <f ca="1">IFERROR(__xludf.DUMMYFUNCTION("""COMPUTED_VALUE"""),"PHÚ NHUẬN")</f>
        <v>PHÚ NHUẬN</v>
      </c>
      <c r="E50" s="54">
        <f ca="1">IFERROR(__xludf.DUMMYFUNCTION("""COMPUTED_VALUE"""),23)</f>
        <v>23</v>
      </c>
      <c r="F50" s="54">
        <f ca="1">IFERROR(__xludf.DUMMYFUNCTION("""COMPUTED_VALUE"""),23)</f>
        <v>23</v>
      </c>
      <c r="G50" s="51">
        <f t="shared" ca="1" si="0"/>
        <v>1</v>
      </c>
      <c r="H50" s="54">
        <f ca="1">IFERROR(__xludf.DUMMYFUNCTION("""COMPUTED_VALUE"""),23)</f>
        <v>23</v>
      </c>
      <c r="I50" s="51">
        <f t="shared" ca="1" si="1"/>
        <v>1</v>
      </c>
      <c r="J50" s="54">
        <f ca="1">IFERROR(__xludf.DUMMYFUNCTION("""COMPUTED_VALUE"""),23)</f>
        <v>23</v>
      </c>
      <c r="K50" s="51">
        <f t="shared" ca="1" si="2"/>
        <v>1</v>
      </c>
      <c r="L50" s="54">
        <f ca="1">IFERROR(__xludf.DUMMYFUNCTION("""COMPUTED_VALUE"""),10)</f>
        <v>10</v>
      </c>
      <c r="M50" s="51">
        <f t="shared" ca="1" si="3"/>
        <v>0.43478260869565216</v>
      </c>
      <c r="N50" s="54">
        <f ca="1">IFERROR(__xludf.DUMMYFUNCTION("""COMPUTED_VALUE"""),326)</f>
        <v>326</v>
      </c>
      <c r="O50" s="54">
        <f ca="1">IFERROR(__xludf.DUMMYFUNCTION("""COMPUTED_VALUE"""),235)</f>
        <v>235</v>
      </c>
      <c r="P50" s="51">
        <f t="shared" ca="1" si="4"/>
        <v>0.72085889570552142</v>
      </c>
      <c r="Q50" s="54">
        <f ca="1">IFERROR(__xludf.DUMMYFUNCTION("""COMPUTED_VALUE"""),147)</f>
        <v>147</v>
      </c>
      <c r="R50" s="51">
        <f t="shared" ca="1" si="5"/>
        <v>0.45092024539877301</v>
      </c>
      <c r="S50" s="53"/>
      <c r="T50" s="53"/>
      <c r="U50" s="51" t="str">
        <f t="shared" si="6"/>
        <v/>
      </c>
      <c r="V50" s="53"/>
      <c r="W50" s="51" t="str">
        <f t="shared" si="7"/>
        <v/>
      </c>
      <c r="X50" s="53"/>
      <c r="Y50" s="51" t="str">
        <f t="shared" si="8"/>
        <v/>
      </c>
      <c r="Z50" s="2"/>
      <c r="AA50" s="2"/>
      <c r="AB50" s="2"/>
      <c r="AC50" s="2"/>
      <c r="AD50" s="2"/>
      <c r="AE50" s="2"/>
    </row>
    <row r="51" spans="1:31" ht="12.75" x14ac:dyDescent="0.2">
      <c r="A51" s="53">
        <f ca="1">IFERROR(__xludf.DUMMYFUNCTION("""COMPUTED_VALUE"""),44)</f>
        <v>44</v>
      </c>
      <c r="B51" s="53" t="str">
        <f ca="1">IFERROR(__xludf.DUMMYFUNCTION("""COMPUTED_VALUE"""),"Tiểu học Sông Lô")</f>
        <v>Tiểu học Sông Lô</v>
      </c>
      <c r="C51" s="53" t="str">
        <f ca="1">IFERROR(__xludf.DUMMYFUNCTION("""COMPUTED_VALUE"""),"TH")</f>
        <v>TH</v>
      </c>
      <c r="D51" s="53" t="str">
        <f ca="1">IFERROR(__xludf.DUMMYFUNCTION("""COMPUTED_VALUE"""),"PHÚ NHUẬN")</f>
        <v>PHÚ NHUẬN</v>
      </c>
      <c r="E51" s="54">
        <f ca="1">IFERROR(__xludf.DUMMYFUNCTION("""COMPUTED_VALUE"""),51)</f>
        <v>51</v>
      </c>
      <c r="F51" s="54">
        <f ca="1">IFERROR(__xludf.DUMMYFUNCTION("""COMPUTED_VALUE"""),49)</f>
        <v>49</v>
      </c>
      <c r="G51" s="51">
        <f t="shared" ca="1" si="0"/>
        <v>0.96078431372549022</v>
      </c>
      <c r="H51" s="54">
        <f ca="1">IFERROR(__xludf.DUMMYFUNCTION("""COMPUTED_VALUE"""),49)</f>
        <v>49</v>
      </c>
      <c r="I51" s="51">
        <f t="shared" ca="1" si="1"/>
        <v>0.96078431372549022</v>
      </c>
      <c r="J51" s="54">
        <f ca="1">IFERROR(__xludf.DUMMYFUNCTION("""COMPUTED_VALUE"""),49)</f>
        <v>49</v>
      </c>
      <c r="K51" s="51">
        <f t="shared" ca="1" si="2"/>
        <v>0.96078431372549022</v>
      </c>
      <c r="L51" s="54">
        <f ca="1">IFERROR(__xludf.DUMMYFUNCTION("""COMPUTED_VALUE"""),29)</f>
        <v>29</v>
      </c>
      <c r="M51" s="51">
        <f t="shared" ca="1" si="3"/>
        <v>0.56862745098039214</v>
      </c>
      <c r="N51" s="54">
        <f ca="1">IFERROR(__xludf.DUMMYFUNCTION("""COMPUTED_VALUE"""),876)</f>
        <v>876</v>
      </c>
      <c r="O51" s="54">
        <f ca="1">IFERROR(__xludf.DUMMYFUNCTION("""COMPUTED_VALUE"""),510)</f>
        <v>510</v>
      </c>
      <c r="P51" s="51">
        <f t="shared" ca="1" si="4"/>
        <v>0.5821917808219178</v>
      </c>
      <c r="Q51" s="54">
        <f ca="1">IFERROR(__xludf.DUMMYFUNCTION("""COMPUTED_VALUE"""),337)</f>
        <v>337</v>
      </c>
      <c r="R51" s="51">
        <f t="shared" ca="1" si="5"/>
        <v>0.38470319634703198</v>
      </c>
      <c r="S51" s="53"/>
      <c r="T51" s="53"/>
      <c r="U51" s="51" t="str">
        <f t="shared" si="6"/>
        <v/>
      </c>
      <c r="V51" s="53"/>
      <c r="W51" s="51" t="str">
        <f t="shared" si="7"/>
        <v/>
      </c>
      <c r="X51" s="53"/>
      <c r="Y51" s="51" t="str">
        <f t="shared" si="8"/>
        <v/>
      </c>
      <c r="Z51" s="2"/>
      <c r="AA51" s="2"/>
      <c r="AB51" s="2"/>
      <c r="AC51" s="2"/>
      <c r="AD51" s="2"/>
      <c r="AE51" s="2"/>
    </row>
    <row r="52" spans="1:31" ht="12.75" x14ac:dyDescent="0.2">
      <c r="A52" s="53">
        <f ca="1">IFERROR(__xludf.DUMMYFUNCTION("""COMPUTED_VALUE"""),45)</f>
        <v>45</v>
      </c>
      <c r="B52" s="53" t="str">
        <f ca="1">IFERROR(__xludf.DUMMYFUNCTION("""COMPUTED_VALUE"""),"Tiểu học Đặng văn Ngữ")</f>
        <v>Tiểu học Đặng văn Ngữ</v>
      </c>
      <c r="C52" s="53" t="str">
        <f ca="1">IFERROR(__xludf.DUMMYFUNCTION("""COMPUTED_VALUE"""),"TH")</f>
        <v>TH</v>
      </c>
      <c r="D52" s="53" t="str">
        <f ca="1">IFERROR(__xludf.DUMMYFUNCTION("""COMPUTED_VALUE"""),"PHÚ NHUẬN")</f>
        <v>PHÚ NHUẬN</v>
      </c>
      <c r="E52" s="54">
        <f ca="1">IFERROR(__xludf.DUMMYFUNCTION("""COMPUTED_VALUE"""),68)</f>
        <v>68</v>
      </c>
      <c r="F52" s="54">
        <f ca="1">IFERROR(__xludf.DUMMYFUNCTION("""COMPUTED_VALUE"""),68)</f>
        <v>68</v>
      </c>
      <c r="G52" s="51">
        <f t="shared" ca="1" si="0"/>
        <v>1</v>
      </c>
      <c r="H52" s="54">
        <f ca="1">IFERROR(__xludf.DUMMYFUNCTION("""COMPUTED_VALUE"""),68)</f>
        <v>68</v>
      </c>
      <c r="I52" s="51">
        <f t="shared" ca="1" si="1"/>
        <v>1</v>
      </c>
      <c r="J52" s="54">
        <f ca="1">IFERROR(__xludf.DUMMYFUNCTION("""COMPUTED_VALUE"""),68)</f>
        <v>68</v>
      </c>
      <c r="K52" s="51">
        <f t="shared" ca="1" si="2"/>
        <v>1</v>
      </c>
      <c r="L52" s="54">
        <f ca="1">IFERROR(__xludf.DUMMYFUNCTION("""COMPUTED_VALUE"""),38)</f>
        <v>38</v>
      </c>
      <c r="M52" s="51">
        <f t="shared" ca="1" si="3"/>
        <v>0.55882352941176472</v>
      </c>
      <c r="N52" s="54">
        <f ca="1">IFERROR(__xludf.DUMMYFUNCTION("""COMPUTED_VALUE"""),1118)</f>
        <v>1118</v>
      </c>
      <c r="O52" s="54">
        <f ca="1">IFERROR(__xludf.DUMMYFUNCTION("""COMPUTED_VALUE"""),602)</f>
        <v>602</v>
      </c>
      <c r="P52" s="51">
        <f t="shared" ca="1" si="4"/>
        <v>0.53846153846153844</v>
      </c>
      <c r="Q52" s="54">
        <f ca="1">IFERROR(__xludf.DUMMYFUNCTION("""COMPUTED_VALUE"""),339)</f>
        <v>339</v>
      </c>
      <c r="R52" s="51">
        <f t="shared" ca="1" si="5"/>
        <v>0.3032200357781753</v>
      </c>
      <c r="S52" s="53"/>
      <c r="T52" s="53"/>
      <c r="U52" s="51" t="str">
        <f t="shared" si="6"/>
        <v/>
      </c>
      <c r="V52" s="53"/>
      <c r="W52" s="51" t="str">
        <f t="shared" si="7"/>
        <v/>
      </c>
      <c r="X52" s="53"/>
      <c r="Y52" s="51" t="str">
        <f t="shared" si="8"/>
        <v/>
      </c>
      <c r="Z52" s="2"/>
      <c r="AA52" s="2"/>
      <c r="AB52" s="2"/>
      <c r="AC52" s="2"/>
      <c r="AD52" s="2"/>
      <c r="AE52" s="2"/>
    </row>
    <row r="53" spans="1:31" ht="12.75" x14ac:dyDescent="0.2">
      <c r="A53" s="53">
        <f ca="1">IFERROR(__xludf.DUMMYFUNCTION("""COMPUTED_VALUE"""),46)</f>
        <v>46</v>
      </c>
      <c r="B53" s="53" t="str">
        <f ca="1">IFERROR(__xludf.DUMMYFUNCTION("""COMPUTED_VALUE"""),"Tiểu học Hồ Văn Huê")</f>
        <v>Tiểu học Hồ Văn Huê</v>
      </c>
      <c r="C53" s="53" t="str">
        <f ca="1">IFERROR(__xludf.DUMMYFUNCTION("""COMPUTED_VALUE"""),"TH")</f>
        <v>TH</v>
      </c>
      <c r="D53" s="53" t="str">
        <f ca="1">IFERROR(__xludf.DUMMYFUNCTION("""COMPUTED_VALUE"""),"PHÚ NHUẬN")</f>
        <v>PHÚ NHUẬN</v>
      </c>
      <c r="E53" s="54">
        <f ca="1">IFERROR(__xludf.DUMMYFUNCTION("""COMPUTED_VALUE"""),86)</f>
        <v>86</v>
      </c>
      <c r="F53" s="54">
        <f ca="1">IFERROR(__xludf.DUMMYFUNCTION("""COMPUTED_VALUE"""),86)</f>
        <v>86</v>
      </c>
      <c r="G53" s="51">
        <f t="shared" ca="1" si="0"/>
        <v>1</v>
      </c>
      <c r="H53" s="54">
        <f ca="1">IFERROR(__xludf.DUMMYFUNCTION("""COMPUTED_VALUE"""),86)</f>
        <v>86</v>
      </c>
      <c r="I53" s="51">
        <f t="shared" ca="1" si="1"/>
        <v>1</v>
      </c>
      <c r="J53" s="54">
        <f ca="1">IFERROR(__xludf.DUMMYFUNCTION("""COMPUTED_VALUE"""),86)</f>
        <v>86</v>
      </c>
      <c r="K53" s="51">
        <f t="shared" ca="1" si="2"/>
        <v>1</v>
      </c>
      <c r="L53" s="54">
        <f ca="1">IFERROR(__xludf.DUMMYFUNCTION("""COMPUTED_VALUE"""),10)</f>
        <v>10</v>
      </c>
      <c r="M53" s="51">
        <f t="shared" ca="1" si="3"/>
        <v>0.11627906976744186</v>
      </c>
      <c r="N53" s="54">
        <f ca="1">IFERROR(__xludf.DUMMYFUNCTION("""COMPUTED_VALUE"""),1362)</f>
        <v>1362</v>
      </c>
      <c r="O53" s="54">
        <f ca="1">IFERROR(__xludf.DUMMYFUNCTION("""COMPUTED_VALUE"""),628)</f>
        <v>628</v>
      </c>
      <c r="P53" s="51">
        <f t="shared" ca="1" si="4"/>
        <v>0.46108663729809102</v>
      </c>
      <c r="Q53" s="54">
        <f ca="1">IFERROR(__xludf.DUMMYFUNCTION("""COMPUTED_VALUE"""),354)</f>
        <v>354</v>
      </c>
      <c r="R53" s="51">
        <f t="shared" ca="1" si="5"/>
        <v>0.25991189427312777</v>
      </c>
      <c r="S53" s="53"/>
      <c r="T53" s="53"/>
      <c r="U53" s="51" t="str">
        <f t="shared" si="6"/>
        <v/>
      </c>
      <c r="V53" s="53"/>
      <c r="W53" s="51" t="str">
        <f t="shared" si="7"/>
        <v/>
      </c>
      <c r="X53" s="53"/>
      <c r="Y53" s="51" t="str">
        <f t="shared" si="8"/>
        <v/>
      </c>
      <c r="Z53" s="2"/>
      <c r="AA53" s="2"/>
      <c r="AB53" s="2"/>
      <c r="AC53" s="2"/>
      <c r="AD53" s="2"/>
      <c r="AE53" s="2"/>
    </row>
    <row r="54" spans="1:31" ht="12.75" x14ac:dyDescent="0.2">
      <c r="A54" s="53">
        <f ca="1">IFERROR(__xludf.DUMMYFUNCTION("""COMPUTED_VALUE"""),47)</f>
        <v>47</v>
      </c>
      <c r="B54" s="53"/>
      <c r="C54" s="53"/>
      <c r="D54" s="53" t="str">
        <f ca="1">IFERROR(__xludf.DUMMYFUNCTION("""COMPUTED_VALUE"""),"PHÚ NHUẬN")</f>
        <v>PHÚ NHUẬN</v>
      </c>
      <c r="E54" s="54">
        <f ca="1">IFERROR(__xludf.DUMMYFUNCTION("""COMPUTED_VALUE"""),22)</f>
        <v>22</v>
      </c>
      <c r="F54" s="54">
        <f ca="1">IFERROR(__xludf.DUMMYFUNCTION("""COMPUTED_VALUE"""),21)</f>
        <v>21</v>
      </c>
      <c r="G54" s="51">
        <f t="shared" ca="1" si="0"/>
        <v>0.95454545454545459</v>
      </c>
      <c r="H54" s="54">
        <f ca="1">IFERROR(__xludf.DUMMYFUNCTION("""COMPUTED_VALUE"""),21)</f>
        <v>21</v>
      </c>
      <c r="I54" s="51">
        <f t="shared" ca="1" si="1"/>
        <v>0.95454545454545459</v>
      </c>
      <c r="J54" s="54">
        <f ca="1">IFERROR(__xludf.DUMMYFUNCTION("""COMPUTED_VALUE"""),21)</f>
        <v>21</v>
      </c>
      <c r="K54" s="51">
        <f t="shared" ca="1" si="2"/>
        <v>0.95454545454545459</v>
      </c>
      <c r="L54" s="54">
        <f ca="1">IFERROR(__xludf.DUMMYFUNCTION("""COMPUTED_VALUE"""),7)</f>
        <v>7</v>
      </c>
      <c r="M54" s="51">
        <f t="shared" ca="1" si="3"/>
        <v>0.31818181818181818</v>
      </c>
      <c r="N54" s="54">
        <f ca="1">IFERROR(__xludf.DUMMYFUNCTION("""COMPUTED_VALUE"""),286)</f>
        <v>286</v>
      </c>
      <c r="O54" s="54">
        <f ca="1">IFERROR(__xludf.DUMMYFUNCTION("""COMPUTED_VALUE"""),220)</f>
        <v>220</v>
      </c>
      <c r="P54" s="51">
        <f t="shared" ca="1" si="4"/>
        <v>0.76923076923076927</v>
      </c>
      <c r="Q54" s="54">
        <f ca="1">IFERROR(__xludf.DUMMYFUNCTION("""COMPUTED_VALUE"""),90)</f>
        <v>90</v>
      </c>
      <c r="R54" s="51">
        <f t="shared" ca="1" si="5"/>
        <v>0.31468531468531469</v>
      </c>
      <c r="S54" s="53"/>
      <c r="T54" s="53"/>
      <c r="U54" s="51" t="str">
        <f t="shared" si="6"/>
        <v/>
      </c>
      <c r="V54" s="53"/>
      <c r="W54" s="51" t="str">
        <f t="shared" si="7"/>
        <v/>
      </c>
      <c r="X54" s="53"/>
      <c r="Y54" s="51" t="str">
        <f t="shared" si="8"/>
        <v/>
      </c>
      <c r="Z54" s="2"/>
      <c r="AA54" s="2"/>
      <c r="AB54" s="2"/>
      <c r="AC54" s="2"/>
      <c r="AD54" s="2"/>
      <c r="AE54" s="2"/>
    </row>
    <row r="55" spans="1:31" ht="12.75" x14ac:dyDescent="0.2">
      <c r="A55" s="53">
        <f ca="1">IFERROR(__xludf.DUMMYFUNCTION("""COMPUTED_VALUE"""),48)</f>
        <v>48</v>
      </c>
      <c r="B55" s="53" t="str">
        <f ca="1">IFERROR(__xludf.DUMMYFUNCTION("""COMPUTED_VALUE"""),"Tiểu học Cao Bá Quát")</f>
        <v>Tiểu học Cao Bá Quát</v>
      </c>
      <c r="C55" s="53" t="str">
        <f ca="1">IFERROR(__xludf.DUMMYFUNCTION("""COMPUTED_VALUE"""),"TH")</f>
        <v>TH</v>
      </c>
      <c r="D55" s="53" t="str">
        <f ca="1">IFERROR(__xludf.DUMMYFUNCTION("""COMPUTED_VALUE"""),"PHÚ NHUẬN")</f>
        <v>PHÚ NHUẬN</v>
      </c>
      <c r="E55" s="54">
        <f ca="1">IFERROR(__xludf.DUMMYFUNCTION("""COMPUTED_VALUE"""),56)</f>
        <v>56</v>
      </c>
      <c r="F55" s="54">
        <f ca="1">IFERROR(__xludf.DUMMYFUNCTION("""COMPUTED_VALUE"""),56)</f>
        <v>56</v>
      </c>
      <c r="G55" s="51">
        <f t="shared" ca="1" si="0"/>
        <v>1</v>
      </c>
      <c r="H55" s="54">
        <f ca="1">IFERROR(__xludf.DUMMYFUNCTION("""COMPUTED_VALUE"""),56)</f>
        <v>56</v>
      </c>
      <c r="I55" s="51">
        <f t="shared" ca="1" si="1"/>
        <v>1</v>
      </c>
      <c r="J55" s="54">
        <f ca="1">IFERROR(__xludf.DUMMYFUNCTION("""COMPUTED_VALUE"""),36)</f>
        <v>36</v>
      </c>
      <c r="K55" s="51">
        <f t="shared" ca="1" si="2"/>
        <v>0.6428571428571429</v>
      </c>
      <c r="L55" s="54">
        <f ca="1">IFERROR(__xludf.DUMMYFUNCTION("""COMPUTED_VALUE"""),20)</f>
        <v>20</v>
      </c>
      <c r="M55" s="51">
        <f t="shared" ca="1" si="3"/>
        <v>0.35714285714285715</v>
      </c>
      <c r="N55" s="54">
        <f ca="1">IFERROR(__xludf.DUMMYFUNCTION("""COMPUTED_VALUE"""),1233)</f>
        <v>1233</v>
      </c>
      <c r="O55" s="54">
        <f ca="1">IFERROR(__xludf.DUMMYFUNCTION("""COMPUTED_VALUE"""),608)</f>
        <v>608</v>
      </c>
      <c r="P55" s="51">
        <f t="shared" ca="1" si="4"/>
        <v>0.49310624493106248</v>
      </c>
      <c r="Q55" s="54">
        <f ca="1">IFERROR(__xludf.DUMMYFUNCTION("""COMPUTED_VALUE"""),227)</f>
        <v>227</v>
      </c>
      <c r="R55" s="51">
        <f t="shared" ca="1" si="5"/>
        <v>0.18410381184103811</v>
      </c>
      <c r="S55" s="53"/>
      <c r="T55" s="53"/>
      <c r="U55" s="51" t="str">
        <f t="shared" si="6"/>
        <v/>
      </c>
      <c r="V55" s="53"/>
      <c r="W55" s="51" t="str">
        <f t="shared" si="7"/>
        <v/>
      </c>
      <c r="X55" s="53"/>
      <c r="Y55" s="51" t="str">
        <f t="shared" si="8"/>
        <v/>
      </c>
      <c r="Z55" s="2"/>
      <c r="AA55" s="2"/>
      <c r="AB55" s="2"/>
      <c r="AC55" s="2"/>
      <c r="AD55" s="2"/>
      <c r="AE55" s="2"/>
    </row>
    <row r="56" spans="1:31" ht="12.75" x14ac:dyDescent="0.2">
      <c r="A56" s="53">
        <f ca="1">IFERROR(__xludf.DUMMYFUNCTION("""COMPUTED_VALUE"""),49)</f>
        <v>49</v>
      </c>
      <c r="B56" s="53" t="str">
        <f ca="1">IFERROR(__xludf.DUMMYFUNCTION("""COMPUTED_VALUE"""),"Tiểu học Trung Nhất")</f>
        <v>Tiểu học Trung Nhất</v>
      </c>
      <c r="C56" s="53" t="str">
        <f ca="1">IFERROR(__xludf.DUMMYFUNCTION("""COMPUTED_VALUE"""),"TH")</f>
        <v>TH</v>
      </c>
      <c r="D56" s="53" t="str">
        <f ca="1">IFERROR(__xludf.DUMMYFUNCTION("""COMPUTED_VALUE"""),"PHÚ NHUẬN")</f>
        <v>PHÚ NHUẬN</v>
      </c>
      <c r="E56" s="54">
        <f ca="1">IFERROR(__xludf.DUMMYFUNCTION("""COMPUTED_VALUE"""),55)</f>
        <v>55</v>
      </c>
      <c r="F56" s="54">
        <f ca="1">IFERROR(__xludf.DUMMYFUNCTION("""COMPUTED_VALUE"""),55)</f>
        <v>55</v>
      </c>
      <c r="G56" s="51">
        <f t="shared" ca="1" si="0"/>
        <v>1</v>
      </c>
      <c r="H56" s="54">
        <f ca="1">IFERROR(__xludf.DUMMYFUNCTION("""COMPUTED_VALUE"""),55)</f>
        <v>55</v>
      </c>
      <c r="I56" s="51">
        <f t="shared" ca="1" si="1"/>
        <v>1</v>
      </c>
      <c r="J56" s="54">
        <f ca="1">IFERROR(__xludf.DUMMYFUNCTION("""COMPUTED_VALUE"""),55)</f>
        <v>55</v>
      </c>
      <c r="K56" s="51">
        <f t="shared" ca="1" si="2"/>
        <v>1</v>
      </c>
      <c r="L56" s="54">
        <f ca="1">IFERROR(__xludf.DUMMYFUNCTION("""COMPUTED_VALUE"""),15)</f>
        <v>15</v>
      </c>
      <c r="M56" s="51">
        <f t="shared" ca="1" si="3"/>
        <v>0.27272727272727271</v>
      </c>
      <c r="N56" s="54">
        <f ca="1">IFERROR(__xludf.DUMMYFUNCTION("""COMPUTED_VALUE"""),1202)</f>
        <v>1202</v>
      </c>
      <c r="O56" s="54">
        <f ca="1">IFERROR(__xludf.DUMMYFUNCTION("""COMPUTED_VALUE"""),701)</f>
        <v>701</v>
      </c>
      <c r="P56" s="51">
        <f t="shared" ca="1" si="4"/>
        <v>0.58319467554076543</v>
      </c>
      <c r="Q56" s="54">
        <f ca="1">IFERROR(__xludf.DUMMYFUNCTION("""COMPUTED_VALUE"""),424)</f>
        <v>424</v>
      </c>
      <c r="R56" s="51">
        <f t="shared" ca="1" si="5"/>
        <v>0.35274542429284528</v>
      </c>
      <c r="S56" s="53"/>
      <c r="T56" s="53"/>
      <c r="U56" s="51" t="str">
        <f t="shared" si="6"/>
        <v/>
      </c>
      <c r="V56" s="53"/>
      <c r="W56" s="51" t="str">
        <f t="shared" si="7"/>
        <v/>
      </c>
      <c r="X56" s="53"/>
      <c r="Y56" s="51" t="str">
        <f t="shared" si="8"/>
        <v/>
      </c>
      <c r="Z56" s="2"/>
      <c r="AA56" s="2"/>
      <c r="AB56" s="2"/>
      <c r="AC56" s="2"/>
      <c r="AD56" s="2"/>
      <c r="AE56" s="2"/>
    </row>
    <row r="57" spans="1:31" ht="12.75" x14ac:dyDescent="0.2">
      <c r="A57" s="53">
        <f ca="1">IFERROR(__xludf.DUMMYFUNCTION("""COMPUTED_VALUE"""),50)</f>
        <v>50</v>
      </c>
      <c r="B57" s="53" t="str">
        <f ca="1">IFERROR(__xludf.DUMMYFUNCTION("""COMPUTED_VALUE"""),"Tiểu học Vạn Tường")</f>
        <v>Tiểu học Vạn Tường</v>
      </c>
      <c r="C57" s="53" t="str">
        <f ca="1">IFERROR(__xludf.DUMMYFUNCTION("""COMPUTED_VALUE"""),"TH")</f>
        <v>TH</v>
      </c>
      <c r="D57" s="53" t="str">
        <f ca="1">IFERROR(__xludf.DUMMYFUNCTION("""COMPUTED_VALUE"""),"PHÚ NHUẬN")</f>
        <v>PHÚ NHUẬN</v>
      </c>
      <c r="E57" s="54">
        <f ca="1">IFERROR(__xludf.DUMMYFUNCTION("""COMPUTED_VALUE"""),24)</f>
        <v>24</v>
      </c>
      <c r="F57" s="54">
        <f ca="1">IFERROR(__xludf.DUMMYFUNCTION("""COMPUTED_VALUE"""),24)</f>
        <v>24</v>
      </c>
      <c r="G57" s="51">
        <f t="shared" ca="1" si="0"/>
        <v>1</v>
      </c>
      <c r="H57" s="54">
        <f ca="1">IFERROR(__xludf.DUMMYFUNCTION("""COMPUTED_VALUE"""),24)</f>
        <v>24</v>
      </c>
      <c r="I57" s="51">
        <f t="shared" ca="1" si="1"/>
        <v>1</v>
      </c>
      <c r="J57" s="54">
        <f ca="1">IFERROR(__xludf.DUMMYFUNCTION("""COMPUTED_VALUE"""),21)</f>
        <v>21</v>
      </c>
      <c r="K57" s="51">
        <f t="shared" ca="1" si="2"/>
        <v>0.875</v>
      </c>
      <c r="L57" s="54">
        <f ca="1">IFERROR(__xludf.DUMMYFUNCTION("""COMPUTED_VALUE"""),16)</f>
        <v>16</v>
      </c>
      <c r="M57" s="51">
        <f t="shared" ca="1" si="3"/>
        <v>0.66666666666666663</v>
      </c>
      <c r="N57" s="54">
        <f ca="1">IFERROR(__xludf.DUMMYFUNCTION("""COMPUTED_VALUE"""),273)</f>
        <v>273</v>
      </c>
      <c r="O57" s="54">
        <f ca="1">IFERROR(__xludf.DUMMYFUNCTION("""COMPUTED_VALUE"""),157)</f>
        <v>157</v>
      </c>
      <c r="P57" s="51">
        <f t="shared" ca="1" si="4"/>
        <v>0.57509157509157505</v>
      </c>
      <c r="Q57" s="54">
        <f ca="1">IFERROR(__xludf.DUMMYFUNCTION("""COMPUTED_VALUE"""),85)</f>
        <v>85</v>
      </c>
      <c r="R57" s="51">
        <f t="shared" ca="1" si="5"/>
        <v>0.31135531135531136</v>
      </c>
      <c r="S57" s="53"/>
      <c r="T57" s="53"/>
      <c r="U57" s="51" t="str">
        <f t="shared" si="6"/>
        <v/>
      </c>
      <c r="V57" s="53"/>
      <c r="W57" s="51" t="str">
        <f t="shared" si="7"/>
        <v/>
      </c>
      <c r="X57" s="53"/>
      <c r="Y57" s="51" t="str">
        <f t="shared" si="8"/>
        <v/>
      </c>
      <c r="Z57" s="2"/>
      <c r="AA57" s="2"/>
      <c r="AB57" s="2"/>
      <c r="AC57" s="2"/>
      <c r="AD57" s="2"/>
      <c r="AE57" s="2"/>
    </row>
    <row r="58" spans="1:31" ht="12.75" x14ac:dyDescent="0.2">
      <c r="A58" s="52" t="str">
        <f ca="1">IFERROR(__xludf.DUMMYFUNCTION("""COMPUTED_VALUE"""),"THCS")</f>
        <v>THCS</v>
      </c>
      <c r="B58" s="53"/>
      <c r="C58" s="53"/>
      <c r="D58" s="53"/>
      <c r="E58" s="54">
        <f ca="1">IFERROR(__xludf.DUMMYFUNCTION("""COMPUTED_VALUE"""),929)</f>
        <v>929</v>
      </c>
      <c r="F58" s="54">
        <f ca="1">IFERROR(__xludf.DUMMYFUNCTION("""COMPUTED_VALUE"""),929)</f>
        <v>929</v>
      </c>
      <c r="G58" s="51">
        <f t="shared" ca="1" si="0"/>
        <v>1</v>
      </c>
      <c r="H58" s="54">
        <f ca="1">IFERROR(__xludf.DUMMYFUNCTION("""COMPUTED_VALUE"""),929)</f>
        <v>929</v>
      </c>
      <c r="I58" s="51">
        <f t="shared" ca="1" si="1"/>
        <v>1</v>
      </c>
      <c r="J58" s="54">
        <f ca="1">IFERROR(__xludf.DUMMYFUNCTION("""COMPUTED_VALUE"""),779)</f>
        <v>779</v>
      </c>
      <c r="K58" s="51">
        <f t="shared" ca="1" si="2"/>
        <v>0.83853606027987082</v>
      </c>
      <c r="L58" s="54">
        <f ca="1">IFERROR(__xludf.DUMMYFUNCTION("""COMPUTED_VALUE"""),360)</f>
        <v>360</v>
      </c>
      <c r="M58" s="51">
        <f t="shared" ca="1" si="3"/>
        <v>0.38751345532831</v>
      </c>
      <c r="N58" s="54">
        <f ca="1">IFERROR(__xludf.DUMMYFUNCTION("""COMPUTED_VALUE"""),2332)</f>
        <v>2332</v>
      </c>
      <c r="O58" s="54">
        <f ca="1">IFERROR(__xludf.DUMMYFUNCTION("""COMPUTED_VALUE"""),1381)</f>
        <v>1381</v>
      </c>
      <c r="P58" s="51">
        <f t="shared" ca="1" si="4"/>
        <v>0.59219554030874788</v>
      </c>
      <c r="Q58" s="54">
        <f ca="1">IFERROR(__xludf.DUMMYFUNCTION("""COMPUTED_VALUE"""),781)</f>
        <v>781</v>
      </c>
      <c r="R58" s="51">
        <f t="shared" ca="1" si="5"/>
        <v>0.33490566037735847</v>
      </c>
      <c r="S58" s="54">
        <f ca="1">IFERROR(__xludf.DUMMYFUNCTION("""COMPUTED_VALUE"""),7321)</f>
        <v>7321</v>
      </c>
      <c r="T58" s="53">
        <f ca="1">IFERROR(__xludf.DUMMYFUNCTION("""COMPUTED_VALUE"""),7030)</f>
        <v>7030</v>
      </c>
      <c r="U58" s="51">
        <f t="shared" ca="1" si="6"/>
        <v>0.96025133178527522</v>
      </c>
      <c r="V58" s="54">
        <f ca="1">IFERROR(__xludf.DUMMYFUNCTION("""COMPUTED_VALUE"""),6714)</f>
        <v>6714</v>
      </c>
      <c r="W58" s="51">
        <f t="shared" ca="1" si="7"/>
        <v>0.91708782953148482</v>
      </c>
      <c r="X58" s="54">
        <f ca="1">IFERROR(__xludf.DUMMYFUNCTION("""COMPUTED_VALUE"""),2505)</f>
        <v>2505</v>
      </c>
      <c r="Y58" s="51">
        <f t="shared" ca="1" si="8"/>
        <v>0.34216637071438327</v>
      </c>
      <c r="Z58" s="2"/>
      <c r="AA58" s="2"/>
      <c r="AB58" s="2"/>
      <c r="AC58" s="2"/>
      <c r="AD58" s="2"/>
      <c r="AE58" s="2"/>
    </row>
    <row r="59" spans="1:31" ht="12.75" x14ac:dyDescent="0.2">
      <c r="A59" s="53">
        <f ca="1">IFERROR(__xludf.DUMMYFUNCTION("""COMPUTED_VALUE"""),51)</f>
        <v>51</v>
      </c>
      <c r="B59" s="53" t="str">
        <f ca="1">IFERROR(__xludf.DUMMYFUNCTION("""COMPUTED_VALUE"""),"THCS Cầu Kiệu")</f>
        <v>THCS Cầu Kiệu</v>
      </c>
      <c r="C59" s="53" t="str">
        <f ca="1">IFERROR(__xludf.DUMMYFUNCTION("""COMPUTED_VALUE"""),"THCS")</f>
        <v>THCS</v>
      </c>
      <c r="D59" s="53" t="str">
        <f ca="1">IFERROR(__xludf.DUMMYFUNCTION("""COMPUTED_VALUE"""),"PHÚ NHUẬN")</f>
        <v>PHÚ NHUẬN</v>
      </c>
      <c r="E59" s="54">
        <f ca="1">IFERROR(__xludf.DUMMYFUNCTION("""COMPUTED_VALUE"""),56)</f>
        <v>56</v>
      </c>
      <c r="F59" s="54">
        <f ca="1">IFERROR(__xludf.DUMMYFUNCTION("""COMPUTED_VALUE"""),56)</f>
        <v>56</v>
      </c>
      <c r="G59" s="51">
        <f t="shared" ca="1" si="0"/>
        <v>1</v>
      </c>
      <c r="H59" s="54">
        <f ca="1">IFERROR(__xludf.DUMMYFUNCTION("""COMPUTED_VALUE"""),56)</f>
        <v>56</v>
      </c>
      <c r="I59" s="51">
        <f t="shared" ca="1" si="1"/>
        <v>1</v>
      </c>
      <c r="J59" s="54">
        <f ca="1">IFERROR(__xludf.DUMMYFUNCTION("""COMPUTED_VALUE"""),49)</f>
        <v>49</v>
      </c>
      <c r="K59" s="51">
        <f t="shared" ca="1" si="2"/>
        <v>0.875</v>
      </c>
      <c r="L59" s="54">
        <f ca="1">IFERROR(__xludf.DUMMYFUNCTION("""COMPUTED_VALUE"""),27)</f>
        <v>27</v>
      </c>
      <c r="M59" s="51">
        <f t="shared" ca="1" si="3"/>
        <v>0.48214285714285715</v>
      </c>
      <c r="N59" s="54">
        <f ca="1">IFERROR(__xludf.DUMMYFUNCTION("""COMPUTED_VALUE"""),349)</f>
        <v>349</v>
      </c>
      <c r="O59" s="54">
        <f ca="1">IFERROR(__xludf.DUMMYFUNCTION("""COMPUTED_VALUE"""),262)</f>
        <v>262</v>
      </c>
      <c r="P59" s="51">
        <f t="shared" ca="1" si="4"/>
        <v>0.75071633237822355</v>
      </c>
      <c r="Q59" s="54">
        <f ca="1">IFERROR(__xludf.DUMMYFUNCTION("""COMPUTED_VALUE"""),143)</f>
        <v>143</v>
      </c>
      <c r="R59" s="51">
        <f t="shared" ca="1" si="5"/>
        <v>0.40974212034383956</v>
      </c>
      <c r="S59" s="54">
        <f ca="1">IFERROR(__xludf.DUMMYFUNCTION("""COMPUTED_VALUE"""),549)</f>
        <v>549</v>
      </c>
      <c r="T59" s="54">
        <f ca="1">IFERROR(__xludf.DUMMYFUNCTION("""COMPUTED_VALUE"""),518)</f>
        <v>518</v>
      </c>
      <c r="U59" s="51">
        <f t="shared" ca="1" si="6"/>
        <v>0.9435336976320583</v>
      </c>
      <c r="V59" s="54">
        <f ca="1">IFERROR(__xludf.DUMMYFUNCTION("""COMPUTED_VALUE"""),427)</f>
        <v>427</v>
      </c>
      <c r="W59" s="51">
        <f t="shared" ca="1" si="7"/>
        <v>0.77777777777777779</v>
      </c>
      <c r="X59" s="54">
        <f ca="1">IFERROR(__xludf.DUMMYFUNCTION("""COMPUTED_VALUE"""),187)</f>
        <v>187</v>
      </c>
      <c r="Y59" s="51">
        <f t="shared" ca="1" si="8"/>
        <v>0.34061930783242261</v>
      </c>
      <c r="Z59" s="2"/>
      <c r="AA59" s="2"/>
      <c r="AB59" s="2"/>
      <c r="AC59" s="2"/>
      <c r="AD59" s="2"/>
      <c r="AE59" s="2"/>
    </row>
    <row r="60" spans="1:31" ht="12.75" x14ac:dyDescent="0.2">
      <c r="A60" s="53">
        <f ca="1">IFERROR(__xludf.DUMMYFUNCTION("""COMPUTED_VALUE"""),52)</f>
        <v>52</v>
      </c>
      <c r="B60" s="53" t="str">
        <f ca="1">IFERROR(__xludf.DUMMYFUNCTION("""COMPUTED_VALUE"""),"THCS Châu Văn Liêm")</f>
        <v>THCS Châu Văn Liêm</v>
      </c>
      <c r="C60" s="53" t="str">
        <f ca="1">IFERROR(__xludf.DUMMYFUNCTION("""COMPUTED_VALUE"""),"THCS")</f>
        <v>THCS</v>
      </c>
      <c r="D60" s="53" t="str">
        <f ca="1">IFERROR(__xludf.DUMMYFUNCTION("""COMPUTED_VALUE"""),"PHÚ NHUẬN")</f>
        <v>PHÚ NHUẬN</v>
      </c>
      <c r="E60" s="54">
        <f ca="1">IFERROR(__xludf.DUMMYFUNCTION("""COMPUTED_VALUE"""),43)</f>
        <v>43</v>
      </c>
      <c r="F60" s="54">
        <f ca="1">IFERROR(__xludf.DUMMYFUNCTION("""COMPUTED_VALUE"""),43)</f>
        <v>43</v>
      </c>
      <c r="G60" s="51">
        <f t="shared" ca="1" si="0"/>
        <v>1</v>
      </c>
      <c r="H60" s="54">
        <f ca="1">IFERROR(__xludf.DUMMYFUNCTION("""COMPUTED_VALUE"""),43)</f>
        <v>43</v>
      </c>
      <c r="I60" s="51">
        <f t="shared" ca="1" si="1"/>
        <v>1</v>
      </c>
      <c r="J60" s="54">
        <f ca="1">IFERROR(__xludf.DUMMYFUNCTION("""COMPUTED_VALUE"""),43)</f>
        <v>43</v>
      </c>
      <c r="K60" s="51">
        <f t="shared" ca="1" si="2"/>
        <v>1</v>
      </c>
      <c r="L60" s="54">
        <f ca="1">IFERROR(__xludf.DUMMYFUNCTION("""COMPUTED_VALUE"""),29)</f>
        <v>29</v>
      </c>
      <c r="M60" s="51">
        <f t="shared" ca="1" si="3"/>
        <v>0.67441860465116277</v>
      </c>
      <c r="N60" s="54">
        <f ca="1">IFERROR(__xludf.DUMMYFUNCTION("""COMPUTED_VALUE"""),82)</f>
        <v>82</v>
      </c>
      <c r="O60" s="54">
        <f ca="1">IFERROR(__xludf.DUMMYFUNCTION("""COMPUTED_VALUE"""),82)</f>
        <v>82</v>
      </c>
      <c r="P60" s="51">
        <f t="shared" ca="1" si="4"/>
        <v>1</v>
      </c>
      <c r="Q60" s="54">
        <f ca="1">IFERROR(__xludf.DUMMYFUNCTION("""COMPUTED_VALUE"""),82)</f>
        <v>82</v>
      </c>
      <c r="R60" s="51">
        <f t="shared" ca="1" si="5"/>
        <v>1</v>
      </c>
      <c r="S60" s="54">
        <f ca="1">IFERROR(__xludf.DUMMYFUNCTION("""COMPUTED_VALUE"""),433)</f>
        <v>433</v>
      </c>
      <c r="T60" s="54">
        <f ca="1">IFERROR(__xludf.DUMMYFUNCTION("""COMPUTED_VALUE"""),433)</f>
        <v>433</v>
      </c>
      <c r="U60" s="51">
        <f t="shared" ca="1" si="6"/>
        <v>1</v>
      </c>
      <c r="V60" s="54">
        <f ca="1">IFERROR(__xludf.DUMMYFUNCTION("""COMPUTED_VALUE"""),433)</f>
        <v>433</v>
      </c>
      <c r="W60" s="51">
        <f t="shared" ca="1" si="7"/>
        <v>1</v>
      </c>
      <c r="X60" s="54">
        <f ca="1">IFERROR(__xludf.DUMMYFUNCTION("""COMPUTED_VALUE"""),412)</f>
        <v>412</v>
      </c>
      <c r="Y60" s="51">
        <f t="shared" ca="1" si="8"/>
        <v>0.9515011547344111</v>
      </c>
      <c r="Z60" s="2"/>
      <c r="AA60" s="2"/>
      <c r="AB60" s="2"/>
      <c r="AC60" s="2"/>
      <c r="AD60" s="2"/>
      <c r="AE60" s="2"/>
    </row>
    <row r="61" spans="1:31" ht="12.75" x14ac:dyDescent="0.2">
      <c r="A61" s="53">
        <f ca="1">IFERROR(__xludf.DUMMYFUNCTION("""COMPUTED_VALUE"""),53)</f>
        <v>53</v>
      </c>
      <c r="B61" s="53" t="str">
        <f ca="1">IFERROR(__xludf.DUMMYFUNCTION("""COMPUTED_VALUE"""),"Trường THCS Độc Lập ")</f>
        <v xml:space="preserve">Trường THCS Độc Lập </v>
      </c>
      <c r="C61" s="53" t="str">
        <f ca="1">IFERROR(__xludf.DUMMYFUNCTION("""COMPUTED_VALUE"""),"THCS")</f>
        <v>THCS</v>
      </c>
      <c r="D61" s="53" t="str">
        <f ca="1">IFERROR(__xludf.DUMMYFUNCTION("""COMPUTED_VALUE"""),"PHÚ NHUẬN")</f>
        <v>PHÚ NHUẬN</v>
      </c>
      <c r="E61" s="54">
        <f ca="1">IFERROR(__xludf.DUMMYFUNCTION("""COMPUTED_VALUE"""),112)</f>
        <v>112</v>
      </c>
      <c r="F61" s="54">
        <f ca="1">IFERROR(__xludf.DUMMYFUNCTION("""COMPUTED_VALUE"""),112)</f>
        <v>112</v>
      </c>
      <c r="G61" s="51">
        <f t="shared" ca="1" si="0"/>
        <v>1</v>
      </c>
      <c r="H61" s="54">
        <f ca="1">IFERROR(__xludf.DUMMYFUNCTION("""COMPUTED_VALUE"""),112)</f>
        <v>112</v>
      </c>
      <c r="I61" s="51">
        <f t="shared" ca="1" si="1"/>
        <v>1</v>
      </c>
      <c r="J61" s="54">
        <f ca="1">IFERROR(__xludf.DUMMYFUNCTION("""COMPUTED_VALUE"""),112)</f>
        <v>112</v>
      </c>
      <c r="K61" s="51">
        <f t="shared" ca="1" si="2"/>
        <v>1</v>
      </c>
      <c r="L61" s="54">
        <f ca="1">IFERROR(__xludf.DUMMYFUNCTION("""COMPUTED_VALUE"""),40)</f>
        <v>40</v>
      </c>
      <c r="M61" s="51">
        <f t="shared" ca="1" si="3"/>
        <v>0.35714285714285715</v>
      </c>
      <c r="N61" s="54">
        <f ca="1">IFERROR(__xludf.DUMMYFUNCTION("""COMPUTED_VALUE"""),257)</f>
        <v>257</v>
      </c>
      <c r="O61" s="54">
        <f ca="1">IFERROR(__xludf.DUMMYFUNCTION("""COMPUTED_VALUE"""),242)</f>
        <v>242</v>
      </c>
      <c r="P61" s="51">
        <f t="shared" ca="1" si="4"/>
        <v>0.94163424124513617</v>
      </c>
      <c r="Q61" s="54">
        <f ca="1">IFERROR(__xludf.DUMMYFUNCTION("""COMPUTED_VALUE"""),75)</f>
        <v>75</v>
      </c>
      <c r="R61" s="51">
        <f t="shared" ca="1" si="5"/>
        <v>0.29182879377431908</v>
      </c>
      <c r="S61" s="54">
        <f ca="1">IFERROR(__xludf.DUMMYFUNCTION("""COMPUTED_VALUE"""),948)</f>
        <v>948</v>
      </c>
      <c r="T61" s="53">
        <f ca="1">IFERROR(__xludf.DUMMYFUNCTION("""COMPUTED_VALUE"""),945)</f>
        <v>945</v>
      </c>
      <c r="U61" s="51">
        <f t="shared" ca="1" si="6"/>
        <v>0.99683544303797467</v>
      </c>
      <c r="V61" s="54">
        <f ca="1">IFERROR(__xludf.DUMMYFUNCTION("""COMPUTED_VALUE"""),945)</f>
        <v>945</v>
      </c>
      <c r="W61" s="51">
        <f t="shared" ca="1" si="7"/>
        <v>0.99683544303797467</v>
      </c>
      <c r="X61" s="54">
        <f ca="1">IFERROR(__xludf.DUMMYFUNCTION("""COMPUTED_VALUE"""),296)</f>
        <v>296</v>
      </c>
      <c r="Y61" s="51">
        <f t="shared" ca="1" si="8"/>
        <v>0.31223628691983124</v>
      </c>
      <c r="Z61" s="2"/>
      <c r="AA61" s="2"/>
      <c r="AB61" s="2"/>
      <c r="AC61" s="2"/>
      <c r="AD61" s="2"/>
      <c r="AE61" s="2"/>
    </row>
    <row r="62" spans="1:31" ht="12.75" x14ac:dyDescent="0.2">
      <c r="A62" s="53">
        <f ca="1">IFERROR(__xludf.DUMMYFUNCTION("""COMPUTED_VALUE"""),54)</f>
        <v>54</v>
      </c>
      <c r="B62" s="53" t="str">
        <f ca="1">IFERROR(__xludf.DUMMYFUNCTION("""COMPUTED_VALUE"""),"THCS Đào Duy Anh")</f>
        <v>THCS Đào Duy Anh</v>
      </c>
      <c r="C62" s="53" t="str">
        <f ca="1">IFERROR(__xludf.DUMMYFUNCTION("""COMPUTED_VALUE"""),"THCS")</f>
        <v>THCS</v>
      </c>
      <c r="D62" s="53" t="str">
        <f ca="1">IFERROR(__xludf.DUMMYFUNCTION("""COMPUTED_VALUE"""),"PHÚ NHUẬN")</f>
        <v>PHÚ NHUẬN</v>
      </c>
      <c r="E62" s="54">
        <f ca="1">IFERROR(__xludf.DUMMYFUNCTION("""COMPUTED_VALUE"""),49)</f>
        <v>49</v>
      </c>
      <c r="F62" s="54">
        <f ca="1">IFERROR(__xludf.DUMMYFUNCTION("""COMPUTED_VALUE"""),49)</f>
        <v>49</v>
      </c>
      <c r="G62" s="51">
        <f t="shared" ca="1" si="0"/>
        <v>1</v>
      </c>
      <c r="H62" s="54">
        <f ca="1">IFERROR(__xludf.DUMMYFUNCTION("""COMPUTED_VALUE"""),49)</f>
        <v>49</v>
      </c>
      <c r="I62" s="51">
        <f t="shared" ca="1" si="1"/>
        <v>1</v>
      </c>
      <c r="J62" s="54">
        <f ca="1">IFERROR(__xludf.DUMMYFUNCTION("""COMPUTED_VALUE"""),47)</f>
        <v>47</v>
      </c>
      <c r="K62" s="51">
        <f t="shared" ca="1" si="2"/>
        <v>0.95918367346938771</v>
      </c>
      <c r="L62" s="54">
        <f ca="1">IFERROR(__xludf.DUMMYFUNCTION("""COMPUTED_VALUE"""),23)</f>
        <v>23</v>
      </c>
      <c r="M62" s="51">
        <f t="shared" ca="1" si="3"/>
        <v>0.46938775510204084</v>
      </c>
      <c r="N62" s="54">
        <f ca="1">IFERROR(__xludf.DUMMYFUNCTION("""COMPUTED_VALUE"""),228)</f>
        <v>228</v>
      </c>
      <c r="O62" s="54">
        <f ca="1">IFERROR(__xludf.DUMMYFUNCTION("""COMPUTED_VALUE"""),158)</f>
        <v>158</v>
      </c>
      <c r="P62" s="51">
        <f t="shared" ca="1" si="4"/>
        <v>0.69298245614035092</v>
      </c>
      <c r="Q62" s="54">
        <f ca="1">IFERROR(__xludf.DUMMYFUNCTION("""COMPUTED_VALUE"""),101)</f>
        <v>101</v>
      </c>
      <c r="R62" s="51">
        <f t="shared" ca="1" si="5"/>
        <v>0.44298245614035087</v>
      </c>
      <c r="S62" s="54">
        <f ca="1">IFERROR(__xludf.DUMMYFUNCTION("""COMPUTED_VALUE"""),487)</f>
        <v>487</v>
      </c>
      <c r="T62" s="53">
        <f ca="1">IFERROR(__xludf.DUMMYFUNCTION("""COMPUTED_VALUE"""),443)</f>
        <v>443</v>
      </c>
      <c r="U62" s="51">
        <f t="shared" ca="1" si="6"/>
        <v>0.90965092402464065</v>
      </c>
      <c r="V62" s="54">
        <f ca="1">IFERROR(__xludf.DUMMYFUNCTION("""COMPUTED_VALUE"""),394)</f>
        <v>394</v>
      </c>
      <c r="W62" s="51">
        <f t="shared" ca="1" si="7"/>
        <v>0.80903490759753593</v>
      </c>
      <c r="X62" s="54">
        <f ca="1">IFERROR(__xludf.DUMMYFUNCTION("""COMPUTED_VALUE"""),153)</f>
        <v>153</v>
      </c>
      <c r="Y62" s="51">
        <f t="shared" ca="1" si="8"/>
        <v>0.31416837782340862</v>
      </c>
      <c r="Z62" s="2"/>
      <c r="AA62" s="2"/>
      <c r="AB62" s="2"/>
      <c r="AC62" s="2"/>
      <c r="AD62" s="2"/>
      <c r="AE62" s="2"/>
    </row>
    <row r="63" spans="1:31" ht="12.75" x14ac:dyDescent="0.2">
      <c r="A63" s="53">
        <f ca="1">IFERROR(__xludf.DUMMYFUNCTION("""COMPUTED_VALUE"""),55)</f>
        <v>55</v>
      </c>
      <c r="B63" s="53" t="str">
        <f ca="1">IFERROR(__xludf.DUMMYFUNCTION("""COMPUTED_VALUE"""),"THCS Trần Huy Liệu")</f>
        <v>THCS Trần Huy Liệu</v>
      </c>
      <c r="C63" s="53" t="str">
        <f ca="1">IFERROR(__xludf.DUMMYFUNCTION("""COMPUTED_VALUE"""),"THCS")</f>
        <v>THCS</v>
      </c>
      <c r="D63" s="53" t="str">
        <f ca="1">IFERROR(__xludf.DUMMYFUNCTION("""COMPUTED_VALUE"""),"PHÚ NHUẬN")</f>
        <v>PHÚ NHUẬN</v>
      </c>
      <c r="E63" s="54">
        <f ca="1">IFERROR(__xludf.DUMMYFUNCTION("""COMPUTED_VALUE"""),82)</f>
        <v>82</v>
      </c>
      <c r="F63" s="54">
        <f ca="1">IFERROR(__xludf.DUMMYFUNCTION("""COMPUTED_VALUE"""),82)</f>
        <v>82</v>
      </c>
      <c r="G63" s="51">
        <f t="shared" ca="1" si="0"/>
        <v>1</v>
      </c>
      <c r="H63" s="54">
        <f ca="1">IFERROR(__xludf.DUMMYFUNCTION("""COMPUTED_VALUE"""),82)</f>
        <v>82</v>
      </c>
      <c r="I63" s="51">
        <f t="shared" ca="1" si="1"/>
        <v>1</v>
      </c>
      <c r="J63" s="54">
        <f ca="1">IFERROR(__xludf.DUMMYFUNCTION("""COMPUTED_VALUE"""),32)</f>
        <v>32</v>
      </c>
      <c r="K63" s="51">
        <f t="shared" ca="1" si="2"/>
        <v>0.3902439024390244</v>
      </c>
      <c r="L63" s="54">
        <f ca="1">IFERROR(__xludf.DUMMYFUNCTION("""COMPUTED_VALUE"""),50)</f>
        <v>50</v>
      </c>
      <c r="M63" s="51">
        <f t="shared" ca="1" si="3"/>
        <v>0.6097560975609756</v>
      </c>
      <c r="N63" s="54">
        <f ca="1">IFERROR(__xludf.DUMMYFUNCTION("""COMPUTED_VALUE"""),106)</f>
        <v>106</v>
      </c>
      <c r="O63" s="54">
        <f ca="1">IFERROR(__xludf.DUMMYFUNCTION("""COMPUTED_VALUE"""),78)</f>
        <v>78</v>
      </c>
      <c r="P63" s="51">
        <f t="shared" ca="1" si="4"/>
        <v>0.73584905660377353</v>
      </c>
      <c r="Q63" s="54">
        <f ca="1">IFERROR(__xludf.DUMMYFUNCTION("""COMPUTED_VALUE"""),50)</f>
        <v>50</v>
      </c>
      <c r="R63" s="51">
        <f t="shared" ca="1" si="5"/>
        <v>0.47169811320754718</v>
      </c>
      <c r="S63" s="54">
        <f ca="1">IFERROR(__xludf.DUMMYFUNCTION("""COMPUTED_VALUE"""),1604)</f>
        <v>1604</v>
      </c>
      <c r="T63" s="54">
        <f ca="1">IFERROR(__xludf.DUMMYFUNCTION("""COMPUTED_VALUE"""),1604)</f>
        <v>1604</v>
      </c>
      <c r="U63" s="51">
        <f t="shared" ca="1" si="6"/>
        <v>1</v>
      </c>
      <c r="V63" s="54">
        <f ca="1">IFERROR(__xludf.DUMMYFUNCTION("""COMPUTED_VALUE"""),1604)</f>
        <v>1604</v>
      </c>
      <c r="W63" s="51">
        <f t="shared" ca="1" si="7"/>
        <v>1</v>
      </c>
      <c r="X63" s="54">
        <f ca="1">IFERROR(__xludf.DUMMYFUNCTION("""COMPUTED_VALUE"""),501)</f>
        <v>501</v>
      </c>
      <c r="Y63" s="51">
        <f t="shared" ca="1" si="8"/>
        <v>0.31234413965087282</v>
      </c>
      <c r="Z63" s="2"/>
      <c r="AA63" s="2"/>
      <c r="AB63" s="2"/>
      <c r="AC63" s="2"/>
      <c r="AD63" s="2"/>
      <c r="AE63" s="2"/>
    </row>
    <row r="64" spans="1:31" ht="12.75" x14ac:dyDescent="0.2">
      <c r="A64" s="53">
        <f ca="1">IFERROR(__xludf.DUMMYFUNCTION("""COMPUTED_VALUE"""),56)</f>
        <v>56</v>
      </c>
      <c r="B64" s="53" t="str">
        <f ca="1">IFERROR(__xludf.DUMMYFUNCTION("""COMPUTED_VALUE"""),"THCS Ngô Tất Tố")</f>
        <v>THCS Ngô Tất Tố</v>
      </c>
      <c r="C64" s="53" t="str">
        <f ca="1">IFERROR(__xludf.DUMMYFUNCTION("""COMPUTED_VALUE"""),"THCS")</f>
        <v>THCS</v>
      </c>
      <c r="D64" s="53" t="str">
        <f ca="1">IFERROR(__xludf.DUMMYFUNCTION("""COMPUTED_VALUE"""),"PHÚ NHUẬN")</f>
        <v>PHÚ NHUẬN</v>
      </c>
      <c r="E64" s="54">
        <f ca="1">IFERROR(__xludf.DUMMYFUNCTION("""COMPUTED_VALUE"""),125)</f>
        <v>125</v>
      </c>
      <c r="F64" s="54">
        <f ca="1">IFERROR(__xludf.DUMMYFUNCTION("""COMPUTED_VALUE"""),125)</f>
        <v>125</v>
      </c>
      <c r="G64" s="51">
        <f t="shared" ca="1" si="0"/>
        <v>1</v>
      </c>
      <c r="H64" s="54">
        <f ca="1">IFERROR(__xludf.DUMMYFUNCTION("""COMPUTED_VALUE"""),125)</f>
        <v>125</v>
      </c>
      <c r="I64" s="51">
        <f t="shared" ca="1" si="1"/>
        <v>1</v>
      </c>
      <c r="J64" s="54">
        <f ca="1">IFERROR(__xludf.DUMMYFUNCTION("""COMPUTED_VALUE"""),115)</f>
        <v>115</v>
      </c>
      <c r="K64" s="51">
        <f t="shared" ca="1" si="2"/>
        <v>0.92</v>
      </c>
      <c r="L64" s="54">
        <f ca="1">IFERROR(__xludf.DUMMYFUNCTION("""COMPUTED_VALUE"""),35)</f>
        <v>35</v>
      </c>
      <c r="M64" s="51">
        <f t="shared" ca="1" si="3"/>
        <v>0.28000000000000003</v>
      </c>
      <c r="N64" s="54">
        <f ca="1">IFERROR(__xludf.DUMMYFUNCTION("""COMPUTED_VALUE"""),534)</f>
        <v>534</v>
      </c>
      <c r="O64" s="54">
        <f ca="1">IFERROR(__xludf.DUMMYFUNCTION("""COMPUTED_VALUE"""),317)</f>
        <v>317</v>
      </c>
      <c r="P64" s="51">
        <f t="shared" ca="1" si="4"/>
        <v>0.59363295880149813</v>
      </c>
      <c r="Q64" s="54">
        <f ca="1">IFERROR(__xludf.DUMMYFUNCTION("""COMPUTED_VALUE"""),180)</f>
        <v>180</v>
      </c>
      <c r="R64" s="51">
        <f t="shared" ca="1" si="5"/>
        <v>0.33707865168539325</v>
      </c>
      <c r="S64" s="54">
        <f ca="1">IFERROR(__xludf.DUMMYFUNCTION("""COMPUTED_VALUE"""),1289)</f>
        <v>1289</v>
      </c>
      <c r="T64" s="53">
        <f ca="1">IFERROR(__xludf.DUMMYFUNCTION("""COMPUTED_VALUE"""),1201)</f>
        <v>1201</v>
      </c>
      <c r="U64" s="51">
        <f t="shared" ca="1" si="6"/>
        <v>0.93173002327385568</v>
      </c>
      <c r="V64" s="54">
        <f ca="1">IFERROR(__xludf.DUMMYFUNCTION("""COMPUTED_VALUE"""),1134)</f>
        <v>1134</v>
      </c>
      <c r="W64" s="51">
        <f t="shared" ca="1" si="7"/>
        <v>0.87975174553917768</v>
      </c>
      <c r="X64" s="54">
        <f ca="1">IFERROR(__xludf.DUMMYFUNCTION("""COMPUTED_VALUE"""),413)</f>
        <v>413</v>
      </c>
      <c r="Y64" s="51">
        <f t="shared" ca="1" si="8"/>
        <v>0.32040341349883633</v>
      </c>
      <c r="Z64" s="2"/>
      <c r="AA64" s="2"/>
      <c r="AB64" s="2"/>
      <c r="AC64" s="2"/>
      <c r="AD64" s="2"/>
      <c r="AE64" s="2"/>
    </row>
    <row r="65" spans="1:31" ht="12.75" x14ac:dyDescent="0.2">
      <c r="A65" s="53">
        <f ca="1">IFERROR(__xludf.DUMMYFUNCTION("""COMPUTED_VALUE"""),361)</f>
        <v>361</v>
      </c>
      <c r="B65" s="53" t="str">
        <f ca="1">IFERROR(__xludf.DUMMYFUNCTION("""COMPUTED_VALUE"""),"TH-THCS-THPT Việt Úc")</f>
        <v>TH-THCS-THPT Việt Úc</v>
      </c>
      <c r="C65" s="53" t="str">
        <f ca="1">IFERROR(__xludf.DUMMYFUNCTION("""COMPUTED_VALUE"""),"THCS")</f>
        <v>THCS</v>
      </c>
      <c r="D65" s="53" t="str">
        <f ca="1">IFERROR(__xludf.DUMMYFUNCTION("""COMPUTED_VALUE"""),"PHÚ NHUẬN")</f>
        <v>PHÚ NHUẬN</v>
      </c>
      <c r="E65" s="56">
        <f ca="1">IFERROR(__xludf.DUMMYFUNCTION("""COMPUTED_VALUE"""),170)</f>
        <v>170</v>
      </c>
      <c r="F65" s="56">
        <f ca="1">IFERROR(__xludf.DUMMYFUNCTION("""COMPUTED_VALUE"""),170)</f>
        <v>170</v>
      </c>
      <c r="G65" s="51">
        <f t="shared" ca="1" si="0"/>
        <v>1</v>
      </c>
      <c r="H65" s="56">
        <f ca="1">IFERROR(__xludf.DUMMYFUNCTION("""COMPUTED_VALUE"""),170)</f>
        <v>170</v>
      </c>
      <c r="I65" s="51">
        <f t="shared" ca="1" si="1"/>
        <v>1</v>
      </c>
      <c r="J65" s="56">
        <f ca="1">IFERROR(__xludf.DUMMYFUNCTION("""COMPUTED_VALUE"""),118)</f>
        <v>118</v>
      </c>
      <c r="K65" s="51">
        <f t="shared" ca="1" si="2"/>
        <v>0.69411764705882351</v>
      </c>
      <c r="L65" s="56">
        <f ca="1">IFERROR(__xludf.DUMMYFUNCTION("""COMPUTED_VALUE"""),21)</f>
        <v>21</v>
      </c>
      <c r="M65" s="51">
        <f t="shared" ca="1" si="3"/>
        <v>0.12352941176470589</v>
      </c>
      <c r="N65" s="54">
        <f ca="1">IFERROR(__xludf.DUMMYFUNCTION("""COMPUTED_VALUE"""),475)</f>
        <v>475</v>
      </c>
      <c r="O65" s="54">
        <f ca="1">IFERROR(__xludf.DUMMYFUNCTION("""COMPUTED_VALUE"""),152)</f>
        <v>152</v>
      </c>
      <c r="P65" s="51">
        <f t="shared" ca="1" si="4"/>
        <v>0.32</v>
      </c>
      <c r="Q65" s="54">
        <f ca="1">IFERROR(__xludf.DUMMYFUNCTION("""COMPUTED_VALUE"""),96)</f>
        <v>96</v>
      </c>
      <c r="R65" s="51">
        <f t="shared" ca="1" si="5"/>
        <v>0.20210526315789473</v>
      </c>
      <c r="S65" s="54">
        <f ca="1">IFERROR(__xludf.DUMMYFUNCTION("""COMPUTED_VALUE"""),386)</f>
        <v>386</v>
      </c>
      <c r="T65" s="53">
        <f ca="1">IFERROR(__xludf.DUMMYFUNCTION("""COMPUTED_VALUE"""),365)</f>
        <v>365</v>
      </c>
      <c r="U65" s="51">
        <f t="shared" ca="1" si="6"/>
        <v>0.94559585492227982</v>
      </c>
      <c r="V65" s="54">
        <f ca="1">IFERROR(__xludf.DUMMYFUNCTION("""COMPUTED_VALUE"""),328)</f>
        <v>328</v>
      </c>
      <c r="W65" s="51">
        <f t="shared" ca="1" si="7"/>
        <v>0.84974093264248707</v>
      </c>
      <c r="X65" s="54">
        <f ca="1">IFERROR(__xludf.DUMMYFUNCTION("""COMPUTED_VALUE"""),98)</f>
        <v>98</v>
      </c>
      <c r="Y65" s="51">
        <f t="shared" ca="1" si="8"/>
        <v>0.25388601036269431</v>
      </c>
      <c r="Z65" s="2"/>
      <c r="AA65" s="2"/>
      <c r="AB65" s="2"/>
      <c r="AC65" s="2"/>
      <c r="AD65" s="2"/>
      <c r="AE65" s="2"/>
    </row>
    <row r="66" spans="1:31" ht="12.75" x14ac:dyDescent="0.2">
      <c r="A66" s="53">
        <f ca="1">IFERROR(__xludf.DUMMYFUNCTION("""COMPUTED_VALUE"""),58)</f>
        <v>58</v>
      </c>
      <c r="B66" s="53"/>
      <c r="C66" s="53"/>
      <c r="D66" s="53" t="str">
        <f ca="1">IFERROR(__xludf.DUMMYFUNCTION("""COMPUTED_VALUE"""),"PHÚ NHUẬN")</f>
        <v>PHÚ NHUẬN</v>
      </c>
      <c r="E66" s="54">
        <f ca="1">IFERROR(__xludf.DUMMYFUNCTION("""COMPUTED_VALUE"""),62)</f>
        <v>62</v>
      </c>
      <c r="F66" s="54">
        <f ca="1">IFERROR(__xludf.DUMMYFUNCTION("""COMPUTED_VALUE"""),62)</f>
        <v>62</v>
      </c>
      <c r="G66" s="51">
        <f t="shared" ca="1" si="0"/>
        <v>1</v>
      </c>
      <c r="H66" s="54">
        <f ca="1">IFERROR(__xludf.DUMMYFUNCTION("""COMPUTED_VALUE"""),62)</f>
        <v>62</v>
      </c>
      <c r="I66" s="51">
        <f t="shared" ca="1" si="1"/>
        <v>1</v>
      </c>
      <c r="J66" s="54">
        <f ca="1">IFERROR(__xludf.DUMMYFUNCTION("""COMPUTED_VALUE"""),48)</f>
        <v>48</v>
      </c>
      <c r="K66" s="51">
        <f t="shared" ca="1" si="2"/>
        <v>0.77419354838709675</v>
      </c>
      <c r="L66" s="54">
        <f ca="1">IFERROR(__xludf.DUMMYFUNCTION("""COMPUTED_VALUE"""),32)</f>
        <v>32</v>
      </c>
      <c r="M66" s="51">
        <f t="shared" ca="1" si="3"/>
        <v>0.5161290322580645</v>
      </c>
      <c r="N66" s="54">
        <f ca="1">IFERROR(__xludf.DUMMYFUNCTION("""COMPUTED_VALUE"""),189)</f>
        <v>189</v>
      </c>
      <c r="O66" s="54">
        <f ca="1">IFERROR(__xludf.DUMMYFUNCTION("""COMPUTED_VALUE"""),39)</f>
        <v>39</v>
      </c>
      <c r="P66" s="51">
        <f t="shared" ca="1" si="4"/>
        <v>0.20634920634920634</v>
      </c>
      <c r="Q66" s="54">
        <f ca="1">IFERROR(__xludf.DUMMYFUNCTION("""COMPUTED_VALUE"""),17)</f>
        <v>17</v>
      </c>
      <c r="R66" s="51">
        <f t="shared" ca="1" si="5"/>
        <v>8.9947089947089942E-2</v>
      </c>
      <c r="S66" s="54">
        <f ca="1">IFERROR(__xludf.DUMMYFUNCTION("""COMPUTED_VALUE"""),118)</f>
        <v>118</v>
      </c>
      <c r="T66" s="53">
        <f ca="1">IFERROR(__xludf.DUMMYFUNCTION("""COMPUTED_VALUE"""),72)</f>
        <v>72</v>
      </c>
      <c r="U66" s="51">
        <f t="shared" ca="1" si="6"/>
        <v>0.61016949152542377</v>
      </c>
      <c r="V66" s="54">
        <f ca="1">IFERROR(__xludf.DUMMYFUNCTION("""COMPUTED_VALUE"""),72)</f>
        <v>72</v>
      </c>
      <c r="W66" s="51">
        <f t="shared" ca="1" si="7"/>
        <v>0.61016949152542377</v>
      </c>
      <c r="X66" s="54">
        <f ca="1">IFERROR(__xludf.DUMMYFUNCTION("""COMPUTED_VALUE"""),35)</f>
        <v>35</v>
      </c>
      <c r="Y66" s="51">
        <f t="shared" ca="1" si="8"/>
        <v>0.29661016949152541</v>
      </c>
      <c r="Z66" s="2"/>
      <c r="AA66" s="2"/>
      <c r="AB66" s="2"/>
      <c r="AC66" s="2"/>
      <c r="AD66" s="2"/>
      <c r="AE66" s="2"/>
    </row>
    <row r="67" spans="1:31" ht="12.75" x14ac:dyDescent="0.2">
      <c r="A67" s="53">
        <f ca="1">IFERROR(__xludf.DUMMYFUNCTION("""COMPUTED_VALUE"""),59)</f>
        <v>59</v>
      </c>
      <c r="B67" s="53" t="str">
        <f ca="1">IFERROR(__xludf.DUMMYFUNCTION("""COMPUTED_VALUE"""),"THCS-THPT Quang Trung Nguyễn Huệ")</f>
        <v>THCS-THPT Quang Trung Nguyễn Huệ</v>
      </c>
      <c r="C67" s="53" t="str">
        <f ca="1">IFERROR(__xludf.DUMMYFUNCTION("""COMPUTED_VALUE"""),"THCS")</f>
        <v>THCS</v>
      </c>
      <c r="D67" s="53" t="str">
        <f ca="1">IFERROR(__xludf.DUMMYFUNCTION("""COMPUTED_VALUE"""),"PHÚ NHUẬN")</f>
        <v>PHÚ NHUẬN</v>
      </c>
      <c r="E67" s="54">
        <f ca="1">IFERROR(__xludf.DUMMYFUNCTION("""COMPUTED_VALUE"""),20)</f>
        <v>20</v>
      </c>
      <c r="F67" s="54">
        <f ca="1">IFERROR(__xludf.DUMMYFUNCTION("""COMPUTED_VALUE"""),20)</f>
        <v>20</v>
      </c>
      <c r="G67" s="51">
        <f t="shared" ca="1" si="0"/>
        <v>1</v>
      </c>
      <c r="H67" s="54">
        <f ca="1">IFERROR(__xludf.DUMMYFUNCTION("""COMPUTED_VALUE"""),20)</f>
        <v>20</v>
      </c>
      <c r="I67" s="51">
        <f t="shared" ca="1" si="1"/>
        <v>1</v>
      </c>
      <c r="J67" s="54">
        <f ca="1">IFERROR(__xludf.DUMMYFUNCTION("""COMPUTED_VALUE"""),20)</f>
        <v>20</v>
      </c>
      <c r="K67" s="51">
        <f t="shared" ca="1" si="2"/>
        <v>1</v>
      </c>
      <c r="L67" s="54">
        <f ca="1">IFERROR(__xludf.DUMMYFUNCTION("""COMPUTED_VALUE"""),18)</f>
        <v>18</v>
      </c>
      <c r="M67" s="51">
        <f t="shared" ca="1" si="3"/>
        <v>0.9</v>
      </c>
      <c r="N67" s="53"/>
      <c r="O67" s="53"/>
      <c r="P67" s="51" t="str">
        <f t="shared" si="4"/>
        <v/>
      </c>
      <c r="Q67" s="53"/>
      <c r="R67" s="51" t="str">
        <f t="shared" si="5"/>
        <v/>
      </c>
      <c r="S67" s="54">
        <f ca="1">IFERROR(__xludf.DUMMYFUNCTION("""COMPUTED_VALUE"""),118)</f>
        <v>118</v>
      </c>
      <c r="T67" s="54">
        <f ca="1">IFERROR(__xludf.DUMMYFUNCTION("""COMPUTED_VALUE"""),118)</f>
        <v>118</v>
      </c>
      <c r="U67" s="51">
        <f t="shared" ca="1" si="6"/>
        <v>1</v>
      </c>
      <c r="V67" s="54">
        <f ca="1">IFERROR(__xludf.DUMMYFUNCTION("""COMPUTED_VALUE"""),118)</f>
        <v>118</v>
      </c>
      <c r="W67" s="51">
        <f t="shared" ca="1" si="7"/>
        <v>1</v>
      </c>
      <c r="X67" s="54">
        <f ca="1">IFERROR(__xludf.DUMMYFUNCTION("""COMPUTED_VALUE"""),102)</f>
        <v>102</v>
      </c>
      <c r="Y67" s="51">
        <f t="shared" ca="1" si="8"/>
        <v>0.86440677966101698</v>
      </c>
      <c r="Z67" s="2"/>
      <c r="AA67" s="2"/>
      <c r="AB67" s="2"/>
      <c r="AC67" s="2"/>
      <c r="AD67" s="2"/>
      <c r="AE67" s="2"/>
    </row>
    <row r="68" spans="1:31" ht="12.75" x14ac:dyDescent="0.2">
      <c r="A68" s="53">
        <f ca="1">IFERROR(__xludf.DUMMYFUNCTION("""COMPUTED_VALUE"""),60)</f>
        <v>60</v>
      </c>
      <c r="B68" s="53" t="str">
        <f ca="1">IFERROR(__xludf.DUMMYFUNCTION("""COMPUTED_VALUE"""),"TH - THCS - THPT Việt Anh")</f>
        <v>TH - THCS - THPT Việt Anh</v>
      </c>
      <c r="C68" s="53" t="str">
        <f ca="1">IFERROR(__xludf.DUMMYFUNCTION("""COMPUTED_VALUE"""),"THCS")</f>
        <v>THCS</v>
      </c>
      <c r="D68" s="53" t="str">
        <f ca="1">IFERROR(__xludf.DUMMYFUNCTION("""COMPUTED_VALUE"""),"PHÚ NHUẬN")</f>
        <v>PHÚ NHUẬN</v>
      </c>
      <c r="E68" s="54">
        <f ca="1">IFERROR(__xludf.DUMMYFUNCTION("""COMPUTED_VALUE"""),33)</f>
        <v>33</v>
      </c>
      <c r="F68" s="54">
        <f ca="1">IFERROR(__xludf.DUMMYFUNCTION("""COMPUTED_VALUE"""),33)</f>
        <v>33</v>
      </c>
      <c r="G68" s="51">
        <f t="shared" ca="1" si="0"/>
        <v>1</v>
      </c>
      <c r="H68" s="54">
        <f ca="1">IFERROR(__xludf.DUMMYFUNCTION("""COMPUTED_VALUE"""),33)</f>
        <v>33</v>
      </c>
      <c r="I68" s="51">
        <f t="shared" ca="1" si="1"/>
        <v>1</v>
      </c>
      <c r="J68" s="54">
        <f ca="1">IFERROR(__xludf.DUMMYFUNCTION("""COMPUTED_VALUE"""),31)</f>
        <v>31</v>
      </c>
      <c r="K68" s="51">
        <f t="shared" ca="1" si="2"/>
        <v>0.93939393939393945</v>
      </c>
      <c r="L68" s="54">
        <f ca="1">IFERROR(__xludf.DUMMYFUNCTION("""COMPUTED_VALUE"""),13)</f>
        <v>13</v>
      </c>
      <c r="M68" s="51">
        <f t="shared" ca="1" si="3"/>
        <v>0.39393939393939392</v>
      </c>
      <c r="N68" s="54">
        <f ca="1">IFERROR(__xludf.DUMMYFUNCTION("""COMPUTED_VALUE"""),11)</f>
        <v>11</v>
      </c>
      <c r="O68" s="54">
        <f ca="1">IFERROR(__xludf.DUMMYFUNCTION("""COMPUTED_VALUE"""),3)</f>
        <v>3</v>
      </c>
      <c r="P68" s="51">
        <f t="shared" ca="1" si="4"/>
        <v>0.27272727272727271</v>
      </c>
      <c r="Q68" s="54">
        <f ca="1">IFERROR(__xludf.DUMMYFUNCTION("""COMPUTED_VALUE"""),0)</f>
        <v>0</v>
      </c>
      <c r="R68" s="51">
        <f t="shared" ca="1" si="5"/>
        <v>0</v>
      </c>
      <c r="S68" s="54">
        <f ca="1">IFERROR(__xludf.DUMMYFUNCTION("""COMPUTED_VALUE"""),171)</f>
        <v>171</v>
      </c>
      <c r="T68" s="53">
        <f ca="1">IFERROR(__xludf.DUMMYFUNCTION("""COMPUTED_VALUE"""),161)</f>
        <v>161</v>
      </c>
      <c r="U68" s="51">
        <f t="shared" ca="1" si="6"/>
        <v>0.94152046783625731</v>
      </c>
      <c r="V68" s="54">
        <f ca="1">IFERROR(__xludf.DUMMYFUNCTION("""COMPUTED_VALUE"""),151)</f>
        <v>151</v>
      </c>
      <c r="W68" s="51">
        <f t="shared" ca="1" si="7"/>
        <v>0.88304093567251463</v>
      </c>
      <c r="X68" s="54">
        <f ca="1">IFERROR(__xludf.DUMMYFUNCTION("""COMPUTED_VALUE"""),39)</f>
        <v>39</v>
      </c>
      <c r="Y68" s="51">
        <f t="shared" ca="1" si="8"/>
        <v>0.22807017543859648</v>
      </c>
      <c r="Z68" s="2"/>
      <c r="AA68" s="2"/>
      <c r="AB68" s="2"/>
      <c r="AC68" s="2"/>
      <c r="AD68" s="2"/>
      <c r="AE68" s="2"/>
    </row>
    <row r="69" spans="1:31" ht="12.75" x14ac:dyDescent="0.2">
      <c r="A69" s="53">
        <f ca="1">IFERROR(__xludf.DUMMYFUNCTION("""COMPUTED_VALUE"""),61)</f>
        <v>61</v>
      </c>
      <c r="B69" s="53" t="str">
        <f ca="1">IFERROR(__xludf.DUMMYFUNCTION("""COMPUTED_VALUE"""),"THCS- THPT  Đức Trí")</f>
        <v>THCS- THPT  Đức Trí</v>
      </c>
      <c r="C69" s="53" t="str">
        <f ca="1">IFERROR(__xludf.DUMMYFUNCTION("""COMPUTED_VALUE"""),"THCS")</f>
        <v>THCS</v>
      </c>
      <c r="D69" s="53" t="str">
        <f ca="1">IFERROR(__xludf.DUMMYFUNCTION("""COMPUTED_VALUE"""),"PHÚ NHUẬN")</f>
        <v>PHÚ NHUẬN</v>
      </c>
      <c r="E69" s="54">
        <f ca="1">IFERROR(__xludf.DUMMYFUNCTION("""COMPUTED_VALUE"""),108)</f>
        <v>108</v>
      </c>
      <c r="F69" s="54">
        <f ca="1">IFERROR(__xludf.DUMMYFUNCTION("""COMPUTED_VALUE"""),108)</f>
        <v>108</v>
      </c>
      <c r="G69" s="51">
        <f t="shared" ca="1" si="0"/>
        <v>1</v>
      </c>
      <c r="H69" s="54">
        <f ca="1">IFERROR(__xludf.DUMMYFUNCTION("""COMPUTED_VALUE"""),108)</f>
        <v>108</v>
      </c>
      <c r="I69" s="51">
        <f t="shared" ca="1" si="1"/>
        <v>1</v>
      </c>
      <c r="J69" s="54">
        <f ca="1">IFERROR(__xludf.DUMMYFUNCTION("""COMPUTED_VALUE"""),108)</f>
        <v>108</v>
      </c>
      <c r="K69" s="51">
        <f t="shared" ca="1" si="2"/>
        <v>1</v>
      </c>
      <c r="L69" s="54">
        <f ca="1">IFERROR(__xludf.DUMMYFUNCTION("""COMPUTED_VALUE"""),66)</f>
        <v>66</v>
      </c>
      <c r="M69" s="51">
        <f t="shared" ca="1" si="3"/>
        <v>0.61111111111111116</v>
      </c>
      <c r="N69" s="54">
        <f ca="1">IFERROR(__xludf.DUMMYFUNCTION("""COMPUTED_VALUE"""),76)</f>
        <v>76</v>
      </c>
      <c r="O69" s="54">
        <f ca="1">IFERROR(__xludf.DUMMYFUNCTION("""COMPUTED_VALUE"""),35)</f>
        <v>35</v>
      </c>
      <c r="P69" s="51">
        <f t="shared" ca="1" si="4"/>
        <v>0.46052631578947367</v>
      </c>
      <c r="Q69" s="54">
        <f ca="1">IFERROR(__xludf.DUMMYFUNCTION("""COMPUTED_VALUE"""),24)</f>
        <v>24</v>
      </c>
      <c r="R69" s="51">
        <f t="shared" ca="1" si="5"/>
        <v>0.31578947368421051</v>
      </c>
      <c r="S69" s="54">
        <f ca="1">IFERROR(__xludf.DUMMYFUNCTION("""COMPUTED_VALUE"""),805)</f>
        <v>805</v>
      </c>
      <c r="T69" s="54">
        <f ca="1">IFERROR(__xludf.DUMMYFUNCTION("""COMPUTED_VALUE"""),759)</f>
        <v>759</v>
      </c>
      <c r="U69" s="51">
        <f t="shared" ca="1" si="6"/>
        <v>0.94285714285714284</v>
      </c>
      <c r="V69" s="54">
        <f ca="1">IFERROR(__xludf.DUMMYFUNCTION("""COMPUTED_VALUE"""),697)</f>
        <v>697</v>
      </c>
      <c r="W69" s="51">
        <f t="shared" ca="1" si="7"/>
        <v>0.8658385093167702</v>
      </c>
      <c r="X69" s="54">
        <f ca="1">IFERROR(__xludf.DUMMYFUNCTION("""COMPUTED_VALUE"""),165)</f>
        <v>165</v>
      </c>
      <c r="Y69" s="51">
        <f t="shared" ca="1" si="8"/>
        <v>0.20496894409937888</v>
      </c>
      <c r="Z69" s="2"/>
      <c r="AA69" s="2"/>
      <c r="AB69" s="2"/>
      <c r="AC69" s="2"/>
      <c r="AD69" s="2"/>
      <c r="AE69" s="2"/>
    </row>
    <row r="70" spans="1:31" ht="12.75" x14ac:dyDescent="0.2">
      <c r="A70" s="53">
        <f ca="1">IFERROR(__xludf.DUMMYFUNCTION("""COMPUTED_VALUE"""),62)</f>
        <v>62</v>
      </c>
      <c r="B70" s="53" t="str">
        <f ca="1">IFERROR(__xludf.DUMMYFUNCTION("""COMPUTED_VALUE"""),"Trường THCS-THPT Đăng Khoa")</f>
        <v>Trường THCS-THPT Đăng Khoa</v>
      </c>
      <c r="C70" s="53" t="str">
        <f ca="1">IFERROR(__xludf.DUMMYFUNCTION("""COMPUTED_VALUE"""),"THCS")</f>
        <v>THCS</v>
      </c>
      <c r="D70" s="53" t="str">
        <f ca="1">IFERROR(__xludf.DUMMYFUNCTION("""COMPUTED_VALUE"""),"PHÚ NHUẬN")</f>
        <v>PHÚ NHUẬN</v>
      </c>
      <c r="E70" s="54">
        <f ca="1">IFERROR(__xludf.DUMMYFUNCTION("""COMPUTED_VALUE"""),69)</f>
        <v>69</v>
      </c>
      <c r="F70" s="54">
        <f ca="1">IFERROR(__xludf.DUMMYFUNCTION("""COMPUTED_VALUE"""),69)</f>
        <v>69</v>
      </c>
      <c r="G70" s="51">
        <f t="shared" ref="G70:G78" ca="1" si="9">IFERROR(F70/E70,"")</f>
        <v>1</v>
      </c>
      <c r="H70" s="54">
        <f ca="1">IFERROR(__xludf.DUMMYFUNCTION("""COMPUTED_VALUE"""),69)</f>
        <v>69</v>
      </c>
      <c r="I70" s="51">
        <f t="shared" ref="I70:I78" ca="1" si="10">IFERROR(H70/E70,"")</f>
        <v>1</v>
      </c>
      <c r="J70" s="54">
        <f ca="1">IFERROR(__xludf.DUMMYFUNCTION("""COMPUTED_VALUE"""),56)</f>
        <v>56</v>
      </c>
      <c r="K70" s="51">
        <f t="shared" ref="K70:K78" ca="1" si="11">IFERROR(J70/E70,"")</f>
        <v>0.81159420289855078</v>
      </c>
      <c r="L70" s="54">
        <f ca="1">IFERROR(__xludf.DUMMYFUNCTION("""COMPUTED_VALUE"""),6)</f>
        <v>6</v>
      </c>
      <c r="M70" s="51">
        <f t="shared" ref="M70:M78" ca="1" si="12">IFERROR(L70/E70,"")</f>
        <v>8.6956521739130432E-2</v>
      </c>
      <c r="N70" s="54">
        <f ca="1">IFERROR(__xludf.DUMMYFUNCTION("""COMPUTED_VALUE"""),25)</f>
        <v>25</v>
      </c>
      <c r="O70" s="54">
        <f ca="1">IFERROR(__xludf.DUMMYFUNCTION("""COMPUTED_VALUE"""),13)</f>
        <v>13</v>
      </c>
      <c r="P70" s="51">
        <f t="shared" ref="P70:P78" ca="1" si="13">IFERROR(O70/N70,"")</f>
        <v>0.52</v>
      </c>
      <c r="Q70" s="54">
        <f ca="1">IFERROR(__xludf.DUMMYFUNCTION("""COMPUTED_VALUE"""),13)</f>
        <v>13</v>
      </c>
      <c r="R70" s="51">
        <f t="shared" ref="R70:R78" ca="1" si="14">IFERROR(Q70/N70,"")</f>
        <v>0.52</v>
      </c>
      <c r="S70" s="53">
        <f ca="1">IFERROR(__xludf.DUMMYFUNCTION("""COMPUTED_VALUE"""),413)</f>
        <v>413</v>
      </c>
      <c r="T70" s="53">
        <f ca="1">IFERROR(__xludf.DUMMYFUNCTION("""COMPUTED_VALUE"""),411)</f>
        <v>411</v>
      </c>
      <c r="U70" s="51">
        <f t="shared" ref="U70:U78" ca="1" si="15">IFERROR(T70/S70,"")</f>
        <v>0.99515738498789341</v>
      </c>
      <c r="V70" s="53">
        <f ca="1">IFERROR(__xludf.DUMMYFUNCTION("""COMPUTED_VALUE"""),411)</f>
        <v>411</v>
      </c>
      <c r="W70" s="51">
        <f t="shared" ref="W70:W78" ca="1" si="16">IFERROR(V70/S70,"")</f>
        <v>0.99515738498789341</v>
      </c>
      <c r="X70" s="53">
        <f ca="1">IFERROR(__xludf.DUMMYFUNCTION("""COMPUTED_VALUE"""),104)</f>
        <v>104</v>
      </c>
      <c r="Y70" s="51">
        <f t="shared" ref="Y70:Y78" ca="1" si="17">IFERROR(X70/S70,"")</f>
        <v>0.25181598062953997</v>
      </c>
      <c r="Z70" s="2"/>
      <c r="AA70" s="2"/>
      <c r="AB70" s="2"/>
      <c r="AC70" s="2"/>
      <c r="AD70" s="2"/>
      <c r="AE70" s="2"/>
    </row>
    <row r="71" spans="1:31" ht="12.75" x14ac:dyDescent="0.2">
      <c r="A71" s="52" t="str">
        <f ca="1">IFERROR(__xludf.DUMMYFUNCTION("""COMPUTED_VALUE"""),"THPT")</f>
        <v>THPT</v>
      </c>
      <c r="B71" s="53"/>
      <c r="C71" s="53"/>
      <c r="D71" s="53"/>
      <c r="E71" s="54">
        <f ca="1">IFERROR(__xludf.DUMMYFUNCTION("""COMPUTED_VALUE"""),286)</f>
        <v>286</v>
      </c>
      <c r="F71" s="54">
        <f ca="1">IFERROR(__xludf.DUMMYFUNCTION("""COMPUTED_VALUE"""),286)</f>
        <v>286</v>
      </c>
      <c r="G71" s="51">
        <f t="shared" ca="1" si="9"/>
        <v>1</v>
      </c>
      <c r="H71" s="54">
        <f ca="1">IFERROR(__xludf.DUMMYFUNCTION("""COMPUTED_VALUE"""),286)</f>
        <v>286</v>
      </c>
      <c r="I71" s="51">
        <f t="shared" ca="1" si="10"/>
        <v>1</v>
      </c>
      <c r="J71" s="54">
        <f ca="1">IFERROR(__xludf.DUMMYFUNCTION("""COMPUTED_VALUE"""),245)</f>
        <v>245</v>
      </c>
      <c r="K71" s="51">
        <f t="shared" ca="1" si="11"/>
        <v>0.85664335664335667</v>
      </c>
      <c r="L71" s="54">
        <f ca="1">IFERROR(__xludf.DUMMYFUNCTION("""COMPUTED_VALUE"""),76)</f>
        <v>76</v>
      </c>
      <c r="M71" s="51">
        <f t="shared" ca="1" si="12"/>
        <v>0.26573426573426573</v>
      </c>
      <c r="N71" s="54">
        <f ca="1">IFERROR(__xludf.DUMMYFUNCTION("""COMPUTED_VALUE"""),0)</f>
        <v>0</v>
      </c>
      <c r="O71" s="54">
        <f ca="1">IFERROR(__xludf.DUMMYFUNCTION("""COMPUTED_VALUE"""),0)</f>
        <v>0</v>
      </c>
      <c r="P71" s="51" t="str">
        <f t="shared" ca="1" si="13"/>
        <v/>
      </c>
      <c r="Q71" s="54">
        <f ca="1">IFERROR(__xludf.DUMMYFUNCTION("""COMPUTED_VALUE"""),0)</f>
        <v>0</v>
      </c>
      <c r="R71" s="51" t="str">
        <f t="shared" ca="1" si="14"/>
        <v/>
      </c>
      <c r="S71" s="54">
        <f ca="1">IFERROR(__xludf.DUMMYFUNCTION("""COMPUTED_VALUE"""),4219)</f>
        <v>4219</v>
      </c>
      <c r="T71" s="53">
        <f ca="1">IFERROR(__xludf.DUMMYFUNCTION("""COMPUTED_VALUE"""),4172)</f>
        <v>4172</v>
      </c>
      <c r="U71" s="51">
        <f t="shared" ca="1" si="15"/>
        <v>0.98885991941218299</v>
      </c>
      <c r="V71" s="54">
        <f ca="1">IFERROR(__xludf.DUMMYFUNCTION("""COMPUTED_VALUE"""),4160)</f>
        <v>4160</v>
      </c>
      <c r="W71" s="51">
        <f t="shared" ca="1" si="16"/>
        <v>0.98601564351742121</v>
      </c>
      <c r="X71" s="54">
        <f ca="1">IFERROR(__xludf.DUMMYFUNCTION("""COMPUTED_VALUE"""),1532)</f>
        <v>1532</v>
      </c>
      <c r="Y71" s="51">
        <f t="shared" ca="1" si="17"/>
        <v>0.36311922256458878</v>
      </c>
      <c r="Z71" s="2"/>
      <c r="AA71" s="2"/>
      <c r="AB71" s="2"/>
      <c r="AC71" s="2"/>
      <c r="AD71" s="2"/>
      <c r="AE71" s="2"/>
    </row>
    <row r="72" spans="1:31" ht="12.75" x14ac:dyDescent="0.2">
      <c r="A72" s="53">
        <f ca="1">IFERROR(__xludf.DUMMYFUNCTION("""COMPUTED_VALUE"""),63)</f>
        <v>63</v>
      </c>
      <c r="B72" s="53" t="str">
        <f ca="1">IFERROR(__xludf.DUMMYFUNCTION("""COMPUTED_VALUE"""),"Trường THPT Hưng Đạo")</f>
        <v>Trường THPT Hưng Đạo</v>
      </c>
      <c r="C72" s="53" t="str">
        <f ca="1">IFERROR(__xludf.DUMMYFUNCTION("""COMPUTED_VALUE"""),"THPT")</f>
        <v>THPT</v>
      </c>
      <c r="D72" s="53" t="str">
        <f ca="1">IFERROR(__xludf.DUMMYFUNCTION("""COMPUTED_VALUE"""),"PHÚ NHUẬN")</f>
        <v>PHÚ NHUẬN</v>
      </c>
      <c r="E72" s="54">
        <f ca="1">IFERROR(__xludf.DUMMYFUNCTION("""COMPUTED_VALUE"""),10)</f>
        <v>10</v>
      </c>
      <c r="F72" s="54">
        <f ca="1">IFERROR(__xludf.DUMMYFUNCTION("""COMPUTED_VALUE"""),10)</f>
        <v>10</v>
      </c>
      <c r="G72" s="51">
        <f t="shared" ca="1" si="9"/>
        <v>1</v>
      </c>
      <c r="H72" s="54">
        <f ca="1">IFERROR(__xludf.DUMMYFUNCTION("""COMPUTED_VALUE"""),10)</f>
        <v>10</v>
      </c>
      <c r="I72" s="51">
        <f t="shared" ca="1" si="10"/>
        <v>1</v>
      </c>
      <c r="J72" s="54">
        <f ca="1">IFERROR(__xludf.DUMMYFUNCTION("""COMPUTED_VALUE"""),10)</f>
        <v>10</v>
      </c>
      <c r="K72" s="51">
        <f t="shared" ca="1" si="11"/>
        <v>1</v>
      </c>
      <c r="L72" s="54">
        <f ca="1">IFERROR(__xludf.DUMMYFUNCTION("""COMPUTED_VALUE"""),8)</f>
        <v>8</v>
      </c>
      <c r="M72" s="51">
        <f t="shared" ca="1" si="12"/>
        <v>0.8</v>
      </c>
      <c r="N72" s="53"/>
      <c r="O72" s="53"/>
      <c r="P72" s="51" t="str">
        <f t="shared" si="13"/>
        <v/>
      </c>
      <c r="Q72" s="53"/>
      <c r="R72" s="51" t="str">
        <f t="shared" si="14"/>
        <v/>
      </c>
      <c r="S72" s="54">
        <f ca="1">IFERROR(__xludf.DUMMYFUNCTION("""COMPUTED_VALUE"""),158)</f>
        <v>158</v>
      </c>
      <c r="T72" s="53">
        <f ca="1">IFERROR(__xludf.DUMMYFUNCTION("""COMPUTED_VALUE"""),132)</f>
        <v>132</v>
      </c>
      <c r="U72" s="51">
        <f t="shared" ca="1" si="15"/>
        <v>0.83544303797468356</v>
      </c>
      <c r="V72" s="54">
        <f ca="1">IFERROR(__xludf.DUMMYFUNCTION("""COMPUTED_VALUE"""),132)</f>
        <v>132</v>
      </c>
      <c r="W72" s="51">
        <f t="shared" ca="1" si="16"/>
        <v>0.83544303797468356</v>
      </c>
      <c r="X72" s="54">
        <f ca="1">IFERROR(__xludf.DUMMYFUNCTION("""COMPUTED_VALUE"""),29)</f>
        <v>29</v>
      </c>
      <c r="Y72" s="51">
        <f t="shared" ca="1" si="17"/>
        <v>0.18354430379746836</v>
      </c>
      <c r="Z72" s="2"/>
      <c r="AA72" s="2"/>
      <c r="AB72" s="2"/>
      <c r="AC72" s="2"/>
      <c r="AD72" s="2"/>
      <c r="AE72" s="2"/>
    </row>
    <row r="73" spans="1:31" ht="12.75" x14ac:dyDescent="0.2">
      <c r="A73" s="53">
        <f ca="1">IFERROR(__xludf.DUMMYFUNCTION("""COMPUTED_VALUE"""),64)</f>
        <v>64</v>
      </c>
      <c r="B73" s="53" t="str">
        <f ca="1">IFERROR(__xludf.DUMMYFUNCTION("""COMPUTED_VALUE"""),"Trường THPT Hàn Thuyên")</f>
        <v>Trường THPT Hàn Thuyên</v>
      </c>
      <c r="C73" s="53" t="str">
        <f ca="1">IFERROR(__xludf.DUMMYFUNCTION("""COMPUTED_VALUE"""),"THPT")</f>
        <v>THPT</v>
      </c>
      <c r="D73" s="53" t="str">
        <f ca="1">IFERROR(__xludf.DUMMYFUNCTION("""COMPUTED_VALUE"""),"PHÚ NHUẬN")</f>
        <v>PHÚ NHUẬN</v>
      </c>
      <c r="E73" s="54">
        <f ca="1">IFERROR(__xludf.DUMMYFUNCTION("""COMPUTED_VALUE"""),94)</f>
        <v>94</v>
      </c>
      <c r="F73" s="54">
        <f ca="1">IFERROR(__xludf.DUMMYFUNCTION("""COMPUTED_VALUE"""),94)</f>
        <v>94</v>
      </c>
      <c r="G73" s="51">
        <f t="shared" ca="1" si="9"/>
        <v>1</v>
      </c>
      <c r="H73" s="54">
        <f ca="1">IFERROR(__xludf.DUMMYFUNCTION("""COMPUTED_VALUE"""),94)</f>
        <v>94</v>
      </c>
      <c r="I73" s="51">
        <f t="shared" ca="1" si="10"/>
        <v>1</v>
      </c>
      <c r="J73" s="54">
        <f ca="1">IFERROR(__xludf.DUMMYFUNCTION("""COMPUTED_VALUE"""),80)</f>
        <v>80</v>
      </c>
      <c r="K73" s="51">
        <f t="shared" ca="1" si="11"/>
        <v>0.85106382978723405</v>
      </c>
      <c r="L73" s="54">
        <f ca="1">IFERROR(__xludf.DUMMYFUNCTION("""COMPUTED_VALUE"""),19)</f>
        <v>19</v>
      </c>
      <c r="M73" s="51">
        <f t="shared" ca="1" si="12"/>
        <v>0.20212765957446807</v>
      </c>
      <c r="N73" s="53"/>
      <c r="O73" s="53"/>
      <c r="P73" s="51" t="str">
        <f t="shared" si="13"/>
        <v/>
      </c>
      <c r="Q73" s="53"/>
      <c r="R73" s="51" t="str">
        <f t="shared" si="14"/>
        <v/>
      </c>
      <c r="S73" s="54">
        <f ca="1">IFERROR(__xludf.DUMMYFUNCTION("""COMPUTED_VALUE"""),1435)</f>
        <v>1435</v>
      </c>
      <c r="T73" s="53">
        <f ca="1">IFERROR(__xludf.DUMMYFUNCTION("""COMPUTED_VALUE"""),1435)</f>
        <v>1435</v>
      </c>
      <c r="U73" s="51">
        <f t="shared" ca="1" si="15"/>
        <v>1</v>
      </c>
      <c r="V73" s="54">
        <f ca="1">IFERROR(__xludf.DUMMYFUNCTION("""COMPUTED_VALUE"""),1433)</f>
        <v>1433</v>
      </c>
      <c r="W73" s="51">
        <f t="shared" ca="1" si="16"/>
        <v>0.99860627177700345</v>
      </c>
      <c r="X73" s="54">
        <f ca="1">IFERROR(__xludf.DUMMYFUNCTION("""COMPUTED_VALUE"""),499)</f>
        <v>499</v>
      </c>
      <c r="Y73" s="51">
        <f t="shared" ca="1" si="17"/>
        <v>0.34773519163763067</v>
      </c>
      <c r="Z73" s="2"/>
      <c r="AA73" s="2"/>
      <c r="AB73" s="2"/>
      <c r="AC73" s="2"/>
      <c r="AD73" s="2"/>
      <c r="AE73" s="2"/>
    </row>
    <row r="74" spans="1:31" ht="12.75" x14ac:dyDescent="0.2">
      <c r="A74" s="53">
        <f ca="1">IFERROR(__xludf.DUMMYFUNCTION("""COMPUTED_VALUE"""),65)</f>
        <v>65</v>
      </c>
      <c r="B74" s="53"/>
      <c r="C74" s="53"/>
      <c r="D74" s="53" t="str">
        <f ca="1">IFERROR(__xludf.DUMMYFUNCTION("""COMPUTED_VALUE"""),"PHÚ NHUẬN")</f>
        <v>PHÚ NHUẬN</v>
      </c>
      <c r="E74" s="54">
        <f ca="1">IFERROR(__xludf.DUMMYFUNCTION("""COMPUTED_VALUE"""),132)</f>
        <v>132</v>
      </c>
      <c r="F74" s="54">
        <f ca="1">IFERROR(__xludf.DUMMYFUNCTION("""COMPUTED_VALUE"""),132)</f>
        <v>132</v>
      </c>
      <c r="G74" s="51">
        <f t="shared" ca="1" si="9"/>
        <v>1</v>
      </c>
      <c r="H74" s="54">
        <f ca="1">IFERROR(__xludf.DUMMYFUNCTION("""COMPUTED_VALUE"""),132)</f>
        <v>132</v>
      </c>
      <c r="I74" s="51">
        <f t="shared" ca="1" si="10"/>
        <v>1</v>
      </c>
      <c r="J74" s="54">
        <f ca="1">IFERROR(__xludf.DUMMYFUNCTION("""COMPUTED_VALUE"""),109)</f>
        <v>109</v>
      </c>
      <c r="K74" s="51">
        <f t="shared" ca="1" si="11"/>
        <v>0.8257575757575758</v>
      </c>
      <c r="L74" s="54">
        <f ca="1">IFERROR(__xludf.DUMMYFUNCTION("""COMPUTED_VALUE"""),35)</f>
        <v>35</v>
      </c>
      <c r="M74" s="51">
        <f t="shared" ca="1" si="12"/>
        <v>0.26515151515151514</v>
      </c>
      <c r="N74" s="53"/>
      <c r="O74" s="53"/>
      <c r="P74" s="51" t="str">
        <f t="shared" si="13"/>
        <v/>
      </c>
      <c r="Q74" s="53"/>
      <c r="R74" s="51" t="str">
        <f t="shared" si="14"/>
        <v/>
      </c>
      <c r="S74" s="54">
        <f ca="1">IFERROR(__xludf.DUMMYFUNCTION("""COMPUTED_VALUE"""),2368)</f>
        <v>2368</v>
      </c>
      <c r="T74" s="53">
        <f ca="1">IFERROR(__xludf.DUMMYFUNCTION("""COMPUTED_VALUE"""),2347)</f>
        <v>2347</v>
      </c>
      <c r="U74" s="51">
        <f t="shared" ca="1" si="15"/>
        <v>0.9911317567567568</v>
      </c>
      <c r="V74" s="54">
        <f ca="1">IFERROR(__xludf.DUMMYFUNCTION("""COMPUTED_VALUE"""),2337)</f>
        <v>2337</v>
      </c>
      <c r="W74" s="51">
        <f t="shared" ca="1" si="16"/>
        <v>0.98690878378378377</v>
      </c>
      <c r="X74" s="54">
        <f ca="1">IFERROR(__xludf.DUMMYFUNCTION("""COMPUTED_VALUE"""),904)</f>
        <v>904</v>
      </c>
      <c r="Y74" s="51">
        <f t="shared" ca="1" si="17"/>
        <v>0.38175675675675674</v>
      </c>
      <c r="Z74" s="2"/>
      <c r="AA74" s="2"/>
      <c r="AB74" s="2"/>
      <c r="AC74" s="2"/>
      <c r="AD74" s="2"/>
      <c r="AE74" s="2"/>
    </row>
    <row r="75" spans="1:31" ht="12.75" x14ac:dyDescent="0.2">
      <c r="A75" s="53">
        <f ca="1">IFERROR(__xludf.DUMMYFUNCTION("""COMPUTED_VALUE"""),66)</f>
        <v>66</v>
      </c>
      <c r="B75" s="53" t="str">
        <f ca="1">IFERROR(__xludf.DUMMYFUNCTION("""COMPUTED_VALUE"""),"Trường THPT Quốc Tế Việt Úc")</f>
        <v>Trường THPT Quốc Tế Việt Úc</v>
      </c>
      <c r="C75" s="53" t="str">
        <f ca="1">IFERROR(__xludf.DUMMYFUNCTION("""COMPUTED_VALUE"""),"THPT")</f>
        <v>THPT</v>
      </c>
      <c r="D75" s="53" t="str">
        <f ca="1">IFERROR(__xludf.DUMMYFUNCTION("""COMPUTED_VALUE"""),"PHÚ NHUẬN")</f>
        <v>PHÚ NHUẬN</v>
      </c>
      <c r="E75" s="54">
        <f ca="1">IFERROR(__xludf.DUMMYFUNCTION("""COMPUTED_VALUE"""),50)</f>
        <v>50</v>
      </c>
      <c r="F75" s="54">
        <f ca="1">IFERROR(__xludf.DUMMYFUNCTION("""COMPUTED_VALUE"""),50)</f>
        <v>50</v>
      </c>
      <c r="G75" s="51">
        <f t="shared" ca="1" si="9"/>
        <v>1</v>
      </c>
      <c r="H75" s="54">
        <f ca="1">IFERROR(__xludf.DUMMYFUNCTION("""COMPUTED_VALUE"""),50)</f>
        <v>50</v>
      </c>
      <c r="I75" s="51">
        <f t="shared" ca="1" si="10"/>
        <v>1</v>
      </c>
      <c r="J75" s="54">
        <f ca="1">IFERROR(__xludf.DUMMYFUNCTION("""COMPUTED_VALUE"""),46)</f>
        <v>46</v>
      </c>
      <c r="K75" s="51">
        <f t="shared" ca="1" si="11"/>
        <v>0.92</v>
      </c>
      <c r="L75" s="54">
        <f ca="1">IFERROR(__xludf.DUMMYFUNCTION("""COMPUTED_VALUE"""),14)</f>
        <v>14</v>
      </c>
      <c r="M75" s="51">
        <f t="shared" ca="1" si="12"/>
        <v>0.28000000000000003</v>
      </c>
      <c r="N75" s="53"/>
      <c r="O75" s="53"/>
      <c r="P75" s="51" t="str">
        <f t="shared" si="13"/>
        <v/>
      </c>
      <c r="Q75" s="53"/>
      <c r="R75" s="51" t="str">
        <f t="shared" si="14"/>
        <v/>
      </c>
      <c r="S75" s="54">
        <f ca="1">IFERROR(__xludf.DUMMYFUNCTION("""COMPUTED_VALUE"""),258)</f>
        <v>258</v>
      </c>
      <c r="T75" s="53">
        <f ca="1">IFERROR(__xludf.DUMMYFUNCTION("""COMPUTED_VALUE"""),258)</f>
        <v>258</v>
      </c>
      <c r="U75" s="51">
        <f t="shared" ca="1" si="15"/>
        <v>1</v>
      </c>
      <c r="V75" s="54">
        <f ca="1">IFERROR(__xludf.DUMMYFUNCTION("""COMPUTED_VALUE"""),258)</f>
        <v>258</v>
      </c>
      <c r="W75" s="51">
        <f t="shared" ca="1" si="16"/>
        <v>1</v>
      </c>
      <c r="X75" s="54">
        <f ca="1">IFERROR(__xludf.DUMMYFUNCTION("""COMPUTED_VALUE"""),100)</f>
        <v>100</v>
      </c>
      <c r="Y75" s="51">
        <f t="shared" ca="1" si="17"/>
        <v>0.38759689922480622</v>
      </c>
      <c r="Z75" s="2"/>
      <c r="AA75" s="2"/>
      <c r="AB75" s="2"/>
      <c r="AC75" s="2"/>
      <c r="AD75" s="2"/>
      <c r="AE75" s="2"/>
    </row>
    <row r="76" spans="1:31" ht="12.75" x14ac:dyDescent="0.2">
      <c r="A76" s="55" t="str">
        <f ca="1">IFERROR(__xludf.DUMMYFUNCTION("""COMPUTED_VALUE"""),"Chuyên biệt (Nếu có)")</f>
        <v>Chuyên biệt (Nếu có)</v>
      </c>
      <c r="B76" s="53"/>
      <c r="C76" s="53"/>
      <c r="D76" s="53"/>
      <c r="E76" s="54">
        <f ca="1">IFERROR(__xludf.DUMMYFUNCTION("""COMPUTED_VALUE"""),16)</f>
        <v>16</v>
      </c>
      <c r="F76" s="54">
        <f ca="1">IFERROR(__xludf.DUMMYFUNCTION("""COMPUTED_VALUE"""),16)</f>
        <v>16</v>
      </c>
      <c r="G76" s="51">
        <f t="shared" ca="1" si="9"/>
        <v>1</v>
      </c>
      <c r="H76" s="54">
        <f ca="1">IFERROR(__xludf.DUMMYFUNCTION("""COMPUTED_VALUE"""),16)</f>
        <v>16</v>
      </c>
      <c r="I76" s="51">
        <f t="shared" ca="1" si="10"/>
        <v>1</v>
      </c>
      <c r="J76" s="54">
        <f ca="1">IFERROR(__xludf.DUMMYFUNCTION("""COMPUTED_VALUE"""),16)</f>
        <v>16</v>
      </c>
      <c r="K76" s="51">
        <f t="shared" ca="1" si="11"/>
        <v>1</v>
      </c>
      <c r="L76" s="54">
        <f ca="1">IFERROR(__xludf.DUMMYFUNCTION("""COMPUTED_VALUE"""),14)</f>
        <v>14</v>
      </c>
      <c r="M76" s="51">
        <f t="shared" ca="1" si="12"/>
        <v>0.875</v>
      </c>
      <c r="N76" s="54">
        <f ca="1">IFERROR(__xludf.DUMMYFUNCTION("""COMPUTED_VALUE"""),27)</f>
        <v>27</v>
      </c>
      <c r="O76" s="54">
        <f ca="1">IFERROR(__xludf.DUMMYFUNCTION("""COMPUTED_VALUE"""),14)</f>
        <v>14</v>
      </c>
      <c r="P76" s="51">
        <f t="shared" ca="1" si="13"/>
        <v>0.51851851851851849</v>
      </c>
      <c r="Q76" s="54">
        <f ca="1">IFERROR(__xludf.DUMMYFUNCTION("""COMPUTED_VALUE"""),12)</f>
        <v>12</v>
      </c>
      <c r="R76" s="51">
        <f t="shared" ca="1" si="14"/>
        <v>0.44444444444444442</v>
      </c>
      <c r="S76" s="54">
        <f ca="1">IFERROR(__xludf.DUMMYFUNCTION("""COMPUTED_VALUE"""),27)</f>
        <v>27</v>
      </c>
      <c r="T76" s="56">
        <f ca="1">IFERROR(__xludf.DUMMYFUNCTION("""COMPUTED_VALUE"""),27)</f>
        <v>27</v>
      </c>
      <c r="U76" s="51">
        <f t="shared" ca="1" si="15"/>
        <v>1</v>
      </c>
      <c r="V76" s="54">
        <f ca="1">IFERROR(__xludf.DUMMYFUNCTION("""COMPUTED_VALUE"""),27)</f>
        <v>27</v>
      </c>
      <c r="W76" s="51">
        <f t="shared" ca="1" si="16"/>
        <v>1</v>
      </c>
      <c r="X76" s="54">
        <f ca="1">IFERROR(__xludf.DUMMYFUNCTION("""COMPUTED_VALUE"""),26)</f>
        <v>26</v>
      </c>
      <c r="Y76" s="51">
        <f t="shared" ca="1" si="17"/>
        <v>0.96296296296296291</v>
      </c>
      <c r="Z76" s="2"/>
      <c r="AA76" s="2"/>
      <c r="AB76" s="2"/>
      <c r="AC76" s="2"/>
      <c r="AD76" s="2"/>
      <c r="AE76" s="2"/>
    </row>
    <row r="77" spans="1:31" ht="12.75" x14ac:dyDescent="0.2">
      <c r="A77" s="53">
        <f ca="1">IFERROR(__xludf.DUMMYFUNCTION("""COMPUTED_VALUE"""),67)</f>
        <v>67</v>
      </c>
      <c r="B77" s="53" t="str">
        <f ca="1">IFERROR(__xludf.DUMMYFUNCTION("""COMPUTED_VALUE"""),"CHUYÊN BIỆT NIỀM TIN")</f>
        <v>CHUYÊN BIỆT NIỀM TIN</v>
      </c>
      <c r="C77" s="53" t="str">
        <f ca="1">IFERROR(__xludf.DUMMYFUNCTION("""COMPUTED_VALUE"""),"CB")</f>
        <v>CB</v>
      </c>
      <c r="D77" s="53" t="str">
        <f ca="1">IFERROR(__xludf.DUMMYFUNCTION("""COMPUTED_VALUE"""),"PHÚ NHUẬN")</f>
        <v>PHÚ NHUẬN</v>
      </c>
      <c r="E77" s="54">
        <f ca="1">IFERROR(__xludf.DUMMYFUNCTION("""COMPUTED_VALUE"""),16)</f>
        <v>16</v>
      </c>
      <c r="F77" s="54">
        <f ca="1">IFERROR(__xludf.DUMMYFUNCTION("""COMPUTED_VALUE"""),16)</f>
        <v>16</v>
      </c>
      <c r="G77" s="51">
        <f t="shared" ca="1" si="9"/>
        <v>1</v>
      </c>
      <c r="H77" s="54">
        <f ca="1">IFERROR(__xludf.DUMMYFUNCTION("""COMPUTED_VALUE"""),16)</f>
        <v>16</v>
      </c>
      <c r="I77" s="51">
        <f t="shared" ca="1" si="10"/>
        <v>1</v>
      </c>
      <c r="J77" s="54">
        <f ca="1">IFERROR(__xludf.DUMMYFUNCTION("""COMPUTED_VALUE"""),16)</f>
        <v>16</v>
      </c>
      <c r="K77" s="51">
        <f t="shared" ca="1" si="11"/>
        <v>1</v>
      </c>
      <c r="L77" s="54">
        <f ca="1">IFERROR(__xludf.DUMMYFUNCTION("""COMPUTED_VALUE"""),14)</f>
        <v>14</v>
      </c>
      <c r="M77" s="51">
        <f t="shared" ca="1" si="12"/>
        <v>0.875</v>
      </c>
      <c r="N77" s="54">
        <f ca="1">IFERROR(__xludf.DUMMYFUNCTION("""COMPUTED_VALUE"""),32)</f>
        <v>32</v>
      </c>
      <c r="O77" s="54">
        <f ca="1">IFERROR(__xludf.DUMMYFUNCTION("""COMPUTED_VALUE"""),9)</f>
        <v>9</v>
      </c>
      <c r="P77" s="51">
        <f t="shared" ca="1" si="13"/>
        <v>0.28125</v>
      </c>
      <c r="Q77" s="54">
        <f ca="1">IFERROR(__xludf.DUMMYFUNCTION("""COMPUTED_VALUE"""),8)</f>
        <v>8</v>
      </c>
      <c r="R77" s="51">
        <f t="shared" ca="1" si="14"/>
        <v>0.25</v>
      </c>
      <c r="S77" s="54">
        <f ca="1">IFERROR(__xludf.DUMMYFUNCTION("""COMPUTED_VALUE"""),34)</f>
        <v>34</v>
      </c>
      <c r="T77" s="53">
        <f ca="1">IFERROR(__xludf.DUMMYFUNCTION("""COMPUTED_VALUE"""),1)</f>
        <v>1</v>
      </c>
      <c r="U77" s="51">
        <f t="shared" ca="1" si="15"/>
        <v>2.9411764705882353E-2</v>
      </c>
      <c r="V77" s="54">
        <f ca="1">IFERROR(__xludf.DUMMYFUNCTION("""COMPUTED_VALUE"""),8)</f>
        <v>8</v>
      </c>
      <c r="W77" s="51">
        <f t="shared" ca="1" si="16"/>
        <v>0.23529411764705882</v>
      </c>
      <c r="X77" s="54">
        <f ca="1">IFERROR(__xludf.DUMMYFUNCTION("""COMPUTED_VALUE"""),23)</f>
        <v>23</v>
      </c>
      <c r="Y77" s="51">
        <f t="shared" ca="1" si="17"/>
        <v>0.67647058823529416</v>
      </c>
      <c r="Z77" s="2"/>
      <c r="AA77" s="2"/>
      <c r="AB77" s="2"/>
      <c r="AC77" s="2"/>
      <c r="AD77" s="2"/>
      <c r="AE77" s="2"/>
    </row>
    <row r="78" spans="1:31" ht="12.75" x14ac:dyDescent="0.2">
      <c r="A78" s="53" t="str">
        <f ca="1">IFERROR(__xludf.DUMMYFUNCTION("""COMPUTED_VALUE"""),"GDTX")</f>
        <v>GDTX</v>
      </c>
      <c r="B78" s="53"/>
      <c r="C78" s="53"/>
      <c r="D78" s="53"/>
      <c r="E78" s="54">
        <f ca="1">IFERROR(__xludf.DUMMYFUNCTION("""COMPUTED_VALUE"""),58)</f>
        <v>58</v>
      </c>
      <c r="F78" s="54">
        <f ca="1">IFERROR(__xludf.DUMMYFUNCTION("""COMPUTED_VALUE"""),58)</f>
        <v>58</v>
      </c>
      <c r="G78" s="51">
        <f t="shared" ca="1" si="9"/>
        <v>1</v>
      </c>
      <c r="H78" s="54">
        <f ca="1">IFERROR(__xludf.DUMMYFUNCTION("""COMPUTED_VALUE"""),58)</f>
        <v>58</v>
      </c>
      <c r="I78" s="51">
        <f t="shared" ca="1" si="10"/>
        <v>1</v>
      </c>
      <c r="J78" s="54">
        <f ca="1">IFERROR(__xludf.DUMMYFUNCTION("""COMPUTED_VALUE"""),50)</f>
        <v>50</v>
      </c>
      <c r="K78" s="51">
        <f t="shared" ca="1" si="11"/>
        <v>0.86206896551724133</v>
      </c>
      <c r="L78" s="54">
        <f ca="1">IFERROR(__xludf.DUMMYFUNCTION("""COMPUTED_VALUE"""),14)</f>
        <v>14</v>
      </c>
      <c r="M78" s="51">
        <f t="shared" ca="1" si="12"/>
        <v>0.2413793103448276</v>
      </c>
      <c r="N78" s="54">
        <f ca="1">IFERROR(__xludf.DUMMYFUNCTION("""COMPUTED_VALUE"""),0)</f>
        <v>0</v>
      </c>
      <c r="O78" s="54">
        <f ca="1">IFERROR(__xludf.DUMMYFUNCTION("""COMPUTED_VALUE"""),0)</f>
        <v>0</v>
      </c>
      <c r="P78" s="51" t="str">
        <f t="shared" ca="1" si="13"/>
        <v/>
      </c>
      <c r="Q78" s="54">
        <f ca="1">IFERROR(__xludf.DUMMYFUNCTION("""COMPUTED_VALUE"""),0)</f>
        <v>0</v>
      </c>
      <c r="R78" s="51" t="str">
        <f t="shared" ca="1" si="14"/>
        <v/>
      </c>
      <c r="S78" s="54">
        <f ca="1">IFERROR(__xludf.DUMMYFUNCTION("""COMPUTED_VALUE"""),231)</f>
        <v>231</v>
      </c>
      <c r="T78" s="56">
        <f ca="1">IFERROR(__xludf.DUMMYFUNCTION("""COMPUTED_VALUE"""),231)</f>
        <v>231</v>
      </c>
      <c r="U78" s="51">
        <f t="shared" ca="1" si="15"/>
        <v>1</v>
      </c>
      <c r="V78" s="54">
        <f ca="1">IFERROR(__xludf.DUMMYFUNCTION("""COMPUTED_VALUE"""),231)</f>
        <v>231</v>
      </c>
      <c r="W78" s="51">
        <f t="shared" ca="1" si="16"/>
        <v>1</v>
      </c>
      <c r="X78" s="54">
        <f ca="1">IFERROR(__xludf.DUMMYFUNCTION("""COMPUTED_VALUE"""),104)</f>
        <v>104</v>
      </c>
      <c r="Y78" s="51">
        <f t="shared" ca="1" si="17"/>
        <v>0.45021645021645024</v>
      </c>
      <c r="Z78" s="2"/>
      <c r="AA78" s="2"/>
      <c r="AB78" s="2"/>
      <c r="AC78" s="2"/>
      <c r="AD78" s="2"/>
      <c r="AE78" s="2"/>
    </row>
    <row r="79" spans="1:31" ht="12.75" x14ac:dyDescent="0.2">
      <c r="A79" s="53">
        <f ca="1">IFERROR(__xludf.DUMMYFUNCTION("""COMPUTED_VALUE"""),68)</f>
        <v>68</v>
      </c>
      <c r="B79" s="53" t="str">
        <f ca="1">IFERROR(__xludf.DUMMYFUNCTION("""COMPUTED_VALUE"""),"Trung tâm GDNN-GDTX Q.Phú Nhuận")</f>
        <v>Trung tâm GDNN-GDTX Q.Phú Nhuận</v>
      </c>
      <c r="C79" s="53" t="str">
        <f ca="1">IFERROR(__xludf.DUMMYFUNCTION("""COMPUTED_VALUE"""),"GDTX")</f>
        <v>GDTX</v>
      </c>
      <c r="D79" s="53" t="str">
        <f ca="1">IFERROR(__xludf.DUMMYFUNCTION("""COMPUTED_VALUE"""),"PHÚ NHUẬN")</f>
        <v>PHÚ NHUẬN</v>
      </c>
      <c r="E79" s="54">
        <f ca="1">IFERROR(__xludf.DUMMYFUNCTION("""COMPUTED_VALUE"""),58)</f>
        <v>58</v>
      </c>
      <c r="F79" s="54">
        <f ca="1">IFERROR(__xludf.DUMMYFUNCTION("""COMPUTED_VALUE"""),58)</f>
        <v>58</v>
      </c>
      <c r="G79" s="54"/>
      <c r="H79" s="54">
        <f ca="1">IFERROR(__xludf.DUMMYFUNCTION("""COMPUTED_VALUE"""),58)</f>
        <v>58</v>
      </c>
      <c r="I79" s="54"/>
      <c r="J79" s="54">
        <f ca="1">IFERROR(__xludf.DUMMYFUNCTION("""COMPUTED_VALUE"""),50)</f>
        <v>50</v>
      </c>
      <c r="K79" s="54"/>
      <c r="L79" s="54">
        <f ca="1">IFERROR(__xludf.DUMMYFUNCTION("""COMPUTED_VALUE"""),14)</f>
        <v>14</v>
      </c>
      <c r="M79" s="54"/>
      <c r="N79" s="54">
        <f ca="1">IFERROR(__xludf.DUMMYFUNCTION("""COMPUTED_VALUE"""),0)</f>
        <v>0</v>
      </c>
      <c r="O79" s="54">
        <f ca="1">IFERROR(__xludf.DUMMYFUNCTION("""COMPUTED_VALUE"""),0)</f>
        <v>0</v>
      </c>
      <c r="P79" s="54"/>
      <c r="Q79" s="54">
        <f ca="1">IFERROR(__xludf.DUMMYFUNCTION("""COMPUTED_VALUE"""),0)</f>
        <v>0</v>
      </c>
      <c r="R79" s="54"/>
      <c r="S79" s="56">
        <f ca="1">IFERROR(__xludf.DUMMYFUNCTION("""COMPUTED_VALUE"""),231)</f>
        <v>231</v>
      </c>
      <c r="T79" s="56">
        <f ca="1">IFERROR(__xludf.DUMMYFUNCTION("""COMPUTED_VALUE"""),231)</f>
        <v>231</v>
      </c>
      <c r="U79" s="56"/>
      <c r="V79" s="56">
        <f ca="1">IFERROR(__xludf.DUMMYFUNCTION("""COMPUTED_VALUE"""),231)</f>
        <v>231</v>
      </c>
      <c r="W79" s="56"/>
      <c r="X79" s="53">
        <f ca="1">IFERROR(__xludf.DUMMYFUNCTION("""COMPUTED_VALUE"""),104)</f>
        <v>104</v>
      </c>
      <c r="Y79" s="53"/>
      <c r="Z79" s="2"/>
      <c r="AA79" s="2"/>
      <c r="AB79" s="2"/>
      <c r="AC79" s="2"/>
      <c r="AD79" s="2"/>
      <c r="AE79" s="2"/>
    </row>
    <row r="80" spans="1:31" ht="12.75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</row>
    <row r="81" spans="1:31" ht="12.75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</row>
    <row r="82" spans="1:31" ht="12.75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</row>
    <row r="83" spans="1:31" ht="12.75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</row>
    <row r="84" spans="1:31" ht="12.75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</row>
    <row r="85" spans="1:31" ht="12.75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</row>
    <row r="86" spans="1:31" ht="12.75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</row>
    <row r="87" spans="1:31" ht="12.75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</row>
    <row r="88" spans="1:31" ht="12.75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</row>
    <row r="89" spans="1:31" ht="12.75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</row>
    <row r="90" spans="1:31" ht="12.75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ht="12.75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92" spans="1:31" ht="12.75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</row>
    <row r="93" spans="1:31" ht="12.75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</row>
    <row r="94" spans="1:31" ht="12.75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</row>
    <row r="95" spans="1:31" ht="12.75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</row>
    <row r="96" spans="1:31" ht="12.75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</row>
    <row r="97" spans="1:31" ht="12.75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</row>
    <row r="98" spans="1:31" ht="12.75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</row>
    <row r="99" spans="1:31" ht="12.75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</row>
    <row r="100" spans="1:31" ht="12.75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</row>
    <row r="101" spans="1:31" ht="12.75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</row>
    <row r="102" spans="1:31" ht="12.75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1:31" ht="12.75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1:31" ht="12.75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1:31" ht="12.75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1:31" ht="12.75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1:31" ht="12.75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</row>
    <row r="108" spans="1:31" ht="12.75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1:31" ht="12.75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 spans="1:31" ht="12.75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1:31" ht="12.75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1:31" ht="12.75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:31" ht="12.75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 ht="12.75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 ht="12.75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 ht="12.75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 ht="12.75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 ht="12.75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 ht="12.75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 ht="12.75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 ht="12.75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 ht="12.75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 ht="12.75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 ht="12.75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 ht="12.75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ht="12.75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ht="12.75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ht="12.75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ht="12.75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ht="12.75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ht="12.75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ht="12.75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ht="12.75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ht="12.75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ht="12.75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ht="12.75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ht="12.75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ht="12.75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ht="12.75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ht="12.75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2.75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2.75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2.75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2.75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2.75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2.75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2.75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2.75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2.75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2.75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2.75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2.75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2.75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2.75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2.75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2.75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2.75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2.75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2.75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2.75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2.75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2.75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2.75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2.75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2.75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2.75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2.75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2.75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2.75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2.75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2.75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2.75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2.75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2.75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2.75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2.75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2.75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2.75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2.75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2.75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2.75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2.75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2.75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2.75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2.75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2.75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2.75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2.75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2.75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2.75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2.75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2.75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2.75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2.75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2.75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2.75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2.75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2.75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2.75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2.75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2.75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2.75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2.75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2.75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2.75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2.75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2.75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2.75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2.75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2.75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2.75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2.75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2.75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2.75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2.75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2.75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2.75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2.75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2.75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2.75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2.75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2.75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2.75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2.75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2.75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2.75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2.75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2.75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2.75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2.75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2.75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2.75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2.75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2.75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2.75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2.75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2.75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2.75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2.75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2.75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2.75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2.75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2.75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2.75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2.75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2.75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2.75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2.75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2.75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2.75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2.75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2.75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2.75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2.75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2.75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2.75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2.75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2.75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2.75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2.75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2.75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2.75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2.75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2.75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2.75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2.75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2.75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2.75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2.75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2.75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2.75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2.75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2.75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2.75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2.75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2.75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2.75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2.75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2.75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2.75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2.75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2.75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2.75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2.75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2.75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2.75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2.75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2.75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2.75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2.75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2.75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2.75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2.75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2.75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2.75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2.75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2.75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2.75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2.75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2.75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2.75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2.75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2.75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2.75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2.75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2.75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2.75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2.75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2.75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2.75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2.75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2.75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2.75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2.75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2.75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2.75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2.75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2.75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2.75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2.75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2.75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2.75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2.75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2.75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2.75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2.75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2.75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2.75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2.75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2.75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2.75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2.75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2.75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2.75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2.75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2.75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2.75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2.75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2.75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2.75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2.75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2.75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2.75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2.75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2.75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2.75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2.75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2.75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2.75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2.75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2.75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2.75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2.75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2.75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2.75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2.75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2.75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2.75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2.75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2.75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2.75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2.75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2.75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2.75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2.75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2.75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2.75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2.75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2.75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2.75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2.75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2.75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2.75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2.75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2.75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2.75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2.75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2.75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2.75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2.75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2.75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2.75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2.75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2.75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2.75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2.75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2.75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2.75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2.75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2.75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2.75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2.75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2.75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2.75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2.75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2.75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2.75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2.75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2.75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2.75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2.75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2.75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2.75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2.75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2.75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2.75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2.75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2.75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2.75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2.75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2.75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2.75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2.75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2.75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2.75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2.75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2.75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2.75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2.75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2.75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2.75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2.75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2.75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2.75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2.75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2.75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2.75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2.75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2.75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2.75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2.75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2.75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2.75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2.75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2.75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2.75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2.75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2.75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2.75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2.75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2.75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2.75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2.75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2.75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2.75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2.75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2.75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2.75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2.75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2.75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2.75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2.75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2.75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2.75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2.75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2.75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2.75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2.75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2.75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2.75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2.75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2.75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2.75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2.75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2.75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2.75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2.75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2.75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2.75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2.75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2.75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2.75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2.75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2.75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2.75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2.75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2.75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2.75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2.75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2.75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2.75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2.75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2.75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2.75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2.75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2.75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2.75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2.75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2.75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2.75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2.75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2.75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2.75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2.75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2.75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2.75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2.75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2.75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2.75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2.75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2.75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2.75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2.75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2.75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2.75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2.75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2.75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2.75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2.75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2.75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2.75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2.75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2.75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2.75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2.75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2.75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2.75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2.75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2.75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2.75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2.75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2.75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2.75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2.75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2.75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2.75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2.75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2.75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2.75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2.75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2.75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2.75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2.75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2.75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2.75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2.75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2.75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2.75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2.75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2.75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2.75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2.75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2.75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2.75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2.75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2.75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2.75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2.75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2.75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2.75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2.75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2.75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2.75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2.75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2.75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2.75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2.75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2.75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2.75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2.75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2.75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2.75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2.75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2.75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2.75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2.75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2.75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2.75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2.75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2.75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2.75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2.75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2.75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2.75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2.75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2.75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2.75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2.75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2.75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2.75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2.75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2.75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2.75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2.75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2.75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2.75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2.75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2.75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2.75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2.75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2.75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2.75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2.75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2.75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2.75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2.75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2.75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2.75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2.75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2.75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2.75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2.75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2.75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2.75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2.75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2.75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2.75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2.75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2.75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2.75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2.75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2.75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2.75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2.75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2.75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2.75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2.75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2.75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2.75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2.75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2.75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2.75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2.75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2.75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2.75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2.75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2.75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2.75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2.75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2.75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2.75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2.75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2.75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2.75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2.75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2.75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2.75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2.75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2.75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2.75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2.75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2.75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2.75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2.75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2.75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2.75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2.75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2.75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2.75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2.75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2.75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2.75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2.75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2.75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2.75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2.75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2.75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2.75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2.75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2.75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2.75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2.75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2.75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2.75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2.75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2.75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2.75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2.75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2.75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2.75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2.75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2.75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2.75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2.75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2.75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2.75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2.75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2.75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2.75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2.75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2.75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2.75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2.75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2.75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2.75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2.75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2.75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2.75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2.75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2.75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2.75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2.75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2.75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2.75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2.75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2.75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2.75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2.75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2.75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2.75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2.75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2.75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2.75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2.75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2.75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2.75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2.75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2.75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2.75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2.75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2.75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2.75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2.75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2.75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2.75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2.75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2.75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2.75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2.75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2.75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2.75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2.75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2.75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2.75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2.75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2.75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2.75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2.75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2.75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2.75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2.75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2.75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2.75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2.75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2.75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2.75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2.75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2.75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2.75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2.75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2.75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2.75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2.75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2.75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2.75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2.75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2.75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2.75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2.75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2.75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2.75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2.75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2.75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2.75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2.75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2.75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2.75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2.75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2.75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2.75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2.75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2.75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2.75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2.75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2.75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2.75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2.75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2.75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2.75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2.75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2.75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2.75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2.75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2.75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2.75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2.75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2.75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2.75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2.75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2.75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2.75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2.75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2.75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2.75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2.75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2.75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2.75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2.75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2.75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2.75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2.75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2.75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2.75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2.75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2.75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2.75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2.75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2.75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2.75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2.75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2.75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2.75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2.75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2.75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2.75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2.75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2.75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2.75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2.75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2.75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2.75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2.75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2.75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2.75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2.75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2.75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2.75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2.75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2.75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2.75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2.75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2.75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2.75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2.75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2.75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2.75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2.75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2.75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2.75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2.75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2.75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2.75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2.75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2.75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2.75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2.75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2.75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2.75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2.75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2.75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2.75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2.75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2.75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2.75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2.75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2.75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2.75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2.75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2.75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2.75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2.75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2.75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2.75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2.75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2.75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2.75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2.75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2.75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2.75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2.75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2.75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2.75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2.75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2.75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2.75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2.75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2.75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2.75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2.75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2.75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2.75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2.75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2.75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2.75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2.75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2.75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2.75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2.75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2.75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2.75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2.75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2.75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2.75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2.75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2.75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2.75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2.75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2.75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2.75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2.75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2.75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2.75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2.75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2.75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2.75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2.75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2.75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2.75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2.75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2.75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2.75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2.75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2.75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2.75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2.75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2.75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2.75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2.75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2.75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2.75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2.75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2.75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2.75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2.75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2.75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2.75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2.75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2.75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2.75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2.75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2.75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2.75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2.75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2.75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2.75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2.75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2.75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2.75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2.75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2.75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2.75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2.75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2.75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2.75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2.75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2.75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2.75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2.75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2.75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2.75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2.75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2.75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2.75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2.75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2.75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2.75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2.75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2.75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2.75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2.75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2.75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2.75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2.75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2.75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2.75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2.75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2.75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2.75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2.75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2.75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2.75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2.75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2.75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2.75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2.75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2.75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2.75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2.75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2.75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2.75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2.75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2.75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2.75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2.75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2.75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2.75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2.75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2.75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2.75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2.75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2.75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2.75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2.75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2.75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2.75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2.75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2.75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2.75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2.75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2.75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2.75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2.75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2.75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2.75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2.75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2.75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2.75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 ht="12.75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 ht="12.75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  <row r="1000" spans="1:31" ht="12.75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</row>
  </sheetData>
  <mergeCells count="16">
    <mergeCell ref="N3:R3"/>
    <mergeCell ref="S3:Y3"/>
    <mergeCell ref="F4:G4"/>
    <mergeCell ref="H4:I4"/>
    <mergeCell ref="J4:K4"/>
    <mergeCell ref="L4:M4"/>
    <mergeCell ref="O4:P4"/>
    <mergeCell ref="Q4:R4"/>
    <mergeCell ref="T4:U4"/>
    <mergeCell ref="V4:W4"/>
    <mergeCell ref="X4:Y4"/>
    <mergeCell ref="A3:A4"/>
    <mergeCell ref="B3:B4"/>
    <mergeCell ref="C3:C4"/>
    <mergeCell ref="D3:D4"/>
    <mergeCell ref="E3:M3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E1000"/>
  <sheetViews>
    <sheetView zoomScale="85" zoomScaleNormal="85" workbookViewId="0">
      <selection activeCell="B21" sqref="B21"/>
    </sheetView>
  </sheetViews>
  <sheetFormatPr defaultColWidth="12.5703125" defaultRowHeight="15.75" customHeight="1" x14ac:dyDescent="0.2"/>
  <cols>
    <col min="1" max="1" width="8.7109375" style="3" customWidth="1"/>
    <col min="2" max="2" width="35.5703125" style="3" customWidth="1"/>
    <col min="3" max="4" width="12.5703125" style="3"/>
    <col min="5" max="5" width="10.42578125" style="3" customWidth="1"/>
    <col min="6" max="13" width="8.85546875" style="3" customWidth="1"/>
    <col min="14" max="14" width="10.42578125" style="3" customWidth="1"/>
    <col min="15" max="18" width="8.85546875" style="3" customWidth="1"/>
    <col min="19" max="19" width="10.42578125" style="3" customWidth="1"/>
    <col min="20" max="25" width="8.85546875" style="3" customWidth="1"/>
    <col min="26" max="16384" width="12.5703125" style="3"/>
  </cols>
  <sheetData>
    <row r="1" spans="1:31" ht="26.25" customHeight="1" x14ac:dyDescent="0.2">
      <c r="A1" s="49" t="s">
        <v>16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ht="35.25" customHeight="1" x14ac:dyDescent="0.2">
      <c r="A2" s="4" t="s">
        <v>26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</row>
    <row r="3" spans="1:31" ht="30.75" customHeight="1" x14ac:dyDescent="0.2">
      <c r="A3" s="89" t="str">
        <f ca="1">IFERROR(__xludf.DUMMYFUNCTION("IMPORTRANGE(""https://docs.google.com/spreadsheets/d/1giFCfPZvq6d2WPbrXwJ7ksTcnSjmuNbU5G4IRrh5hOk/edit#gid=0"",""NB!A14:T500"")"),"STT")</f>
        <v>STT</v>
      </c>
      <c r="B3" s="89" t="str">
        <f ca="1">IFERROR(__xludf.DUMMYFUNCTION("""COMPUTED_VALUE"""),"TRƯỜNG")</f>
        <v>TRƯỜNG</v>
      </c>
      <c r="C3" s="89" t="str">
        <f ca="1">IFERROR(__xludf.DUMMYFUNCTION("""COMPUTED_VALUE"""),"BẬC HỌC (MN, TH, THCS, THPT, CB, GDTX)")</f>
        <v>BẬC HỌC (MN, TH, THCS, THPT, CB, GDTX)</v>
      </c>
      <c r="D3" s="89" t="str">
        <f ca="1">IFERROR(__xludf.DUMMYFUNCTION("""COMPUTED_VALUE"""),"THÀNH PHỐ, QUẬN, HUYỆN")</f>
        <v>THÀNH PHỐ, QUẬN, HUYỆN</v>
      </c>
      <c r="E3" s="91" t="str">
        <f ca="1">IFERROR(__xludf.DUMMYFUNCTION("""COMPUTED_VALUE"""),"Cán bộ - Giáo viên - Nhân viên")</f>
        <v>Cán bộ - Giáo viên - Nhân viên</v>
      </c>
      <c r="F3" s="92"/>
      <c r="G3" s="92"/>
      <c r="H3" s="92"/>
      <c r="I3" s="92"/>
      <c r="J3" s="92"/>
      <c r="K3" s="92"/>
      <c r="L3" s="92"/>
      <c r="M3" s="92"/>
      <c r="N3" s="93" t="str">
        <f ca="1">IFERROR(__xludf.DUMMYFUNCTION("""COMPUTED_VALUE"""),"Học sinh từ 5 đến dưới 12 tuổi")</f>
        <v>Học sinh từ 5 đến dưới 12 tuổi</v>
      </c>
      <c r="O3" s="92"/>
      <c r="P3" s="92"/>
      <c r="Q3" s="92"/>
      <c r="R3" s="92"/>
      <c r="S3" s="94" t="str">
        <f ca="1">IFERROR(__xludf.DUMMYFUNCTION("""COMPUTED_VALUE"""),"Học sinh từ 12 đến dưới 18 tuổi")</f>
        <v>Học sinh từ 12 đến dưới 18 tuổi</v>
      </c>
      <c r="T3" s="95"/>
      <c r="U3" s="95"/>
      <c r="V3" s="95"/>
      <c r="W3" s="95"/>
      <c r="X3" s="95"/>
      <c r="Y3" s="95"/>
      <c r="Z3" s="2"/>
      <c r="AA3" s="2"/>
      <c r="AB3" s="2"/>
      <c r="AC3" s="2"/>
      <c r="AD3" s="2"/>
      <c r="AE3" s="2"/>
    </row>
    <row r="4" spans="1:31" ht="27" customHeight="1" x14ac:dyDescent="0.2">
      <c r="A4" s="90"/>
      <c r="B4" s="90"/>
      <c r="C4" s="90"/>
      <c r="D4" s="90"/>
      <c r="E4" s="7" t="str">
        <f ca="1">IFERROR(__xludf.DUMMYFUNCTION("""COMPUTED_VALUE"""),"Tổng CB-GV-NV")</f>
        <v>Tổng CB-GV-NV</v>
      </c>
      <c r="F4" s="96" t="s">
        <v>22</v>
      </c>
      <c r="G4" s="97"/>
      <c r="H4" s="96" t="s">
        <v>23</v>
      </c>
      <c r="I4" s="97"/>
      <c r="J4" s="96" t="s">
        <v>24</v>
      </c>
      <c r="K4" s="97"/>
      <c r="L4" s="96" t="s">
        <v>25</v>
      </c>
      <c r="M4" s="97"/>
      <c r="N4" s="7" t="str">
        <f ca="1">IFERROR(__xludf.DUMMYFUNCTION("""COMPUTED_VALUE"""),"Tổng học sinh")</f>
        <v>Tổng học sinh</v>
      </c>
      <c r="O4" s="96" t="s">
        <v>22</v>
      </c>
      <c r="P4" s="97"/>
      <c r="Q4" s="96" t="s">
        <v>23</v>
      </c>
      <c r="R4" s="97"/>
      <c r="S4" s="8" t="str">
        <f ca="1">IFERROR(__xludf.DUMMYFUNCTION("""COMPUTED_VALUE"""),"Tổng học sinh")</f>
        <v>Tổng học sinh</v>
      </c>
      <c r="T4" s="98" t="s">
        <v>22</v>
      </c>
      <c r="U4" s="99"/>
      <c r="V4" s="98" t="s">
        <v>23</v>
      </c>
      <c r="W4" s="99"/>
      <c r="X4" s="98" t="s">
        <v>24</v>
      </c>
      <c r="Y4" s="99"/>
      <c r="Z4" s="2"/>
      <c r="AA4" s="2"/>
      <c r="AB4" s="2"/>
      <c r="AC4" s="2"/>
      <c r="AD4" s="2"/>
      <c r="AE4" s="2"/>
    </row>
    <row r="5" spans="1:31" ht="12.75" x14ac:dyDescent="0.2">
      <c r="A5" s="50" t="str">
        <f ca="1">IFERROR(__xludf.DUMMYFUNCTION("""COMPUTED_VALUE"""),"TỔNG TOÀN QUẬN/HUYỆN/TP")</f>
        <v>TỔNG TOÀN QUẬN/HUYỆN/TP</v>
      </c>
      <c r="B5" s="20"/>
      <c r="C5" s="20"/>
      <c r="D5" s="20" t="str">
        <f ca="1">IFERROR(__xludf.DUMMYFUNCTION("""COMPUTED_VALUE"""),"NHÀ BÈ")</f>
        <v>NHÀ BÈ</v>
      </c>
      <c r="E5" s="15">
        <f ca="1">IFERROR(__xludf.DUMMYFUNCTION("""COMPUTED_VALUE"""),3879)</f>
        <v>3879</v>
      </c>
      <c r="F5" s="15">
        <f ca="1">IFERROR(__xludf.DUMMYFUNCTION("""COMPUTED_VALUE"""),3873)</f>
        <v>3873</v>
      </c>
      <c r="G5" s="51">
        <f ca="1">IFERROR(F5/E5,"")</f>
        <v>0.99845320959010053</v>
      </c>
      <c r="H5" s="15">
        <f ca="1">IFERROR(__xludf.DUMMYFUNCTION("""COMPUTED_VALUE"""),3807)</f>
        <v>3807</v>
      </c>
      <c r="I5" s="51">
        <f ca="1">IFERROR(H5/E5,"")</f>
        <v>0.9814385150812065</v>
      </c>
      <c r="J5" s="15">
        <f ca="1">IFERROR(__xludf.DUMMYFUNCTION("""COMPUTED_VALUE"""),3393)</f>
        <v>3393</v>
      </c>
      <c r="K5" s="51">
        <f ca="1">IFERROR(J5/E5,"")</f>
        <v>0.87470997679814388</v>
      </c>
      <c r="L5" s="15">
        <f ca="1">IFERROR(__xludf.DUMMYFUNCTION("""COMPUTED_VALUE"""),1589)</f>
        <v>1589</v>
      </c>
      <c r="M5" s="51">
        <f ca="1">IFERROR(L5/E5,"")</f>
        <v>0.40964166022170662</v>
      </c>
      <c r="N5" s="15">
        <f ca="1">IFERROR(__xludf.DUMMYFUNCTION("""COMPUTED_VALUE"""),21882)</f>
        <v>21882</v>
      </c>
      <c r="O5" s="15">
        <f ca="1">IFERROR(__xludf.DUMMYFUNCTION("""COMPUTED_VALUE"""),13776)</f>
        <v>13776</v>
      </c>
      <c r="P5" s="51">
        <f ca="1">IFERROR(O5/N5,"")</f>
        <v>0.62955854126679467</v>
      </c>
      <c r="Q5" s="15">
        <f ca="1">IFERROR(__xludf.DUMMYFUNCTION("""COMPUTED_VALUE"""),5802)</f>
        <v>5802</v>
      </c>
      <c r="R5" s="51">
        <f ca="1">IFERROR(Q5/N5,"")</f>
        <v>0.26514943789415957</v>
      </c>
      <c r="S5" s="15">
        <f ca="1">IFERROR(__xludf.DUMMYFUNCTION("""COMPUTED_VALUE"""),12472)</f>
        <v>12472</v>
      </c>
      <c r="T5" s="15">
        <f ca="1">IFERROR(__xludf.DUMMYFUNCTION("""COMPUTED_VALUE"""),12089)</f>
        <v>12089</v>
      </c>
      <c r="U5" s="51">
        <f ca="1">IFERROR(T5/S5,"")</f>
        <v>0.9692912123155869</v>
      </c>
      <c r="V5" s="15">
        <f ca="1">IFERROR(__xludf.DUMMYFUNCTION("""COMPUTED_VALUE"""),11504)</f>
        <v>11504</v>
      </c>
      <c r="W5" s="51">
        <f ca="1">IFERROR(V5/S5,"")</f>
        <v>0.92238614496472093</v>
      </c>
      <c r="X5" s="15">
        <f ca="1">IFERROR(__xludf.DUMMYFUNCTION("""COMPUTED_VALUE"""),3689)</f>
        <v>3689</v>
      </c>
      <c r="Y5" s="51">
        <f ca="1">IFERROR(X5/S5,"")</f>
        <v>0.2957825529185375</v>
      </c>
      <c r="Z5" s="2"/>
      <c r="AA5" s="2"/>
      <c r="AB5" s="2"/>
      <c r="AC5" s="2"/>
      <c r="AD5" s="2"/>
      <c r="AE5" s="2"/>
    </row>
    <row r="6" spans="1:31" ht="12.75" x14ac:dyDescent="0.2">
      <c r="A6" s="53"/>
      <c r="B6" s="53"/>
      <c r="C6" s="53"/>
      <c r="D6" s="53"/>
      <c r="E6" s="54">
        <f ca="1">IFERROR(__xludf.DUMMYFUNCTION("""COMPUTED_VALUE"""),1335)</f>
        <v>1335</v>
      </c>
      <c r="F6" s="54">
        <f ca="1">IFERROR(__xludf.DUMMYFUNCTION("""COMPUTED_VALUE"""),1335)</f>
        <v>1335</v>
      </c>
      <c r="G6" s="51">
        <f t="shared" ref="G6:G69" ca="1" si="0">IFERROR(F6/E6,"")</f>
        <v>1</v>
      </c>
      <c r="H6" s="54">
        <f ca="1">IFERROR(__xludf.DUMMYFUNCTION("""COMPUTED_VALUE"""),1298)</f>
        <v>1298</v>
      </c>
      <c r="I6" s="51">
        <f t="shared" ref="I6:I69" ca="1" si="1">IFERROR(H6/E6,"")</f>
        <v>0.97228464419475658</v>
      </c>
      <c r="J6" s="54">
        <f ca="1">IFERROR(__xludf.DUMMYFUNCTION("""COMPUTED_VALUE"""),1132)</f>
        <v>1132</v>
      </c>
      <c r="K6" s="51">
        <f t="shared" ref="K6:K69" ca="1" si="2">IFERROR(J6/E6,"")</f>
        <v>0.84794007490636703</v>
      </c>
      <c r="L6" s="54">
        <f ca="1">IFERROR(__xludf.DUMMYFUNCTION("""COMPUTED_VALUE"""),501)</f>
        <v>501</v>
      </c>
      <c r="M6" s="51">
        <f t="shared" ref="M6:M69" ca="1" si="3">IFERROR(L6/E6,"")</f>
        <v>0.37528089887640448</v>
      </c>
      <c r="N6" s="54">
        <f ca="1">IFERROR(__xludf.DUMMYFUNCTION("""COMPUTED_VALUE"""),2367)</f>
        <v>2367</v>
      </c>
      <c r="O6" s="54">
        <f ca="1">IFERROR(__xludf.DUMMYFUNCTION("""COMPUTED_VALUE"""),751)</f>
        <v>751</v>
      </c>
      <c r="P6" s="51">
        <f t="shared" ref="P6:P69" ca="1" si="4">IFERROR(O6/N6,"")</f>
        <v>0.31727925644275456</v>
      </c>
      <c r="Q6" s="54">
        <f ca="1">IFERROR(__xludf.DUMMYFUNCTION("""COMPUTED_VALUE"""),324)</f>
        <v>324</v>
      </c>
      <c r="R6" s="51">
        <f t="shared" ref="R6:R69" ca="1" si="5">IFERROR(Q6/N6,"")</f>
        <v>0.13688212927756654</v>
      </c>
      <c r="S6" s="54">
        <f ca="1">IFERROR(__xludf.DUMMYFUNCTION("""COMPUTED_VALUE"""),0)</f>
        <v>0</v>
      </c>
      <c r="T6" s="54">
        <f ca="1">IFERROR(__xludf.DUMMYFUNCTION("""COMPUTED_VALUE"""),0)</f>
        <v>0</v>
      </c>
      <c r="U6" s="51" t="str">
        <f t="shared" ref="U6:U69" ca="1" si="6">IFERROR(T6/S6,"")</f>
        <v/>
      </c>
      <c r="V6" s="54">
        <f ca="1">IFERROR(__xludf.DUMMYFUNCTION("""COMPUTED_VALUE"""),0)</f>
        <v>0</v>
      </c>
      <c r="W6" s="51" t="str">
        <f t="shared" ref="W6:W69" ca="1" si="7">IFERROR(V6/S6,"")</f>
        <v/>
      </c>
      <c r="X6" s="54">
        <f ca="1">IFERROR(__xludf.DUMMYFUNCTION("""COMPUTED_VALUE"""),0)</f>
        <v>0</v>
      </c>
      <c r="Y6" s="51" t="str">
        <f t="shared" ref="Y6:Y69" ca="1" si="8">IFERROR(X6/S6,"")</f>
        <v/>
      </c>
      <c r="Z6" s="2"/>
      <c r="AA6" s="2"/>
      <c r="AB6" s="2"/>
      <c r="AC6" s="2"/>
      <c r="AD6" s="2"/>
      <c r="AE6" s="2"/>
    </row>
    <row r="7" spans="1:31" ht="12.75" x14ac:dyDescent="0.2">
      <c r="A7" s="53">
        <f ca="1">IFERROR(__xludf.DUMMYFUNCTION("""COMPUTED_VALUE"""),1)</f>
        <v>1</v>
      </c>
      <c r="B7" s="53" t="str">
        <f ca="1">IFERROR(__xludf.DUMMYFUNCTION("""COMPUTED_VALUE"""),"MN Đồng Xanh")</f>
        <v>MN Đồng Xanh</v>
      </c>
      <c r="C7" s="53" t="str">
        <f ca="1">IFERROR(__xludf.DUMMYFUNCTION("""COMPUTED_VALUE"""),"MN")</f>
        <v>MN</v>
      </c>
      <c r="D7" s="53" t="str">
        <f ca="1">IFERROR(__xludf.DUMMYFUNCTION("""COMPUTED_VALUE"""),"Nhà Bè")</f>
        <v>Nhà Bè</v>
      </c>
      <c r="E7" s="54">
        <f ca="1">IFERROR(__xludf.DUMMYFUNCTION("""COMPUTED_VALUE"""),46)</f>
        <v>46</v>
      </c>
      <c r="F7" s="54">
        <f ca="1">IFERROR(__xludf.DUMMYFUNCTION("""COMPUTED_VALUE"""),46)</f>
        <v>46</v>
      </c>
      <c r="G7" s="51">
        <f t="shared" ca="1" si="0"/>
        <v>1</v>
      </c>
      <c r="H7" s="54">
        <f ca="1">IFERROR(__xludf.DUMMYFUNCTION("""COMPUTED_VALUE"""),46)</f>
        <v>46</v>
      </c>
      <c r="I7" s="51">
        <f t="shared" ca="1" si="1"/>
        <v>1</v>
      </c>
      <c r="J7" s="54">
        <f ca="1">IFERROR(__xludf.DUMMYFUNCTION("""COMPUTED_VALUE"""),46)</f>
        <v>46</v>
      </c>
      <c r="K7" s="51">
        <f t="shared" ca="1" si="2"/>
        <v>1</v>
      </c>
      <c r="L7" s="54">
        <f ca="1">IFERROR(__xludf.DUMMYFUNCTION("""COMPUTED_VALUE"""),44)</f>
        <v>44</v>
      </c>
      <c r="M7" s="51">
        <f t="shared" ca="1" si="3"/>
        <v>0.95652173913043481</v>
      </c>
      <c r="N7" s="54">
        <f ca="1">IFERROR(__xludf.DUMMYFUNCTION("""COMPUTED_VALUE"""),80)</f>
        <v>80</v>
      </c>
      <c r="O7" s="54">
        <f ca="1">IFERROR(__xludf.DUMMYFUNCTION("""COMPUTED_VALUE"""),31)</f>
        <v>31</v>
      </c>
      <c r="P7" s="51">
        <f t="shared" ca="1" si="4"/>
        <v>0.38750000000000001</v>
      </c>
      <c r="Q7" s="54">
        <f ca="1">IFERROR(__xludf.DUMMYFUNCTION("""COMPUTED_VALUE"""),11)</f>
        <v>11</v>
      </c>
      <c r="R7" s="51">
        <f t="shared" ca="1" si="5"/>
        <v>0.13750000000000001</v>
      </c>
      <c r="S7" s="53"/>
      <c r="T7" s="53"/>
      <c r="U7" s="51" t="str">
        <f t="shared" si="6"/>
        <v/>
      </c>
      <c r="V7" s="53"/>
      <c r="W7" s="51" t="str">
        <f t="shared" si="7"/>
        <v/>
      </c>
      <c r="X7" s="53"/>
      <c r="Y7" s="51" t="str">
        <f t="shared" si="8"/>
        <v/>
      </c>
      <c r="Z7" s="2"/>
      <c r="AA7" s="2"/>
      <c r="AB7" s="2"/>
      <c r="AC7" s="2"/>
      <c r="AD7" s="2"/>
      <c r="AE7" s="2"/>
    </row>
    <row r="8" spans="1:31" ht="12.75" x14ac:dyDescent="0.2">
      <c r="A8" s="53">
        <f ca="1">IFERROR(__xludf.DUMMYFUNCTION("""COMPUTED_VALUE"""),2)</f>
        <v>2</v>
      </c>
      <c r="B8" s="53" t="str">
        <f ca="1">IFERROR(__xludf.DUMMYFUNCTION("""COMPUTED_VALUE"""),"MN Họa Mi")</f>
        <v>MN Họa Mi</v>
      </c>
      <c r="C8" s="53" t="str">
        <f ca="1">IFERROR(__xludf.DUMMYFUNCTION("""COMPUTED_VALUE"""),"MN")</f>
        <v>MN</v>
      </c>
      <c r="D8" s="53" t="str">
        <f ca="1">IFERROR(__xludf.DUMMYFUNCTION("""COMPUTED_VALUE"""),"Nhà Bè")</f>
        <v>Nhà Bè</v>
      </c>
      <c r="E8" s="54">
        <f ca="1">IFERROR(__xludf.DUMMYFUNCTION("""COMPUTED_VALUE"""),33)</f>
        <v>33</v>
      </c>
      <c r="F8" s="54">
        <f ca="1">IFERROR(__xludf.DUMMYFUNCTION("""COMPUTED_VALUE"""),33)</f>
        <v>33</v>
      </c>
      <c r="G8" s="51">
        <f t="shared" ca="1" si="0"/>
        <v>1</v>
      </c>
      <c r="H8" s="53">
        <f ca="1">IFERROR(__xludf.DUMMYFUNCTION("""COMPUTED_VALUE"""),33)</f>
        <v>33</v>
      </c>
      <c r="I8" s="51">
        <f t="shared" ca="1" si="1"/>
        <v>1</v>
      </c>
      <c r="J8" s="54">
        <f ca="1">IFERROR(__xludf.DUMMYFUNCTION("""COMPUTED_VALUE"""),30)</f>
        <v>30</v>
      </c>
      <c r="K8" s="51">
        <f t="shared" ca="1" si="2"/>
        <v>0.90909090909090906</v>
      </c>
      <c r="L8" s="54">
        <f ca="1">IFERROR(__xludf.DUMMYFUNCTION("""COMPUTED_VALUE"""),26)</f>
        <v>26</v>
      </c>
      <c r="M8" s="51">
        <f t="shared" ca="1" si="3"/>
        <v>0.78787878787878785</v>
      </c>
      <c r="N8" s="54">
        <f ca="1">IFERROR(__xludf.DUMMYFUNCTION("""COMPUTED_VALUE"""),132)</f>
        <v>132</v>
      </c>
      <c r="O8" s="54">
        <f ca="1">IFERROR(__xludf.DUMMYFUNCTION("""COMPUTED_VALUE"""),17)</f>
        <v>17</v>
      </c>
      <c r="P8" s="51">
        <f t="shared" ca="1" si="4"/>
        <v>0.12878787878787878</v>
      </c>
      <c r="Q8" s="54">
        <f ca="1">IFERROR(__xludf.DUMMYFUNCTION("""COMPUTED_VALUE"""),5)</f>
        <v>5</v>
      </c>
      <c r="R8" s="51">
        <f t="shared" ca="1" si="5"/>
        <v>3.787878787878788E-2</v>
      </c>
      <c r="S8" s="53"/>
      <c r="T8" s="53"/>
      <c r="U8" s="51" t="str">
        <f t="shared" si="6"/>
        <v/>
      </c>
      <c r="V8" s="53"/>
      <c r="W8" s="51" t="str">
        <f t="shared" si="7"/>
        <v/>
      </c>
      <c r="X8" s="53"/>
      <c r="Y8" s="51" t="str">
        <f t="shared" si="8"/>
        <v/>
      </c>
      <c r="Z8" s="2"/>
      <c r="AA8" s="2"/>
      <c r="AB8" s="2"/>
      <c r="AC8" s="2"/>
      <c r="AD8" s="2"/>
      <c r="AE8" s="2"/>
    </row>
    <row r="9" spans="1:31" ht="12.75" x14ac:dyDescent="0.2">
      <c r="A9" s="53">
        <f ca="1">IFERROR(__xludf.DUMMYFUNCTION("""COMPUTED_VALUE"""),3)</f>
        <v>3</v>
      </c>
      <c r="B9" s="53" t="str">
        <f ca="1">IFERROR(__xludf.DUMMYFUNCTION("""COMPUTED_VALUE"""),"MN Hướng Dương")</f>
        <v>MN Hướng Dương</v>
      </c>
      <c r="C9" s="53" t="str">
        <f ca="1">IFERROR(__xludf.DUMMYFUNCTION("""COMPUTED_VALUE"""),"MN")</f>
        <v>MN</v>
      </c>
      <c r="D9" s="53" t="str">
        <f ca="1">IFERROR(__xludf.DUMMYFUNCTION("""COMPUTED_VALUE"""),"Nhà Bè")</f>
        <v>Nhà Bè</v>
      </c>
      <c r="E9" s="54">
        <f ca="1">IFERROR(__xludf.DUMMYFUNCTION("""COMPUTED_VALUE"""),62)</f>
        <v>62</v>
      </c>
      <c r="F9" s="54">
        <f ca="1">IFERROR(__xludf.DUMMYFUNCTION("""COMPUTED_VALUE"""),62)</f>
        <v>62</v>
      </c>
      <c r="G9" s="51">
        <f t="shared" ca="1" si="0"/>
        <v>1</v>
      </c>
      <c r="H9" s="54">
        <f ca="1">IFERROR(__xludf.DUMMYFUNCTION("""COMPUTED_VALUE"""),62)</f>
        <v>62</v>
      </c>
      <c r="I9" s="51">
        <f t="shared" ca="1" si="1"/>
        <v>1</v>
      </c>
      <c r="J9" s="54">
        <f ca="1">IFERROR(__xludf.DUMMYFUNCTION("""COMPUTED_VALUE"""),62)</f>
        <v>62</v>
      </c>
      <c r="K9" s="51">
        <f t="shared" ca="1" si="2"/>
        <v>1</v>
      </c>
      <c r="L9" s="54">
        <f ca="1">IFERROR(__xludf.DUMMYFUNCTION("""COMPUTED_VALUE"""),47)</f>
        <v>47</v>
      </c>
      <c r="M9" s="51">
        <f t="shared" ca="1" si="3"/>
        <v>0.75806451612903225</v>
      </c>
      <c r="N9" s="54">
        <f ca="1">IFERROR(__xludf.DUMMYFUNCTION("""COMPUTED_VALUE"""),275)</f>
        <v>275</v>
      </c>
      <c r="O9" s="54">
        <f ca="1">IFERROR(__xludf.DUMMYFUNCTION("""COMPUTED_VALUE"""),53)</f>
        <v>53</v>
      </c>
      <c r="P9" s="51">
        <f t="shared" ca="1" si="4"/>
        <v>0.19272727272727272</v>
      </c>
      <c r="Q9" s="54">
        <f ca="1">IFERROR(__xludf.DUMMYFUNCTION("""COMPUTED_VALUE"""),20)</f>
        <v>20</v>
      </c>
      <c r="R9" s="51">
        <f t="shared" ca="1" si="5"/>
        <v>7.2727272727272724E-2</v>
      </c>
      <c r="S9" s="53"/>
      <c r="T9" s="53"/>
      <c r="U9" s="51" t="str">
        <f t="shared" si="6"/>
        <v/>
      </c>
      <c r="V9" s="53"/>
      <c r="W9" s="51" t="str">
        <f t="shared" si="7"/>
        <v/>
      </c>
      <c r="X9" s="53"/>
      <c r="Y9" s="51" t="str">
        <f t="shared" si="8"/>
        <v/>
      </c>
      <c r="Z9" s="2"/>
      <c r="AA9" s="2"/>
      <c r="AB9" s="2"/>
      <c r="AC9" s="2"/>
      <c r="AD9" s="2"/>
      <c r="AE9" s="2"/>
    </row>
    <row r="10" spans="1:31" ht="12.75" x14ac:dyDescent="0.2">
      <c r="A10" s="53">
        <f ca="1">IFERROR(__xludf.DUMMYFUNCTION("""COMPUTED_VALUE"""),4)</f>
        <v>4</v>
      </c>
      <c r="B10" s="53" t="str">
        <f ca="1">IFERROR(__xludf.DUMMYFUNCTION("""COMPUTED_VALUE"""),"MN Mạ Non")</f>
        <v>MN Mạ Non</v>
      </c>
      <c r="C10" s="53" t="str">
        <f ca="1">IFERROR(__xludf.DUMMYFUNCTION("""COMPUTED_VALUE"""),"MN")</f>
        <v>MN</v>
      </c>
      <c r="D10" s="53" t="str">
        <f ca="1">IFERROR(__xludf.DUMMYFUNCTION("""COMPUTED_VALUE"""),"Nhà Bè")</f>
        <v>Nhà Bè</v>
      </c>
      <c r="E10" s="54">
        <f ca="1">IFERROR(__xludf.DUMMYFUNCTION("""COMPUTED_VALUE"""),39)</f>
        <v>39</v>
      </c>
      <c r="F10" s="54">
        <f ca="1">IFERROR(__xludf.DUMMYFUNCTION("""COMPUTED_VALUE"""),39)</f>
        <v>39</v>
      </c>
      <c r="G10" s="51">
        <f t="shared" ca="1" si="0"/>
        <v>1</v>
      </c>
      <c r="H10" s="54">
        <f ca="1">IFERROR(__xludf.DUMMYFUNCTION("""COMPUTED_VALUE"""),39)</f>
        <v>39</v>
      </c>
      <c r="I10" s="51">
        <f t="shared" ca="1" si="1"/>
        <v>1</v>
      </c>
      <c r="J10" s="54">
        <f ca="1">IFERROR(__xludf.DUMMYFUNCTION("""COMPUTED_VALUE"""),38)</f>
        <v>38</v>
      </c>
      <c r="K10" s="51">
        <f t="shared" ca="1" si="2"/>
        <v>0.97435897435897434</v>
      </c>
      <c r="L10" s="54">
        <f ca="1">IFERROR(__xludf.DUMMYFUNCTION("""COMPUTED_VALUE"""),20)</f>
        <v>20</v>
      </c>
      <c r="M10" s="51">
        <f t="shared" ca="1" si="3"/>
        <v>0.51282051282051277</v>
      </c>
      <c r="N10" s="54">
        <f ca="1">IFERROR(__xludf.DUMMYFUNCTION("""COMPUTED_VALUE"""),135)</f>
        <v>135</v>
      </c>
      <c r="O10" s="54">
        <f ca="1">IFERROR(__xludf.DUMMYFUNCTION("""COMPUTED_VALUE"""),71)</f>
        <v>71</v>
      </c>
      <c r="P10" s="51">
        <f t="shared" ca="1" si="4"/>
        <v>0.52592592592592591</v>
      </c>
      <c r="Q10" s="54">
        <f ca="1">IFERROR(__xludf.DUMMYFUNCTION("""COMPUTED_VALUE"""),24)</f>
        <v>24</v>
      </c>
      <c r="R10" s="51">
        <f t="shared" ca="1" si="5"/>
        <v>0.17777777777777778</v>
      </c>
      <c r="S10" s="53"/>
      <c r="T10" s="53"/>
      <c r="U10" s="51" t="str">
        <f t="shared" si="6"/>
        <v/>
      </c>
      <c r="V10" s="53"/>
      <c r="W10" s="51" t="str">
        <f t="shared" si="7"/>
        <v/>
      </c>
      <c r="X10" s="53"/>
      <c r="Y10" s="51" t="str">
        <f t="shared" si="8"/>
        <v/>
      </c>
      <c r="Z10" s="2"/>
      <c r="AA10" s="2"/>
      <c r="AB10" s="2"/>
      <c r="AC10" s="2"/>
      <c r="AD10" s="2"/>
      <c r="AE10" s="2"/>
    </row>
    <row r="11" spans="1:31" ht="12.75" x14ac:dyDescent="0.2">
      <c r="A11" s="53">
        <f ca="1">IFERROR(__xludf.DUMMYFUNCTION("""COMPUTED_VALUE"""),5)</f>
        <v>5</v>
      </c>
      <c r="B11" s="53" t="str">
        <f ca="1">IFERROR(__xludf.DUMMYFUNCTION("""COMPUTED_VALUE"""),"MN Sao Mai")</f>
        <v>MN Sao Mai</v>
      </c>
      <c r="C11" s="53" t="str">
        <f ca="1">IFERROR(__xludf.DUMMYFUNCTION("""COMPUTED_VALUE"""),"MN")</f>
        <v>MN</v>
      </c>
      <c r="D11" s="53" t="str">
        <f ca="1">IFERROR(__xludf.DUMMYFUNCTION("""COMPUTED_VALUE"""),"Nhà Bè")</f>
        <v>Nhà Bè</v>
      </c>
      <c r="E11" s="54">
        <f ca="1">IFERROR(__xludf.DUMMYFUNCTION("""COMPUTED_VALUE"""),26)</f>
        <v>26</v>
      </c>
      <c r="F11" s="54">
        <f ca="1">IFERROR(__xludf.DUMMYFUNCTION("""COMPUTED_VALUE"""),26)</f>
        <v>26</v>
      </c>
      <c r="G11" s="51">
        <f t="shared" ca="1" si="0"/>
        <v>1</v>
      </c>
      <c r="H11" s="54">
        <f ca="1">IFERROR(__xludf.DUMMYFUNCTION("""COMPUTED_VALUE"""),26)</f>
        <v>26</v>
      </c>
      <c r="I11" s="51">
        <f t="shared" ca="1" si="1"/>
        <v>1</v>
      </c>
      <c r="J11" s="54">
        <f ca="1">IFERROR(__xludf.DUMMYFUNCTION("""COMPUTED_VALUE"""),26)</f>
        <v>26</v>
      </c>
      <c r="K11" s="51">
        <f t="shared" ca="1" si="2"/>
        <v>1</v>
      </c>
      <c r="L11" s="54">
        <f ca="1">IFERROR(__xludf.DUMMYFUNCTION("""COMPUTED_VALUE"""),21)</f>
        <v>21</v>
      </c>
      <c r="M11" s="51">
        <f t="shared" ca="1" si="3"/>
        <v>0.80769230769230771</v>
      </c>
      <c r="N11" s="54">
        <f ca="1">IFERROR(__xludf.DUMMYFUNCTION("""COMPUTED_VALUE"""),126)</f>
        <v>126</v>
      </c>
      <c r="O11" s="54">
        <f ca="1">IFERROR(__xludf.DUMMYFUNCTION("""COMPUTED_VALUE"""),63)</f>
        <v>63</v>
      </c>
      <c r="P11" s="51">
        <f t="shared" ca="1" si="4"/>
        <v>0.5</v>
      </c>
      <c r="Q11" s="54">
        <f ca="1">IFERROR(__xludf.DUMMYFUNCTION("""COMPUTED_VALUE"""),26)</f>
        <v>26</v>
      </c>
      <c r="R11" s="51">
        <f t="shared" ca="1" si="5"/>
        <v>0.20634920634920634</v>
      </c>
      <c r="S11" s="53"/>
      <c r="T11" s="53"/>
      <c r="U11" s="51" t="str">
        <f t="shared" si="6"/>
        <v/>
      </c>
      <c r="V11" s="53"/>
      <c r="W11" s="51" t="str">
        <f t="shared" si="7"/>
        <v/>
      </c>
      <c r="X11" s="53"/>
      <c r="Y11" s="51" t="str">
        <f t="shared" si="8"/>
        <v/>
      </c>
      <c r="Z11" s="2"/>
      <c r="AA11" s="2"/>
      <c r="AB11" s="2"/>
      <c r="AC11" s="2"/>
      <c r="AD11" s="2"/>
      <c r="AE11" s="2"/>
    </row>
    <row r="12" spans="1:31" ht="12.75" x14ac:dyDescent="0.2">
      <c r="A12" s="53">
        <f ca="1">IFERROR(__xludf.DUMMYFUNCTION("""COMPUTED_VALUE"""),6)</f>
        <v>6</v>
      </c>
      <c r="B12" s="53" t="str">
        <f ca="1">IFERROR(__xludf.DUMMYFUNCTION("""COMPUTED_VALUE"""),"MN Sơn Ca")</f>
        <v>MN Sơn Ca</v>
      </c>
      <c r="C12" s="53" t="str">
        <f ca="1">IFERROR(__xludf.DUMMYFUNCTION("""COMPUTED_VALUE"""),"MN")</f>
        <v>MN</v>
      </c>
      <c r="D12" s="53" t="str">
        <f ca="1">IFERROR(__xludf.DUMMYFUNCTION("""COMPUTED_VALUE"""),"Nhà Bè")</f>
        <v>Nhà Bè</v>
      </c>
      <c r="E12" s="54">
        <f ca="1">IFERROR(__xludf.DUMMYFUNCTION("""COMPUTED_VALUE"""),32)</f>
        <v>32</v>
      </c>
      <c r="F12" s="54">
        <f ca="1">IFERROR(__xludf.DUMMYFUNCTION("""COMPUTED_VALUE"""),32)</f>
        <v>32</v>
      </c>
      <c r="G12" s="51">
        <f t="shared" ca="1" si="0"/>
        <v>1</v>
      </c>
      <c r="H12" s="54">
        <f ca="1">IFERROR(__xludf.DUMMYFUNCTION("""COMPUTED_VALUE"""),32)</f>
        <v>32</v>
      </c>
      <c r="I12" s="51">
        <f t="shared" ca="1" si="1"/>
        <v>1</v>
      </c>
      <c r="J12" s="54">
        <f ca="1">IFERROR(__xludf.DUMMYFUNCTION("""COMPUTED_VALUE"""),32)</f>
        <v>32</v>
      </c>
      <c r="K12" s="51">
        <f t="shared" ca="1" si="2"/>
        <v>1</v>
      </c>
      <c r="L12" s="54">
        <f ca="1">IFERROR(__xludf.DUMMYFUNCTION("""COMPUTED_VALUE"""),31)</f>
        <v>31</v>
      </c>
      <c r="M12" s="51">
        <f t="shared" ca="1" si="3"/>
        <v>0.96875</v>
      </c>
      <c r="N12" s="54">
        <f ca="1">IFERROR(__xludf.DUMMYFUNCTION("""COMPUTED_VALUE"""),60)</f>
        <v>60</v>
      </c>
      <c r="O12" s="54">
        <f ca="1">IFERROR(__xludf.DUMMYFUNCTION("""COMPUTED_VALUE"""),10)</f>
        <v>10</v>
      </c>
      <c r="P12" s="51">
        <f t="shared" ca="1" si="4"/>
        <v>0.16666666666666666</v>
      </c>
      <c r="Q12" s="54">
        <f ca="1">IFERROR(__xludf.DUMMYFUNCTION("""COMPUTED_VALUE"""),0)</f>
        <v>0</v>
      </c>
      <c r="R12" s="51">
        <f t="shared" ca="1" si="5"/>
        <v>0</v>
      </c>
      <c r="S12" s="53"/>
      <c r="T12" s="53"/>
      <c r="U12" s="51" t="str">
        <f t="shared" si="6"/>
        <v/>
      </c>
      <c r="V12" s="53"/>
      <c r="W12" s="51" t="str">
        <f t="shared" si="7"/>
        <v/>
      </c>
      <c r="X12" s="53"/>
      <c r="Y12" s="51" t="str">
        <f t="shared" si="8"/>
        <v/>
      </c>
      <c r="Z12" s="2"/>
      <c r="AA12" s="2"/>
      <c r="AB12" s="2"/>
      <c r="AC12" s="2"/>
      <c r="AD12" s="2"/>
      <c r="AE12" s="2"/>
    </row>
    <row r="13" spans="1:31" ht="12.75" x14ac:dyDescent="0.2">
      <c r="A13" s="53">
        <f ca="1">IFERROR(__xludf.DUMMYFUNCTION("""COMPUTED_VALUE"""),7)</f>
        <v>7</v>
      </c>
      <c r="B13" s="53" t="str">
        <f ca="1">IFERROR(__xludf.DUMMYFUNCTION("""COMPUTED_VALUE"""),"MN Tuổi Hoa")</f>
        <v>MN Tuổi Hoa</v>
      </c>
      <c r="C13" s="53" t="str">
        <f ca="1">IFERROR(__xludf.DUMMYFUNCTION("""COMPUTED_VALUE"""),"MN")</f>
        <v>MN</v>
      </c>
      <c r="D13" s="53" t="str">
        <f ca="1">IFERROR(__xludf.DUMMYFUNCTION("""COMPUTED_VALUE"""),"Nhà Bè")</f>
        <v>Nhà Bè</v>
      </c>
      <c r="E13" s="54">
        <f ca="1">IFERROR(__xludf.DUMMYFUNCTION("""COMPUTED_VALUE"""),42)</f>
        <v>42</v>
      </c>
      <c r="F13" s="54">
        <f ca="1">IFERROR(__xludf.DUMMYFUNCTION("""COMPUTED_VALUE"""),42)</f>
        <v>42</v>
      </c>
      <c r="G13" s="51">
        <f t="shared" ca="1" si="0"/>
        <v>1</v>
      </c>
      <c r="H13" s="54">
        <f ca="1">IFERROR(__xludf.DUMMYFUNCTION("""COMPUTED_VALUE"""),42)</f>
        <v>42</v>
      </c>
      <c r="I13" s="51">
        <f t="shared" ca="1" si="1"/>
        <v>1</v>
      </c>
      <c r="J13" s="54">
        <f ca="1">IFERROR(__xludf.DUMMYFUNCTION("""COMPUTED_VALUE"""),41)</f>
        <v>41</v>
      </c>
      <c r="K13" s="51">
        <f t="shared" ca="1" si="2"/>
        <v>0.97619047619047616</v>
      </c>
      <c r="L13" s="54">
        <f ca="1">IFERROR(__xludf.DUMMYFUNCTION("""COMPUTED_VALUE"""),37)</f>
        <v>37</v>
      </c>
      <c r="M13" s="51">
        <f t="shared" ca="1" si="3"/>
        <v>0.88095238095238093</v>
      </c>
      <c r="N13" s="54">
        <f ca="1">IFERROR(__xludf.DUMMYFUNCTION("""COMPUTED_VALUE"""),113)</f>
        <v>113</v>
      </c>
      <c r="O13" s="54">
        <f ca="1">IFERROR(__xludf.DUMMYFUNCTION("""COMPUTED_VALUE"""),28)</f>
        <v>28</v>
      </c>
      <c r="P13" s="51">
        <f t="shared" ca="1" si="4"/>
        <v>0.24778761061946902</v>
      </c>
      <c r="Q13" s="54">
        <f ca="1">IFERROR(__xludf.DUMMYFUNCTION("""COMPUTED_VALUE"""),12)</f>
        <v>12</v>
      </c>
      <c r="R13" s="51">
        <f t="shared" ca="1" si="5"/>
        <v>0.10619469026548672</v>
      </c>
      <c r="S13" s="53"/>
      <c r="T13" s="53"/>
      <c r="U13" s="51" t="str">
        <f t="shared" si="6"/>
        <v/>
      </c>
      <c r="V13" s="53"/>
      <c r="W13" s="51" t="str">
        <f t="shared" si="7"/>
        <v/>
      </c>
      <c r="X13" s="53"/>
      <c r="Y13" s="51" t="str">
        <f t="shared" si="8"/>
        <v/>
      </c>
      <c r="Z13" s="2"/>
      <c r="AA13" s="2"/>
      <c r="AB13" s="2"/>
      <c r="AC13" s="2"/>
      <c r="AD13" s="2"/>
      <c r="AE13" s="2"/>
    </row>
    <row r="14" spans="1:31" ht="12.75" x14ac:dyDescent="0.2">
      <c r="A14" s="53">
        <f ca="1">IFERROR(__xludf.DUMMYFUNCTION("""COMPUTED_VALUE"""),8)</f>
        <v>8</v>
      </c>
      <c r="B14" s="53" t="str">
        <f ca="1">IFERROR(__xludf.DUMMYFUNCTION("""COMPUTED_VALUE"""),"MN Tuổi Ngọc")</f>
        <v>MN Tuổi Ngọc</v>
      </c>
      <c r="C14" s="53" t="str">
        <f ca="1">IFERROR(__xludf.DUMMYFUNCTION("""COMPUTED_VALUE"""),"MN")</f>
        <v>MN</v>
      </c>
      <c r="D14" s="53" t="str">
        <f ca="1">IFERROR(__xludf.DUMMYFUNCTION("""COMPUTED_VALUE"""),"Nhà Bè")</f>
        <v>Nhà Bè</v>
      </c>
      <c r="E14" s="54">
        <f ca="1">IFERROR(__xludf.DUMMYFUNCTION("""COMPUTED_VALUE"""),36)</f>
        <v>36</v>
      </c>
      <c r="F14" s="54">
        <f ca="1">IFERROR(__xludf.DUMMYFUNCTION("""COMPUTED_VALUE"""),36)</f>
        <v>36</v>
      </c>
      <c r="G14" s="51">
        <f t="shared" ca="1" si="0"/>
        <v>1</v>
      </c>
      <c r="H14" s="54">
        <f ca="1">IFERROR(__xludf.DUMMYFUNCTION("""COMPUTED_VALUE"""),36)</f>
        <v>36</v>
      </c>
      <c r="I14" s="51">
        <f t="shared" ca="1" si="1"/>
        <v>1</v>
      </c>
      <c r="J14" s="54">
        <f ca="1">IFERROR(__xludf.DUMMYFUNCTION("""COMPUTED_VALUE"""),35)</f>
        <v>35</v>
      </c>
      <c r="K14" s="51">
        <f t="shared" ca="1" si="2"/>
        <v>0.97222222222222221</v>
      </c>
      <c r="L14" s="54">
        <f ca="1">IFERROR(__xludf.DUMMYFUNCTION("""COMPUTED_VALUE"""),29)</f>
        <v>29</v>
      </c>
      <c r="M14" s="51">
        <f t="shared" ca="1" si="3"/>
        <v>0.80555555555555558</v>
      </c>
      <c r="N14" s="54">
        <f ca="1">IFERROR(__xludf.DUMMYFUNCTION("""COMPUTED_VALUE"""),124)</f>
        <v>124</v>
      </c>
      <c r="O14" s="54">
        <f ca="1">IFERROR(__xludf.DUMMYFUNCTION("""COMPUTED_VALUE"""),63)</f>
        <v>63</v>
      </c>
      <c r="P14" s="51">
        <f t="shared" ca="1" si="4"/>
        <v>0.50806451612903225</v>
      </c>
      <c r="Q14" s="54">
        <f ca="1">IFERROR(__xludf.DUMMYFUNCTION("""COMPUTED_VALUE"""),17)</f>
        <v>17</v>
      </c>
      <c r="R14" s="51">
        <f t="shared" ca="1" si="5"/>
        <v>0.13709677419354838</v>
      </c>
      <c r="S14" s="53"/>
      <c r="T14" s="53"/>
      <c r="U14" s="51" t="str">
        <f t="shared" si="6"/>
        <v/>
      </c>
      <c r="V14" s="53"/>
      <c r="W14" s="51" t="str">
        <f t="shared" si="7"/>
        <v/>
      </c>
      <c r="X14" s="53"/>
      <c r="Y14" s="51" t="str">
        <f t="shared" si="8"/>
        <v/>
      </c>
      <c r="Z14" s="2"/>
      <c r="AA14" s="2"/>
      <c r="AB14" s="2"/>
      <c r="AC14" s="2"/>
      <c r="AD14" s="2"/>
      <c r="AE14" s="2"/>
    </row>
    <row r="15" spans="1:31" ht="12.75" x14ac:dyDescent="0.2">
      <c r="A15" s="53">
        <f ca="1">IFERROR(__xludf.DUMMYFUNCTION("""COMPUTED_VALUE"""),9)</f>
        <v>9</v>
      </c>
      <c r="B15" s="53" t="str">
        <f ca="1">IFERROR(__xludf.DUMMYFUNCTION("""COMPUTED_VALUE"""),"MN Thị Trấn Nhà Bè")</f>
        <v>MN Thị Trấn Nhà Bè</v>
      </c>
      <c r="C15" s="53" t="str">
        <f ca="1">IFERROR(__xludf.DUMMYFUNCTION("""COMPUTED_VALUE"""),"MN")</f>
        <v>MN</v>
      </c>
      <c r="D15" s="53" t="str">
        <f ca="1">IFERROR(__xludf.DUMMYFUNCTION("""COMPUTED_VALUE"""),"Nhà Bè")</f>
        <v>Nhà Bè</v>
      </c>
      <c r="E15" s="54">
        <f ca="1">IFERROR(__xludf.DUMMYFUNCTION("""COMPUTED_VALUE"""),22)</f>
        <v>22</v>
      </c>
      <c r="F15" s="54">
        <f ca="1">IFERROR(__xludf.DUMMYFUNCTION("""COMPUTED_VALUE"""),22)</f>
        <v>22</v>
      </c>
      <c r="G15" s="51">
        <f t="shared" ca="1" si="0"/>
        <v>1</v>
      </c>
      <c r="H15" s="54">
        <f ca="1">IFERROR(__xludf.DUMMYFUNCTION("""COMPUTED_VALUE"""),22)</f>
        <v>22</v>
      </c>
      <c r="I15" s="51">
        <f t="shared" ca="1" si="1"/>
        <v>1</v>
      </c>
      <c r="J15" s="54">
        <f ca="1">IFERROR(__xludf.DUMMYFUNCTION("""COMPUTED_VALUE"""),22)</f>
        <v>22</v>
      </c>
      <c r="K15" s="51">
        <f t="shared" ca="1" si="2"/>
        <v>1</v>
      </c>
      <c r="L15" s="54">
        <f ca="1">IFERROR(__xludf.DUMMYFUNCTION("""COMPUTED_VALUE"""),17)</f>
        <v>17</v>
      </c>
      <c r="M15" s="51">
        <f t="shared" ca="1" si="3"/>
        <v>0.77272727272727271</v>
      </c>
      <c r="N15" s="54">
        <f ca="1">IFERROR(__xludf.DUMMYFUNCTION("""COMPUTED_VALUE"""),109)</f>
        <v>109</v>
      </c>
      <c r="O15" s="54">
        <f ca="1">IFERROR(__xludf.DUMMYFUNCTION("""COMPUTED_VALUE"""),48)</f>
        <v>48</v>
      </c>
      <c r="P15" s="51">
        <f t="shared" ca="1" si="4"/>
        <v>0.44036697247706424</v>
      </c>
      <c r="Q15" s="54">
        <f ca="1">IFERROR(__xludf.DUMMYFUNCTION("""COMPUTED_VALUE"""),33)</f>
        <v>33</v>
      </c>
      <c r="R15" s="51">
        <f t="shared" ca="1" si="5"/>
        <v>0.30275229357798167</v>
      </c>
      <c r="S15" s="53"/>
      <c r="T15" s="53"/>
      <c r="U15" s="51" t="str">
        <f t="shared" si="6"/>
        <v/>
      </c>
      <c r="V15" s="53"/>
      <c r="W15" s="51" t="str">
        <f t="shared" si="7"/>
        <v/>
      </c>
      <c r="X15" s="53"/>
      <c r="Y15" s="51" t="str">
        <f t="shared" si="8"/>
        <v/>
      </c>
      <c r="Z15" s="2"/>
      <c r="AA15" s="2"/>
      <c r="AB15" s="2"/>
      <c r="AC15" s="2"/>
      <c r="AD15" s="2"/>
      <c r="AE15" s="2"/>
    </row>
    <row r="16" spans="1:31" ht="12.75" x14ac:dyDescent="0.2">
      <c r="A16" s="53">
        <f ca="1">IFERROR(__xludf.DUMMYFUNCTION("""COMPUTED_VALUE"""),10)</f>
        <v>10</v>
      </c>
      <c r="B16" s="53" t="str">
        <f ca="1">IFERROR(__xludf.DUMMYFUNCTION("""COMPUTED_VALUE"""),"MN Vàng Anh")</f>
        <v>MN Vàng Anh</v>
      </c>
      <c r="C16" s="53" t="str">
        <f ca="1">IFERROR(__xludf.DUMMYFUNCTION("""COMPUTED_VALUE"""),"MN")</f>
        <v>MN</v>
      </c>
      <c r="D16" s="53" t="str">
        <f ca="1">IFERROR(__xludf.DUMMYFUNCTION("""COMPUTED_VALUE"""),"Nhà Bè")</f>
        <v>Nhà Bè</v>
      </c>
      <c r="E16" s="54">
        <f ca="1">IFERROR(__xludf.DUMMYFUNCTION("""COMPUTED_VALUE"""),32)</f>
        <v>32</v>
      </c>
      <c r="F16" s="54">
        <f ca="1">IFERROR(__xludf.DUMMYFUNCTION("""COMPUTED_VALUE"""),32)</f>
        <v>32</v>
      </c>
      <c r="G16" s="51">
        <f t="shared" ca="1" si="0"/>
        <v>1</v>
      </c>
      <c r="H16" s="54">
        <f ca="1">IFERROR(__xludf.DUMMYFUNCTION("""COMPUTED_VALUE"""),32)</f>
        <v>32</v>
      </c>
      <c r="I16" s="51">
        <f t="shared" ca="1" si="1"/>
        <v>1</v>
      </c>
      <c r="J16" s="54">
        <f ca="1">IFERROR(__xludf.DUMMYFUNCTION("""COMPUTED_VALUE"""),32)</f>
        <v>32</v>
      </c>
      <c r="K16" s="51">
        <f t="shared" ca="1" si="2"/>
        <v>1</v>
      </c>
      <c r="L16" s="54">
        <f ca="1">IFERROR(__xludf.DUMMYFUNCTION("""COMPUTED_VALUE"""),16)</f>
        <v>16</v>
      </c>
      <c r="M16" s="51">
        <f t="shared" ca="1" si="3"/>
        <v>0.5</v>
      </c>
      <c r="N16" s="54">
        <f ca="1">IFERROR(__xludf.DUMMYFUNCTION("""COMPUTED_VALUE"""),129)</f>
        <v>129</v>
      </c>
      <c r="O16" s="54">
        <f ca="1">IFERROR(__xludf.DUMMYFUNCTION("""COMPUTED_VALUE"""),39)</f>
        <v>39</v>
      </c>
      <c r="P16" s="51">
        <f t="shared" ca="1" si="4"/>
        <v>0.30232558139534882</v>
      </c>
      <c r="Q16" s="54">
        <f ca="1">IFERROR(__xludf.DUMMYFUNCTION("""COMPUTED_VALUE"""),20)</f>
        <v>20</v>
      </c>
      <c r="R16" s="51">
        <f t="shared" ca="1" si="5"/>
        <v>0.15503875968992248</v>
      </c>
      <c r="S16" s="53"/>
      <c r="T16" s="53"/>
      <c r="U16" s="51" t="str">
        <f t="shared" si="6"/>
        <v/>
      </c>
      <c r="V16" s="53"/>
      <c r="W16" s="51" t="str">
        <f t="shared" si="7"/>
        <v/>
      </c>
      <c r="X16" s="53"/>
      <c r="Y16" s="51" t="str">
        <f t="shared" si="8"/>
        <v/>
      </c>
      <c r="Z16" s="2"/>
      <c r="AA16" s="2"/>
      <c r="AB16" s="2"/>
      <c r="AC16" s="2"/>
      <c r="AD16" s="2"/>
      <c r="AE16" s="2"/>
    </row>
    <row r="17" spans="1:31" ht="12.75" x14ac:dyDescent="0.2">
      <c r="A17" s="53">
        <f ca="1">IFERROR(__xludf.DUMMYFUNCTION("""COMPUTED_VALUE"""),11)</f>
        <v>11</v>
      </c>
      <c r="B17" s="53" t="str">
        <f ca="1">IFERROR(__xludf.DUMMYFUNCTION("""COMPUTED_VALUE"""),"MN Vành Khuyên")</f>
        <v>MN Vành Khuyên</v>
      </c>
      <c r="C17" s="53" t="str">
        <f ca="1">IFERROR(__xludf.DUMMYFUNCTION("""COMPUTED_VALUE"""),"MN")</f>
        <v>MN</v>
      </c>
      <c r="D17" s="53" t="str">
        <f ca="1">IFERROR(__xludf.DUMMYFUNCTION("""COMPUTED_VALUE"""),"Nhà Bè")</f>
        <v>Nhà Bè</v>
      </c>
      <c r="E17" s="54">
        <f ca="1">IFERROR(__xludf.DUMMYFUNCTION("""COMPUTED_VALUE"""),33)</f>
        <v>33</v>
      </c>
      <c r="F17" s="54">
        <f ca="1">IFERROR(__xludf.DUMMYFUNCTION("""COMPUTED_VALUE"""),33)</f>
        <v>33</v>
      </c>
      <c r="G17" s="51">
        <f t="shared" ca="1" si="0"/>
        <v>1</v>
      </c>
      <c r="H17" s="54">
        <f ca="1">IFERROR(__xludf.DUMMYFUNCTION("""COMPUTED_VALUE"""),33)</f>
        <v>33</v>
      </c>
      <c r="I17" s="51">
        <f t="shared" ca="1" si="1"/>
        <v>1</v>
      </c>
      <c r="J17" s="54">
        <f ca="1">IFERROR(__xludf.DUMMYFUNCTION("""COMPUTED_VALUE"""),33)</f>
        <v>33</v>
      </c>
      <c r="K17" s="51">
        <f t="shared" ca="1" si="2"/>
        <v>1</v>
      </c>
      <c r="L17" s="54">
        <f ca="1">IFERROR(__xludf.DUMMYFUNCTION("""COMPUTED_VALUE"""),32)</f>
        <v>32</v>
      </c>
      <c r="M17" s="51">
        <f t="shared" ca="1" si="3"/>
        <v>0.96969696969696972</v>
      </c>
      <c r="N17" s="54">
        <f ca="1">IFERROR(__xludf.DUMMYFUNCTION("""COMPUTED_VALUE"""),66)</f>
        <v>66</v>
      </c>
      <c r="O17" s="54">
        <f ca="1">IFERROR(__xludf.DUMMYFUNCTION("""COMPUTED_VALUE"""),17)</f>
        <v>17</v>
      </c>
      <c r="P17" s="51">
        <f t="shared" ca="1" si="4"/>
        <v>0.25757575757575757</v>
      </c>
      <c r="Q17" s="54">
        <f ca="1">IFERROR(__xludf.DUMMYFUNCTION("""COMPUTED_VALUE"""),7)</f>
        <v>7</v>
      </c>
      <c r="R17" s="51">
        <f t="shared" ca="1" si="5"/>
        <v>0.10606060606060606</v>
      </c>
      <c r="S17" s="53"/>
      <c r="T17" s="53"/>
      <c r="U17" s="51" t="str">
        <f t="shared" si="6"/>
        <v/>
      </c>
      <c r="V17" s="53"/>
      <c r="W17" s="51" t="str">
        <f t="shared" si="7"/>
        <v/>
      </c>
      <c r="X17" s="53"/>
      <c r="Y17" s="51" t="str">
        <f t="shared" si="8"/>
        <v/>
      </c>
      <c r="Z17" s="2"/>
      <c r="AA17" s="2"/>
      <c r="AB17" s="2"/>
      <c r="AC17" s="2"/>
      <c r="AD17" s="2"/>
      <c r="AE17" s="2"/>
    </row>
    <row r="18" spans="1:31" ht="12.75" x14ac:dyDescent="0.2">
      <c r="A18" s="53">
        <f ca="1">IFERROR(__xludf.DUMMYFUNCTION("""COMPUTED_VALUE"""),12)</f>
        <v>12</v>
      </c>
      <c r="B18" s="53" t="str">
        <f ca="1">IFERROR(__xludf.DUMMYFUNCTION("""COMPUTED_VALUE"""),"MN Hoa Lan")</f>
        <v>MN Hoa Lan</v>
      </c>
      <c r="C18" s="53" t="str">
        <f ca="1">IFERROR(__xludf.DUMMYFUNCTION("""COMPUTED_VALUE"""),"MN")</f>
        <v>MN</v>
      </c>
      <c r="D18" s="53" t="str">
        <f ca="1">IFERROR(__xludf.DUMMYFUNCTION("""COMPUTED_VALUE"""),"Nhà Bè")</f>
        <v>Nhà Bè</v>
      </c>
      <c r="E18" s="54">
        <f ca="1">IFERROR(__xludf.DUMMYFUNCTION("""COMPUTED_VALUE"""),41)</f>
        <v>41</v>
      </c>
      <c r="F18" s="54">
        <f ca="1">IFERROR(__xludf.DUMMYFUNCTION("""COMPUTED_VALUE"""),41)</f>
        <v>41</v>
      </c>
      <c r="G18" s="51">
        <f t="shared" ca="1" si="0"/>
        <v>1</v>
      </c>
      <c r="H18" s="54">
        <f ca="1">IFERROR(__xludf.DUMMYFUNCTION("""COMPUTED_VALUE"""),41)</f>
        <v>41</v>
      </c>
      <c r="I18" s="51">
        <f t="shared" ca="1" si="1"/>
        <v>1</v>
      </c>
      <c r="J18" s="54">
        <f ca="1">IFERROR(__xludf.DUMMYFUNCTION("""COMPUTED_VALUE"""),40)</f>
        <v>40</v>
      </c>
      <c r="K18" s="51">
        <f t="shared" ca="1" si="2"/>
        <v>0.97560975609756095</v>
      </c>
      <c r="L18" s="54">
        <f ca="1">IFERROR(__xludf.DUMMYFUNCTION("""COMPUTED_VALUE"""),23)</f>
        <v>23</v>
      </c>
      <c r="M18" s="51">
        <f t="shared" ca="1" si="3"/>
        <v>0.56097560975609762</v>
      </c>
      <c r="N18" s="54">
        <f ca="1">IFERROR(__xludf.DUMMYFUNCTION("""COMPUTED_VALUE"""),138)</f>
        <v>138</v>
      </c>
      <c r="O18" s="54">
        <f ca="1">IFERROR(__xludf.DUMMYFUNCTION("""COMPUTED_VALUE"""),95)</f>
        <v>95</v>
      </c>
      <c r="P18" s="51">
        <f t="shared" ca="1" si="4"/>
        <v>0.68840579710144922</v>
      </c>
      <c r="Q18" s="54">
        <f ca="1">IFERROR(__xludf.DUMMYFUNCTION("""COMPUTED_VALUE"""),56)</f>
        <v>56</v>
      </c>
      <c r="R18" s="51">
        <f t="shared" ca="1" si="5"/>
        <v>0.40579710144927539</v>
      </c>
      <c r="S18" s="53"/>
      <c r="T18" s="53"/>
      <c r="U18" s="51" t="str">
        <f t="shared" si="6"/>
        <v/>
      </c>
      <c r="V18" s="53"/>
      <c r="W18" s="51" t="str">
        <f t="shared" si="7"/>
        <v/>
      </c>
      <c r="X18" s="53"/>
      <c r="Y18" s="51" t="str">
        <f t="shared" si="8"/>
        <v/>
      </c>
      <c r="Z18" s="2"/>
      <c r="AA18" s="2"/>
      <c r="AB18" s="2"/>
      <c r="AC18" s="2"/>
      <c r="AD18" s="2"/>
      <c r="AE18" s="2"/>
    </row>
    <row r="19" spans="1:31" ht="12.75" x14ac:dyDescent="0.2">
      <c r="A19" s="53">
        <f ca="1">IFERROR(__xludf.DUMMYFUNCTION("""COMPUTED_VALUE"""),13)</f>
        <v>13</v>
      </c>
      <c r="B19" s="53" t="str">
        <f ca="1">IFERROR(__xludf.DUMMYFUNCTION("""COMPUTED_VALUE"""),"MN Hoa Sen")</f>
        <v>MN Hoa Sen</v>
      </c>
      <c r="C19" s="53" t="str">
        <f ca="1">IFERROR(__xludf.DUMMYFUNCTION("""COMPUTED_VALUE"""),"MN")</f>
        <v>MN</v>
      </c>
      <c r="D19" s="53" t="str">
        <f ca="1">IFERROR(__xludf.DUMMYFUNCTION("""COMPUTED_VALUE"""),"Nhà Bè")</f>
        <v>Nhà Bè</v>
      </c>
      <c r="E19" s="54">
        <f ca="1">IFERROR(__xludf.DUMMYFUNCTION("""COMPUTED_VALUE"""),23)</f>
        <v>23</v>
      </c>
      <c r="F19" s="54">
        <f ca="1">IFERROR(__xludf.DUMMYFUNCTION("""COMPUTED_VALUE"""),23)</f>
        <v>23</v>
      </c>
      <c r="G19" s="51">
        <f t="shared" ca="1" si="0"/>
        <v>1</v>
      </c>
      <c r="H19" s="54">
        <f ca="1">IFERROR(__xludf.DUMMYFUNCTION("""COMPUTED_VALUE"""),23)</f>
        <v>23</v>
      </c>
      <c r="I19" s="51">
        <f t="shared" ca="1" si="1"/>
        <v>1</v>
      </c>
      <c r="J19" s="54">
        <f ca="1">IFERROR(__xludf.DUMMYFUNCTION("""COMPUTED_VALUE"""),23)</f>
        <v>23</v>
      </c>
      <c r="K19" s="51">
        <f t="shared" ca="1" si="2"/>
        <v>1</v>
      </c>
      <c r="L19" s="54">
        <f ca="1">IFERROR(__xludf.DUMMYFUNCTION("""COMPUTED_VALUE"""),22)</f>
        <v>22</v>
      </c>
      <c r="M19" s="51">
        <f t="shared" ca="1" si="3"/>
        <v>0.95652173913043481</v>
      </c>
      <c r="N19" s="54">
        <f ca="1">IFERROR(__xludf.DUMMYFUNCTION("""COMPUTED_VALUE"""),47)</f>
        <v>47</v>
      </c>
      <c r="O19" s="54">
        <f ca="1">IFERROR(__xludf.DUMMYFUNCTION("""COMPUTED_VALUE"""),12)</f>
        <v>12</v>
      </c>
      <c r="P19" s="51">
        <f t="shared" ca="1" si="4"/>
        <v>0.25531914893617019</v>
      </c>
      <c r="Q19" s="54">
        <f ca="1">IFERROR(__xludf.DUMMYFUNCTION("""COMPUTED_VALUE"""),6)</f>
        <v>6</v>
      </c>
      <c r="R19" s="51">
        <f t="shared" ca="1" si="5"/>
        <v>0.1276595744680851</v>
      </c>
      <c r="S19" s="53"/>
      <c r="T19" s="53"/>
      <c r="U19" s="51" t="str">
        <f t="shared" si="6"/>
        <v/>
      </c>
      <c r="V19" s="53"/>
      <c r="W19" s="51" t="str">
        <f t="shared" si="7"/>
        <v/>
      </c>
      <c r="X19" s="53"/>
      <c r="Y19" s="51" t="str">
        <f t="shared" si="8"/>
        <v/>
      </c>
      <c r="Z19" s="2"/>
      <c r="AA19" s="2"/>
      <c r="AB19" s="2"/>
      <c r="AC19" s="2"/>
      <c r="AD19" s="2"/>
      <c r="AE19" s="2"/>
    </row>
    <row r="20" spans="1:31" ht="12.75" x14ac:dyDescent="0.2">
      <c r="A20" s="53">
        <f ca="1">IFERROR(__xludf.DUMMYFUNCTION("""COMPUTED_VALUE"""),14)</f>
        <v>14</v>
      </c>
      <c r="B20" s="53" t="str">
        <f ca="1">IFERROR(__xludf.DUMMYFUNCTION("""COMPUTED_VALUE"""),"MN Hoa Hồng")</f>
        <v>MN Hoa Hồng</v>
      </c>
      <c r="C20" s="53" t="str">
        <f ca="1">IFERROR(__xludf.DUMMYFUNCTION("""COMPUTED_VALUE"""),"MN")</f>
        <v>MN</v>
      </c>
      <c r="D20" s="53" t="str">
        <f ca="1">IFERROR(__xludf.DUMMYFUNCTION("""COMPUTED_VALUE"""),"Nhà Bè")</f>
        <v>Nhà Bè</v>
      </c>
      <c r="E20" s="54">
        <f ca="1">IFERROR(__xludf.DUMMYFUNCTION("""COMPUTED_VALUE"""),17)</f>
        <v>17</v>
      </c>
      <c r="F20" s="54">
        <f ca="1">IFERROR(__xludf.DUMMYFUNCTION("""COMPUTED_VALUE"""),17)</f>
        <v>17</v>
      </c>
      <c r="G20" s="51">
        <f t="shared" ca="1" si="0"/>
        <v>1</v>
      </c>
      <c r="H20" s="54">
        <f ca="1">IFERROR(__xludf.DUMMYFUNCTION("""COMPUTED_VALUE"""),17)</f>
        <v>17</v>
      </c>
      <c r="I20" s="51">
        <f t="shared" ca="1" si="1"/>
        <v>1</v>
      </c>
      <c r="J20" s="54">
        <f ca="1">IFERROR(__xludf.DUMMYFUNCTION("""COMPUTED_VALUE"""),16)</f>
        <v>16</v>
      </c>
      <c r="K20" s="51">
        <f t="shared" ca="1" si="2"/>
        <v>0.94117647058823528</v>
      </c>
      <c r="L20" s="54">
        <f ca="1">IFERROR(__xludf.DUMMYFUNCTION("""COMPUTED_VALUE"""),1)</f>
        <v>1</v>
      </c>
      <c r="M20" s="51">
        <f t="shared" ca="1" si="3"/>
        <v>5.8823529411764705E-2</v>
      </c>
      <c r="N20" s="54">
        <f ca="1">IFERROR(__xludf.DUMMYFUNCTION("""COMPUTED_VALUE"""),57)</f>
        <v>57</v>
      </c>
      <c r="O20" s="54">
        <f ca="1">IFERROR(__xludf.DUMMYFUNCTION("""COMPUTED_VALUE"""),26)</f>
        <v>26</v>
      </c>
      <c r="P20" s="51">
        <f t="shared" ca="1" si="4"/>
        <v>0.45614035087719296</v>
      </c>
      <c r="Q20" s="54">
        <f ca="1">IFERROR(__xludf.DUMMYFUNCTION("""COMPUTED_VALUE"""),23)</f>
        <v>23</v>
      </c>
      <c r="R20" s="51">
        <f t="shared" ca="1" si="5"/>
        <v>0.40350877192982454</v>
      </c>
      <c r="S20" s="53"/>
      <c r="T20" s="53"/>
      <c r="U20" s="51" t="str">
        <f t="shared" si="6"/>
        <v/>
      </c>
      <c r="V20" s="53"/>
      <c r="W20" s="51" t="str">
        <f t="shared" si="7"/>
        <v/>
      </c>
      <c r="X20" s="53"/>
      <c r="Y20" s="51" t="str">
        <f t="shared" si="8"/>
        <v/>
      </c>
      <c r="Z20" s="2"/>
      <c r="AA20" s="2"/>
      <c r="AB20" s="2"/>
      <c r="AC20" s="2"/>
      <c r="AD20" s="2"/>
      <c r="AE20" s="2"/>
    </row>
    <row r="21" spans="1:31" ht="12.75" x14ac:dyDescent="0.2">
      <c r="A21" s="53">
        <f ca="1">IFERROR(__xludf.DUMMYFUNCTION("""COMPUTED_VALUE"""),15)</f>
        <v>15</v>
      </c>
      <c r="B21" s="53" t="str">
        <f ca="1">IFERROR(__xludf.DUMMYFUNCTION("""COMPUTED_VALUE"""),"MN Phượng Hồng")</f>
        <v>MN Phượng Hồng</v>
      </c>
      <c r="C21" s="53" t="str">
        <f ca="1">IFERROR(__xludf.DUMMYFUNCTION("""COMPUTED_VALUE"""),"MN")</f>
        <v>MN</v>
      </c>
      <c r="D21" s="53" t="str">
        <f ca="1">IFERROR(__xludf.DUMMYFUNCTION("""COMPUTED_VALUE"""),"Nhà Bè")</f>
        <v>Nhà Bè</v>
      </c>
      <c r="E21" s="54">
        <f ca="1">IFERROR(__xludf.DUMMYFUNCTION("""COMPUTED_VALUE"""),16)</f>
        <v>16</v>
      </c>
      <c r="F21" s="54">
        <f ca="1">IFERROR(__xludf.DUMMYFUNCTION("""COMPUTED_VALUE"""),16)</f>
        <v>16</v>
      </c>
      <c r="G21" s="51">
        <f t="shared" ca="1" si="0"/>
        <v>1</v>
      </c>
      <c r="H21" s="54">
        <f ca="1">IFERROR(__xludf.DUMMYFUNCTION("""COMPUTED_VALUE"""),16)</f>
        <v>16</v>
      </c>
      <c r="I21" s="51">
        <f t="shared" ca="1" si="1"/>
        <v>1</v>
      </c>
      <c r="J21" s="54">
        <f ca="1">IFERROR(__xludf.DUMMYFUNCTION("""COMPUTED_VALUE"""),16)</f>
        <v>16</v>
      </c>
      <c r="K21" s="51">
        <f t="shared" ca="1" si="2"/>
        <v>1</v>
      </c>
      <c r="L21" s="54">
        <f ca="1">IFERROR(__xludf.DUMMYFUNCTION("""COMPUTED_VALUE"""),7)</f>
        <v>7</v>
      </c>
      <c r="M21" s="51">
        <f t="shared" ca="1" si="3"/>
        <v>0.4375</v>
      </c>
      <c r="N21" s="54">
        <f ca="1">IFERROR(__xludf.DUMMYFUNCTION("""COMPUTED_VALUE"""),37)</f>
        <v>37</v>
      </c>
      <c r="O21" s="54">
        <f ca="1">IFERROR(__xludf.DUMMYFUNCTION("""COMPUTED_VALUE"""),3)</f>
        <v>3</v>
      </c>
      <c r="P21" s="51">
        <f t="shared" ca="1" si="4"/>
        <v>8.1081081081081086E-2</v>
      </c>
      <c r="Q21" s="54">
        <f ca="1">IFERROR(__xludf.DUMMYFUNCTION("""COMPUTED_VALUE"""),0)</f>
        <v>0</v>
      </c>
      <c r="R21" s="51">
        <f t="shared" ca="1" si="5"/>
        <v>0</v>
      </c>
      <c r="S21" s="53"/>
      <c r="T21" s="53"/>
      <c r="U21" s="51" t="str">
        <f t="shared" si="6"/>
        <v/>
      </c>
      <c r="V21" s="53"/>
      <c r="W21" s="51" t="str">
        <f t="shared" si="7"/>
        <v/>
      </c>
      <c r="X21" s="53"/>
      <c r="Y21" s="51" t="str">
        <f t="shared" si="8"/>
        <v/>
      </c>
      <c r="Z21" s="2"/>
      <c r="AA21" s="2"/>
      <c r="AB21" s="2"/>
      <c r="AC21" s="2"/>
      <c r="AD21" s="2"/>
      <c r="AE21" s="2"/>
    </row>
    <row r="22" spans="1:31" ht="12.75" x14ac:dyDescent="0.2">
      <c r="A22" s="53">
        <f ca="1">IFERROR(__xludf.DUMMYFUNCTION("""COMPUTED_VALUE"""),16)</f>
        <v>16</v>
      </c>
      <c r="B22" s="53" t="str">
        <f ca="1">IFERROR(__xludf.DUMMYFUNCTION("""COMPUTED_VALUE"""),"MN Nam Sơn")</f>
        <v>MN Nam Sơn</v>
      </c>
      <c r="C22" s="53" t="str">
        <f ca="1">IFERROR(__xludf.DUMMYFUNCTION("""COMPUTED_VALUE"""),"MN")</f>
        <v>MN</v>
      </c>
      <c r="D22" s="53" t="str">
        <f ca="1">IFERROR(__xludf.DUMMYFUNCTION("""COMPUTED_VALUE"""),"Nhà Bè")</f>
        <v>Nhà Bè</v>
      </c>
      <c r="E22" s="54">
        <f ca="1">IFERROR(__xludf.DUMMYFUNCTION("""COMPUTED_VALUE"""),20)</f>
        <v>20</v>
      </c>
      <c r="F22" s="54">
        <f ca="1">IFERROR(__xludf.DUMMYFUNCTION("""COMPUTED_VALUE"""),20)</f>
        <v>20</v>
      </c>
      <c r="G22" s="51">
        <f t="shared" ca="1" si="0"/>
        <v>1</v>
      </c>
      <c r="H22" s="54">
        <f ca="1">IFERROR(__xludf.DUMMYFUNCTION("""COMPUTED_VALUE"""),20)</f>
        <v>20</v>
      </c>
      <c r="I22" s="51">
        <f t="shared" ca="1" si="1"/>
        <v>1</v>
      </c>
      <c r="J22" s="54">
        <f ca="1">IFERROR(__xludf.DUMMYFUNCTION("""COMPUTED_VALUE"""),8)</f>
        <v>8</v>
      </c>
      <c r="K22" s="51">
        <f t="shared" ca="1" si="2"/>
        <v>0.4</v>
      </c>
      <c r="L22" s="54">
        <f ca="1">IFERROR(__xludf.DUMMYFUNCTION("""COMPUTED_VALUE"""),0)</f>
        <v>0</v>
      </c>
      <c r="M22" s="51">
        <f t="shared" ca="1" si="3"/>
        <v>0</v>
      </c>
      <c r="N22" s="54">
        <f ca="1">IFERROR(__xludf.DUMMYFUNCTION("""COMPUTED_VALUE"""),43)</f>
        <v>43</v>
      </c>
      <c r="O22" s="54">
        <f ca="1">IFERROR(__xludf.DUMMYFUNCTION("""COMPUTED_VALUE"""),0)</f>
        <v>0</v>
      </c>
      <c r="P22" s="51">
        <f t="shared" ca="1" si="4"/>
        <v>0</v>
      </c>
      <c r="Q22" s="54">
        <f ca="1">IFERROR(__xludf.DUMMYFUNCTION("""COMPUTED_VALUE"""),0)</f>
        <v>0</v>
      </c>
      <c r="R22" s="51">
        <f t="shared" ca="1" si="5"/>
        <v>0</v>
      </c>
      <c r="S22" s="53"/>
      <c r="T22" s="53"/>
      <c r="U22" s="51" t="str">
        <f t="shared" si="6"/>
        <v/>
      </c>
      <c r="V22" s="53"/>
      <c r="W22" s="51" t="str">
        <f t="shared" si="7"/>
        <v/>
      </c>
      <c r="X22" s="53"/>
      <c r="Y22" s="51" t="str">
        <f t="shared" si="8"/>
        <v/>
      </c>
      <c r="Z22" s="2"/>
      <c r="AA22" s="2"/>
      <c r="AB22" s="2"/>
      <c r="AC22" s="2"/>
      <c r="AD22" s="2"/>
      <c r="AE22" s="2"/>
    </row>
    <row r="23" spans="1:31" ht="12.75" x14ac:dyDescent="0.2">
      <c r="A23" s="53">
        <f ca="1">IFERROR(__xludf.DUMMYFUNCTION("""COMPUTED_VALUE"""),17)</f>
        <v>17</v>
      </c>
      <c r="B23" s="53" t="str">
        <f ca="1">IFERROR(__xludf.DUMMYFUNCTION("""COMPUTED_VALUE"""),"MN Mầm Xanh")</f>
        <v>MN Mầm Xanh</v>
      </c>
      <c r="C23" s="53" t="str">
        <f ca="1">IFERROR(__xludf.DUMMYFUNCTION("""COMPUTED_VALUE"""),"MN")</f>
        <v>MN</v>
      </c>
      <c r="D23" s="53" t="str">
        <f ca="1">IFERROR(__xludf.DUMMYFUNCTION("""COMPUTED_VALUE"""),"Nhà Bè")</f>
        <v>Nhà Bè</v>
      </c>
      <c r="E23" s="54">
        <f ca="1">IFERROR(__xludf.DUMMYFUNCTION("""COMPUTED_VALUE"""),14)</f>
        <v>14</v>
      </c>
      <c r="F23" s="54">
        <f ca="1">IFERROR(__xludf.DUMMYFUNCTION("""COMPUTED_VALUE"""),14)</f>
        <v>14</v>
      </c>
      <c r="G23" s="51">
        <f t="shared" ca="1" si="0"/>
        <v>1</v>
      </c>
      <c r="H23" s="54">
        <f ca="1">IFERROR(__xludf.DUMMYFUNCTION("""COMPUTED_VALUE"""),14)</f>
        <v>14</v>
      </c>
      <c r="I23" s="51">
        <f t="shared" ca="1" si="1"/>
        <v>1</v>
      </c>
      <c r="J23" s="54">
        <f ca="1">IFERROR(__xludf.DUMMYFUNCTION("""COMPUTED_VALUE"""),3)</f>
        <v>3</v>
      </c>
      <c r="K23" s="51">
        <f t="shared" ca="1" si="2"/>
        <v>0.21428571428571427</v>
      </c>
      <c r="L23" s="54">
        <f ca="1">IFERROR(__xludf.DUMMYFUNCTION("""COMPUTED_VALUE"""),0)</f>
        <v>0</v>
      </c>
      <c r="M23" s="51">
        <f t="shared" ca="1" si="3"/>
        <v>0</v>
      </c>
      <c r="N23" s="54">
        <f ca="1">IFERROR(__xludf.DUMMYFUNCTION("""COMPUTED_VALUE"""),8)</f>
        <v>8</v>
      </c>
      <c r="O23" s="54">
        <f ca="1">IFERROR(__xludf.DUMMYFUNCTION("""COMPUTED_VALUE"""),1)</f>
        <v>1</v>
      </c>
      <c r="P23" s="51">
        <f t="shared" ca="1" si="4"/>
        <v>0.125</v>
      </c>
      <c r="Q23" s="54">
        <f ca="1">IFERROR(__xludf.DUMMYFUNCTION("""COMPUTED_VALUE"""),0)</f>
        <v>0</v>
      </c>
      <c r="R23" s="51">
        <f t="shared" ca="1" si="5"/>
        <v>0</v>
      </c>
      <c r="S23" s="53"/>
      <c r="T23" s="53"/>
      <c r="U23" s="51" t="str">
        <f t="shared" si="6"/>
        <v/>
      </c>
      <c r="V23" s="53"/>
      <c r="W23" s="51" t="str">
        <f t="shared" si="7"/>
        <v/>
      </c>
      <c r="X23" s="53"/>
      <c r="Y23" s="51" t="str">
        <f t="shared" si="8"/>
        <v/>
      </c>
      <c r="Z23" s="2"/>
      <c r="AA23" s="2"/>
      <c r="AB23" s="2"/>
      <c r="AC23" s="2"/>
      <c r="AD23" s="2"/>
      <c r="AE23" s="2"/>
    </row>
    <row r="24" spans="1:31" ht="12.75" x14ac:dyDescent="0.2">
      <c r="A24" s="53">
        <f ca="1">IFERROR(__xludf.DUMMYFUNCTION("""COMPUTED_VALUE"""),18)</f>
        <v>18</v>
      </c>
      <c r="B24" s="53" t="str">
        <f ca="1">IFERROR(__xludf.DUMMYFUNCTION("""COMPUTED_VALUE"""),"MN Ngôi Nhà Mơ Ước")</f>
        <v>MN Ngôi Nhà Mơ Ước</v>
      </c>
      <c r="C24" s="53" t="str">
        <f ca="1">IFERROR(__xludf.DUMMYFUNCTION("""COMPUTED_VALUE"""),"MN")</f>
        <v>MN</v>
      </c>
      <c r="D24" s="53" t="str">
        <f ca="1">IFERROR(__xludf.DUMMYFUNCTION("""COMPUTED_VALUE"""),"Nhà Bè")</f>
        <v>Nhà Bè</v>
      </c>
      <c r="E24" s="54">
        <f ca="1">IFERROR(__xludf.DUMMYFUNCTION("""COMPUTED_VALUE"""),8)</f>
        <v>8</v>
      </c>
      <c r="F24" s="54">
        <f ca="1">IFERROR(__xludf.DUMMYFUNCTION("""COMPUTED_VALUE"""),8)</f>
        <v>8</v>
      </c>
      <c r="G24" s="51">
        <f t="shared" ca="1" si="0"/>
        <v>1</v>
      </c>
      <c r="H24" s="54">
        <f ca="1">IFERROR(__xludf.DUMMYFUNCTION("""COMPUTED_VALUE"""),8)</f>
        <v>8</v>
      </c>
      <c r="I24" s="51">
        <f t="shared" ca="1" si="1"/>
        <v>1</v>
      </c>
      <c r="J24" s="54">
        <f ca="1">IFERROR(__xludf.DUMMYFUNCTION("""COMPUTED_VALUE"""),8)</f>
        <v>8</v>
      </c>
      <c r="K24" s="51">
        <f t="shared" ca="1" si="2"/>
        <v>1</v>
      </c>
      <c r="L24" s="54">
        <f ca="1">IFERROR(__xludf.DUMMYFUNCTION("""COMPUTED_VALUE"""),0)</f>
        <v>0</v>
      </c>
      <c r="M24" s="51">
        <f t="shared" ca="1" si="3"/>
        <v>0</v>
      </c>
      <c r="N24" s="54">
        <f ca="1">IFERROR(__xludf.DUMMYFUNCTION("""COMPUTED_VALUE"""),5)</f>
        <v>5</v>
      </c>
      <c r="O24" s="54">
        <f ca="1">IFERROR(__xludf.DUMMYFUNCTION("""COMPUTED_VALUE"""),0)</f>
        <v>0</v>
      </c>
      <c r="P24" s="51">
        <f t="shared" ca="1" si="4"/>
        <v>0</v>
      </c>
      <c r="Q24" s="54">
        <f ca="1">IFERROR(__xludf.DUMMYFUNCTION("""COMPUTED_VALUE"""),0)</f>
        <v>0</v>
      </c>
      <c r="R24" s="51">
        <f t="shared" ca="1" si="5"/>
        <v>0</v>
      </c>
      <c r="S24" s="53"/>
      <c r="T24" s="53"/>
      <c r="U24" s="51" t="str">
        <f t="shared" si="6"/>
        <v/>
      </c>
      <c r="V24" s="53"/>
      <c r="W24" s="51" t="str">
        <f t="shared" si="7"/>
        <v/>
      </c>
      <c r="X24" s="53"/>
      <c r="Y24" s="51" t="str">
        <f t="shared" si="8"/>
        <v/>
      </c>
      <c r="Z24" s="2"/>
      <c r="AA24" s="2"/>
      <c r="AB24" s="2"/>
      <c r="AC24" s="2"/>
      <c r="AD24" s="2"/>
      <c r="AE24" s="2"/>
    </row>
    <row r="25" spans="1:31" ht="12.75" x14ac:dyDescent="0.2">
      <c r="A25" s="53">
        <f ca="1">IFERROR(__xludf.DUMMYFUNCTION("""COMPUTED_VALUE"""),19)</f>
        <v>19</v>
      </c>
      <c r="B25" s="53" t="str">
        <f ca="1">IFERROR(__xludf.DUMMYFUNCTION("""COMPUTED_VALUE"""),"MN Bé Vui")</f>
        <v>MN Bé Vui</v>
      </c>
      <c r="C25" s="53" t="str">
        <f ca="1">IFERROR(__xludf.DUMMYFUNCTION("""COMPUTED_VALUE"""),"MN")</f>
        <v>MN</v>
      </c>
      <c r="D25" s="53" t="str">
        <f ca="1">IFERROR(__xludf.DUMMYFUNCTION("""COMPUTED_VALUE"""),"Nhà Bè")</f>
        <v>Nhà Bè</v>
      </c>
      <c r="E25" s="54">
        <f ca="1">IFERROR(__xludf.DUMMYFUNCTION("""COMPUTED_VALUE"""),19)</f>
        <v>19</v>
      </c>
      <c r="F25" s="54">
        <f ca="1">IFERROR(__xludf.DUMMYFUNCTION("""COMPUTED_VALUE"""),19)</f>
        <v>19</v>
      </c>
      <c r="G25" s="51">
        <f t="shared" ca="1" si="0"/>
        <v>1</v>
      </c>
      <c r="H25" s="54">
        <f ca="1">IFERROR(__xludf.DUMMYFUNCTION("""COMPUTED_VALUE"""),19)</f>
        <v>19</v>
      </c>
      <c r="I25" s="51">
        <f t="shared" ca="1" si="1"/>
        <v>1</v>
      </c>
      <c r="J25" s="54">
        <f ca="1">IFERROR(__xludf.DUMMYFUNCTION("""COMPUTED_VALUE"""),19)</f>
        <v>19</v>
      </c>
      <c r="K25" s="51">
        <f t="shared" ca="1" si="2"/>
        <v>1</v>
      </c>
      <c r="L25" s="54">
        <f ca="1">IFERROR(__xludf.DUMMYFUNCTION("""COMPUTED_VALUE"""),5)</f>
        <v>5</v>
      </c>
      <c r="M25" s="51">
        <f t="shared" ca="1" si="3"/>
        <v>0.26315789473684209</v>
      </c>
      <c r="N25" s="54">
        <f ca="1">IFERROR(__xludf.DUMMYFUNCTION("""COMPUTED_VALUE"""),14)</f>
        <v>14</v>
      </c>
      <c r="O25" s="54">
        <f ca="1">IFERROR(__xludf.DUMMYFUNCTION("""COMPUTED_VALUE"""),0)</f>
        <v>0</v>
      </c>
      <c r="P25" s="51">
        <f t="shared" ca="1" si="4"/>
        <v>0</v>
      </c>
      <c r="Q25" s="54">
        <f ca="1">IFERROR(__xludf.DUMMYFUNCTION("""COMPUTED_VALUE"""),0)</f>
        <v>0</v>
      </c>
      <c r="R25" s="51">
        <f t="shared" ca="1" si="5"/>
        <v>0</v>
      </c>
      <c r="S25" s="53"/>
      <c r="T25" s="53"/>
      <c r="U25" s="51" t="str">
        <f t="shared" si="6"/>
        <v/>
      </c>
      <c r="V25" s="53"/>
      <c r="W25" s="51" t="str">
        <f t="shared" si="7"/>
        <v/>
      </c>
      <c r="X25" s="53"/>
      <c r="Y25" s="51" t="str">
        <f t="shared" si="8"/>
        <v/>
      </c>
      <c r="Z25" s="2"/>
      <c r="AA25" s="2"/>
      <c r="AB25" s="2"/>
      <c r="AC25" s="2"/>
      <c r="AD25" s="2"/>
      <c r="AE25" s="2"/>
    </row>
    <row r="26" spans="1:31" ht="12.75" x14ac:dyDescent="0.2">
      <c r="A26" s="53">
        <f ca="1">IFERROR(__xludf.DUMMYFUNCTION("""COMPUTED_VALUE"""),20)</f>
        <v>20</v>
      </c>
      <c r="B26" s="53" t="str">
        <f ca="1">IFERROR(__xludf.DUMMYFUNCTION("""COMPUTED_VALUE"""),"MN Bầu Trời Xanh")</f>
        <v>MN Bầu Trời Xanh</v>
      </c>
      <c r="C26" s="53" t="str">
        <f ca="1">IFERROR(__xludf.DUMMYFUNCTION("""COMPUTED_VALUE"""),"MN")</f>
        <v>MN</v>
      </c>
      <c r="D26" s="53" t="str">
        <f ca="1">IFERROR(__xludf.DUMMYFUNCTION("""COMPUTED_VALUE"""),"Nhà Bè")</f>
        <v>Nhà Bè</v>
      </c>
      <c r="E26" s="54">
        <f ca="1">IFERROR(__xludf.DUMMYFUNCTION("""COMPUTED_VALUE"""),11)</f>
        <v>11</v>
      </c>
      <c r="F26" s="54">
        <f ca="1">IFERROR(__xludf.DUMMYFUNCTION("""COMPUTED_VALUE"""),11)</f>
        <v>11</v>
      </c>
      <c r="G26" s="51">
        <f t="shared" ca="1" si="0"/>
        <v>1</v>
      </c>
      <c r="H26" s="54">
        <f ca="1">IFERROR(__xludf.DUMMYFUNCTION("""COMPUTED_VALUE"""),11)</f>
        <v>11</v>
      </c>
      <c r="I26" s="51">
        <f t="shared" ca="1" si="1"/>
        <v>1</v>
      </c>
      <c r="J26" s="54">
        <f ca="1">IFERROR(__xludf.DUMMYFUNCTION("""COMPUTED_VALUE"""),2)</f>
        <v>2</v>
      </c>
      <c r="K26" s="51">
        <f t="shared" ca="1" si="2"/>
        <v>0.18181818181818182</v>
      </c>
      <c r="L26" s="54">
        <f ca="1">IFERROR(__xludf.DUMMYFUNCTION("""COMPUTED_VALUE"""),0)</f>
        <v>0</v>
      </c>
      <c r="M26" s="51">
        <f t="shared" ca="1" si="3"/>
        <v>0</v>
      </c>
      <c r="N26" s="54">
        <f ca="1">IFERROR(__xludf.DUMMYFUNCTION("""COMPUTED_VALUE"""),13)</f>
        <v>13</v>
      </c>
      <c r="O26" s="54">
        <f ca="1">IFERROR(__xludf.DUMMYFUNCTION("""COMPUTED_VALUE"""),0)</f>
        <v>0</v>
      </c>
      <c r="P26" s="51">
        <f t="shared" ca="1" si="4"/>
        <v>0</v>
      </c>
      <c r="Q26" s="54">
        <f ca="1">IFERROR(__xludf.DUMMYFUNCTION("""COMPUTED_VALUE"""),0)</f>
        <v>0</v>
      </c>
      <c r="R26" s="51">
        <f t="shared" ca="1" si="5"/>
        <v>0</v>
      </c>
      <c r="S26" s="53"/>
      <c r="T26" s="53"/>
      <c r="U26" s="51" t="str">
        <f t="shared" si="6"/>
        <v/>
      </c>
      <c r="V26" s="53"/>
      <c r="W26" s="51" t="str">
        <f t="shared" si="7"/>
        <v/>
      </c>
      <c r="X26" s="53"/>
      <c r="Y26" s="51" t="str">
        <f t="shared" si="8"/>
        <v/>
      </c>
      <c r="Z26" s="2"/>
      <c r="AA26" s="2"/>
      <c r="AB26" s="2"/>
      <c r="AC26" s="2"/>
      <c r="AD26" s="2"/>
      <c r="AE26" s="2"/>
    </row>
    <row r="27" spans="1:31" ht="12.75" x14ac:dyDescent="0.2">
      <c r="A27" s="53">
        <f ca="1">IFERROR(__xludf.DUMMYFUNCTION("""COMPUTED_VALUE"""),21)</f>
        <v>21</v>
      </c>
      <c r="B27" s="53" t="str">
        <f ca="1">IFERROR(__xludf.DUMMYFUNCTION("""COMPUTED_VALUE"""),"MN Chú Ong Nhỏ Phúc Long")</f>
        <v>MN Chú Ong Nhỏ Phúc Long</v>
      </c>
      <c r="C27" s="53" t="str">
        <f ca="1">IFERROR(__xludf.DUMMYFUNCTION("""COMPUTED_VALUE"""),"MN")</f>
        <v>MN</v>
      </c>
      <c r="D27" s="53" t="str">
        <f ca="1">IFERROR(__xludf.DUMMYFUNCTION("""COMPUTED_VALUE"""),"Nhà Bè")</f>
        <v>Nhà Bè</v>
      </c>
      <c r="E27" s="54">
        <f ca="1">IFERROR(__xludf.DUMMYFUNCTION("""COMPUTED_VALUE"""),29)</f>
        <v>29</v>
      </c>
      <c r="F27" s="54">
        <f ca="1">IFERROR(__xludf.DUMMYFUNCTION("""COMPUTED_VALUE"""),29)</f>
        <v>29</v>
      </c>
      <c r="G27" s="51">
        <f t="shared" ca="1" si="0"/>
        <v>1</v>
      </c>
      <c r="H27" s="54">
        <f ca="1">IFERROR(__xludf.DUMMYFUNCTION("""COMPUTED_VALUE"""),29)</f>
        <v>29</v>
      </c>
      <c r="I27" s="51">
        <f t="shared" ca="1" si="1"/>
        <v>1</v>
      </c>
      <c r="J27" s="54">
        <f ca="1">IFERROR(__xludf.DUMMYFUNCTION("""COMPUTED_VALUE"""),29)</f>
        <v>29</v>
      </c>
      <c r="K27" s="51">
        <f t="shared" ca="1" si="2"/>
        <v>1</v>
      </c>
      <c r="L27" s="54">
        <f ca="1">IFERROR(__xludf.DUMMYFUNCTION("""COMPUTED_VALUE"""),5)</f>
        <v>5</v>
      </c>
      <c r="M27" s="51">
        <f t="shared" ca="1" si="3"/>
        <v>0.17241379310344829</v>
      </c>
      <c r="N27" s="54">
        <f ca="1">IFERROR(__xludf.DUMMYFUNCTION("""COMPUTED_VALUE"""),24)</f>
        <v>24</v>
      </c>
      <c r="O27" s="54">
        <f ca="1">IFERROR(__xludf.DUMMYFUNCTION("""COMPUTED_VALUE"""),3)</f>
        <v>3</v>
      </c>
      <c r="P27" s="51">
        <f t="shared" ca="1" si="4"/>
        <v>0.125</v>
      </c>
      <c r="Q27" s="54">
        <f ca="1">IFERROR(__xludf.DUMMYFUNCTION("""COMPUTED_VALUE"""),0)</f>
        <v>0</v>
      </c>
      <c r="R27" s="51">
        <f t="shared" ca="1" si="5"/>
        <v>0</v>
      </c>
      <c r="S27" s="53"/>
      <c r="T27" s="53"/>
      <c r="U27" s="51" t="str">
        <f t="shared" si="6"/>
        <v/>
      </c>
      <c r="V27" s="53"/>
      <c r="W27" s="51" t="str">
        <f t="shared" si="7"/>
        <v/>
      </c>
      <c r="X27" s="53"/>
      <c r="Y27" s="51" t="str">
        <f t="shared" si="8"/>
        <v/>
      </c>
      <c r="Z27" s="2"/>
      <c r="AA27" s="2"/>
      <c r="AB27" s="2"/>
      <c r="AC27" s="2"/>
      <c r="AD27" s="2"/>
      <c r="AE27" s="2"/>
    </row>
    <row r="28" spans="1:31" ht="12.75" x14ac:dyDescent="0.2">
      <c r="A28" s="53">
        <f ca="1">IFERROR(__xludf.DUMMYFUNCTION("""COMPUTED_VALUE"""),22)</f>
        <v>22</v>
      </c>
      <c r="B28" s="53" t="str">
        <f ca="1">IFERROR(__xludf.DUMMYFUNCTION("""COMPUTED_VALUE"""),"MN Thế Giới Trẻ Thơ")</f>
        <v>MN Thế Giới Trẻ Thơ</v>
      </c>
      <c r="C28" s="53" t="str">
        <f ca="1">IFERROR(__xludf.DUMMYFUNCTION("""COMPUTED_VALUE"""),"MN")</f>
        <v>MN</v>
      </c>
      <c r="D28" s="53" t="str">
        <f ca="1">IFERROR(__xludf.DUMMYFUNCTION("""COMPUTED_VALUE"""),"Nhà Bè")</f>
        <v>Nhà Bè</v>
      </c>
      <c r="E28" s="54">
        <f ca="1">IFERROR(__xludf.DUMMYFUNCTION("""COMPUTED_VALUE"""),15)</f>
        <v>15</v>
      </c>
      <c r="F28" s="54">
        <f ca="1">IFERROR(__xludf.DUMMYFUNCTION("""COMPUTED_VALUE"""),15)</f>
        <v>15</v>
      </c>
      <c r="G28" s="51">
        <f t="shared" ca="1" si="0"/>
        <v>1</v>
      </c>
      <c r="H28" s="54">
        <f ca="1">IFERROR(__xludf.DUMMYFUNCTION("""COMPUTED_VALUE"""),15)</f>
        <v>15</v>
      </c>
      <c r="I28" s="51">
        <f t="shared" ca="1" si="1"/>
        <v>1</v>
      </c>
      <c r="J28" s="54">
        <f ca="1">IFERROR(__xludf.DUMMYFUNCTION("""COMPUTED_VALUE"""),14)</f>
        <v>14</v>
      </c>
      <c r="K28" s="51">
        <f t="shared" ca="1" si="2"/>
        <v>0.93333333333333335</v>
      </c>
      <c r="L28" s="54">
        <f ca="1">IFERROR(__xludf.DUMMYFUNCTION("""COMPUTED_VALUE"""),9)</f>
        <v>9</v>
      </c>
      <c r="M28" s="51">
        <f t="shared" ca="1" si="3"/>
        <v>0.6</v>
      </c>
      <c r="N28" s="54">
        <f ca="1">IFERROR(__xludf.DUMMYFUNCTION("""COMPUTED_VALUE"""),22)</f>
        <v>22</v>
      </c>
      <c r="O28" s="54">
        <f ca="1">IFERROR(__xludf.DUMMYFUNCTION("""COMPUTED_VALUE"""),0)</f>
        <v>0</v>
      </c>
      <c r="P28" s="51">
        <f t="shared" ca="1" si="4"/>
        <v>0</v>
      </c>
      <c r="Q28" s="54">
        <f ca="1">IFERROR(__xludf.DUMMYFUNCTION("""COMPUTED_VALUE"""),0)</f>
        <v>0</v>
      </c>
      <c r="R28" s="51">
        <f t="shared" ca="1" si="5"/>
        <v>0</v>
      </c>
      <c r="S28" s="53"/>
      <c r="T28" s="53"/>
      <c r="U28" s="51" t="str">
        <f t="shared" si="6"/>
        <v/>
      </c>
      <c r="V28" s="53"/>
      <c r="W28" s="51" t="str">
        <f t="shared" si="7"/>
        <v/>
      </c>
      <c r="X28" s="53"/>
      <c r="Y28" s="51" t="str">
        <f t="shared" si="8"/>
        <v/>
      </c>
      <c r="Z28" s="2"/>
      <c r="AA28" s="2"/>
      <c r="AB28" s="2"/>
      <c r="AC28" s="2"/>
      <c r="AD28" s="2"/>
      <c r="AE28" s="2"/>
    </row>
    <row r="29" spans="1:31" ht="12.75" x14ac:dyDescent="0.2">
      <c r="A29" s="53">
        <f ca="1">IFERROR(__xludf.DUMMYFUNCTION("""COMPUTED_VALUE"""),23)</f>
        <v>23</v>
      </c>
      <c r="B29" s="53" t="str">
        <f ca="1">IFERROR(__xludf.DUMMYFUNCTION("""COMPUTED_VALUE"""),"MN Hoàng Anh")</f>
        <v>MN Hoàng Anh</v>
      </c>
      <c r="C29" s="53" t="str">
        <f ca="1">IFERROR(__xludf.DUMMYFUNCTION("""COMPUTED_VALUE"""),"MN")</f>
        <v>MN</v>
      </c>
      <c r="D29" s="53" t="str">
        <f ca="1">IFERROR(__xludf.DUMMYFUNCTION("""COMPUTED_VALUE"""),"Nhà Bè")</f>
        <v>Nhà Bè</v>
      </c>
      <c r="E29" s="54">
        <f ca="1">IFERROR(__xludf.DUMMYFUNCTION("""COMPUTED_VALUE"""),20)</f>
        <v>20</v>
      </c>
      <c r="F29" s="54">
        <f ca="1">IFERROR(__xludf.DUMMYFUNCTION("""COMPUTED_VALUE"""),20)</f>
        <v>20</v>
      </c>
      <c r="G29" s="51">
        <f t="shared" ca="1" si="0"/>
        <v>1</v>
      </c>
      <c r="H29" s="54">
        <f ca="1">IFERROR(__xludf.DUMMYFUNCTION("""COMPUTED_VALUE"""),20)</f>
        <v>20</v>
      </c>
      <c r="I29" s="51">
        <f t="shared" ca="1" si="1"/>
        <v>1</v>
      </c>
      <c r="J29" s="54">
        <f ca="1">IFERROR(__xludf.DUMMYFUNCTION("""COMPUTED_VALUE"""),20)</f>
        <v>20</v>
      </c>
      <c r="K29" s="51">
        <f t="shared" ca="1" si="2"/>
        <v>1</v>
      </c>
      <c r="L29" s="54">
        <f ca="1">IFERROR(__xludf.DUMMYFUNCTION("""COMPUTED_VALUE"""),16)</f>
        <v>16</v>
      </c>
      <c r="M29" s="51">
        <f t="shared" ca="1" si="3"/>
        <v>0.8</v>
      </c>
      <c r="N29" s="54">
        <f ca="1">IFERROR(__xludf.DUMMYFUNCTION("""COMPUTED_VALUE"""),39)</f>
        <v>39</v>
      </c>
      <c r="O29" s="54">
        <f ca="1">IFERROR(__xludf.DUMMYFUNCTION("""COMPUTED_VALUE"""),0)</f>
        <v>0</v>
      </c>
      <c r="P29" s="51">
        <f t="shared" ca="1" si="4"/>
        <v>0</v>
      </c>
      <c r="Q29" s="54">
        <f ca="1">IFERROR(__xludf.DUMMYFUNCTION("""COMPUTED_VALUE"""),0)</f>
        <v>0</v>
      </c>
      <c r="R29" s="51">
        <f t="shared" ca="1" si="5"/>
        <v>0</v>
      </c>
      <c r="S29" s="53"/>
      <c r="T29" s="53"/>
      <c r="U29" s="51" t="str">
        <f t="shared" si="6"/>
        <v/>
      </c>
      <c r="V29" s="53"/>
      <c r="W29" s="51" t="str">
        <f t="shared" si="7"/>
        <v/>
      </c>
      <c r="X29" s="53"/>
      <c r="Y29" s="51" t="str">
        <f t="shared" si="8"/>
        <v/>
      </c>
      <c r="Z29" s="2"/>
      <c r="AA29" s="2"/>
      <c r="AB29" s="2"/>
      <c r="AC29" s="2"/>
      <c r="AD29" s="2"/>
      <c r="AE29" s="2"/>
    </row>
    <row r="30" spans="1:31" ht="12.75" x14ac:dyDescent="0.2">
      <c r="A30" s="53">
        <f ca="1">IFERROR(__xludf.DUMMYFUNCTION("""COMPUTED_VALUE"""),24)</f>
        <v>24</v>
      </c>
      <c r="B30" s="53" t="str">
        <f ca="1">IFERROR(__xludf.DUMMYFUNCTION("""COMPUTED_VALUE"""),"MN Thiên Thần Nhỏ")</f>
        <v>MN Thiên Thần Nhỏ</v>
      </c>
      <c r="C30" s="53" t="str">
        <f ca="1">IFERROR(__xludf.DUMMYFUNCTION("""COMPUTED_VALUE"""),"MN")</f>
        <v>MN</v>
      </c>
      <c r="D30" s="53" t="str">
        <f ca="1">IFERROR(__xludf.DUMMYFUNCTION("""COMPUTED_VALUE"""),"Nhà Bè")</f>
        <v>Nhà Bè</v>
      </c>
      <c r="E30" s="54">
        <f ca="1">IFERROR(__xludf.DUMMYFUNCTION("""COMPUTED_VALUE"""),15)</f>
        <v>15</v>
      </c>
      <c r="F30" s="54">
        <f ca="1">IFERROR(__xludf.DUMMYFUNCTION("""COMPUTED_VALUE"""),15)</f>
        <v>15</v>
      </c>
      <c r="G30" s="51">
        <f t="shared" ca="1" si="0"/>
        <v>1</v>
      </c>
      <c r="H30" s="54">
        <f ca="1">IFERROR(__xludf.DUMMYFUNCTION("""COMPUTED_VALUE"""),15)</f>
        <v>15</v>
      </c>
      <c r="I30" s="51">
        <f t="shared" ca="1" si="1"/>
        <v>1</v>
      </c>
      <c r="J30" s="54">
        <f ca="1">IFERROR(__xludf.DUMMYFUNCTION("""COMPUTED_VALUE"""),15)</f>
        <v>15</v>
      </c>
      <c r="K30" s="51">
        <f t="shared" ca="1" si="2"/>
        <v>1</v>
      </c>
      <c r="L30" s="54">
        <f ca="1">IFERROR(__xludf.DUMMYFUNCTION("""COMPUTED_VALUE"""),0)</f>
        <v>0</v>
      </c>
      <c r="M30" s="51">
        <f t="shared" ca="1" si="3"/>
        <v>0</v>
      </c>
      <c r="N30" s="54">
        <f ca="1">IFERROR(__xludf.DUMMYFUNCTION("""COMPUTED_VALUE"""),10)</f>
        <v>10</v>
      </c>
      <c r="O30" s="54">
        <f ca="1">IFERROR(__xludf.DUMMYFUNCTION("""COMPUTED_VALUE"""),0)</f>
        <v>0</v>
      </c>
      <c r="P30" s="51">
        <f t="shared" ca="1" si="4"/>
        <v>0</v>
      </c>
      <c r="Q30" s="54">
        <f ca="1">IFERROR(__xludf.DUMMYFUNCTION("""COMPUTED_VALUE"""),0)</f>
        <v>0</v>
      </c>
      <c r="R30" s="51">
        <f t="shared" ca="1" si="5"/>
        <v>0</v>
      </c>
      <c r="S30" s="53"/>
      <c r="T30" s="53"/>
      <c r="U30" s="51" t="str">
        <f t="shared" si="6"/>
        <v/>
      </c>
      <c r="V30" s="53"/>
      <c r="W30" s="51" t="str">
        <f t="shared" si="7"/>
        <v/>
      </c>
      <c r="X30" s="53"/>
      <c r="Y30" s="51" t="str">
        <f t="shared" si="8"/>
        <v/>
      </c>
      <c r="Z30" s="2"/>
      <c r="AA30" s="2"/>
      <c r="AB30" s="2"/>
      <c r="AC30" s="2"/>
      <c r="AD30" s="2"/>
      <c r="AE30" s="2"/>
    </row>
    <row r="31" spans="1:31" ht="12.75" x14ac:dyDescent="0.2">
      <c r="A31" s="53">
        <f ca="1">IFERROR(__xludf.DUMMYFUNCTION("""COMPUTED_VALUE"""),25)</f>
        <v>25</v>
      </c>
      <c r="B31" s="53" t="str">
        <f ca="1">IFERROR(__xludf.DUMMYFUNCTION("""COMPUTED_VALUE"""),"MN Miền Cổ Tích")</f>
        <v>MN Miền Cổ Tích</v>
      </c>
      <c r="C31" s="53" t="str">
        <f ca="1">IFERROR(__xludf.DUMMYFUNCTION("""COMPUTED_VALUE"""),"MN")</f>
        <v>MN</v>
      </c>
      <c r="D31" s="53" t="str">
        <f ca="1">IFERROR(__xludf.DUMMYFUNCTION("""COMPUTED_VALUE"""),"Nhà Bè")</f>
        <v>Nhà Bè</v>
      </c>
      <c r="E31" s="54">
        <f ca="1">IFERROR(__xludf.DUMMYFUNCTION("""COMPUTED_VALUE"""),33)</f>
        <v>33</v>
      </c>
      <c r="F31" s="54">
        <f ca="1">IFERROR(__xludf.DUMMYFUNCTION("""COMPUTED_VALUE"""),33)</f>
        <v>33</v>
      </c>
      <c r="G31" s="51">
        <f t="shared" ca="1" si="0"/>
        <v>1</v>
      </c>
      <c r="H31" s="54">
        <f ca="1">IFERROR(__xludf.DUMMYFUNCTION("""COMPUTED_VALUE"""),21)</f>
        <v>21</v>
      </c>
      <c r="I31" s="51">
        <f t="shared" ca="1" si="1"/>
        <v>0.63636363636363635</v>
      </c>
      <c r="J31" s="54">
        <f ca="1">IFERROR(__xludf.DUMMYFUNCTION("""COMPUTED_VALUE"""),9)</f>
        <v>9</v>
      </c>
      <c r="K31" s="51">
        <f t="shared" ca="1" si="2"/>
        <v>0.27272727272727271</v>
      </c>
      <c r="L31" s="54">
        <f ca="1">IFERROR(__xludf.DUMMYFUNCTION("""COMPUTED_VALUE"""),0)</f>
        <v>0</v>
      </c>
      <c r="M31" s="51">
        <f t="shared" ca="1" si="3"/>
        <v>0</v>
      </c>
      <c r="N31" s="54">
        <f ca="1">IFERROR(__xludf.DUMMYFUNCTION("""COMPUTED_VALUE"""),8)</f>
        <v>8</v>
      </c>
      <c r="O31" s="54">
        <f ca="1">IFERROR(__xludf.DUMMYFUNCTION("""COMPUTED_VALUE"""),0)</f>
        <v>0</v>
      </c>
      <c r="P31" s="51">
        <f t="shared" ca="1" si="4"/>
        <v>0</v>
      </c>
      <c r="Q31" s="54">
        <f ca="1">IFERROR(__xludf.DUMMYFUNCTION("""COMPUTED_VALUE"""),0)</f>
        <v>0</v>
      </c>
      <c r="R31" s="51">
        <f t="shared" ca="1" si="5"/>
        <v>0</v>
      </c>
      <c r="S31" s="53"/>
      <c r="T31" s="53"/>
      <c r="U31" s="51" t="str">
        <f t="shared" si="6"/>
        <v/>
      </c>
      <c r="V31" s="53"/>
      <c r="W31" s="51" t="str">
        <f t="shared" si="7"/>
        <v/>
      </c>
      <c r="X31" s="53"/>
      <c r="Y31" s="51" t="str">
        <f t="shared" si="8"/>
        <v/>
      </c>
      <c r="Z31" s="2"/>
      <c r="AA31" s="2"/>
      <c r="AB31" s="2"/>
      <c r="AC31" s="2"/>
      <c r="AD31" s="2"/>
      <c r="AE31" s="2"/>
    </row>
    <row r="32" spans="1:31" ht="12.75" x14ac:dyDescent="0.2">
      <c r="A32" s="53">
        <f ca="1">IFERROR(__xludf.DUMMYFUNCTION("""COMPUTED_VALUE"""),26)</f>
        <v>26</v>
      </c>
      <c r="B32" s="53" t="str">
        <f ca="1">IFERROR(__xludf.DUMMYFUNCTION("""COMPUTED_VALUE"""),"MN Ngôi Sao Hưng Phát")</f>
        <v>MN Ngôi Sao Hưng Phát</v>
      </c>
      <c r="C32" s="53" t="str">
        <f ca="1">IFERROR(__xludf.DUMMYFUNCTION("""COMPUTED_VALUE"""),"MN")</f>
        <v>MN</v>
      </c>
      <c r="D32" s="53" t="str">
        <f ca="1">IFERROR(__xludf.DUMMYFUNCTION("""COMPUTED_VALUE"""),"Nhà Bè")</f>
        <v>Nhà Bè</v>
      </c>
      <c r="E32" s="54">
        <f ca="1">IFERROR(__xludf.DUMMYFUNCTION("""COMPUTED_VALUE"""),33)</f>
        <v>33</v>
      </c>
      <c r="F32" s="54">
        <f ca="1">IFERROR(__xludf.DUMMYFUNCTION("""COMPUTED_VALUE"""),33)</f>
        <v>33</v>
      </c>
      <c r="G32" s="51">
        <f t="shared" ca="1" si="0"/>
        <v>1</v>
      </c>
      <c r="H32" s="54">
        <f ca="1">IFERROR(__xludf.DUMMYFUNCTION("""COMPUTED_VALUE"""),21)</f>
        <v>21</v>
      </c>
      <c r="I32" s="51">
        <f t="shared" ca="1" si="1"/>
        <v>0.63636363636363635</v>
      </c>
      <c r="J32" s="54">
        <f ca="1">IFERROR(__xludf.DUMMYFUNCTION("""COMPUTED_VALUE"""),9)</f>
        <v>9</v>
      </c>
      <c r="K32" s="51">
        <f t="shared" ca="1" si="2"/>
        <v>0.27272727272727271</v>
      </c>
      <c r="L32" s="54">
        <f ca="1">IFERROR(__xludf.DUMMYFUNCTION("""COMPUTED_VALUE"""),1)</f>
        <v>1</v>
      </c>
      <c r="M32" s="51">
        <f t="shared" ca="1" si="3"/>
        <v>3.0303030303030304E-2</v>
      </c>
      <c r="N32" s="54">
        <f ca="1">IFERROR(__xludf.DUMMYFUNCTION("""COMPUTED_VALUE"""),14)</f>
        <v>14</v>
      </c>
      <c r="O32" s="54">
        <f ca="1">IFERROR(__xludf.DUMMYFUNCTION("""COMPUTED_VALUE"""),0)</f>
        <v>0</v>
      </c>
      <c r="P32" s="51">
        <f t="shared" ca="1" si="4"/>
        <v>0</v>
      </c>
      <c r="Q32" s="54">
        <f ca="1">IFERROR(__xludf.DUMMYFUNCTION("""COMPUTED_VALUE"""),0)</f>
        <v>0</v>
      </c>
      <c r="R32" s="51">
        <f t="shared" ca="1" si="5"/>
        <v>0</v>
      </c>
      <c r="S32" s="53"/>
      <c r="T32" s="53"/>
      <c r="U32" s="51" t="str">
        <f t="shared" si="6"/>
        <v/>
      </c>
      <c r="V32" s="53"/>
      <c r="W32" s="51" t="str">
        <f t="shared" si="7"/>
        <v/>
      </c>
      <c r="X32" s="53"/>
      <c r="Y32" s="51" t="str">
        <f t="shared" si="8"/>
        <v/>
      </c>
      <c r="Z32" s="2"/>
      <c r="AA32" s="2"/>
      <c r="AB32" s="2"/>
      <c r="AC32" s="2"/>
      <c r="AD32" s="2"/>
      <c r="AE32" s="2"/>
    </row>
    <row r="33" spans="1:31" ht="12.75" x14ac:dyDescent="0.2">
      <c r="A33" s="53">
        <f ca="1">IFERROR(__xludf.DUMMYFUNCTION("""COMPUTED_VALUE"""),27)</f>
        <v>27</v>
      </c>
      <c r="B33" s="53" t="str">
        <f ca="1">IFERROR(__xludf.DUMMYFUNCTION("""COMPUTED_VALUE"""),"MN Xanh")</f>
        <v>MN Xanh</v>
      </c>
      <c r="C33" s="53" t="str">
        <f ca="1">IFERROR(__xludf.DUMMYFUNCTION("""COMPUTED_VALUE"""),"MN")</f>
        <v>MN</v>
      </c>
      <c r="D33" s="53" t="str">
        <f ca="1">IFERROR(__xludf.DUMMYFUNCTION("""COMPUTED_VALUE"""),"Nhà Bè")</f>
        <v>Nhà Bè</v>
      </c>
      <c r="E33" s="54">
        <f ca="1">IFERROR(__xludf.DUMMYFUNCTION("""COMPUTED_VALUE"""),13)</f>
        <v>13</v>
      </c>
      <c r="F33" s="54">
        <f ca="1">IFERROR(__xludf.DUMMYFUNCTION("""COMPUTED_VALUE"""),13)</f>
        <v>13</v>
      </c>
      <c r="G33" s="51">
        <f t="shared" ca="1" si="0"/>
        <v>1</v>
      </c>
      <c r="H33" s="54">
        <f ca="1">IFERROR(__xludf.DUMMYFUNCTION("""COMPUTED_VALUE"""),13)</f>
        <v>13</v>
      </c>
      <c r="I33" s="51">
        <f t="shared" ca="1" si="1"/>
        <v>1</v>
      </c>
      <c r="J33" s="54">
        <f ca="1">IFERROR(__xludf.DUMMYFUNCTION("""COMPUTED_VALUE"""),13)</f>
        <v>13</v>
      </c>
      <c r="K33" s="51">
        <f t="shared" ca="1" si="2"/>
        <v>1</v>
      </c>
      <c r="L33" s="54">
        <f ca="1">IFERROR(__xludf.DUMMYFUNCTION("""COMPUTED_VALUE"""),0)</f>
        <v>0</v>
      </c>
      <c r="M33" s="51">
        <f t="shared" ca="1" si="3"/>
        <v>0</v>
      </c>
      <c r="N33" s="54">
        <f ca="1">IFERROR(__xludf.DUMMYFUNCTION("""COMPUTED_VALUE"""),6)</f>
        <v>6</v>
      </c>
      <c r="O33" s="54">
        <f ca="1">IFERROR(__xludf.DUMMYFUNCTION("""COMPUTED_VALUE"""),0)</f>
        <v>0</v>
      </c>
      <c r="P33" s="51">
        <f t="shared" ca="1" si="4"/>
        <v>0</v>
      </c>
      <c r="Q33" s="54">
        <f ca="1">IFERROR(__xludf.DUMMYFUNCTION("""COMPUTED_VALUE"""),0)</f>
        <v>0</v>
      </c>
      <c r="R33" s="51">
        <f t="shared" ca="1" si="5"/>
        <v>0</v>
      </c>
      <c r="S33" s="53"/>
      <c r="T33" s="53"/>
      <c r="U33" s="51" t="str">
        <f t="shared" si="6"/>
        <v/>
      </c>
      <c r="V33" s="53"/>
      <c r="W33" s="51" t="str">
        <f t="shared" si="7"/>
        <v/>
      </c>
      <c r="X33" s="53"/>
      <c r="Y33" s="51" t="str">
        <f t="shared" si="8"/>
        <v/>
      </c>
      <c r="Z33" s="2"/>
      <c r="AA33" s="2"/>
      <c r="AB33" s="2"/>
      <c r="AC33" s="2"/>
      <c r="AD33" s="2"/>
      <c r="AE33" s="2"/>
    </row>
    <row r="34" spans="1:31" ht="12.75" x14ac:dyDescent="0.2">
      <c r="A34" s="53">
        <f ca="1">IFERROR(__xludf.DUMMYFUNCTION("""COMPUTED_VALUE"""),28)</f>
        <v>28</v>
      </c>
      <c r="B34" s="53" t="str">
        <f ca="1">IFERROR(__xludf.DUMMYFUNCTION("""COMPUTED_VALUE"""),"MN Sao Việt")</f>
        <v>MN Sao Việt</v>
      </c>
      <c r="C34" s="53" t="str">
        <f ca="1">IFERROR(__xludf.DUMMYFUNCTION("""COMPUTED_VALUE"""),"MN")</f>
        <v>MN</v>
      </c>
      <c r="D34" s="53" t="str">
        <f ca="1">IFERROR(__xludf.DUMMYFUNCTION("""COMPUTED_VALUE"""),"Nhà Bè")</f>
        <v>Nhà Bè</v>
      </c>
      <c r="E34" s="54">
        <f ca="1">IFERROR(__xludf.DUMMYFUNCTION("""COMPUTED_VALUE"""),21)</f>
        <v>21</v>
      </c>
      <c r="F34" s="54">
        <f ca="1">IFERROR(__xludf.DUMMYFUNCTION("""COMPUTED_VALUE"""),21)</f>
        <v>21</v>
      </c>
      <c r="G34" s="51">
        <f t="shared" ca="1" si="0"/>
        <v>1</v>
      </c>
      <c r="H34" s="54">
        <f ca="1">IFERROR(__xludf.DUMMYFUNCTION("""COMPUTED_VALUE"""),21)</f>
        <v>21</v>
      </c>
      <c r="I34" s="51">
        <f t="shared" ca="1" si="1"/>
        <v>1</v>
      </c>
      <c r="J34" s="54">
        <f ca="1">IFERROR(__xludf.DUMMYFUNCTION("""COMPUTED_VALUE"""),18)</f>
        <v>18</v>
      </c>
      <c r="K34" s="51">
        <f t="shared" ca="1" si="2"/>
        <v>0.8571428571428571</v>
      </c>
      <c r="L34" s="54">
        <f ca="1">IFERROR(__xludf.DUMMYFUNCTION("""COMPUTED_VALUE"""),8)</f>
        <v>8</v>
      </c>
      <c r="M34" s="51">
        <f t="shared" ca="1" si="3"/>
        <v>0.38095238095238093</v>
      </c>
      <c r="N34" s="54">
        <f ca="1">IFERROR(__xludf.DUMMYFUNCTION("""COMPUTED_VALUE"""),52)</f>
        <v>52</v>
      </c>
      <c r="O34" s="54">
        <f ca="1">IFERROR(__xludf.DUMMYFUNCTION("""COMPUTED_VALUE"""),34)</f>
        <v>34</v>
      </c>
      <c r="P34" s="51">
        <f t="shared" ca="1" si="4"/>
        <v>0.65384615384615385</v>
      </c>
      <c r="Q34" s="54">
        <f ca="1">IFERROR(__xludf.DUMMYFUNCTION("""COMPUTED_VALUE"""),13)</f>
        <v>13</v>
      </c>
      <c r="R34" s="51">
        <f t="shared" ca="1" si="5"/>
        <v>0.25</v>
      </c>
      <c r="S34" s="53"/>
      <c r="T34" s="53"/>
      <c r="U34" s="51" t="str">
        <f t="shared" si="6"/>
        <v/>
      </c>
      <c r="V34" s="53"/>
      <c r="W34" s="51" t="str">
        <f t="shared" si="7"/>
        <v/>
      </c>
      <c r="X34" s="53"/>
      <c r="Y34" s="51" t="str">
        <f t="shared" si="8"/>
        <v/>
      </c>
      <c r="Z34" s="2"/>
      <c r="AA34" s="2"/>
      <c r="AB34" s="2"/>
      <c r="AC34" s="2"/>
      <c r="AD34" s="2"/>
      <c r="AE34" s="2"/>
    </row>
    <row r="35" spans="1:31" ht="12.75" x14ac:dyDescent="0.2">
      <c r="A35" s="53">
        <f ca="1">IFERROR(__xludf.DUMMYFUNCTION("""COMPUTED_VALUE"""),29)</f>
        <v>29</v>
      </c>
      <c r="B35" s="53" t="str">
        <f ca="1">IFERROR(__xludf.DUMMYFUNCTION("""COMPUTED_VALUE"""),"MN Tinh Hoa")</f>
        <v>MN Tinh Hoa</v>
      </c>
      <c r="C35" s="53" t="str">
        <f ca="1">IFERROR(__xludf.DUMMYFUNCTION("""COMPUTED_VALUE"""),"MN")</f>
        <v>MN</v>
      </c>
      <c r="D35" s="53" t="str">
        <f ca="1">IFERROR(__xludf.DUMMYFUNCTION("""COMPUTED_VALUE"""),"Nhà Bè")</f>
        <v>Nhà Bè</v>
      </c>
      <c r="E35" s="54">
        <f ca="1">IFERROR(__xludf.DUMMYFUNCTION("""COMPUTED_VALUE"""),15)</f>
        <v>15</v>
      </c>
      <c r="F35" s="54">
        <f ca="1">IFERROR(__xludf.DUMMYFUNCTION("""COMPUTED_VALUE"""),15)</f>
        <v>15</v>
      </c>
      <c r="G35" s="51">
        <f t="shared" ca="1" si="0"/>
        <v>1</v>
      </c>
      <c r="H35" s="54">
        <f ca="1">IFERROR(__xludf.DUMMYFUNCTION("""COMPUTED_VALUE"""),15)</f>
        <v>15</v>
      </c>
      <c r="I35" s="51">
        <f t="shared" ca="1" si="1"/>
        <v>1</v>
      </c>
      <c r="J35" s="54">
        <f ca="1">IFERROR(__xludf.DUMMYFUNCTION("""COMPUTED_VALUE"""),13)</f>
        <v>13</v>
      </c>
      <c r="K35" s="51">
        <f t="shared" ca="1" si="2"/>
        <v>0.8666666666666667</v>
      </c>
      <c r="L35" s="54">
        <f ca="1">IFERROR(__xludf.DUMMYFUNCTION("""COMPUTED_VALUE"""),0)</f>
        <v>0</v>
      </c>
      <c r="M35" s="51">
        <f t="shared" ca="1" si="3"/>
        <v>0</v>
      </c>
      <c r="N35" s="54">
        <f ca="1">IFERROR(__xludf.DUMMYFUNCTION("""COMPUTED_VALUE"""),3)</f>
        <v>3</v>
      </c>
      <c r="O35" s="54">
        <f ca="1">IFERROR(__xludf.DUMMYFUNCTION("""COMPUTED_VALUE"""),0)</f>
        <v>0</v>
      </c>
      <c r="P35" s="51">
        <f t="shared" ca="1" si="4"/>
        <v>0</v>
      </c>
      <c r="Q35" s="54">
        <f ca="1">IFERROR(__xludf.DUMMYFUNCTION("""COMPUTED_VALUE"""),0)</f>
        <v>0</v>
      </c>
      <c r="R35" s="51">
        <f t="shared" ca="1" si="5"/>
        <v>0</v>
      </c>
      <c r="S35" s="53"/>
      <c r="T35" s="53"/>
      <c r="U35" s="51" t="str">
        <f t="shared" si="6"/>
        <v/>
      </c>
      <c r="V35" s="53"/>
      <c r="W35" s="51" t="str">
        <f t="shared" si="7"/>
        <v/>
      </c>
      <c r="X35" s="53"/>
      <c r="Y35" s="51" t="str">
        <f t="shared" si="8"/>
        <v/>
      </c>
      <c r="Z35" s="2"/>
      <c r="AA35" s="2"/>
      <c r="AB35" s="2"/>
      <c r="AC35" s="2"/>
      <c r="AD35" s="2"/>
      <c r="AE35" s="2"/>
    </row>
    <row r="36" spans="1:31" ht="12.75" x14ac:dyDescent="0.2">
      <c r="A36" s="53">
        <f ca="1">IFERROR(__xludf.DUMMYFUNCTION("""COMPUTED_VALUE"""),30)</f>
        <v>30</v>
      </c>
      <c r="B36" s="53"/>
      <c r="C36" s="53"/>
      <c r="D36" s="53" t="str">
        <f ca="1">IFERROR(__xludf.DUMMYFUNCTION("""COMPUTED_VALUE"""),"Nhà Bè")</f>
        <v>Nhà Bè</v>
      </c>
      <c r="E36" s="54">
        <f ca="1">IFERROR(__xludf.DUMMYFUNCTION("""COMPUTED_VALUE"""),18)</f>
        <v>18</v>
      </c>
      <c r="F36" s="54">
        <f ca="1">IFERROR(__xludf.DUMMYFUNCTION("""COMPUTED_VALUE"""),18)</f>
        <v>18</v>
      </c>
      <c r="G36" s="51">
        <f t="shared" ca="1" si="0"/>
        <v>1</v>
      </c>
      <c r="H36" s="54">
        <f ca="1">IFERROR(__xludf.DUMMYFUNCTION("""COMPUTED_VALUE"""),18)</f>
        <v>18</v>
      </c>
      <c r="I36" s="51">
        <f t="shared" ca="1" si="1"/>
        <v>1</v>
      </c>
      <c r="J36" s="54">
        <f ca="1">IFERROR(__xludf.DUMMYFUNCTION("""COMPUTED_VALUE"""),18)</f>
        <v>18</v>
      </c>
      <c r="K36" s="51">
        <f t="shared" ca="1" si="2"/>
        <v>1</v>
      </c>
      <c r="L36" s="54">
        <f ca="1">IFERROR(__xludf.DUMMYFUNCTION("""COMPUTED_VALUE"""),1)</f>
        <v>1</v>
      </c>
      <c r="M36" s="51">
        <f t="shared" ca="1" si="3"/>
        <v>5.5555555555555552E-2</v>
      </c>
      <c r="N36" s="54">
        <f ca="1">IFERROR(__xludf.DUMMYFUNCTION("""COMPUTED_VALUE"""),10)</f>
        <v>10</v>
      </c>
      <c r="O36" s="54">
        <f ca="1">IFERROR(__xludf.DUMMYFUNCTION("""COMPUTED_VALUE"""),0)</f>
        <v>0</v>
      </c>
      <c r="P36" s="51">
        <f t="shared" ca="1" si="4"/>
        <v>0</v>
      </c>
      <c r="Q36" s="54">
        <f ca="1">IFERROR(__xludf.DUMMYFUNCTION("""COMPUTED_VALUE"""),0)</f>
        <v>0</v>
      </c>
      <c r="R36" s="51">
        <f t="shared" ca="1" si="5"/>
        <v>0</v>
      </c>
      <c r="S36" s="53"/>
      <c r="T36" s="53"/>
      <c r="U36" s="51" t="str">
        <f t="shared" si="6"/>
        <v/>
      </c>
      <c r="V36" s="53"/>
      <c r="W36" s="51" t="str">
        <f t="shared" si="7"/>
        <v/>
      </c>
      <c r="X36" s="53"/>
      <c r="Y36" s="51" t="str">
        <f t="shared" si="8"/>
        <v/>
      </c>
      <c r="Z36" s="2"/>
      <c r="AA36" s="2"/>
      <c r="AB36" s="2"/>
      <c r="AC36" s="2"/>
      <c r="AD36" s="2"/>
      <c r="AE36" s="2"/>
    </row>
    <row r="37" spans="1:31" ht="12.75" x14ac:dyDescent="0.2">
      <c r="A37" s="53">
        <f ca="1">IFERROR(__xludf.DUMMYFUNCTION("""COMPUTED_VALUE"""),31)</f>
        <v>31</v>
      </c>
      <c r="B37" s="53" t="str">
        <f ca="1">IFERROR(__xludf.DUMMYFUNCTION("""COMPUTED_VALUE"""),"MN Việt Nga")</f>
        <v>MN Việt Nga</v>
      </c>
      <c r="C37" s="53" t="str">
        <f ca="1">IFERROR(__xludf.DUMMYFUNCTION("""COMPUTED_VALUE"""),"MN")</f>
        <v>MN</v>
      </c>
      <c r="D37" s="53" t="str">
        <f ca="1">IFERROR(__xludf.DUMMYFUNCTION("""COMPUTED_VALUE"""),"Nhà Bè")</f>
        <v>Nhà Bè</v>
      </c>
      <c r="E37" s="54">
        <f ca="1">IFERROR(__xludf.DUMMYFUNCTION("""COMPUTED_VALUE"""),26)</f>
        <v>26</v>
      </c>
      <c r="F37" s="54">
        <f ca="1">IFERROR(__xludf.DUMMYFUNCTION("""COMPUTED_VALUE"""),26)</f>
        <v>26</v>
      </c>
      <c r="G37" s="51">
        <f t="shared" ca="1" si="0"/>
        <v>1</v>
      </c>
      <c r="H37" s="54">
        <f ca="1">IFERROR(__xludf.DUMMYFUNCTION("""COMPUTED_VALUE"""),26)</f>
        <v>26</v>
      </c>
      <c r="I37" s="51">
        <f t="shared" ca="1" si="1"/>
        <v>1</v>
      </c>
      <c r="J37" s="54">
        <f ca="1">IFERROR(__xludf.DUMMYFUNCTION("""COMPUTED_VALUE"""),12)</f>
        <v>12</v>
      </c>
      <c r="K37" s="51">
        <f t="shared" ca="1" si="2"/>
        <v>0.46153846153846156</v>
      </c>
      <c r="L37" s="54">
        <f ca="1">IFERROR(__xludf.DUMMYFUNCTION("""COMPUTED_VALUE"""),0)</f>
        <v>0</v>
      </c>
      <c r="M37" s="51">
        <f t="shared" ca="1" si="3"/>
        <v>0</v>
      </c>
      <c r="N37" s="54">
        <f ca="1">IFERROR(__xludf.DUMMYFUNCTION("""COMPUTED_VALUE"""),22)</f>
        <v>22</v>
      </c>
      <c r="O37" s="54">
        <f ca="1">IFERROR(__xludf.DUMMYFUNCTION("""COMPUTED_VALUE"""),0)</f>
        <v>0</v>
      </c>
      <c r="P37" s="51">
        <f t="shared" ca="1" si="4"/>
        <v>0</v>
      </c>
      <c r="Q37" s="54">
        <f ca="1">IFERROR(__xludf.DUMMYFUNCTION("""COMPUTED_VALUE"""),0)</f>
        <v>0</v>
      </c>
      <c r="R37" s="51">
        <f t="shared" ca="1" si="5"/>
        <v>0</v>
      </c>
      <c r="S37" s="53"/>
      <c r="T37" s="53"/>
      <c r="U37" s="51" t="str">
        <f t="shared" si="6"/>
        <v/>
      </c>
      <c r="V37" s="53"/>
      <c r="W37" s="51" t="str">
        <f t="shared" si="7"/>
        <v/>
      </c>
      <c r="X37" s="53"/>
      <c r="Y37" s="51" t="str">
        <f t="shared" si="8"/>
        <v/>
      </c>
      <c r="Z37" s="2"/>
      <c r="AA37" s="2"/>
      <c r="AB37" s="2"/>
      <c r="AC37" s="2"/>
      <c r="AD37" s="2"/>
      <c r="AE37" s="2"/>
    </row>
    <row r="38" spans="1:31" ht="12.75" x14ac:dyDescent="0.2">
      <c r="A38" s="53">
        <f ca="1">IFERROR(__xludf.DUMMYFUNCTION("""COMPUTED_VALUE"""),32)</f>
        <v>32</v>
      </c>
      <c r="B38" s="53" t="str">
        <f ca="1">IFERROR(__xludf.DUMMYFUNCTION("""COMPUTED_VALUE"""),"MN Tuổi Thơ")</f>
        <v>MN Tuổi Thơ</v>
      </c>
      <c r="C38" s="53" t="str">
        <f ca="1">IFERROR(__xludf.DUMMYFUNCTION("""COMPUTED_VALUE"""),"MN")</f>
        <v>MN</v>
      </c>
      <c r="D38" s="53" t="str">
        <f ca="1">IFERROR(__xludf.DUMMYFUNCTION("""COMPUTED_VALUE"""),"Nhà Bè")</f>
        <v>Nhà Bè</v>
      </c>
      <c r="E38" s="54">
        <f ca="1">IFERROR(__xludf.DUMMYFUNCTION("""COMPUTED_VALUE"""),26)</f>
        <v>26</v>
      </c>
      <c r="F38" s="54">
        <f ca="1">IFERROR(__xludf.DUMMYFUNCTION("""COMPUTED_VALUE"""),26)</f>
        <v>26</v>
      </c>
      <c r="G38" s="51">
        <f t="shared" ca="1" si="0"/>
        <v>1</v>
      </c>
      <c r="H38" s="54">
        <f ca="1">IFERROR(__xludf.DUMMYFUNCTION("""COMPUTED_VALUE"""),26)</f>
        <v>26</v>
      </c>
      <c r="I38" s="51">
        <f t="shared" ca="1" si="1"/>
        <v>1</v>
      </c>
      <c r="J38" s="54">
        <f ca="1">IFERROR(__xludf.DUMMYFUNCTION("""COMPUTED_VALUE"""),12)</f>
        <v>12</v>
      </c>
      <c r="K38" s="51">
        <f t="shared" ca="1" si="2"/>
        <v>0.46153846153846156</v>
      </c>
      <c r="L38" s="54">
        <f ca="1">IFERROR(__xludf.DUMMYFUNCTION("""COMPUTED_VALUE"""),3)</f>
        <v>3</v>
      </c>
      <c r="M38" s="51">
        <f t="shared" ca="1" si="3"/>
        <v>0.11538461538461539</v>
      </c>
      <c r="N38" s="54">
        <f ca="1">IFERROR(__xludf.DUMMYFUNCTION("""COMPUTED_VALUE"""),30)</f>
        <v>30</v>
      </c>
      <c r="O38" s="54">
        <f ca="1">IFERROR(__xludf.DUMMYFUNCTION("""COMPUTED_VALUE"""),7)</f>
        <v>7</v>
      </c>
      <c r="P38" s="51">
        <f t="shared" ca="1" si="4"/>
        <v>0.23333333333333334</v>
      </c>
      <c r="Q38" s="54">
        <f ca="1">IFERROR(__xludf.DUMMYFUNCTION("""COMPUTED_VALUE"""),2)</f>
        <v>2</v>
      </c>
      <c r="R38" s="51">
        <f t="shared" ca="1" si="5"/>
        <v>6.6666666666666666E-2</v>
      </c>
      <c r="S38" s="53"/>
      <c r="T38" s="53"/>
      <c r="U38" s="51" t="str">
        <f t="shared" si="6"/>
        <v/>
      </c>
      <c r="V38" s="53"/>
      <c r="W38" s="51" t="str">
        <f t="shared" si="7"/>
        <v/>
      </c>
      <c r="X38" s="53"/>
      <c r="Y38" s="51" t="str">
        <f t="shared" si="8"/>
        <v/>
      </c>
      <c r="Z38" s="2"/>
      <c r="AA38" s="2"/>
      <c r="AB38" s="2"/>
      <c r="AC38" s="2"/>
      <c r="AD38" s="2"/>
      <c r="AE38" s="2"/>
    </row>
    <row r="39" spans="1:31" ht="12.75" x14ac:dyDescent="0.2">
      <c r="A39" s="53">
        <f ca="1">IFERROR(__xludf.DUMMYFUNCTION("""COMPUTED_VALUE"""),33)</f>
        <v>33</v>
      </c>
      <c r="B39" s="53" t="str">
        <f ca="1">IFERROR(__xludf.DUMMYFUNCTION("""COMPUTED_VALUE"""),"MN Chú Ong Nhỏ")</f>
        <v>MN Chú Ong Nhỏ</v>
      </c>
      <c r="C39" s="53" t="str">
        <f ca="1">IFERROR(__xludf.DUMMYFUNCTION("""COMPUTED_VALUE"""),"MN")</f>
        <v>MN</v>
      </c>
      <c r="D39" s="53" t="str">
        <f ca="1">IFERROR(__xludf.DUMMYFUNCTION("""COMPUTED_VALUE"""),"Nhà Bè")</f>
        <v>Nhà Bè</v>
      </c>
      <c r="E39" s="54">
        <f ca="1">IFERROR(__xludf.DUMMYFUNCTION("""COMPUTED_VALUE"""),15)</f>
        <v>15</v>
      </c>
      <c r="F39" s="54">
        <f ca="1">IFERROR(__xludf.DUMMYFUNCTION("""COMPUTED_VALUE"""),15)</f>
        <v>15</v>
      </c>
      <c r="G39" s="51">
        <f t="shared" ca="1" si="0"/>
        <v>1</v>
      </c>
      <c r="H39" s="54">
        <f ca="1">IFERROR(__xludf.DUMMYFUNCTION("""COMPUTED_VALUE"""),14)</f>
        <v>14</v>
      </c>
      <c r="I39" s="51">
        <f t="shared" ca="1" si="1"/>
        <v>0.93333333333333335</v>
      </c>
      <c r="J39" s="54">
        <f ca="1">IFERROR(__xludf.DUMMYFUNCTION("""COMPUTED_VALUE"""),14)</f>
        <v>14</v>
      </c>
      <c r="K39" s="51">
        <f t="shared" ca="1" si="2"/>
        <v>0.93333333333333335</v>
      </c>
      <c r="L39" s="54">
        <f ca="1">IFERROR(__xludf.DUMMYFUNCTION("""COMPUTED_VALUE"""),0)</f>
        <v>0</v>
      </c>
      <c r="M39" s="51">
        <f t="shared" ca="1" si="3"/>
        <v>0</v>
      </c>
      <c r="N39" s="54">
        <f ca="1">IFERROR(__xludf.DUMMYFUNCTION("""COMPUTED_VALUE"""),1)</f>
        <v>1</v>
      </c>
      <c r="O39" s="54">
        <f ca="1">IFERROR(__xludf.DUMMYFUNCTION("""COMPUTED_VALUE"""),1)</f>
        <v>1</v>
      </c>
      <c r="P39" s="51">
        <f t="shared" ca="1" si="4"/>
        <v>1</v>
      </c>
      <c r="Q39" s="54">
        <f ca="1">IFERROR(__xludf.DUMMYFUNCTION("""COMPUTED_VALUE"""),0)</f>
        <v>0</v>
      </c>
      <c r="R39" s="51">
        <f t="shared" ca="1" si="5"/>
        <v>0</v>
      </c>
      <c r="S39" s="53"/>
      <c r="T39" s="53"/>
      <c r="U39" s="51" t="str">
        <f t="shared" si="6"/>
        <v/>
      </c>
      <c r="V39" s="53"/>
      <c r="W39" s="51" t="str">
        <f t="shared" si="7"/>
        <v/>
      </c>
      <c r="X39" s="53"/>
      <c r="Y39" s="51" t="str">
        <f t="shared" si="8"/>
        <v/>
      </c>
      <c r="Z39" s="2"/>
      <c r="AA39" s="2"/>
      <c r="AB39" s="2"/>
      <c r="AC39" s="2"/>
      <c r="AD39" s="2"/>
      <c r="AE39" s="2"/>
    </row>
    <row r="40" spans="1:31" ht="12.75" x14ac:dyDescent="0.2">
      <c r="A40" s="53">
        <f ca="1">IFERROR(__xludf.DUMMYFUNCTION("""COMPUTED_VALUE"""),34)</f>
        <v>34</v>
      </c>
      <c r="B40" s="53" t="str">
        <f ca="1">IFERROR(__xludf.DUMMYFUNCTION("""COMPUTED_VALUE"""),"MN Bi Bi")</f>
        <v>MN Bi Bi</v>
      </c>
      <c r="C40" s="53" t="str">
        <f ca="1">IFERROR(__xludf.DUMMYFUNCTION("""COMPUTED_VALUE"""),"MN")</f>
        <v>MN</v>
      </c>
      <c r="D40" s="53" t="str">
        <f ca="1">IFERROR(__xludf.DUMMYFUNCTION("""COMPUTED_VALUE"""),"Nhà Bè")</f>
        <v>Nhà Bè</v>
      </c>
      <c r="E40" s="54">
        <f ca="1">IFERROR(__xludf.DUMMYFUNCTION("""COMPUTED_VALUE"""),10)</f>
        <v>10</v>
      </c>
      <c r="F40" s="54">
        <f ca="1">IFERROR(__xludf.DUMMYFUNCTION("""COMPUTED_VALUE"""),10)</f>
        <v>10</v>
      </c>
      <c r="G40" s="51">
        <f t="shared" ca="1" si="0"/>
        <v>1</v>
      </c>
      <c r="H40" s="54">
        <f ca="1">IFERROR(__xludf.DUMMYFUNCTION("""COMPUTED_VALUE"""),10)</f>
        <v>10</v>
      </c>
      <c r="I40" s="51">
        <f t="shared" ca="1" si="1"/>
        <v>1</v>
      </c>
      <c r="J40" s="54">
        <f ca="1">IFERROR(__xludf.DUMMYFUNCTION("""COMPUTED_VALUE"""),10)</f>
        <v>10</v>
      </c>
      <c r="K40" s="51">
        <f t="shared" ca="1" si="2"/>
        <v>1</v>
      </c>
      <c r="L40" s="54">
        <f ca="1">IFERROR(__xludf.DUMMYFUNCTION("""COMPUTED_VALUE"""),0)</f>
        <v>0</v>
      </c>
      <c r="M40" s="51">
        <f t="shared" ca="1" si="3"/>
        <v>0</v>
      </c>
      <c r="N40" s="54">
        <f ca="1">IFERROR(__xludf.DUMMYFUNCTION("""COMPUTED_VALUE"""),9)</f>
        <v>9</v>
      </c>
      <c r="O40" s="54">
        <f ca="1">IFERROR(__xludf.DUMMYFUNCTION("""COMPUTED_VALUE"""),9)</f>
        <v>9</v>
      </c>
      <c r="P40" s="51">
        <f t="shared" ca="1" si="4"/>
        <v>1</v>
      </c>
      <c r="Q40" s="54">
        <f ca="1">IFERROR(__xludf.DUMMYFUNCTION("""COMPUTED_VALUE"""),7)</f>
        <v>7</v>
      </c>
      <c r="R40" s="51">
        <f t="shared" ca="1" si="5"/>
        <v>0.77777777777777779</v>
      </c>
      <c r="S40" s="53"/>
      <c r="T40" s="53"/>
      <c r="U40" s="51" t="str">
        <f t="shared" si="6"/>
        <v/>
      </c>
      <c r="V40" s="53"/>
      <c r="W40" s="51" t="str">
        <f t="shared" si="7"/>
        <v/>
      </c>
      <c r="X40" s="53"/>
      <c r="Y40" s="51" t="str">
        <f t="shared" si="8"/>
        <v/>
      </c>
      <c r="Z40" s="2"/>
      <c r="AA40" s="2"/>
      <c r="AB40" s="2"/>
      <c r="AC40" s="2"/>
      <c r="AD40" s="2"/>
      <c r="AE40" s="2"/>
    </row>
    <row r="41" spans="1:31" ht="12.75" x14ac:dyDescent="0.2">
      <c r="A41" s="53">
        <f ca="1">IFERROR(__xludf.DUMMYFUNCTION("""COMPUTED_VALUE"""),35)</f>
        <v>35</v>
      </c>
      <c r="B41" s="53" t="str">
        <f ca="1">IFERROR(__xludf.DUMMYFUNCTION("""COMPUTED_VALUE"""),"MN Con Cưng")</f>
        <v>MN Con Cưng</v>
      </c>
      <c r="C41" s="53" t="str">
        <f ca="1">IFERROR(__xludf.DUMMYFUNCTION("""COMPUTED_VALUE"""),"MN")</f>
        <v>MN</v>
      </c>
      <c r="D41" s="53" t="str">
        <f ca="1">IFERROR(__xludf.DUMMYFUNCTION("""COMPUTED_VALUE"""),"Nhà Bè")</f>
        <v>Nhà Bè</v>
      </c>
      <c r="E41" s="54">
        <f ca="1">IFERROR(__xludf.DUMMYFUNCTION("""COMPUTED_VALUE"""),10)</f>
        <v>10</v>
      </c>
      <c r="F41" s="54">
        <f ca="1">IFERROR(__xludf.DUMMYFUNCTION("""COMPUTED_VALUE"""),10)</f>
        <v>10</v>
      </c>
      <c r="G41" s="51">
        <f t="shared" ca="1" si="0"/>
        <v>1</v>
      </c>
      <c r="H41" s="54">
        <f ca="1">IFERROR(__xludf.DUMMYFUNCTION("""COMPUTED_VALUE"""),10)</f>
        <v>10</v>
      </c>
      <c r="I41" s="51">
        <f t="shared" ca="1" si="1"/>
        <v>1</v>
      </c>
      <c r="J41" s="54">
        <f ca="1">IFERROR(__xludf.DUMMYFUNCTION("""COMPUTED_VALUE"""),9)</f>
        <v>9</v>
      </c>
      <c r="K41" s="51">
        <f t="shared" ca="1" si="2"/>
        <v>0.9</v>
      </c>
      <c r="L41" s="54">
        <f ca="1">IFERROR(__xludf.DUMMYFUNCTION("""COMPUTED_VALUE"""),1)</f>
        <v>1</v>
      </c>
      <c r="M41" s="51">
        <f t="shared" ca="1" si="3"/>
        <v>0.1</v>
      </c>
      <c r="N41" s="54">
        <f ca="1">IFERROR(__xludf.DUMMYFUNCTION("""COMPUTED_VALUE"""),18)</f>
        <v>18</v>
      </c>
      <c r="O41" s="54">
        <f ca="1">IFERROR(__xludf.DUMMYFUNCTION("""COMPUTED_VALUE"""),4)</f>
        <v>4</v>
      </c>
      <c r="P41" s="51">
        <f t="shared" ca="1" si="4"/>
        <v>0.22222222222222221</v>
      </c>
      <c r="Q41" s="54">
        <f ca="1">IFERROR(__xludf.DUMMYFUNCTION("""COMPUTED_VALUE"""),0)</f>
        <v>0</v>
      </c>
      <c r="R41" s="51">
        <f t="shared" ca="1" si="5"/>
        <v>0</v>
      </c>
      <c r="S41" s="53"/>
      <c r="T41" s="53"/>
      <c r="U41" s="51" t="str">
        <f t="shared" si="6"/>
        <v/>
      </c>
      <c r="V41" s="53"/>
      <c r="W41" s="51" t="str">
        <f t="shared" si="7"/>
        <v/>
      </c>
      <c r="X41" s="53"/>
      <c r="Y41" s="51" t="str">
        <f t="shared" si="8"/>
        <v/>
      </c>
      <c r="Z41" s="2"/>
      <c r="AA41" s="2"/>
      <c r="AB41" s="2"/>
      <c r="AC41" s="2"/>
      <c r="AD41" s="2"/>
      <c r="AE41" s="2"/>
    </row>
    <row r="42" spans="1:31" ht="12.75" x14ac:dyDescent="0.2">
      <c r="A42" s="53">
        <f ca="1">IFERROR(__xludf.DUMMYFUNCTION("""COMPUTED_VALUE"""),36)</f>
        <v>36</v>
      </c>
      <c r="B42" s="53" t="str">
        <f ca="1">IFERROR(__xludf.DUMMYFUNCTION("""COMPUTED_VALUE"""),"MN Thái Hoàng Gia 2")</f>
        <v>MN Thái Hoàng Gia 2</v>
      </c>
      <c r="C42" s="53" t="str">
        <f ca="1">IFERROR(__xludf.DUMMYFUNCTION("""COMPUTED_VALUE"""),"MN")</f>
        <v>MN</v>
      </c>
      <c r="D42" s="53" t="str">
        <f ca="1">IFERROR(__xludf.DUMMYFUNCTION("""COMPUTED_VALUE"""),"Nhà Bè")</f>
        <v>Nhà Bè</v>
      </c>
      <c r="E42" s="54">
        <f ca="1">IFERROR(__xludf.DUMMYFUNCTION("""COMPUTED_VALUE"""),8)</f>
        <v>8</v>
      </c>
      <c r="F42" s="54">
        <f ca="1">IFERROR(__xludf.DUMMYFUNCTION("""COMPUTED_VALUE"""),8)</f>
        <v>8</v>
      </c>
      <c r="G42" s="51">
        <f t="shared" ca="1" si="0"/>
        <v>1</v>
      </c>
      <c r="H42" s="54">
        <f ca="1">IFERROR(__xludf.DUMMYFUNCTION("""COMPUTED_VALUE"""),8)</f>
        <v>8</v>
      </c>
      <c r="I42" s="51">
        <f t="shared" ca="1" si="1"/>
        <v>1</v>
      </c>
      <c r="J42" s="54">
        <f ca="1">IFERROR(__xludf.DUMMYFUNCTION("""COMPUTED_VALUE"""),7)</f>
        <v>7</v>
      </c>
      <c r="K42" s="51">
        <f t="shared" ca="1" si="2"/>
        <v>0.875</v>
      </c>
      <c r="L42" s="54">
        <f ca="1">IFERROR(__xludf.DUMMYFUNCTION("""COMPUTED_VALUE"""),0)</f>
        <v>0</v>
      </c>
      <c r="M42" s="51">
        <f t="shared" ca="1" si="3"/>
        <v>0</v>
      </c>
      <c r="N42" s="54">
        <f ca="1">IFERROR(__xludf.DUMMYFUNCTION("""COMPUTED_VALUE"""),10)</f>
        <v>10</v>
      </c>
      <c r="O42" s="54">
        <f ca="1">IFERROR(__xludf.DUMMYFUNCTION("""COMPUTED_VALUE"""),0)</f>
        <v>0</v>
      </c>
      <c r="P42" s="51">
        <f t="shared" ca="1" si="4"/>
        <v>0</v>
      </c>
      <c r="Q42" s="54">
        <f ca="1">IFERROR(__xludf.DUMMYFUNCTION("""COMPUTED_VALUE"""),0)</f>
        <v>0</v>
      </c>
      <c r="R42" s="51">
        <f t="shared" ca="1" si="5"/>
        <v>0</v>
      </c>
      <c r="S42" s="53"/>
      <c r="T42" s="53"/>
      <c r="U42" s="51" t="str">
        <f t="shared" si="6"/>
        <v/>
      </c>
      <c r="V42" s="53"/>
      <c r="W42" s="51" t="str">
        <f t="shared" si="7"/>
        <v/>
      </c>
      <c r="X42" s="53"/>
      <c r="Y42" s="51" t="str">
        <f t="shared" si="8"/>
        <v/>
      </c>
      <c r="Z42" s="2"/>
      <c r="AA42" s="2"/>
      <c r="AB42" s="2"/>
      <c r="AC42" s="2"/>
      <c r="AD42" s="2"/>
      <c r="AE42" s="2"/>
    </row>
    <row r="43" spans="1:31" ht="12.75" x14ac:dyDescent="0.2">
      <c r="A43" s="53">
        <f ca="1">IFERROR(__xludf.DUMMYFUNCTION("""COMPUTED_VALUE"""),37)</f>
        <v>37</v>
      </c>
      <c r="B43" s="53" t="str">
        <f ca="1">IFERROR(__xludf.DUMMYFUNCTION("""COMPUTED_VALUE"""),"MN Bé Xinh")</f>
        <v>MN Bé Xinh</v>
      </c>
      <c r="C43" s="53" t="str">
        <f ca="1">IFERROR(__xludf.DUMMYFUNCTION("""COMPUTED_VALUE"""),"MN")</f>
        <v>MN</v>
      </c>
      <c r="D43" s="53" t="str">
        <f ca="1">IFERROR(__xludf.DUMMYFUNCTION("""COMPUTED_VALUE"""),"Nhà Bè")</f>
        <v>Nhà Bè</v>
      </c>
      <c r="E43" s="54">
        <f ca="1">IFERROR(__xludf.DUMMYFUNCTION("""COMPUTED_VALUE"""),24)</f>
        <v>24</v>
      </c>
      <c r="F43" s="54">
        <f ca="1">IFERROR(__xludf.DUMMYFUNCTION("""COMPUTED_VALUE"""),24)</f>
        <v>24</v>
      </c>
      <c r="G43" s="51">
        <f t="shared" ca="1" si="0"/>
        <v>1</v>
      </c>
      <c r="H43" s="54">
        <f ca="1">IFERROR(__xludf.DUMMYFUNCTION("""COMPUTED_VALUE"""),24)</f>
        <v>24</v>
      </c>
      <c r="I43" s="51">
        <f t="shared" ca="1" si="1"/>
        <v>1</v>
      </c>
      <c r="J43" s="54">
        <f ca="1">IFERROR(__xludf.DUMMYFUNCTION("""COMPUTED_VALUE"""),24)</f>
        <v>24</v>
      </c>
      <c r="K43" s="51">
        <f t="shared" ca="1" si="2"/>
        <v>1</v>
      </c>
      <c r="L43" s="54">
        <f ca="1">IFERROR(__xludf.DUMMYFUNCTION("""COMPUTED_VALUE"""),12)</f>
        <v>12</v>
      </c>
      <c r="M43" s="51">
        <f t="shared" ca="1" si="3"/>
        <v>0.5</v>
      </c>
      <c r="N43" s="54">
        <f ca="1">IFERROR(__xludf.DUMMYFUNCTION("""COMPUTED_VALUE"""),39)</f>
        <v>39</v>
      </c>
      <c r="O43" s="54">
        <f ca="1">IFERROR(__xludf.DUMMYFUNCTION("""COMPUTED_VALUE"""),29)</f>
        <v>29</v>
      </c>
      <c r="P43" s="51">
        <f t="shared" ca="1" si="4"/>
        <v>0.74358974358974361</v>
      </c>
      <c r="Q43" s="54">
        <f ca="1">IFERROR(__xludf.DUMMYFUNCTION("""COMPUTED_VALUE"""),9)</f>
        <v>9</v>
      </c>
      <c r="R43" s="51">
        <f t="shared" ca="1" si="5"/>
        <v>0.23076923076923078</v>
      </c>
      <c r="S43" s="53"/>
      <c r="T43" s="53"/>
      <c r="U43" s="51" t="str">
        <f t="shared" si="6"/>
        <v/>
      </c>
      <c r="V43" s="53"/>
      <c r="W43" s="51" t="str">
        <f t="shared" si="7"/>
        <v/>
      </c>
      <c r="X43" s="53"/>
      <c r="Y43" s="51" t="str">
        <f t="shared" si="8"/>
        <v/>
      </c>
      <c r="Z43" s="2"/>
      <c r="AA43" s="2"/>
      <c r="AB43" s="2"/>
      <c r="AC43" s="2"/>
      <c r="AD43" s="2"/>
      <c r="AE43" s="2"/>
    </row>
    <row r="44" spans="1:31" ht="12.75" x14ac:dyDescent="0.2">
      <c r="A44" s="53">
        <f ca="1">IFERROR(__xludf.DUMMYFUNCTION("""COMPUTED_VALUE"""),38)</f>
        <v>38</v>
      </c>
      <c r="B44" s="53" t="str">
        <f ca="1">IFERROR(__xludf.DUMMYFUNCTION("""COMPUTED_VALUE"""),"MN Tuổi Thần Tiên")</f>
        <v>MN Tuổi Thần Tiên</v>
      </c>
      <c r="C44" s="53" t="str">
        <f ca="1">IFERROR(__xludf.DUMMYFUNCTION("""COMPUTED_VALUE"""),"MN")</f>
        <v>MN</v>
      </c>
      <c r="D44" s="53" t="str">
        <f ca="1">IFERROR(__xludf.DUMMYFUNCTION("""COMPUTED_VALUE"""),"Nhà Bè")</f>
        <v>Nhà Bè</v>
      </c>
      <c r="E44" s="54">
        <f ca="1">IFERROR(__xludf.DUMMYFUNCTION("""COMPUTED_VALUE"""),4)</f>
        <v>4</v>
      </c>
      <c r="F44" s="54">
        <f ca="1">IFERROR(__xludf.DUMMYFUNCTION("""COMPUTED_VALUE"""),4)</f>
        <v>4</v>
      </c>
      <c r="G44" s="51">
        <f t="shared" ca="1" si="0"/>
        <v>1</v>
      </c>
      <c r="H44" s="54">
        <f ca="1">IFERROR(__xludf.DUMMYFUNCTION("""COMPUTED_VALUE"""),4)</f>
        <v>4</v>
      </c>
      <c r="I44" s="51">
        <f t="shared" ca="1" si="1"/>
        <v>1</v>
      </c>
      <c r="J44" s="54">
        <f ca="1">IFERROR(__xludf.DUMMYFUNCTION("""COMPUTED_VALUE"""),4)</f>
        <v>4</v>
      </c>
      <c r="K44" s="51">
        <f t="shared" ca="1" si="2"/>
        <v>1</v>
      </c>
      <c r="L44" s="54">
        <f ca="1">IFERROR(__xludf.DUMMYFUNCTION("""COMPUTED_VALUE"""),2)</f>
        <v>2</v>
      </c>
      <c r="M44" s="51">
        <f t="shared" ca="1" si="3"/>
        <v>0.5</v>
      </c>
      <c r="N44" s="54">
        <f ca="1">IFERROR(__xludf.DUMMYFUNCTION("""COMPUTED_VALUE"""),5)</f>
        <v>5</v>
      </c>
      <c r="O44" s="54">
        <f ca="1">IFERROR(__xludf.DUMMYFUNCTION("""COMPUTED_VALUE"""),5)</f>
        <v>5</v>
      </c>
      <c r="P44" s="51">
        <f t="shared" ca="1" si="4"/>
        <v>1</v>
      </c>
      <c r="Q44" s="54">
        <f ca="1">IFERROR(__xludf.DUMMYFUNCTION("""COMPUTED_VALUE"""),1)</f>
        <v>1</v>
      </c>
      <c r="R44" s="51">
        <f t="shared" ca="1" si="5"/>
        <v>0.2</v>
      </c>
      <c r="S44" s="53"/>
      <c r="T44" s="53"/>
      <c r="U44" s="51" t="str">
        <f t="shared" si="6"/>
        <v/>
      </c>
      <c r="V44" s="53"/>
      <c r="W44" s="51" t="str">
        <f t="shared" si="7"/>
        <v/>
      </c>
      <c r="X44" s="53"/>
      <c r="Y44" s="51" t="str">
        <f t="shared" si="8"/>
        <v/>
      </c>
      <c r="Z44" s="2"/>
      <c r="AA44" s="2"/>
      <c r="AB44" s="2"/>
      <c r="AC44" s="2"/>
      <c r="AD44" s="2"/>
      <c r="AE44" s="2"/>
    </row>
    <row r="45" spans="1:31" ht="12.75" x14ac:dyDescent="0.2">
      <c r="A45" s="53">
        <f ca="1">IFERROR(__xludf.DUMMYFUNCTION("""COMPUTED_VALUE"""),39)</f>
        <v>39</v>
      </c>
      <c r="B45" s="53" t="str">
        <f ca="1">IFERROR(__xludf.DUMMYFUNCTION("""COMPUTED_VALUE"""),"MN Trí Công")</f>
        <v>MN Trí Công</v>
      </c>
      <c r="C45" s="53" t="str">
        <f ca="1">IFERROR(__xludf.DUMMYFUNCTION("""COMPUTED_VALUE"""),"MN")</f>
        <v>MN</v>
      </c>
      <c r="D45" s="53" t="str">
        <f ca="1">IFERROR(__xludf.DUMMYFUNCTION("""COMPUTED_VALUE"""),"Nhà Bè")</f>
        <v>Nhà Bè</v>
      </c>
      <c r="E45" s="54">
        <f ca="1">IFERROR(__xludf.DUMMYFUNCTION("""COMPUTED_VALUE"""),10)</f>
        <v>10</v>
      </c>
      <c r="F45" s="54">
        <f ca="1">IFERROR(__xludf.DUMMYFUNCTION("""COMPUTED_VALUE"""),10)</f>
        <v>10</v>
      </c>
      <c r="G45" s="51">
        <f t="shared" ca="1" si="0"/>
        <v>1</v>
      </c>
      <c r="H45" s="54">
        <f ca="1">IFERROR(__xludf.DUMMYFUNCTION("""COMPUTED_VALUE"""),10)</f>
        <v>10</v>
      </c>
      <c r="I45" s="51">
        <f t="shared" ca="1" si="1"/>
        <v>1</v>
      </c>
      <c r="J45" s="54">
        <f ca="1">IFERROR(__xludf.DUMMYFUNCTION("""COMPUTED_VALUE"""),7)</f>
        <v>7</v>
      </c>
      <c r="K45" s="51">
        <f t="shared" ca="1" si="2"/>
        <v>0.7</v>
      </c>
      <c r="L45" s="54">
        <f ca="1">IFERROR(__xludf.DUMMYFUNCTION("""COMPUTED_VALUE"""),0)</f>
        <v>0</v>
      </c>
      <c r="M45" s="51">
        <f t="shared" ca="1" si="3"/>
        <v>0</v>
      </c>
      <c r="N45" s="54">
        <f ca="1">IFERROR(__xludf.DUMMYFUNCTION("""COMPUTED_VALUE"""),17)</f>
        <v>17</v>
      </c>
      <c r="O45" s="54">
        <f ca="1">IFERROR(__xludf.DUMMYFUNCTION("""COMPUTED_VALUE"""),1)</f>
        <v>1</v>
      </c>
      <c r="P45" s="51">
        <f t="shared" ca="1" si="4"/>
        <v>5.8823529411764705E-2</v>
      </c>
      <c r="Q45" s="54">
        <f ca="1">IFERROR(__xludf.DUMMYFUNCTION("""COMPUTED_VALUE"""),1)</f>
        <v>1</v>
      </c>
      <c r="R45" s="51">
        <f t="shared" ca="1" si="5"/>
        <v>5.8823529411764705E-2</v>
      </c>
      <c r="S45" s="53"/>
      <c r="T45" s="53"/>
      <c r="U45" s="51" t="str">
        <f t="shared" si="6"/>
        <v/>
      </c>
      <c r="V45" s="53"/>
      <c r="W45" s="51" t="str">
        <f t="shared" si="7"/>
        <v/>
      </c>
      <c r="X45" s="53"/>
      <c r="Y45" s="51" t="str">
        <f t="shared" si="8"/>
        <v/>
      </c>
      <c r="Z45" s="2"/>
      <c r="AA45" s="2"/>
      <c r="AB45" s="2"/>
      <c r="AC45" s="2"/>
      <c r="AD45" s="2"/>
      <c r="AE45" s="2"/>
    </row>
    <row r="46" spans="1:31" ht="12.75" x14ac:dyDescent="0.2">
      <c r="A46" s="53">
        <f ca="1">IFERROR(__xludf.DUMMYFUNCTION("""COMPUTED_VALUE"""),40)</f>
        <v>40</v>
      </c>
      <c r="B46" s="53" t="str">
        <f ca="1">IFERROR(__xludf.DUMMYFUNCTION("""COMPUTED_VALUE"""),"MN Bam Bi")</f>
        <v>MN Bam Bi</v>
      </c>
      <c r="C46" s="53" t="str">
        <f ca="1">IFERROR(__xludf.DUMMYFUNCTION("""COMPUTED_VALUE"""),"MN")</f>
        <v>MN</v>
      </c>
      <c r="D46" s="53" t="str">
        <f ca="1">IFERROR(__xludf.DUMMYFUNCTION("""COMPUTED_VALUE"""),"Nhà Bè")</f>
        <v>Nhà Bè</v>
      </c>
      <c r="E46" s="54">
        <f ca="1">IFERROR(__xludf.DUMMYFUNCTION("""COMPUTED_VALUE"""),11)</f>
        <v>11</v>
      </c>
      <c r="F46" s="54">
        <f ca="1">IFERROR(__xludf.DUMMYFUNCTION("""COMPUTED_VALUE"""),11)</f>
        <v>11</v>
      </c>
      <c r="G46" s="51">
        <f t="shared" ca="1" si="0"/>
        <v>1</v>
      </c>
      <c r="H46" s="54">
        <f ca="1">IFERROR(__xludf.DUMMYFUNCTION("""COMPUTED_VALUE"""),11)</f>
        <v>11</v>
      </c>
      <c r="I46" s="51">
        <f t="shared" ca="1" si="1"/>
        <v>1</v>
      </c>
      <c r="J46" s="54">
        <f ca="1">IFERROR(__xludf.DUMMYFUNCTION("""COMPUTED_VALUE"""),5)</f>
        <v>5</v>
      </c>
      <c r="K46" s="51">
        <f t="shared" ca="1" si="2"/>
        <v>0.45454545454545453</v>
      </c>
      <c r="L46" s="54">
        <f ca="1">IFERROR(__xludf.DUMMYFUNCTION("""COMPUTED_VALUE"""),0)</f>
        <v>0</v>
      </c>
      <c r="M46" s="51">
        <f t="shared" ca="1" si="3"/>
        <v>0</v>
      </c>
      <c r="N46" s="54">
        <f ca="1">IFERROR(__xludf.DUMMYFUNCTION("""COMPUTED_VALUE"""),43)</f>
        <v>43</v>
      </c>
      <c r="O46" s="54">
        <f ca="1">IFERROR(__xludf.DUMMYFUNCTION("""COMPUTED_VALUE"""),25)</f>
        <v>25</v>
      </c>
      <c r="P46" s="51">
        <f t="shared" ca="1" si="4"/>
        <v>0.58139534883720934</v>
      </c>
      <c r="Q46" s="54">
        <f ca="1">IFERROR(__xludf.DUMMYFUNCTION("""COMPUTED_VALUE"""),10)</f>
        <v>10</v>
      </c>
      <c r="R46" s="51">
        <f t="shared" ca="1" si="5"/>
        <v>0.23255813953488372</v>
      </c>
      <c r="S46" s="53"/>
      <c r="T46" s="53"/>
      <c r="U46" s="51" t="str">
        <f t="shared" si="6"/>
        <v/>
      </c>
      <c r="V46" s="53"/>
      <c r="W46" s="51" t="str">
        <f t="shared" si="7"/>
        <v/>
      </c>
      <c r="X46" s="53"/>
      <c r="Y46" s="51" t="str">
        <f t="shared" si="8"/>
        <v/>
      </c>
      <c r="Z46" s="2"/>
      <c r="AA46" s="2"/>
      <c r="AB46" s="2"/>
      <c r="AC46" s="2"/>
      <c r="AD46" s="2"/>
      <c r="AE46" s="2"/>
    </row>
    <row r="47" spans="1:31" ht="12.75" x14ac:dyDescent="0.2">
      <c r="A47" s="53">
        <f ca="1">IFERROR(__xludf.DUMMYFUNCTION("""COMPUTED_VALUE"""),41)</f>
        <v>41</v>
      </c>
      <c r="B47" s="53" t="str">
        <f ca="1">IFERROR(__xludf.DUMMYFUNCTION("""COMPUTED_VALUE"""),"MN Thái Hoàng Gia")</f>
        <v>MN Thái Hoàng Gia</v>
      </c>
      <c r="C47" s="53" t="str">
        <f ca="1">IFERROR(__xludf.DUMMYFUNCTION("""COMPUTED_VALUE"""),"MN")</f>
        <v>MN</v>
      </c>
      <c r="D47" s="53" t="str">
        <f ca="1">IFERROR(__xludf.DUMMYFUNCTION("""COMPUTED_VALUE"""),"Nhà Bè")</f>
        <v>Nhà Bè</v>
      </c>
      <c r="E47" s="54">
        <f ca="1">IFERROR(__xludf.DUMMYFUNCTION("""COMPUTED_VALUE"""),11)</f>
        <v>11</v>
      </c>
      <c r="F47" s="54">
        <f ca="1">IFERROR(__xludf.DUMMYFUNCTION("""COMPUTED_VALUE"""),11)</f>
        <v>11</v>
      </c>
      <c r="G47" s="51">
        <f t="shared" ca="1" si="0"/>
        <v>1</v>
      </c>
      <c r="H47" s="54">
        <f ca="1">IFERROR(__xludf.DUMMYFUNCTION("""COMPUTED_VALUE"""),11)</f>
        <v>11</v>
      </c>
      <c r="I47" s="51">
        <f t="shared" ca="1" si="1"/>
        <v>1</v>
      </c>
      <c r="J47" s="54">
        <f ca="1">IFERROR(__xludf.DUMMYFUNCTION("""COMPUTED_VALUE"""),10)</f>
        <v>10</v>
      </c>
      <c r="K47" s="51">
        <f t="shared" ca="1" si="2"/>
        <v>0.90909090909090906</v>
      </c>
      <c r="L47" s="54">
        <f ca="1">IFERROR(__xludf.DUMMYFUNCTION("""COMPUTED_VALUE"""),2)</f>
        <v>2</v>
      </c>
      <c r="M47" s="51">
        <f t="shared" ca="1" si="3"/>
        <v>0.18181818181818182</v>
      </c>
      <c r="N47" s="54">
        <f ca="1">IFERROR(__xludf.DUMMYFUNCTION("""COMPUTED_VALUE"""),16)</f>
        <v>16</v>
      </c>
      <c r="O47" s="54">
        <f ca="1">IFERROR(__xludf.DUMMYFUNCTION("""COMPUTED_VALUE"""),0)</f>
        <v>0</v>
      </c>
      <c r="P47" s="51">
        <f t="shared" ca="1" si="4"/>
        <v>0</v>
      </c>
      <c r="Q47" s="54">
        <f ca="1">IFERROR(__xludf.DUMMYFUNCTION("""COMPUTED_VALUE"""),0)</f>
        <v>0</v>
      </c>
      <c r="R47" s="51">
        <f t="shared" ca="1" si="5"/>
        <v>0</v>
      </c>
      <c r="S47" s="53"/>
      <c r="T47" s="53"/>
      <c r="U47" s="51" t="str">
        <f t="shared" si="6"/>
        <v/>
      </c>
      <c r="V47" s="53"/>
      <c r="W47" s="51" t="str">
        <f t="shared" si="7"/>
        <v/>
      </c>
      <c r="X47" s="53"/>
      <c r="Y47" s="51" t="str">
        <f t="shared" si="8"/>
        <v/>
      </c>
      <c r="Z47" s="2"/>
      <c r="AA47" s="2"/>
      <c r="AB47" s="2"/>
      <c r="AC47" s="2"/>
      <c r="AD47" s="2"/>
      <c r="AE47" s="2"/>
    </row>
    <row r="48" spans="1:31" ht="12.75" x14ac:dyDescent="0.2">
      <c r="A48" s="53">
        <f ca="1">IFERROR(__xludf.DUMMYFUNCTION("""COMPUTED_VALUE"""),42)</f>
        <v>42</v>
      </c>
      <c r="B48" s="53" t="str">
        <f ca="1">IFERROR(__xludf.DUMMYFUNCTION("""COMPUTED_VALUE"""),"MN Phần Lan Nhỏ")</f>
        <v>MN Phần Lan Nhỏ</v>
      </c>
      <c r="C48" s="53" t="str">
        <f ca="1">IFERROR(__xludf.DUMMYFUNCTION("""COMPUTED_VALUE"""),"MN")</f>
        <v>MN</v>
      </c>
      <c r="D48" s="53" t="str">
        <f ca="1">IFERROR(__xludf.DUMMYFUNCTION("""COMPUTED_VALUE"""),"Nhà Bè")</f>
        <v>Nhà Bè</v>
      </c>
      <c r="E48" s="54">
        <f ca="1">IFERROR(__xludf.DUMMYFUNCTION("""COMPUTED_VALUE"""),16)</f>
        <v>16</v>
      </c>
      <c r="F48" s="54">
        <f ca="1">IFERROR(__xludf.DUMMYFUNCTION("""COMPUTED_VALUE"""),16)</f>
        <v>16</v>
      </c>
      <c r="G48" s="51">
        <f t="shared" ca="1" si="0"/>
        <v>1</v>
      </c>
      <c r="H48" s="54">
        <f ca="1">IFERROR(__xludf.DUMMYFUNCTION("""COMPUTED_VALUE"""),16)</f>
        <v>16</v>
      </c>
      <c r="I48" s="51">
        <f t="shared" ca="1" si="1"/>
        <v>1</v>
      </c>
      <c r="J48" s="54">
        <f ca="1">IFERROR(__xludf.DUMMYFUNCTION("""COMPUTED_VALUE"""),16)</f>
        <v>16</v>
      </c>
      <c r="K48" s="51">
        <f t="shared" ca="1" si="2"/>
        <v>1</v>
      </c>
      <c r="L48" s="54">
        <f ca="1">IFERROR(__xludf.DUMMYFUNCTION("""COMPUTED_VALUE"""),0)</f>
        <v>0</v>
      </c>
      <c r="M48" s="51">
        <f t="shared" ca="1" si="3"/>
        <v>0</v>
      </c>
      <c r="N48" s="54">
        <f ca="1">IFERROR(__xludf.DUMMYFUNCTION("""COMPUTED_VALUE"""),8)</f>
        <v>8</v>
      </c>
      <c r="O48" s="54">
        <f ca="1">IFERROR(__xludf.DUMMYFUNCTION("""COMPUTED_VALUE"""),0)</f>
        <v>0</v>
      </c>
      <c r="P48" s="51">
        <f t="shared" ca="1" si="4"/>
        <v>0</v>
      </c>
      <c r="Q48" s="54">
        <f ca="1">IFERROR(__xludf.DUMMYFUNCTION("""COMPUTED_VALUE"""),0)</f>
        <v>0</v>
      </c>
      <c r="R48" s="51">
        <f t="shared" ca="1" si="5"/>
        <v>0</v>
      </c>
      <c r="S48" s="53"/>
      <c r="T48" s="53"/>
      <c r="U48" s="51" t="str">
        <f t="shared" si="6"/>
        <v/>
      </c>
      <c r="V48" s="53"/>
      <c r="W48" s="51" t="str">
        <f t="shared" si="7"/>
        <v/>
      </c>
      <c r="X48" s="53"/>
      <c r="Y48" s="51" t="str">
        <f t="shared" si="8"/>
        <v/>
      </c>
      <c r="Z48" s="2"/>
      <c r="AA48" s="2"/>
      <c r="AB48" s="2"/>
      <c r="AC48" s="2"/>
      <c r="AD48" s="2"/>
      <c r="AE48" s="2"/>
    </row>
    <row r="49" spans="1:31" ht="12.75" x14ac:dyDescent="0.2">
      <c r="A49" s="53">
        <f ca="1">IFERROR(__xludf.DUMMYFUNCTION("""COMPUTED_VALUE"""),43)</f>
        <v>43</v>
      </c>
      <c r="B49" s="53" t="str">
        <f ca="1">IFERROR(__xludf.DUMMYFUNCTION("""COMPUTED_VALUE"""),"MN Tổ Ong Vàng")</f>
        <v>MN Tổ Ong Vàng</v>
      </c>
      <c r="C49" s="53" t="str">
        <f ca="1">IFERROR(__xludf.DUMMYFUNCTION("""COMPUTED_VALUE"""),"MN")</f>
        <v>MN</v>
      </c>
      <c r="D49" s="53" t="str">
        <f ca="1">IFERROR(__xludf.DUMMYFUNCTION("""COMPUTED_VALUE"""),"Nhà Bè")</f>
        <v>Nhà Bè</v>
      </c>
      <c r="E49" s="54">
        <f ca="1">IFERROR(__xludf.DUMMYFUNCTION("""COMPUTED_VALUE"""),14)</f>
        <v>14</v>
      </c>
      <c r="F49" s="54">
        <f ca="1">IFERROR(__xludf.DUMMYFUNCTION("""COMPUTED_VALUE"""),14)</f>
        <v>14</v>
      </c>
      <c r="G49" s="51">
        <f t="shared" ca="1" si="0"/>
        <v>1</v>
      </c>
      <c r="H49" s="54">
        <f ca="1">IFERROR(__xludf.DUMMYFUNCTION("""COMPUTED_VALUE"""),14)</f>
        <v>14</v>
      </c>
      <c r="I49" s="51">
        <f t="shared" ca="1" si="1"/>
        <v>1</v>
      </c>
      <c r="J49" s="54">
        <f ca="1">IFERROR(__xludf.DUMMYFUNCTION("""COMPUTED_VALUE"""),14)</f>
        <v>14</v>
      </c>
      <c r="K49" s="51">
        <f t="shared" ca="1" si="2"/>
        <v>1</v>
      </c>
      <c r="L49" s="54">
        <f ca="1">IFERROR(__xludf.DUMMYFUNCTION("""COMPUTED_VALUE"""),0)</f>
        <v>0</v>
      </c>
      <c r="M49" s="51">
        <f t="shared" ca="1" si="3"/>
        <v>0</v>
      </c>
      <c r="N49" s="54">
        <f ca="1">IFERROR(__xludf.DUMMYFUNCTION("""COMPUTED_VALUE"""),0)</f>
        <v>0</v>
      </c>
      <c r="O49" s="54">
        <f ca="1">IFERROR(__xludf.DUMMYFUNCTION("""COMPUTED_VALUE"""),0)</f>
        <v>0</v>
      </c>
      <c r="P49" s="51" t="str">
        <f t="shared" ca="1" si="4"/>
        <v/>
      </c>
      <c r="Q49" s="54">
        <f ca="1">IFERROR(__xludf.DUMMYFUNCTION("""COMPUTED_VALUE"""),0)</f>
        <v>0</v>
      </c>
      <c r="R49" s="51" t="str">
        <f t="shared" ca="1" si="5"/>
        <v/>
      </c>
      <c r="S49" s="53"/>
      <c r="T49" s="53"/>
      <c r="U49" s="51" t="str">
        <f t="shared" si="6"/>
        <v/>
      </c>
      <c r="V49" s="53"/>
      <c r="W49" s="51" t="str">
        <f t="shared" si="7"/>
        <v/>
      </c>
      <c r="X49" s="53"/>
      <c r="Y49" s="51" t="str">
        <f t="shared" si="8"/>
        <v/>
      </c>
      <c r="Z49" s="2"/>
      <c r="AA49" s="2"/>
      <c r="AB49" s="2"/>
      <c r="AC49" s="2"/>
      <c r="AD49" s="2"/>
      <c r="AE49" s="2"/>
    </row>
    <row r="50" spans="1:31" ht="12.75" x14ac:dyDescent="0.2">
      <c r="A50" s="53">
        <f ca="1">IFERROR(__xludf.DUMMYFUNCTION("""COMPUTED_VALUE"""),44)</f>
        <v>44</v>
      </c>
      <c r="B50" s="53" t="str">
        <f ca="1">IFERROR(__xludf.DUMMYFUNCTION("""COMPUTED_VALUE"""),"MN Ánh Sao")</f>
        <v>MN Ánh Sao</v>
      </c>
      <c r="C50" s="53" t="str">
        <f ca="1">IFERROR(__xludf.DUMMYFUNCTION("""COMPUTED_VALUE"""),"MN")</f>
        <v>MN</v>
      </c>
      <c r="D50" s="53" t="str">
        <f ca="1">IFERROR(__xludf.DUMMYFUNCTION("""COMPUTED_VALUE"""),"Nhà Bè")</f>
        <v>Nhà Bè</v>
      </c>
      <c r="E50" s="54">
        <f ca="1">IFERROR(__xludf.DUMMYFUNCTION("""COMPUTED_VALUE"""),15)</f>
        <v>15</v>
      </c>
      <c r="F50" s="54">
        <f ca="1">IFERROR(__xludf.DUMMYFUNCTION("""COMPUTED_VALUE"""),15)</f>
        <v>15</v>
      </c>
      <c r="G50" s="51">
        <f t="shared" ca="1" si="0"/>
        <v>1</v>
      </c>
      <c r="H50" s="54">
        <f ca="1">IFERROR(__xludf.DUMMYFUNCTION("""COMPUTED_VALUE"""),15)</f>
        <v>15</v>
      </c>
      <c r="I50" s="51">
        <f t="shared" ca="1" si="1"/>
        <v>1</v>
      </c>
      <c r="J50" s="54">
        <f ca="1">IFERROR(__xludf.DUMMYFUNCTION("""COMPUTED_VALUE"""),12)</f>
        <v>12</v>
      </c>
      <c r="K50" s="51">
        <f t="shared" ca="1" si="2"/>
        <v>0.8</v>
      </c>
      <c r="L50" s="54">
        <f ca="1">IFERROR(__xludf.DUMMYFUNCTION("""COMPUTED_VALUE"""),2)</f>
        <v>2</v>
      </c>
      <c r="M50" s="51">
        <f t="shared" ca="1" si="3"/>
        <v>0.13333333333333333</v>
      </c>
      <c r="N50" s="54">
        <f ca="1">IFERROR(__xludf.DUMMYFUNCTION("""COMPUTED_VALUE"""),18)</f>
        <v>18</v>
      </c>
      <c r="O50" s="54">
        <f ca="1">IFERROR(__xludf.DUMMYFUNCTION("""COMPUTED_VALUE"""),1)</f>
        <v>1</v>
      </c>
      <c r="P50" s="51">
        <f t="shared" ca="1" si="4"/>
        <v>5.5555555555555552E-2</v>
      </c>
      <c r="Q50" s="54">
        <f ca="1">IFERROR(__xludf.DUMMYFUNCTION("""COMPUTED_VALUE"""),0)</f>
        <v>0</v>
      </c>
      <c r="R50" s="51">
        <f t="shared" ca="1" si="5"/>
        <v>0</v>
      </c>
      <c r="S50" s="53"/>
      <c r="T50" s="53"/>
      <c r="U50" s="51" t="str">
        <f t="shared" si="6"/>
        <v/>
      </c>
      <c r="V50" s="53"/>
      <c r="W50" s="51" t="str">
        <f t="shared" si="7"/>
        <v/>
      </c>
      <c r="X50" s="53"/>
      <c r="Y50" s="51" t="str">
        <f t="shared" si="8"/>
        <v/>
      </c>
      <c r="Z50" s="2"/>
      <c r="AA50" s="2"/>
      <c r="AB50" s="2"/>
      <c r="AC50" s="2"/>
      <c r="AD50" s="2"/>
      <c r="AE50" s="2"/>
    </row>
    <row r="51" spans="1:31" ht="12.75" x14ac:dyDescent="0.2">
      <c r="A51" s="53">
        <f ca="1">IFERROR(__xludf.DUMMYFUNCTION("""COMPUTED_VALUE"""),45)</f>
        <v>45</v>
      </c>
      <c r="B51" s="53" t="str">
        <f ca="1">IFERROR(__xludf.DUMMYFUNCTION("""COMPUTED_VALUE"""),"TỔNG NHÓM, LỚP MẦM NON")</f>
        <v>TỔNG NHÓM, LỚP MẦM NON</v>
      </c>
      <c r="C51" s="53" t="str">
        <f ca="1">IFERROR(__xludf.DUMMYFUNCTION("""COMPUTED_VALUE"""),"MN")</f>
        <v>MN</v>
      </c>
      <c r="D51" s="53" t="str">
        <f ca="1">IFERROR(__xludf.DUMMYFUNCTION("""COMPUTED_VALUE"""),"Nhà Bè")</f>
        <v>Nhà Bè</v>
      </c>
      <c r="E51" s="54">
        <f ca="1">IFERROR(__xludf.DUMMYFUNCTION("""COMPUTED_VALUE"""),351)</f>
        <v>351</v>
      </c>
      <c r="F51" s="54">
        <f ca="1">IFERROR(__xludf.DUMMYFUNCTION("""COMPUTED_VALUE"""),351)</f>
        <v>351</v>
      </c>
      <c r="G51" s="51">
        <f t="shared" ca="1" si="0"/>
        <v>1</v>
      </c>
      <c r="H51" s="54">
        <f ca="1">IFERROR(__xludf.DUMMYFUNCTION("""COMPUTED_VALUE"""),339)</f>
        <v>339</v>
      </c>
      <c r="I51" s="51">
        <f t="shared" ca="1" si="1"/>
        <v>0.96581196581196582</v>
      </c>
      <c r="J51" s="54">
        <f ca="1">IFERROR(__xludf.DUMMYFUNCTION("""COMPUTED_VALUE"""),286)</f>
        <v>286</v>
      </c>
      <c r="K51" s="51">
        <f t="shared" ca="1" si="2"/>
        <v>0.81481481481481477</v>
      </c>
      <c r="L51" s="54">
        <f ca="1">IFERROR(__xludf.DUMMYFUNCTION("""COMPUTED_VALUE"""),61)</f>
        <v>61</v>
      </c>
      <c r="M51" s="51">
        <f t="shared" ca="1" si="3"/>
        <v>0.1737891737891738</v>
      </c>
      <c r="N51" s="54">
        <f ca="1">IFERROR(__xludf.DUMMYFUNCTION("""COMPUTED_VALUE"""),232)</f>
        <v>232</v>
      </c>
      <c r="O51" s="54">
        <f ca="1">IFERROR(__xludf.DUMMYFUNCTION("""COMPUTED_VALUE"""),55)</f>
        <v>55</v>
      </c>
      <c r="P51" s="51">
        <f t="shared" ca="1" si="4"/>
        <v>0.23706896551724138</v>
      </c>
      <c r="Q51" s="54">
        <f ca="1">IFERROR(__xludf.DUMMYFUNCTION("""COMPUTED_VALUE"""),21)</f>
        <v>21</v>
      </c>
      <c r="R51" s="51">
        <f t="shared" ca="1" si="5"/>
        <v>9.0517241379310345E-2</v>
      </c>
      <c r="S51" s="54">
        <f ca="1">IFERROR(__xludf.DUMMYFUNCTION("""COMPUTED_VALUE"""),0)</f>
        <v>0</v>
      </c>
      <c r="T51" s="53"/>
      <c r="U51" s="51" t="str">
        <f t="shared" ca="1" si="6"/>
        <v/>
      </c>
      <c r="V51" s="53"/>
      <c r="W51" s="51" t="str">
        <f t="shared" ca="1" si="7"/>
        <v/>
      </c>
      <c r="X51" s="53"/>
      <c r="Y51" s="51" t="str">
        <f t="shared" ca="1" si="8"/>
        <v/>
      </c>
      <c r="Z51" s="2"/>
      <c r="AA51" s="2"/>
      <c r="AB51" s="2"/>
      <c r="AC51" s="2"/>
      <c r="AD51" s="2"/>
      <c r="AE51" s="2"/>
    </row>
    <row r="52" spans="1:31" ht="12.75" x14ac:dyDescent="0.2">
      <c r="A52" s="53"/>
      <c r="B52" s="52" t="str">
        <f ca="1">IFERROR(__xludf.DUMMYFUNCTION("""COMPUTED_VALUE"""),"TIỂU HỌC (15)")</f>
        <v>TIỂU HỌC (15)</v>
      </c>
      <c r="C52" s="53"/>
      <c r="D52" s="53"/>
      <c r="E52" s="54">
        <f ca="1">IFERROR(__xludf.DUMMYFUNCTION("""COMPUTED_VALUE"""),778)</f>
        <v>778</v>
      </c>
      <c r="F52" s="54">
        <f ca="1">IFERROR(__xludf.DUMMYFUNCTION("""COMPUTED_VALUE"""),778)</f>
        <v>778</v>
      </c>
      <c r="G52" s="51">
        <f t="shared" ca="1" si="0"/>
        <v>1</v>
      </c>
      <c r="H52" s="54">
        <f ca="1">IFERROR(__xludf.DUMMYFUNCTION("""COMPUTED_VALUE"""),778)</f>
        <v>778</v>
      </c>
      <c r="I52" s="51">
        <f t="shared" ca="1" si="1"/>
        <v>1</v>
      </c>
      <c r="J52" s="54">
        <f ca="1">IFERROR(__xludf.DUMMYFUNCTION("""COMPUTED_VALUE"""),764)</f>
        <v>764</v>
      </c>
      <c r="K52" s="51">
        <f t="shared" ca="1" si="2"/>
        <v>0.98200514138817485</v>
      </c>
      <c r="L52" s="54">
        <f ca="1">IFERROR(__xludf.DUMMYFUNCTION("""COMPUTED_VALUE"""),520)</f>
        <v>520</v>
      </c>
      <c r="M52" s="51">
        <f t="shared" ca="1" si="3"/>
        <v>0.66838046272493579</v>
      </c>
      <c r="N52" s="54">
        <f ca="1">IFERROR(__xludf.DUMMYFUNCTION("""COMPUTED_VALUE"""),16151)</f>
        <v>16151</v>
      </c>
      <c r="O52" s="54">
        <f ca="1">IFERROR(__xludf.DUMMYFUNCTION("""COMPUTED_VALUE"""),11073)</f>
        <v>11073</v>
      </c>
      <c r="P52" s="51">
        <f t="shared" ca="1" si="4"/>
        <v>0.68559222339174042</v>
      </c>
      <c r="Q52" s="54">
        <f ca="1">IFERROR(__xludf.DUMMYFUNCTION("""COMPUTED_VALUE"""),4512)</f>
        <v>4512</v>
      </c>
      <c r="R52" s="51">
        <f t="shared" ca="1" si="5"/>
        <v>0.27936350690359729</v>
      </c>
      <c r="S52" s="54">
        <f ca="1">IFERROR(__xludf.DUMMYFUNCTION("""COMPUTED_VALUE"""),36)</f>
        <v>36</v>
      </c>
      <c r="T52" s="54">
        <f ca="1">IFERROR(__xludf.DUMMYFUNCTION("""COMPUTED_VALUE"""),32)</f>
        <v>32</v>
      </c>
      <c r="U52" s="51">
        <f t="shared" ca="1" si="6"/>
        <v>0.88888888888888884</v>
      </c>
      <c r="V52" s="54">
        <f ca="1">IFERROR(__xludf.DUMMYFUNCTION("""COMPUTED_VALUE"""),20)</f>
        <v>20</v>
      </c>
      <c r="W52" s="51">
        <f t="shared" ca="1" si="7"/>
        <v>0.55555555555555558</v>
      </c>
      <c r="X52" s="54">
        <f ca="1">IFERROR(__xludf.DUMMYFUNCTION("""COMPUTED_VALUE"""),0)</f>
        <v>0</v>
      </c>
      <c r="Y52" s="51">
        <f t="shared" ca="1" si="8"/>
        <v>0</v>
      </c>
      <c r="Z52" s="2"/>
      <c r="AA52" s="2"/>
      <c r="AB52" s="2"/>
      <c r="AC52" s="2"/>
      <c r="AD52" s="2"/>
      <c r="AE52" s="2"/>
    </row>
    <row r="53" spans="1:31" ht="12.75" x14ac:dyDescent="0.2">
      <c r="A53" s="53">
        <f ca="1">IFERROR(__xludf.DUMMYFUNCTION("""COMPUTED_VALUE"""),46)</f>
        <v>46</v>
      </c>
      <c r="B53" s="53" t="str">
        <f ca="1">IFERROR(__xludf.DUMMYFUNCTION("""COMPUTED_VALUE"""),"TH Bùi Văn Ba")</f>
        <v>TH Bùi Văn Ba</v>
      </c>
      <c r="C53" s="53" t="str">
        <f ca="1">IFERROR(__xludf.DUMMYFUNCTION("""COMPUTED_VALUE"""),"TH")</f>
        <v>TH</v>
      </c>
      <c r="D53" s="53" t="str">
        <f ca="1">IFERROR(__xludf.DUMMYFUNCTION("""COMPUTED_VALUE"""),"Nhà Bè")</f>
        <v>Nhà Bè</v>
      </c>
      <c r="E53" s="54">
        <f ca="1">IFERROR(__xludf.DUMMYFUNCTION("""COMPUTED_VALUE"""),41)</f>
        <v>41</v>
      </c>
      <c r="F53" s="54">
        <f ca="1">IFERROR(__xludf.DUMMYFUNCTION("""COMPUTED_VALUE"""),41)</f>
        <v>41</v>
      </c>
      <c r="G53" s="51">
        <f t="shared" ca="1" si="0"/>
        <v>1</v>
      </c>
      <c r="H53" s="54">
        <f ca="1">IFERROR(__xludf.DUMMYFUNCTION("""COMPUTED_VALUE"""),41)</f>
        <v>41</v>
      </c>
      <c r="I53" s="51">
        <f t="shared" ca="1" si="1"/>
        <v>1</v>
      </c>
      <c r="J53" s="54">
        <f ca="1">IFERROR(__xludf.DUMMYFUNCTION("""COMPUTED_VALUE"""),39)</f>
        <v>39</v>
      </c>
      <c r="K53" s="51">
        <f t="shared" ca="1" si="2"/>
        <v>0.95121951219512191</v>
      </c>
      <c r="L53" s="54">
        <f ca="1">IFERROR(__xludf.DUMMYFUNCTION("""COMPUTED_VALUE"""),24)</f>
        <v>24</v>
      </c>
      <c r="M53" s="51">
        <f t="shared" ca="1" si="3"/>
        <v>0.58536585365853655</v>
      </c>
      <c r="N53" s="54">
        <f ca="1">IFERROR(__xludf.DUMMYFUNCTION("""COMPUTED_VALUE"""),869)</f>
        <v>869</v>
      </c>
      <c r="O53" s="54">
        <f ca="1">IFERROR(__xludf.DUMMYFUNCTION("""COMPUTED_VALUE"""),444)</f>
        <v>444</v>
      </c>
      <c r="P53" s="51">
        <f t="shared" ca="1" si="4"/>
        <v>0.51093210586881477</v>
      </c>
      <c r="Q53" s="54">
        <f ca="1">IFERROR(__xludf.DUMMYFUNCTION("""COMPUTED_VALUE"""),232)</f>
        <v>232</v>
      </c>
      <c r="R53" s="51">
        <f t="shared" ca="1" si="5"/>
        <v>0.26697353279631758</v>
      </c>
      <c r="S53" s="54">
        <f ca="1">IFERROR(__xludf.DUMMYFUNCTION("""COMPUTED_VALUE"""),0)</f>
        <v>0</v>
      </c>
      <c r="T53" s="54">
        <f ca="1">IFERROR(__xludf.DUMMYFUNCTION("""COMPUTED_VALUE"""),0)</f>
        <v>0</v>
      </c>
      <c r="U53" s="51" t="str">
        <f t="shared" ca="1" si="6"/>
        <v/>
      </c>
      <c r="V53" s="54">
        <f ca="1">IFERROR(__xludf.DUMMYFUNCTION("""COMPUTED_VALUE"""),0)</f>
        <v>0</v>
      </c>
      <c r="W53" s="51" t="str">
        <f t="shared" ca="1" si="7"/>
        <v/>
      </c>
      <c r="X53" s="54">
        <f ca="1">IFERROR(__xludf.DUMMYFUNCTION("""COMPUTED_VALUE"""),0)</f>
        <v>0</v>
      </c>
      <c r="Y53" s="51" t="str">
        <f t="shared" ca="1" si="8"/>
        <v/>
      </c>
      <c r="Z53" s="2"/>
      <c r="AA53" s="2"/>
      <c r="AB53" s="2"/>
      <c r="AC53" s="2"/>
      <c r="AD53" s="2"/>
      <c r="AE53" s="2"/>
    </row>
    <row r="54" spans="1:31" ht="12.75" x14ac:dyDescent="0.2">
      <c r="A54" s="53">
        <f ca="1">IFERROR(__xludf.DUMMYFUNCTION("""COMPUTED_VALUE"""),47)</f>
        <v>47</v>
      </c>
      <c r="B54" s="53"/>
      <c r="C54" s="53"/>
      <c r="D54" s="53" t="str">
        <f ca="1">IFERROR(__xludf.DUMMYFUNCTION("""COMPUTED_VALUE"""),"Nhà Bè")</f>
        <v>Nhà Bè</v>
      </c>
      <c r="E54" s="54">
        <f ca="1">IFERROR(__xludf.DUMMYFUNCTION("""COMPUTED_VALUE"""),33)</f>
        <v>33</v>
      </c>
      <c r="F54" s="54">
        <f ca="1">IFERROR(__xludf.DUMMYFUNCTION("""COMPUTED_VALUE"""),33)</f>
        <v>33</v>
      </c>
      <c r="G54" s="51">
        <f t="shared" ca="1" si="0"/>
        <v>1</v>
      </c>
      <c r="H54" s="54">
        <f ca="1">IFERROR(__xludf.DUMMYFUNCTION("""COMPUTED_VALUE"""),33)</f>
        <v>33</v>
      </c>
      <c r="I54" s="51">
        <f t="shared" ca="1" si="1"/>
        <v>1</v>
      </c>
      <c r="J54" s="54">
        <f ca="1">IFERROR(__xludf.DUMMYFUNCTION("""COMPUTED_VALUE"""),33)</f>
        <v>33</v>
      </c>
      <c r="K54" s="51">
        <f t="shared" ca="1" si="2"/>
        <v>1</v>
      </c>
      <c r="L54" s="54">
        <f ca="1">IFERROR(__xludf.DUMMYFUNCTION("""COMPUTED_VALUE"""),32)</f>
        <v>32</v>
      </c>
      <c r="M54" s="51">
        <f t="shared" ca="1" si="3"/>
        <v>0.96969696969696972</v>
      </c>
      <c r="N54" s="54">
        <f ca="1">IFERROR(__xludf.DUMMYFUNCTION("""COMPUTED_VALUE"""),508)</f>
        <v>508</v>
      </c>
      <c r="O54" s="54">
        <f ca="1">IFERROR(__xludf.DUMMYFUNCTION("""COMPUTED_VALUE"""),383)</f>
        <v>383</v>
      </c>
      <c r="P54" s="51">
        <f t="shared" ca="1" si="4"/>
        <v>0.75393700787401574</v>
      </c>
      <c r="Q54" s="54">
        <f ca="1">IFERROR(__xludf.DUMMYFUNCTION("""COMPUTED_VALUE"""),213)</f>
        <v>213</v>
      </c>
      <c r="R54" s="51">
        <f t="shared" ca="1" si="5"/>
        <v>0.41929133858267714</v>
      </c>
      <c r="S54" s="54">
        <f ca="1">IFERROR(__xludf.DUMMYFUNCTION("""COMPUTED_VALUE"""),3)</f>
        <v>3</v>
      </c>
      <c r="T54" s="53">
        <f ca="1">IFERROR(__xludf.DUMMYFUNCTION("""COMPUTED_VALUE"""),3)</f>
        <v>3</v>
      </c>
      <c r="U54" s="51">
        <f t="shared" ca="1" si="6"/>
        <v>1</v>
      </c>
      <c r="V54" s="54">
        <f ca="1">IFERROR(__xludf.DUMMYFUNCTION("""COMPUTED_VALUE"""),1)</f>
        <v>1</v>
      </c>
      <c r="W54" s="51">
        <f t="shared" ca="1" si="7"/>
        <v>0.33333333333333331</v>
      </c>
      <c r="X54" s="54">
        <f ca="1">IFERROR(__xludf.DUMMYFUNCTION("""COMPUTED_VALUE"""),0)</f>
        <v>0</v>
      </c>
      <c r="Y54" s="51">
        <f t="shared" ca="1" si="8"/>
        <v>0</v>
      </c>
      <c r="Z54" s="2"/>
      <c r="AA54" s="2"/>
      <c r="AB54" s="2"/>
      <c r="AC54" s="2"/>
      <c r="AD54" s="2"/>
      <c r="AE54" s="2"/>
    </row>
    <row r="55" spans="1:31" ht="12.75" x14ac:dyDescent="0.2">
      <c r="A55" s="53">
        <f ca="1">IFERROR(__xludf.DUMMYFUNCTION("""COMPUTED_VALUE"""),48)</f>
        <v>48</v>
      </c>
      <c r="B55" s="53" t="str">
        <f ca="1">IFERROR(__xludf.DUMMYFUNCTION("""COMPUTED_VALUE"""),"TH Dương Văn Lịch")</f>
        <v>TH Dương Văn Lịch</v>
      </c>
      <c r="C55" s="53" t="str">
        <f ca="1">IFERROR(__xludf.DUMMYFUNCTION("""COMPUTED_VALUE"""),"TH")</f>
        <v>TH</v>
      </c>
      <c r="D55" s="53" t="str">
        <f ca="1">IFERROR(__xludf.DUMMYFUNCTION("""COMPUTED_VALUE"""),"Nhà Bè")</f>
        <v>Nhà Bè</v>
      </c>
      <c r="E55" s="54">
        <f ca="1">IFERROR(__xludf.DUMMYFUNCTION("""COMPUTED_VALUE"""),55)</f>
        <v>55</v>
      </c>
      <c r="F55" s="54">
        <f ca="1">IFERROR(__xludf.DUMMYFUNCTION("""COMPUTED_VALUE"""),55)</f>
        <v>55</v>
      </c>
      <c r="G55" s="51">
        <f t="shared" ca="1" si="0"/>
        <v>1</v>
      </c>
      <c r="H55" s="54">
        <f ca="1">IFERROR(__xludf.DUMMYFUNCTION("""COMPUTED_VALUE"""),55)</f>
        <v>55</v>
      </c>
      <c r="I55" s="51">
        <f t="shared" ca="1" si="1"/>
        <v>1</v>
      </c>
      <c r="J55" s="54">
        <f ca="1">IFERROR(__xludf.DUMMYFUNCTION("""COMPUTED_VALUE"""),54)</f>
        <v>54</v>
      </c>
      <c r="K55" s="51">
        <f t="shared" ca="1" si="2"/>
        <v>0.98181818181818181</v>
      </c>
      <c r="L55" s="54">
        <f ca="1">IFERROR(__xludf.DUMMYFUNCTION("""COMPUTED_VALUE"""),34)</f>
        <v>34</v>
      </c>
      <c r="M55" s="51">
        <f t="shared" ca="1" si="3"/>
        <v>0.61818181818181817</v>
      </c>
      <c r="N55" s="54">
        <f ca="1">IFERROR(__xludf.DUMMYFUNCTION("""COMPUTED_VALUE"""),1321)</f>
        <v>1321</v>
      </c>
      <c r="O55" s="54">
        <f ca="1">IFERROR(__xludf.DUMMYFUNCTION("""COMPUTED_VALUE"""),1019)</f>
        <v>1019</v>
      </c>
      <c r="P55" s="51">
        <f t="shared" ca="1" si="4"/>
        <v>0.77138531415594247</v>
      </c>
      <c r="Q55" s="54">
        <f ca="1">IFERROR(__xludf.DUMMYFUNCTION("""COMPUTED_VALUE"""),620)</f>
        <v>620</v>
      </c>
      <c r="R55" s="51">
        <f t="shared" ca="1" si="5"/>
        <v>0.46934140802422408</v>
      </c>
      <c r="S55" s="54">
        <f ca="1">IFERROR(__xludf.DUMMYFUNCTION("""COMPUTED_VALUE"""),1)</f>
        <v>1</v>
      </c>
      <c r="T55" s="53">
        <f ca="1">IFERROR(__xludf.DUMMYFUNCTION("""COMPUTED_VALUE"""),1)</f>
        <v>1</v>
      </c>
      <c r="U55" s="51">
        <f t="shared" ca="1" si="6"/>
        <v>1</v>
      </c>
      <c r="V55" s="54">
        <f ca="1">IFERROR(__xludf.DUMMYFUNCTION("""COMPUTED_VALUE"""),1)</f>
        <v>1</v>
      </c>
      <c r="W55" s="51">
        <f t="shared" ca="1" si="7"/>
        <v>1</v>
      </c>
      <c r="X55" s="54">
        <f ca="1">IFERROR(__xludf.DUMMYFUNCTION("""COMPUTED_VALUE"""),0)</f>
        <v>0</v>
      </c>
      <c r="Y55" s="51">
        <f t="shared" ca="1" si="8"/>
        <v>0</v>
      </c>
      <c r="Z55" s="2"/>
      <c r="AA55" s="2"/>
      <c r="AB55" s="2"/>
      <c r="AC55" s="2"/>
      <c r="AD55" s="2"/>
      <c r="AE55" s="2"/>
    </row>
    <row r="56" spans="1:31" ht="12.75" x14ac:dyDescent="0.2">
      <c r="A56" s="53">
        <f ca="1">IFERROR(__xludf.DUMMYFUNCTION("""COMPUTED_VALUE"""),49)</f>
        <v>49</v>
      </c>
      <c r="B56" s="53" t="str">
        <f ca="1">IFERROR(__xludf.DUMMYFUNCTION("""COMPUTED_VALUE"""),"TH Lâm Văn Bền")</f>
        <v>TH Lâm Văn Bền</v>
      </c>
      <c r="C56" s="53" t="str">
        <f ca="1">IFERROR(__xludf.DUMMYFUNCTION("""COMPUTED_VALUE"""),"TH")</f>
        <v>TH</v>
      </c>
      <c r="D56" s="53" t="str">
        <f ca="1">IFERROR(__xludf.DUMMYFUNCTION("""COMPUTED_VALUE"""),"Nhà Bè")</f>
        <v>Nhà Bè</v>
      </c>
      <c r="E56" s="54">
        <f ca="1">IFERROR(__xludf.DUMMYFUNCTION("""COMPUTED_VALUE"""),59)</f>
        <v>59</v>
      </c>
      <c r="F56" s="54">
        <f ca="1">IFERROR(__xludf.DUMMYFUNCTION("""COMPUTED_VALUE"""),59)</f>
        <v>59</v>
      </c>
      <c r="G56" s="51">
        <f t="shared" ca="1" si="0"/>
        <v>1</v>
      </c>
      <c r="H56" s="54">
        <f ca="1">IFERROR(__xludf.DUMMYFUNCTION("""COMPUTED_VALUE"""),59)</f>
        <v>59</v>
      </c>
      <c r="I56" s="51">
        <f t="shared" ca="1" si="1"/>
        <v>1</v>
      </c>
      <c r="J56" s="54">
        <f ca="1">IFERROR(__xludf.DUMMYFUNCTION("""COMPUTED_VALUE"""),59)</f>
        <v>59</v>
      </c>
      <c r="K56" s="51">
        <f t="shared" ca="1" si="2"/>
        <v>1</v>
      </c>
      <c r="L56" s="54">
        <f ca="1">IFERROR(__xludf.DUMMYFUNCTION("""COMPUTED_VALUE"""),38)</f>
        <v>38</v>
      </c>
      <c r="M56" s="51">
        <f t="shared" ca="1" si="3"/>
        <v>0.64406779661016944</v>
      </c>
      <c r="N56" s="54">
        <f ca="1">IFERROR(__xludf.DUMMYFUNCTION("""COMPUTED_VALUE"""),1345)</f>
        <v>1345</v>
      </c>
      <c r="O56" s="54">
        <f ca="1">IFERROR(__xludf.DUMMYFUNCTION("""COMPUTED_VALUE"""),797)</f>
        <v>797</v>
      </c>
      <c r="P56" s="51">
        <f t="shared" ca="1" si="4"/>
        <v>0.59256505576208174</v>
      </c>
      <c r="Q56" s="54">
        <f ca="1">IFERROR(__xludf.DUMMYFUNCTION("""COMPUTED_VALUE"""),169)</f>
        <v>169</v>
      </c>
      <c r="R56" s="51">
        <f t="shared" ca="1" si="5"/>
        <v>0.12565055762081784</v>
      </c>
      <c r="S56" s="54">
        <f ca="1">IFERROR(__xludf.DUMMYFUNCTION("""COMPUTED_VALUE"""),1)</f>
        <v>1</v>
      </c>
      <c r="T56" s="53">
        <f ca="1">IFERROR(__xludf.DUMMYFUNCTION("""COMPUTED_VALUE"""),1)</f>
        <v>1</v>
      </c>
      <c r="U56" s="51">
        <f t="shared" ca="1" si="6"/>
        <v>1</v>
      </c>
      <c r="V56" s="54">
        <f ca="1">IFERROR(__xludf.DUMMYFUNCTION("""COMPUTED_VALUE"""),1)</f>
        <v>1</v>
      </c>
      <c r="W56" s="51">
        <f t="shared" ca="1" si="7"/>
        <v>1</v>
      </c>
      <c r="X56" s="54">
        <f ca="1">IFERROR(__xludf.DUMMYFUNCTION("""COMPUTED_VALUE"""),0)</f>
        <v>0</v>
      </c>
      <c r="Y56" s="51">
        <f t="shared" ca="1" si="8"/>
        <v>0</v>
      </c>
      <c r="Z56" s="2"/>
      <c r="AA56" s="2"/>
      <c r="AB56" s="2"/>
      <c r="AC56" s="2"/>
      <c r="AD56" s="2"/>
      <c r="AE56" s="2"/>
    </row>
    <row r="57" spans="1:31" ht="12.75" x14ac:dyDescent="0.2">
      <c r="A57" s="53">
        <f ca="1">IFERROR(__xludf.DUMMYFUNCTION("""COMPUTED_VALUE"""),50)</f>
        <v>50</v>
      </c>
      <c r="B57" s="53" t="str">
        <f ca="1">IFERROR(__xludf.DUMMYFUNCTION("""COMPUTED_VALUE"""),"TH Lê Lợi")</f>
        <v>TH Lê Lợi</v>
      </c>
      <c r="C57" s="53" t="str">
        <f ca="1">IFERROR(__xludf.DUMMYFUNCTION("""COMPUTED_VALUE"""),"TH")</f>
        <v>TH</v>
      </c>
      <c r="D57" s="53" t="str">
        <f ca="1">IFERROR(__xludf.DUMMYFUNCTION("""COMPUTED_VALUE"""),"Nhà Bè")</f>
        <v>Nhà Bè</v>
      </c>
      <c r="E57" s="54">
        <f ca="1">IFERROR(__xludf.DUMMYFUNCTION("""COMPUTED_VALUE"""),48)</f>
        <v>48</v>
      </c>
      <c r="F57" s="54">
        <f ca="1">IFERROR(__xludf.DUMMYFUNCTION("""COMPUTED_VALUE"""),48)</f>
        <v>48</v>
      </c>
      <c r="G57" s="51">
        <f t="shared" ca="1" si="0"/>
        <v>1</v>
      </c>
      <c r="H57" s="54">
        <f ca="1">IFERROR(__xludf.DUMMYFUNCTION("""COMPUTED_VALUE"""),48)</f>
        <v>48</v>
      </c>
      <c r="I57" s="51">
        <f t="shared" ca="1" si="1"/>
        <v>1</v>
      </c>
      <c r="J57" s="54">
        <f ca="1">IFERROR(__xludf.DUMMYFUNCTION("""COMPUTED_VALUE"""),47)</f>
        <v>47</v>
      </c>
      <c r="K57" s="51">
        <f t="shared" ca="1" si="2"/>
        <v>0.97916666666666663</v>
      </c>
      <c r="L57" s="54">
        <f ca="1">IFERROR(__xludf.DUMMYFUNCTION("""COMPUTED_VALUE"""),42)</f>
        <v>42</v>
      </c>
      <c r="M57" s="51">
        <f t="shared" ca="1" si="3"/>
        <v>0.875</v>
      </c>
      <c r="N57" s="54">
        <f ca="1">IFERROR(__xludf.DUMMYFUNCTION("""COMPUTED_VALUE"""),949)</f>
        <v>949</v>
      </c>
      <c r="O57" s="54">
        <f ca="1">IFERROR(__xludf.DUMMYFUNCTION("""COMPUTED_VALUE"""),719)</f>
        <v>719</v>
      </c>
      <c r="P57" s="51">
        <f t="shared" ca="1" si="4"/>
        <v>0.75763962065331925</v>
      </c>
      <c r="Q57" s="54">
        <f ca="1">IFERROR(__xludf.DUMMYFUNCTION("""COMPUTED_VALUE"""),157)</f>
        <v>157</v>
      </c>
      <c r="R57" s="51">
        <f t="shared" ca="1" si="5"/>
        <v>0.1654373024236038</v>
      </c>
      <c r="S57" s="54">
        <f ca="1">IFERROR(__xludf.DUMMYFUNCTION("""COMPUTED_VALUE"""),4)</f>
        <v>4</v>
      </c>
      <c r="T57" s="54">
        <f ca="1">IFERROR(__xludf.DUMMYFUNCTION("""COMPUTED_VALUE"""),2)</f>
        <v>2</v>
      </c>
      <c r="U57" s="51">
        <f t="shared" ca="1" si="6"/>
        <v>0.5</v>
      </c>
      <c r="V57" s="54">
        <f ca="1">IFERROR(__xludf.DUMMYFUNCTION("""COMPUTED_VALUE"""),1)</f>
        <v>1</v>
      </c>
      <c r="W57" s="51">
        <f t="shared" ca="1" si="7"/>
        <v>0.25</v>
      </c>
      <c r="X57" s="54">
        <f ca="1">IFERROR(__xludf.DUMMYFUNCTION("""COMPUTED_VALUE"""),0)</f>
        <v>0</v>
      </c>
      <c r="Y57" s="51">
        <f t="shared" ca="1" si="8"/>
        <v>0</v>
      </c>
      <c r="Z57" s="2"/>
      <c r="AA57" s="2"/>
      <c r="AB57" s="2"/>
      <c r="AC57" s="2"/>
      <c r="AD57" s="2"/>
      <c r="AE57" s="2"/>
    </row>
    <row r="58" spans="1:31" ht="12.75" x14ac:dyDescent="0.2">
      <c r="A58" s="53">
        <f ca="1">IFERROR(__xludf.DUMMYFUNCTION("""COMPUTED_VALUE"""),51)</f>
        <v>51</v>
      </c>
      <c r="B58" s="53" t="str">
        <f ca="1">IFERROR(__xludf.DUMMYFUNCTION("""COMPUTED_VALUE"""),"TH Lê Quang Định")</f>
        <v>TH Lê Quang Định</v>
      </c>
      <c r="C58" s="53" t="str">
        <f ca="1">IFERROR(__xludf.DUMMYFUNCTION("""COMPUTED_VALUE"""),"TH")</f>
        <v>TH</v>
      </c>
      <c r="D58" s="53" t="str">
        <f ca="1">IFERROR(__xludf.DUMMYFUNCTION("""COMPUTED_VALUE"""),"Nhà Bè")</f>
        <v>Nhà Bè</v>
      </c>
      <c r="E58" s="54">
        <f ca="1">IFERROR(__xludf.DUMMYFUNCTION("""COMPUTED_VALUE"""),61)</f>
        <v>61</v>
      </c>
      <c r="F58" s="54">
        <f ca="1">IFERROR(__xludf.DUMMYFUNCTION("""COMPUTED_VALUE"""),61)</f>
        <v>61</v>
      </c>
      <c r="G58" s="51">
        <f t="shared" ca="1" si="0"/>
        <v>1</v>
      </c>
      <c r="H58" s="54">
        <f ca="1">IFERROR(__xludf.DUMMYFUNCTION("""COMPUTED_VALUE"""),61)</f>
        <v>61</v>
      </c>
      <c r="I58" s="51">
        <f t="shared" ca="1" si="1"/>
        <v>1</v>
      </c>
      <c r="J58" s="54">
        <f ca="1">IFERROR(__xludf.DUMMYFUNCTION("""COMPUTED_VALUE"""),60)</f>
        <v>60</v>
      </c>
      <c r="K58" s="51">
        <f t="shared" ca="1" si="2"/>
        <v>0.98360655737704916</v>
      </c>
      <c r="L58" s="54">
        <f ca="1">IFERROR(__xludf.DUMMYFUNCTION("""COMPUTED_VALUE"""),28)</f>
        <v>28</v>
      </c>
      <c r="M58" s="51">
        <f t="shared" ca="1" si="3"/>
        <v>0.45901639344262296</v>
      </c>
      <c r="N58" s="54">
        <f ca="1">IFERROR(__xludf.DUMMYFUNCTION("""COMPUTED_VALUE"""),1079)</f>
        <v>1079</v>
      </c>
      <c r="O58" s="54">
        <f ca="1">IFERROR(__xludf.DUMMYFUNCTION("""COMPUTED_VALUE"""),805)</f>
        <v>805</v>
      </c>
      <c r="P58" s="51">
        <f t="shared" ca="1" si="4"/>
        <v>0.74606116774791476</v>
      </c>
      <c r="Q58" s="54">
        <f ca="1">IFERROR(__xludf.DUMMYFUNCTION("""COMPUTED_VALUE"""),226)</f>
        <v>226</v>
      </c>
      <c r="R58" s="51">
        <f t="shared" ca="1" si="5"/>
        <v>0.20945319740500462</v>
      </c>
      <c r="S58" s="54">
        <f ca="1">IFERROR(__xludf.DUMMYFUNCTION("""COMPUTED_VALUE"""),0)</f>
        <v>0</v>
      </c>
      <c r="T58" s="53">
        <f ca="1">IFERROR(__xludf.DUMMYFUNCTION("""COMPUTED_VALUE"""),0)</f>
        <v>0</v>
      </c>
      <c r="U58" s="51" t="str">
        <f t="shared" ca="1" si="6"/>
        <v/>
      </c>
      <c r="V58" s="54">
        <f ca="1">IFERROR(__xludf.DUMMYFUNCTION("""COMPUTED_VALUE"""),0)</f>
        <v>0</v>
      </c>
      <c r="W58" s="51" t="str">
        <f t="shared" ca="1" si="7"/>
        <v/>
      </c>
      <c r="X58" s="54">
        <f ca="1">IFERROR(__xludf.DUMMYFUNCTION("""COMPUTED_VALUE"""),0)</f>
        <v>0</v>
      </c>
      <c r="Y58" s="51" t="str">
        <f t="shared" ca="1" si="8"/>
        <v/>
      </c>
      <c r="Z58" s="2"/>
      <c r="AA58" s="2"/>
      <c r="AB58" s="2"/>
      <c r="AC58" s="2"/>
      <c r="AD58" s="2"/>
      <c r="AE58" s="2"/>
    </row>
    <row r="59" spans="1:31" ht="12.75" x14ac:dyDescent="0.2">
      <c r="A59" s="53">
        <f ca="1">IFERROR(__xludf.DUMMYFUNCTION("""COMPUTED_VALUE"""),52)</f>
        <v>52</v>
      </c>
      <c r="B59" s="53" t="str">
        <f ca="1">IFERROR(__xludf.DUMMYFUNCTION("""COMPUTED_VALUE"""),"TH Lê Văn Lương")</f>
        <v>TH Lê Văn Lương</v>
      </c>
      <c r="C59" s="53" t="str">
        <f ca="1">IFERROR(__xludf.DUMMYFUNCTION("""COMPUTED_VALUE"""),"TH")</f>
        <v>TH</v>
      </c>
      <c r="D59" s="53" t="str">
        <f ca="1">IFERROR(__xludf.DUMMYFUNCTION("""COMPUTED_VALUE"""),"Nhà Bè")</f>
        <v>Nhà Bè</v>
      </c>
      <c r="E59" s="54">
        <f ca="1">IFERROR(__xludf.DUMMYFUNCTION("""COMPUTED_VALUE"""),67)</f>
        <v>67</v>
      </c>
      <c r="F59" s="54">
        <f ca="1">IFERROR(__xludf.DUMMYFUNCTION("""COMPUTED_VALUE"""),67)</f>
        <v>67</v>
      </c>
      <c r="G59" s="51">
        <f t="shared" ca="1" si="0"/>
        <v>1</v>
      </c>
      <c r="H59" s="54">
        <f ca="1">IFERROR(__xludf.DUMMYFUNCTION("""COMPUTED_VALUE"""),67)</f>
        <v>67</v>
      </c>
      <c r="I59" s="51">
        <f t="shared" ca="1" si="1"/>
        <v>1</v>
      </c>
      <c r="J59" s="54">
        <f ca="1">IFERROR(__xludf.DUMMYFUNCTION("""COMPUTED_VALUE"""),66)</f>
        <v>66</v>
      </c>
      <c r="K59" s="51">
        <f t="shared" ca="1" si="2"/>
        <v>0.9850746268656716</v>
      </c>
      <c r="L59" s="54">
        <f ca="1">IFERROR(__xludf.DUMMYFUNCTION("""COMPUTED_VALUE"""),54)</f>
        <v>54</v>
      </c>
      <c r="M59" s="51">
        <f t="shared" ca="1" si="3"/>
        <v>0.80597014925373134</v>
      </c>
      <c r="N59" s="54">
        <f ca="1">IFERROR(__xludf.DUMMYFUNCTION("""COMPUTED_VALUE"""),1216)</f>
        <v>1216</v>
      </c>
      <c r="O59" s="54">
        <f ca="1">IFERROR(__xludf.DUMMYFUNCTION("""COMPUTED_VALUE"""),769)</f>
        <v>769</v>
      </c>
      <c r="P59" s="51">
        <f t="shared" ca="1" si="4"/>
        <v>0.63240131578947367</v>
      </c>
      <c r="Q59" s="54">
        <f ca="1">IFERROR(__xludf.DUMMYFUNCTION("""COMPUTED_VALUE"""),64)</f>
        <v>64</v>
      </c>
      <c r="R59" s="51">
        <f t="shared" ca="1" si="5"/>
        <v>5.2631578947368418E-2</v>
      </c>
      <c r="S59" s="54">
        <f ca="1">IFERROR(__xludf.DUMMYFUNCTION("""COMPUTED_VALUE"""),2)</f>
        <v>2</v>
      </c>
      <c r="T59" s="54">
        <f ca="1">IFERROR(__xludf.DUMMYFUNCTION("""COMPUTED_VALUE"""),2)</f>
        <v>2</v>
      </c>
      <c r="U59" s="51">
        <f t="shared" ca="1" si="6"/>
        <v>1</v>
      </c>
      <c r="V59" s="54">
        <f ca="1">IFERROR(__xludf.DUMMYFUNCTION("""COMPUTED_VALUE"""),1)</f>
        <v>1</v>
      </c>
      <c r="W59" s="51">
        <f t="shared" ca="1" si="7"/>
        <v>0.5</v>
      </c>
      <c r="X59" s="54">
        <f ca="1">IFERROR(__xludf.DUMMYFUNCTION("""COMPUTED_VALUE"""),0)</f>
        <v>0</v>
      </c>
      <c r="Y59" s="51">
        <f t="shared" ca="1" si="8"/>
        <v>0</v>
      </c>
      <c r="Z59" s="2"/>
      <c r="AA59" s="2"/>
      <c r="AB59" s="2"/>
      <c r="AC59" s="2"/>
      <c r="AD59" s="2"/>
      <c r="AE59" s="2"/>
    </row>
    <row r="60" spans="1:31" ht="12.75" x14ac:dyDescent="0.2">
      <c r="A60" s="53">
        <f ca="1">IFERROR(__xludf.DUMMYFUNCTION("""COMPUTED_VALUE"""),53)</f>
        <v>53</v>
      </c>
      <c r="B60" s="53" t="str">
        <f ca="1">IFERROR(__xludf.DUMMYFUNCTION("""COMPUTED_VALUE"""),"TH Nguyễn Bình")</f>
        <v>TH Nguyễn Bình</v>
      </c>
      <c r="C60" s="53" t="str">
        <f ca="1">IFERROR(__xludf.DUMMYFUNCTION("""COMPUTED_VALUE"""),"TH")</f>
        <v>TH</v>
      </c>
      <c r="D60" s="53" t="str">
        <f ca="1">IFERROR(__xludf.DUMMYFUNCTION("""COMPUTED_VALUE"""),"Nhà Bè")</f>
        <v>Nhà Bè</v>
      </c>
      <c r="E60" s="54">
        <f ca="1">IFERROR(__xludf.DUMMYFUNCTION("""COMPUTED_VALUE"""),45)</f>
        <v>45</v>
      </c>
      <c r="F60" s="54">
        <f ca="1">IFERROR(__xludf.DUMMYFUNCTION("""COMPUTED_VALUE"""),45)</f>
        <v>45</v>
      </c>
      <c r="G60" s="51">
        <f t="shared" ca="1" si="0"/>
        <v>1</v>
      </c>
      <c r="H60" s="54">
        <f ca="1">IFERROR(__xludf.DUMMYFUNCTION("""COMPUTED_VALUE"""),45)</f>
        <v>45</v>
      </c>
      <c r="I60" s="51">
        <f t="shared" ca="1" si="1"/>
        <v>1</v>
      </c>
      <c r="J60" s="54">
        <f ca="1">IFERROR(__xludf.DUMMYFUNCTION("""COMPUTED_VALUE"""),43)</f>
        <v>43</v>
      </c>
      <c r="K60" s="51">
        <f t="shared" ca="1" si="2"/>
        <v>0.9555555555555556</v>
      </c>
      <c r="L60" s="54">
        <f ca="1">IFERROR(__xludf.DUMMYFUNCTION("""COMPUTED_VALUE"""),22)</f>
        <v>22</v>
      </c>
      <c r="M60" s="51">
        <f t="shared" ca="1" si="3"/>
        <v>0.48888888888888887</v>
      </c>
      <c r="N60" s="54">
        <f ca="1">IFERROR(__xludf.DUMMYFUNCTION("""COMPUTED_VALUE"""),965)</f>
        <v>965</v>
      </c>
      <c r="O60" s="54">
        <f ca="1">IFERROR(__xludf.DUMMYFUNCTION("""COMPUTED_VALUE"""),493)</f>
        <v>493</v>
      </c>
      <c r="P60" s="51">
        <f t="shared" ca="1" si="4"/>
        <v>0.51088082901554399</v>
      </c>
      <c r="Q60" s="54">
        <f ca="1">IFERROR(__xludf.DUMMYFUNCTION("""COMPUTED_VALUE"""),269)</f>
        <v>269</v>
      </c>
      <c r="R60" s="51">
        <f t="shared" ca="1" si="5"/>
        <v>0.27875647668393783</v>
      </c>
      <c r="S60" s="54">
        <f ca="1">IFERROR(__xludf.DUMMYFUNCTION("""COMPUTED_VALUE"""),3)</f>
        <v>3</v>
      </c>
      <c r="T60" s="54">
        <f ca="1">IFERROR(__xludf.DUMMYFUNCTION("""COMPUTED_VALUE"""),3)</f>
        <v>3</v>
      </c>
      <c r="U60" s="51">
        <f t="shared" ca="1" si="6"/>
        <v>1</v>
      </c>
      <c r="V60" s="54">
        <f ca="1">IFERROR(__xludf.DUMMYFUNCTION("""COMPUTED_VALUE"""),2)</f>
        <v>2</v>
      </c>
      <c r="W60" s="51">
        <f t="shared" ca="1" si="7"/>
        <v>0.66666666666666663</v>
      </c>
      <c r="X60" s="54">
        <f ca="1">IFERROR(__xludf.DUMMYFUNCTION("""COMPUTED_VALUE"""),0)</f>
        <v>0</v>
      </c>
      <c r="Y60" s="51">
        <f t="shared" ca="1" si="8"/>
        <v>0</v>
      </c>
      <c r="Z60" s="2"/>
      <c r="AA60" s="2"/>
      <c r="AB60" s="2"/>
      <c r="AC60" s="2"/>
      <c r="AD60" s="2"/>
      <c r="AE60" s="2"/>
    </row>
    <row r="61" spans="1:31" ht="12.75" x14ac:dyDescent="0.2">
      <c r="A61" s="53">
        <f ca="1">IFERROR(__xludf.DUMMYFUNCTION("""COMPUTED_VALUE"""),54)</f>
        <v>54</v>
      </c>
      <c r="B61" s="53" t="str">
        <f ca="1">IFERROR(__xludf.DUMMYFUNCTION("""COMPUTED_VALUE"""),"TH Nguyễn Trực")</f>
        <v>TH Nguyễn Trực</v>
      </c>
      <c r="C61" s="53" t="str">
        <f ca="1">IFERROR(__xludf.DUMMYFUNCTION("""COMPUTED_VALUE"""),"TH")</f>
        <v>TH</v>
      </c>
      <c r="D61" s="53" t="str">
        <f ca="1">IFERROR(__xludf.DUMMYFUNCTION("""COMPUTED_VALUE"""),"Nhà Bè")</f>
        <v>Nhà Bè</v>
      </c>
      <c r="E61" s="54">
        <f ca="1">IFERROR(__xludf.DUMMYFUNCTION("""COMPUTED_VALUE"""),59)</f>
        <v>59</v>
      </c>
      <c r="F61" s="54">
        <f ca="1">IFERROR(__xludf.DUMMYFUNCTION("""COMPUTED_VALUE"""),59)</f>
        <v>59</v>
      </c>
      <c r="G61" s="51">
        <f t="shared" ca="1" si="0"/>
        <v>1</v>
      </c>
      <c r="H61" s="54">
        <f ca="1">IFERROR(__xludf.DUMMYFUNCTION("""COMPUTED_VALUE"""),59)</f>
        <v>59</v>
      </c>
      <c r="I61" s="51">
        <f t="shared" ca="1" si="1"/>
        <v>1</v>
      </c>
      <c r="J61" s="54">
        <f ca="1">IFERROR(__xludf.DUMMYFUNCTION("""COMPUTED_VALUE"""),59)</f>
        <v>59</v>
      </c>
      <c r="K61" s="51">
        <f t="shared" ca="1" si="2"/>
        <v>1</v>
      </c>
      <c r="L61" s="54">
        <f ca="1">IFERROR(__xludf.DUMMYFUNCTION("""COMPUTED_VALUE"""),31)</f>
        <v>31</v>
      </c>
      <c r="M61" s="51">
        <f t="shared" ca="1" si="3"/>
        <v>0.52542372881355937</v>
      </c>
      <c r="N61" s="54">
        <f ca="1">IFERROR(__xludf.DUMMYFUNCTION("""COMPUTED_VALUE"""),1260)</f>
        <v>1260</v>
      </c>
      <c r="O61" s="54">
        <f ca="1">IFERROR(__xludf.DUMMYFUNCTION("""COMPUTED_VALUE"""),1055)</f>
        <v>1055</v>
      </c>
      <c r="P61" s="51">
        <f t="shared" ca="1" si="4"/>
        <v>0.83730158730158732</v>
      </c>
      <c r="Q61" s="54">
        <f ca="1">IFERROR(__xludf.DUMMYFUNCTION("""COMPUTED_VALUE"""),695)</f>
        <v>695</v>
      </c>
      <c r="R61" s="51">
        <f t="shared" ca="1" si="5"/>
        <v>0.55158730158730163</v>
      </c>
      <c r="S61" s="54">
        <f ca="1">IFERROR(__xludf.DUMMYFUNCTION("""COMPUTED_VALUE"""),5)</f>
        <v>5</v>
      </c>
      <c r="T61" s="53">
        <f ca="1">IFERROR(__xludf.DUMMYFUNCTION("""COMPUTED_VALUE"""),3)</f>
        <v>3</v>
      </c>
      <c r="U61" s="51">
        <f t="shared" ca="1" si="6"/>
        <v>0.6</v>
      </c>
      <c r="V61" s="54">
        <f ca="1">IFERROR(__xludf.DUMMYFUNCTION("""COMPUTED_VALUE"""),1)</f>
        <v>1</v>
      </c>
      <c r="W61" s="51">
        <f t="shared" ca="1" si="7"/>
        <v>0.2</v>
      </c>
      <c r="X61" s="54">
        <f ca="1">IFERROR(__xludf.DUMMYFUNCTION("""COMPUTED_VALUE"""),0)</f>
        <v>0</v>
      </c>
      <c r="Y61" s="51">
        <f t="shared" ca="1" si="8"/>
        <v>0</v>
      </c>
      <c r="Z61" s="2"/>
      <c r="AA61" s="2"/>
      <c r="AB61" s="2"/>
      <c r="AC61" s="2"/>
      <c r="AD61" s="2"/>
      <c r="AE61" s="2"/>
    </row>
    <row r="62" spans="1:31" ht="12.75" x14ac:dyDescent="0.2">
      <c r="A62" s="53">
        <f ca="1">IFERROR(__xludf.DUMMYFUNCTION("""COMPUTED_VALUE"""),55)</f>
        <v>55</v>
      </c>
      <c r="B62" s="53" t="str">
        <f ca="1">IFERROR(__xludf.DUMMYFUNCTION("""COMPUTED_VALUE"""),"TH Nguyễn Văn Tạo")</f>
        <v>TH Nguyễn Văn Tạo</v>
      </c>
      <c r="C62" s="53" t="str">
        <f ca="1">IFERROR(__xludf.DUMMYFUNCTION("""COMPUTED_VALUE"""),"TH")</f>
        <v>TH</v>
      </c>
      <c r="D62" s="53" t="str">
        <f ca="1">IFERROR(__xludf.DUMMYFUNCTION("""COMPUTED_VALUE"""),"Nhà Bè")</f>
        <v>Nhà Bè</v>
      </c>
      <c r="E62" s="54">
        <f ca="1">IFERROR(__xludf.DUMMYFUNCTION("""COMPUTED_VALUE"""),52)</f>
        <v>52</v>
      </c>
      <c r="F62" s="54">
        <f ca="1">IFERROR(__xludf.DUMMYFUNCTION("""COMPUTED_VALUE"""),52)</f>
        <v>52</v>
      </c>
      <c r="G62" s="51">
        <f t="shared" ca="1" si="0"/>
        <v>1</v>
      </c>
      <c r="H62" s="54">
        <f ca="1">IFERROR(__xludf.DUMMYFUNCTION("""COMPUTED_VALUE"""),52)</f>
        <v>52</v>
      </c>
      <c r="I62" s="51">
        <f t="shared" ca="1" si="1"/>
        <v>1</v>
      </c>
      <c r="J62" s="54">
        <f ca="1">IFERROR(__xludf.DUMMYFUNCTION("""COMPUTED_VALUE"""),51)</f>
        <v>51</v>
      </c>
      <c r="K62" s="51">
        <f t="shared" ca="1" si="2"/>
        <v>0.98076923076923073</v>
      </c>
      <c r="L62" s="54">
        <f ca="1">IFERROR(__xludf.DUMMYFUNCTION("""COMPUTED_VALUE"""),37)</f>
        <v>37</v>
      </c>
      <c r="M62" s="51">
        <f t="shared" ca="1" si="3"/>
        <v>0.71153846153846156</v>
      </c>
      <c r="N62" s="54">
        <f ca="1">IFERROR(__xludf.DUMMYFUNCTION("""COMPUTED_VALUE"""),879)</f>
        <v>879</v>
      </c>
      <c r="O62" s="54">
        <f ca="1">IFERROR(__xludf.DUMMYFUNCTION("""COMPUTED_VALUE"""),679)</f>
        <v>679</v>
      </c>
      <c r="P62" s="51">
        <f t="shared" ca="1" si="4"/>
        <v>0.77246871444823662</v>
      </c>
      <c r="Q62" s="54">
        <f ca="1">IFERROR(__xludf.DUMMYFUNCTION("""COMPUTED_VALUE"""),405)</f>
        <v>405</v>
      </c>
      <c r="R62" s="51">
        <f t="shared" ca="1" si="5"/>
        <v>0.46075085324232085</v>
      </c>
      <c r="S62" s="54">
        <f ca="1">IFERROR(__xludf.DUMMYFUNCTION("""COMPUTED_VALUE"""),6)</f>
        <v>6</v>
      </c>
      <c r="T62" s="53">
        <f ca="1">IFERROR(__xludf.DUMMYFUNCTION("""COMPUTED_VALUE"""),6)</f>
        <v>6</v>
      </c>
      <c r="U62" s="51">
        <f t="shared" ca="1" si="6"/>
        <v>1</v>
      </c>
      <c r="V62" s="54">
        <f ca="1">IFERROR(__xludf.DUMMYFUNCTION("""COMPUTED_VALUE"""),5)</f>
        <v>5</v>
      </c>
      <c r="W62" s="51">
        <f t="shared" ca="1" si="7"/>
        <v>0.83333333333333337</v>
      </c>
      <c r="X62" s="54">
        <f ca="1">IFERROR(__xludf.DUMMYFUNCTION("""COMPUTED_VALUE"""),0)</f>
        <v>0</v>
      </c>
      <c r="Y62" s="51">
        <f t="shared" ca="1" si="8"/>
        <v>0</v>
      </c>
      <c r="Z62" s="2"/>
      <c r="AA62" s="2"/>
      <c r="AB62" s="2"/>
      <c r="AC62" s="2"/>
      <c r="AD62" s="2"/>
      <c r="AE62" s="2"/>
    </row>
    <row r="63" spans="1:31" ht="12.75" x14ac:dyDescent="0.2">
      <c r="A63" s="53">
        <f ca="1">IFERROR(__xludf.DUMMYFUNCTION("""COMPUTED_VALUE"""),56)</f>
        <v>56</v>
      </c>
      <c r="B63" s="53" t="str">
        <f ca="1">IFERROR(__xludf.DUMMYFUNCTION("""COMPUTED_VALUE"""),"TH Nguyễn Việt Hồng")</f>
        <v>TH Nguyễn Việt Hồng</v>
      </c>
      <c r="C63" s="53" t="str">
        <f ca="1">IFERROR(__xludf.DUMMYFUNCTION("""COMPUTED_VALUE"""),"TH")</f>
        <v>TH</v>
      </c>
      <c r="D63" s="53" t="str">
        <f ca="1">IFERROR(__xludf.DUMMYFUNCTION("""COMPUTED_VALUE"""),"Nhà Bè")</f>
        <v>Nhà Bè</v>
      </c>
      <c r="E63" s="54">
        <f ca="1">IFERROR(__xludf.DUMMYFUNCTION("""COMPUTED_VALUE"""),45)</f>
        <v>45</v>
      </c>
      <c r="F63" s="54">
        <f ca="1">IFERROR(__xludf.DUMMYFUNCTION("""COMPUTED_VALUE"""),45)</f>
        <v>45</v>
      </c>
      <c r="G63" s="51">
        <f t="shared" ca="1" si="0"/>
        <v>1</v>
      </c>
      <c r="H63" s="54">
        <f ca="1">IFERROR(__xludf.DUMMYFUNCTION("""COMPUTED_VALUE"""),45)</f>
        <v>45</v>
      </c>
      <c r="I63" s="51">
        <f t="shared" ca="1" si="1"/>
        <v>1</v>
      </c>
      <c r="J63" s="54">
        <f ca="1">IFERROR(__xludf.DUMMYFUNCTION("""COMPUTED_VALUE"""),45)</f>
        <v>45</v>
      </c>
      <c r="K63" s="51">
        <f t="shared" ca="1" si="2"/>
        <v>1</v>
      </c>
      <c r="L63" s="54">
        <f ca="1">IFERROR(__xludf.DUMMYFUNCTION("""COMPUTED_VALUE"""),34)</f>
        <v>34</v>
      </c>
      <c r="M63" s="51">
        <f t="shared" ca="1" si="3"/>
        <v>0.75555555555555554</v>
      </c>
      <c r="N63" s="54">
        <f ca="1">IFERROR(__xludf.DUMMYFUNCTION("""COMPUTED_VALUE"""),886)</f>
        <v>886</v>
      </c>
      <c r="O63" s="54">
        <f ca="1">IFERROR(__xludf.DUMMYFUNCTION("""COMPUTED_VALUE"""),669)</f>
        <v>669</v>
      </c>
      <c r="P63" s="51">
        <f t="shared" ca="1" si="4"/>
        <v>0.75507900677200901</v>
      </c>
      <c r="Q63" s="54">
        <f ca="1">IFERROR(__xludf.DUMMYFUNCTION("""COMPUTED_VALUE"""),350)</f>
        <v>350</v>
      </c>
      <c r="R63" s="51">
        <f t="shared" ca="1" si="5"/>
        <v>0.39503386004514673</v>
      </c>
      <c r="S63" s="54">
        <f ca="1">IFERROR(__xludf.DUMMYFUNCTION("""COMPUTED_VALUE"""),1)</f>
        <v>1</v>
      </c>
      <c r="T63" s="54">
        <f ca="1">IFERROR(__xludf.DUMMYFUNCTION("""COMPUTED_VALUE"""),1)</f>
        <v>1</v>
      </c>
      <c r="U63" s="51">
        <f t="shared" ca="1" si="6"/>
        <v>1</v>
      </c>
      <c r="V63" s="54">
        <f ca="1">IFERROR(__xludf.DUMMYFUNCTION("""COMPUTED_VALUE"""),1)</f>
        <v>1</v>
      </c>
      <c r="W63" s="51">
        <f t="shared" ca="1" si="7"/>
        <v>1</v>
      </c>
      <c r="X63" s="54">
        <f ca="1">IFERROR(__xludf.DUMMYFUNCTION("""COMPUTED_VALUE"""),0)</f>
        <v>0</v>
      </c>
      <c r="Y63" s="51">
        <f t="shared" ca="1" si="8"/>
        <v>0</v>
      </c>
      <c r="Z63" s="2"/>
      <c r="AA63" s="2"/>
      <c r="AB63" s="2"/>
      <c r="AC63" s="2"/>
      <c r="AD63" s="2"/>
      <c r="AE63" s="2"/>
    </row>
    <row r="64" spans="1:31" ht="12.75" x14ac:dyDescent="0.2">
      <c r="A64" s="53">
        <f ca="1">IFERROR(__xludf.DUMMYFUNCTION("""COMPUTED_VALUE"""),57)</f>
        <v>57</v>
      </c>
      <c r="B64" s="53" t="str">
        <f ca="1">IFERROR(__xludf.DUMMYFUNCTION("""COMPUTED_VALUE"""),"TH Nguyễn Hồng Thế")</f>
        <v>TH Nguyễn Hồng Thế</v>
      </c>
      <c r="C64" s="53" t="str">
        <f ca="1">IFERROR(__xludf.DUMMYFUNCTION("""COMPUTED_VALUE"""),"TH")</f>
        <v>TH</v>
      </c>
      <c r="D64" s="53" t="str">
        <f ca="1">IFERROR(__xludf.DUMMYFUNCTION("""COMPUTED_VALUE"""),"Nhà Bè")</f>
        <v>Nhà Bè</v>
      </c>
      <c r="E64" s="54">
        <f ca="1">IFERROR(__xludf.DUMMYFUNCTION("""COMPUTED_VALUE"""),14)</f>
        <v>14</v>
      </c>
      <c r="F64" s="54">
        <f ca="1">IFERROR(__xludf.DUMMYFUNCTION("""COMPUTED_VALUE"""),14)</f>
        <v>14</v>
      </c>
      <c r="G64" s="51">
        <f t="shared" ca="1" si="0"/>
        <v>1</v>
      </c>
      <c r="H64" s="54">
        <f ca="1">IFERROR(__xludf.DUMMYFUNCTION("""COMPUTED_VALUE"""),14)</f>
        <v>14</v>
      </c>
      <c r="I64" s="51">
        <f t="shared" ca="1" si="1"/>
        <v>1</v>
      </c>
      <c r="J64" s="54">
        <f ca="1">IFERROR(__xludf.DUMMYFUNCTION("""COMPUTED_VALUE"""),14)</f>
        <v>14</v>
      </c>
      <c r="K64" s="51">
        <f t="shared" ca="1" si="2"/>
        <v>1</v>
      </c>
      <c r="L64" s="54">
        <f ca="1">IFERROR(__xludf.DUMMYFUNCTION("""COMPUTED_VALUE"""),12)</f>
        <v>12</v>
      </c>
      <c r="M64" s="51">
        <f t="shared" ca="1" si="3"/>
        <v>0.8571428571428571</v>
      </c>
      <c r="N64" s="54">
        <f ca="1">IFERROR(__xludf.DUMMYFUNCTION("""COMPUTED_VALUE"""),176)</f>
        <v>176</v>
      </c>
      <c r="O64" s="54">
        <f ca="1">IFERROR(__xludf.DUMMYFUNCTION("""COMPUTED_VALUE"""),158)</f>
        <v>158</v>
      </c>
      <c r="P64" s="51">
        <f t="shared" ca="1" si="4"/>
        <v>0.89772727272727271</v>
      </c>
      <c r="Q64" s="54">
        <f ca="1">IFERROR(__xludf.DUMMYFUNCTION("""COMPUTED_VALUE"""),4)</f>
        <v>4</v>
      </c>
      <c r="R64" s="51">
        <f t="shared" ca="1" si="5"/>
        <v>2.2727272727272728E-2</v>
      </c>
      <c r="S64" s="54">
        <f ca="1">IFERROR(__xludf.DUMMYFUNCTION("""COMPUTED_VALUE"""),2)</f>
        <v>2</v>
      </c>
      <c r="T64" s="53">
        <f ca="1">IFERROR(__xludf.DUMMYFUNCTION("""COMPUTED_VALUE"""),2)</f>
        <v>2</v>
      </c>
      <c r="U64" s="51">
        <f t="shared" ca="1" si="6"/>
        <v>1</v>
      </c>
      <c r="V64" s="54">
        <f ca="1">IFERROR(__xludf.DUMMYFUNCTION("""COMPUTED_VALUE"""),0)</f>
        <v>0</v>
      </c>
      <c r="W64" s="51">
        <f t="shared" ca="1" si="7"/>
        <v>0</v>
      </c>
      <c r="X64" s="54">
        <f ca="1">IFERROR(__xludf.DUMMYFUNCTION("""COMPUTED_VALUE"""),0)</f>
        <v>0</v>
      </c>
      <c r="Y64" s="51">
        <f t="shared" ca="1" si="8"/>
        <v>0</v>
      </c>
      <c r="Z64" s="2"/>
      <c r="AA64" s="2"/>
      <c r="AB64" s="2"/>
      <c r="AC64" s="2"/>
      <c r="AD64" s="2"/>
      <c r="AE64" s="2"/>
    </row>
    <row r="65" spans="1:31" ht="12.75" x14ac:dyDescent="0.2">
      <c r="A65" s="53">
        <f ca="1">IFERROR(__xludf.DUMMYFUNCTION("""COMPUTED_VALUE"""),58)</f>
        <v>58</v>
      </c>
      <c r="B65" s="53" t="str">
        <f ca="1">IFERROR(__xludf.DUMMYFUNCTION("""COMPUTED_VALUE"""),"TH Tạ Uyên")</f>
        <v>TH Tạ Uyên</v>
      </c>
      <c r="C65" s="53" t="str">
        <f ca="1">IFERROR(__xludf.DUMMYFUNCTION("""COMPUTED_VALUE"""),"TH")</f>
        <v>TH</v>
      </c>
      <c r="D65" s="53" t="str">
        <f ca="1">IFERROR(__xludf.DUMMYFUNCTION("""COMPUTED_VALUE"""),"Nhà Bè")</f>
        <v>Nhà Bè</v>
      </c>
      <c r="E65" s="53">
        <f ca="1">IFERROR(__xludf.DUMMYFUNCTION("""COMPUTED_VALUE"""),61)</f>
        <v>61</v>
      </c>
      <c r="F65" s="53">
        <f ca="1">IFERROR(__xludf.DUMMYFUNCTION("""COMPUTED_VALUE"""),61)</f>
        <v>61</v>
      </c>
      <c r="G65" s="51">
        <f t="shared" ca="1" si="0"/>
        <v>1</v>
      </c>
      <c r="H65" s="53">
        <f ca="1">IFERROR(__xludf.DUMMYFUNCTION("""COMPUTED_VALUE"""),61)</f>
        <v>61</v>
      </c>
      <c r="I65" s="51">
        <f t="shared" ca="1" si="1"/>
        <v>1</v>
      </c>
      <c r="J65" s="53">
        <f ca="1">IFERROR(__xludf.DUMMYFUNCTION("""COMPUTED_VALUE"""),60)</f>
        <v>60</v>
      </c>
      <c r="K65" s="51">
        <f t="shared" ca="1" si="2"/>
        <v>0.98360655737704916</v>
      </c>
      <c r="L65" s="53">
        <f ca="1">IFERROR(__xludf.DUMMYFUNCTION("""COMPUTED_VALUE"""),44)</f>
        <v>44</v>
      </c>
      <c r="M65" s="51">
        <f t="shared" ca="1" si="3"/>
        <v>0.72131147540983609</v>
      </c>
      <c r="N65" s="54">
        <f ca="1">IFERROR(__xludf.DUMMYFUNCTION("""COMPUTED_VALUE"""),1748)</f>
        <v>1748</v>
      </c>
      <c r="O65" s="54">
        <f ca="1">IFERROR(__xludf.DUMMYFUNCTION("""COMPUTED_VALUE"""),1326)</f>
        <v>1326</v>
      </c>
      <c r="P65" s="51">
        <f t="shared" ca="1" si="4"/>
        <v>0.75858123569794045</v>
      </c>
      <c r="Q65" s="54">
        <f ca="1">IFERROR(__xludf.DUMMYFUNCTION("""COMPUTED_VALUE"""),504)</f>
        <v>504</v>
      </c>
      <c r="R65" s="51">
        <f t="shared" ca="1" si="5"/>
        <v>0.28832951945080093</v>
      </c>
      <c r="S65" s="54">
        <f ca="1">IFERROR(__xludf.DUMMYFUNCTION("""COMPUTED_VALUE"""),1)</f>
        <v>1</v>
      </c>
      <c r="T65" s="53">
        <f ca="1">IFERROR(__xludf.DUMMYFUNCTION("""COMPUTED_VALUE"""),1)</f>
        <v>1</v>
      </c>
      <c r="U65" s="51">
        <f t="shared" ca="1" si="6"/>
        <v>1</v>
      </c>
      <c r="V65" s="54">
        <f ca="1">IFERROR(__xludf.DUMMYFUNCTION("""COMPUTED_VALUE"""),1)</f>
        <v>1</v>
      </c>
      <c r="W65" s="51">
        <f t="shared" ca="1" si="7"/>
        <v>1</v>
      </c>
      <c r="X65" s="54">
        <f ca="1">IFERROR(__xludf.DUMMYFUNCTION("""COMPUTED_VALUE"""),0)</f>
        <v>0</v>
      </c>
      <c r="Y65" s="51">
        <f t="shared" ca="1" si="8"/>
        <v>0</v>
      </c>
      <c r="Z65" s="2"/>
      <c r="AA65" s="2"/>
      <c r="AB65" s="2"/>
      <c r="AC65" s="2"/>
      <c r="AD65" s="2"/>
      <c r="AE65" s="2"/>
    </row>
    <row r="66" spans="1:31" ht="12.75" x14ac:dyDescent="0.2">
      <c r="A66" s="53">
        <f ca="1">IFERROR(__xludf.DUMMYFUNCTION("""COMPUTED_VALUE"""),59)</f>
        <v>59</v>
      </c>
      <c r="B66" s="53"/>
      <c r="C66" s="53"/>
      <c r="D66" s="53" t="str">
        <f ca="1">IFERROR(__xludf.DUMMYFUNCTION("""COMPUTED_VALUE"""),"Nhà Bè")</f>
        <v>Nhà Bè</v>
      </c>
      <c r="E66" s="54">
        <f ca="1">IFERROR(__xludf.DUMMYFUNCTION("""COMPUTED_VALUE"""),75)</f>
        <v>75</v>
      </c>
      <c r="F66" s="54">
        <f ca="1">IFERROR(__xludf.DUMMYFUNCTION("""COMPUTED_VALUE"""),75)</f>
        <v>75</v>
      </c>
      <c r="G66" s="51">
        <f t="shared" ca="1" si="0"/>
        <v>1</v>
      </c>
      <c r="H66" s="54">
        <f ca="1">IFERROR(__xludf.DUMMYFUNCTION("""COMPUTED_VALUE"""),75)</f>
        <v>75</v>
      </c>
      <c r="I66" s="51">
        <f t="shared" ca="1" si="1"/>
        <v>1</v>
      </c>
      <c r="J66" s="54">
        <f ca="1">IFERROR(__xludf.DUMMYFUNCTION("""COMPUTED_VALUE"""),71)</f>
        <v>71</v>
      </c>
      <c r="K66" s="51">
        <f t="shared" ca="1" si="2"/>
        <v>0.94666666666666666</v>
      </c>
      <c r="L66" s="54">
        <f ca="1">IFERROR(__xludf.DUMMYFUNCTION("""COMPUTED_VALUE"""),48)</f>
        <v>48</v>
      </c>
      <c r="M66" s="51">
        <f t="shared" ca="1" si="3"/>
        <v>0.64</v>
      </c>
      <c r="N66" s="54">
        <f ca="1">IFERROR(__xludf.DUMMYFUNCTION("""COMPUTED_VALUE"""),1447)</f>
        <v>1447</v>
      </c>
      <c r="O66" s="54">
        <f ca="1">IFERROR(__xludf.DUMMYFUNCTION("""COMPUTED_VALUE"""),869)</f>
        <v>869</v>
      </c>
      <c r="P66" s="51">
        <f t="shared" ca="1" si="4"/>
        <v>0.60055286800276431</v>
      </c>
      <c r="Q66" s="54">
        <f ca="1">IFERROR(__xludf.DUMMYFUNCTION("""COMPUTED_VALUE"""),380)</f>
        <v>380</v>
      </c>
      <c r="R66" s="51">
        <f t="shared" ca="1" si="5"/>
        <v>0.26261230131306151</v>
      </c>
      <c r="S66" s="54">
        <f ca="1">IFERROR(__xludf.DUMMYFUNCTION("""COMPUTED_VALUE"""),2)</f>
        <v>2</v>
      </c>
      <c r="T66" s="53">
        <f ca="1">IFERROR(__xludf.DUMMYFUNCTION("""COMPUTED_VALUE"""),2)</f>
        <v>2</v>
      </c>
      <c r="U66" s="51">
        <f t="shared" ca="1" si="6"/>
        <v>1</v>
      </c>
      <c r="V66" s="54">
        <f ca="1">IFERROR(__xludf.DUMMYFUNCTION("""COMPUTED_VALUE"""),2)</f>
        <v>2</v>
      </c>
      <c r="W66" s="51">
        <f t="shared" ca="1" si="7"/>
        <v>1</v>
      </c>
      <c r="X66" s="54">
        <f ca="1">IFERROR(__xludf.DUMMYFUNCTION("""COMPUTED_VALUE"""),0)</f>
        <v>0</v>
      </c>
      <c r="Y66" s="51">
        <f t="shared" ca="1" si="8"/>
        <v>0</v>
      </c>
      <c r="Z66" s="2"/>
      <c r="AA66" s="2"/>
      <c r="AB66" s="2"/>
      <c r="AC66" s="2"/>
      <c r="AD66" s="2"/>
      <c r="AE66" s="2"/>
    </row>
    <row r="67" spans="1:31" ht="12.75" x14ac:dyDescent="0.2">
      <c r="A67" s="53">
        <f ca="1">IFERROR(__xludf.DUMMYFUNCTION("""COMPUTED_VALUE"""),60)</f>
        <v>60</v>
      </c>
      <c r="B67" s="53" t="str">
        <f ca="1">IFERROR(__xludf.DUMMYFUNCTION("""COMPUTED_VALUE"""),"TH Trần Thị Ngọc Hân")</f>
        <v>TH Trần Thị Ngọc Hân</v>
      </c>
      <c r="C67" s="53" t="str">
        <f ca="1">IFERROR(__xludf.DUMMYFUNCTION("""COMPUTED_VALUE"""),"TH")</f>
        <v>TH</v>
      </c>
      <c r="D67" s="53" t="str">
        <f ca="1">IFERROR(__xludf.DUMMYFUNCTION("""COMPUTED_VALUE"""),"Nhà Bè")</f>
        <v>Nhà Bè</v>
      </c>
      <c r="E67" s="54">
        <f ca="1">IFERROR(__xludf.DUMMYFUNCTION("""COMPUTED_VALUE"""),63)</f>
        <v>63</v>
      </c>
      <c r="F67" s="54">
        <f ca="1">IFERROR(__xludf.DUMMYFUNCTION("""COMPUTED_VALUE"""),63)</f>
        <v>63</v>
      </c>
      <c r="G67" s="51">
        <f t="shared" ca="1" si="0"/>
        <v>1</v>
      </c>
      <c r="H67" s="54">
        <f ca="1">IFERROR(__xludf.DUMMYFUNCTION("""COMPUTED_VALUE"""),63)</f>
        <v>63</v>
      </c>
      <c r="I67" s="51">
        <f t="shared" ca="1" si="1"/>
        <v>1</v>
      </c>
      <c r="J67" s="54">
        <f ca="1">IFERROR(__xludf.DUMMYFUNCTION("""COMPUTED_VALUE"""),63)</f>
        <v>63</v>
      </c>
      <c r="K67" s="51">
        <f t="shared" ca="1" si="2"/>
        <v>1</v>
      </c>
      <c r="L67" s="54">
        <f ca="1">IFERROR(__xludf.DUMMYFUNCTION("""COMPUTED_VALUE"""),40)</f>
        <v>40</v>
      </c>
      <c r="M67" s="51">
        <f t="shared" ca="1" si="3"/>
        <v>0.63492063492063489</v>
      </c>
      <c r="N67" s="54">
        <f ca="1">IFERROR(__xludf.DUMMYFUNCTION("""COMPUTED_VALUE"""),1503)</f>
        <v>1503</v>
      </c>
      <c r="O67" s="54">
        <f ca="1">IFERROR(__xludf.DUMMYFUNCTION("""COMPUTED_VALUE"""),888)</f>
        <v>888</v>
      </c>
      <c r="P67" s="51">
        <f t="shared" ca="1" si="4"/>
        <v>0.59081836327345305</v>
      </c>
      <c r="Q67" s="54">
        <f ca="1">IFERROR(__xludf.DUMMYFUNCTION("""COMPUTED_VALUE"""),224)</f>
        <v>224</v>
      </c>
      <c r="R67" s="51">
        <f t="shared" ca="1" si="5"/>
        <v>0.14903526280771789</v>
      </c>
      <c r="S67" s="54">
        <f ca="1">IFERROR(__xludf.DUMMYFUNCTION("""COMPUTED_VALUE"""),5)</f>
        <v>5</v>
      </c>
      <c r="T67" s="54">
        <f ca="1">IFERROR(__xludf.DUMMYFUNCTION("""COMPUTED_VALUE"""),5)</f>
        <v>5</v>
      </c>
      <c r="U67" s="51">
        <f t="shared" ca="1" si="6"/>
        <v>1</v>
      </c>
      <c r="V67" s="54">
        <f ca="1">IFERROR(__xludf.DUMMYFUNCTION("""COMPUTED_VALUE"""),3)</f>
        <v>3</v>
      </c>
      <c r="W67" s="51">
        <f t="shared" ca="1" si="7"/>
        <v>0.6</v>
      </c>
      <c r="X67" s="54">
        <f ca="1">IFERROR(__xludf.DUMMYFUNCTION("""COMPUTED_VALUE"""),0)</f>
        <v>0</v>
      </c>
      <c r="Y67" s="51">
        <f t="shared" ca="1" si="8"/>
        <v>0</v>
      </c>
      <c r="Z67" s="2"/>
      <c r="AA67" s="2"/>
      <c r="AB67" s="2"/>
      <c r="AC67" s="2"/>
      <c r="AD67" s="2"/>
      <c r="AE67" s="2"/>
    </row>
    <row r="68" spans="1:31" ht="12.75" x14ac:dyDescent="0.2">
      <c r="A68" s="53"/>
      <c r="B68" s="52" t="str">
        <f ca="1">IFERROR(__xludf.DUMMYFUNCTION("""COMPUTED_VALUE"""),"THCS (8)")</f>
        <v>THCS (8)</v>
      </c>
      <c r="C68" s="53"/>
      <c r="D68" s="53"/>
      <c r="E68" s="54">
        <f ca="1">IFERROR(__xludf.DUMMYFUNCTION("""COMPUTED_VALUE"""),456)</f>
        <v>456</v>
      </c>
      <c r="F68" s="54">
        <f ca="1">IFERROR(__xludf.DUMMYFUNCTION("""COMPUTED_VALUE"""),456)</f>
        <v>456</v>
      </c>
      <c r="G68" s="51">
        <f t="shared" ca="1" si="0"/>
        <v>1</v>
      </c>
      <c r="H68" s="54">
        <f ca="1">IFERROR(__xludf.DUMMYFUNCTION("""COMPUTED_VALUE"""),455)</f>
        <v>455</v>
      </c>
      <c r="I68" s="51">
        <f t="shared" ca="1" si="1"/>
        <v>0.9978070175438597</v>
      </c>
      <c r="J68" s="54">
        <f ca="1">IFERROR(__xludf.DUMMYFUNCTION("""COMPUTED_VALUE"""),442)</f>
        <v>442</v>
      </c>
      <c r="K68" s="51">
        <f t="shared" ca="1" si="2"/>
        <v>0.9692982456140351</v>
      </c>
      <c r="L68" s="54">
        <f ca="1">IFERROR(__xludf.DUMMYFUNCTION("""COMPUTED_VALUE"""),293)</f>
        <v>293</v>
      </c>
      <c r="M68" s="51">
        <f t="shared" ca="1" si="3"/>
        <v>0.64254385964912286</v>
      </c>
      <c r="N68" s="54">
        <f ca="1">IFERROR(__xludf.DUMMYFUNCTION("""COMPUTED_VALUE"""),2281)</f>
        <v>2281</v>
      </c>
      <c r="O68" s="54">
        <f ca="1">IFERROR(__xludf.DUMMYFUNCTION("""COMPUTED_VALUE"""),1735)</f>
        <v>1735</v>
      </c>
      <c r="P68" s="51">
        <f t="shared" ca="1" si="4"/>
        <v>0.76063130206049978</v>
      </c>
      <c r="Q68" s="54">
        <f ca="1">IFERROR(__xludf.DUMMYFUNCTION("""COMPUTED_VALUE"""),861)</f>
        <v>861</v>
      </c>
      <c r="R68" s="51">
        <f t="shared" ca="1" si="5"/>
        <v>0.37746602367382726</v>
      </c>
      <c r="S68" s="54">
        <f ca="1">IFERROR(__xludf.DUMMYFUNCTION("""COMPUTED_VALUE"""),7347)</f>
        <v>7347</v>
      </c>
      <c r="T68" s="53">
        <f ca="1">IFERROR(__xludf.DUMMYFUNCTION("""COMPUTED_VALUE"""),7032)</f>
        <v>7032</v>
      </c>
      <c r="U68" s="51">
        <f t="shared" ca="1" si="6"/>
        <v>0.9571253572886893</v>
      </c>
      <c r="V68" s="54">
        <f ca="1">IFERROR(__xludf.DUMMYFUNCTION("""COMPUTED_VALUE"""),6533)</f>
        <v>6533</v>
      </c>
      <c r="W68" s="51">
        <f t="shared" ca="1" si="7"/>
        <v>0.88920647883489856</v>
      </c>
      <c r="X68" s="54">
        <f ca="1">IFERROR(__xludf.DUMMYFUNCTION("""COMPUTED_VALUE"""),2490)</f>
        <v>2490</v>
      </c>
      <c r="Y68" s="51">
        <f t="shared" ca="1" si="8"/>
        <v>0.33891384238464678</v>
      </c>
      <c r="Z68" s="2"/>
      <c r="AA68" s="2"/>
      <c r="AB68" s="2"/>
      <c r="AC68" s="2"/>
      <c r="AD68" s="2"/>
      <c r="AE68" s="2"/>
    </row>
    <row r="69" spans="1:31" ht="12.75" x14ac:dyDescent="0.2">
      <c r="A69" s="53">
        <f ca="1">IFERROR(__xludf.DUMMYFUNCTION("""COMPUTED_VALUE"""),61)</f>
        <v>61</v>
      </c>
      <c r="B69" s="53" t="str">
        <f ca="1">IFERROR(__xludf.DUMMYFUNCTION("""COMPUTED_VALUE"""),"THCS Hai Bà Trưng")</f>
        <v>THCS Hai Bà Trưng</v>
      </c>
      <c r="C69" s="53" t="str">
        <f ca="1">IFERROR(__xludf.DUMMYFUNCTION("""COMPUTED_VALUE"""),"THCS")</f>
        <v>THCS</v>
      </c>
      <c r="D69" s="53" t="str">
        <f ca="1">IFERROR(__xludf.DUMMYFUNCTION("""COMPUTED_VALUE"""),"Nhà Bè")</f>
        <v>Nhà Bè</v>
      </c>
      <c r="E69" s="54">
        <f ca="1">IFERROR(__xludf.DUMMYFUNCTION("""COMPUTED_VALUE"""),60)</f>
        <v>60</v>
      </c>
      <c r="F69" s="54">
        <f ca="1">IFERROR(__xludf.DUMMYFUNCTION("""COMPUTED_VALUE"""),60)</f>
        <v>60</v>
      </c>
      <c r="G69" s="51">
        <f t="shared" ca="1" si="0"/>
        <v>1</v>
      </c>
      <c r="H69" s="54">
        <f ca="1">IFERROR(__xludf.DUMMYFUNCTION("""COMPUTED_VALUE"""),60)</f>
        <v>60</v>
      </c>
      <c r="I69" s="51">
        <f t="shared" ca="1" si="1"/>
        <v>1</v>
      </c>
      <c r="J69" s="54">
        <f ca="1">IFERROR(__xludf.DUMMYFUNCTION("""COMPUTED_VALUE"""),58)</f>
        <v>58</v>
      </c>
      <c r="K69" s="51">
        <f t="shared" ca="1" si="2"/>
        <v>0.96666666666666667</v>
      </c>
      <c r="L69" s="54">
        <f ca="1">IFERROR(__xludf.DUMMYFUNCTION("""COMPUTED_VALUE"""),39)</f>
        <v>39</v>
      </c>
      <c r="M69" s="51">
        <f t="shared" ca="1" si="3"/>
        <v>0.65</v>
      </c>
      <c r="N69" s="54">
        <f ca="1">IFERROR(__xludf.DUMMYFUNCTION("""COMPUTED_VALUE"""),373)</f>
        <v>373</v>
      </c>
      <c r="O69" s="54">
        <f ca="1">IFERROR(__xludf.DUMMYFUNCTION("""COMPUTED_VALUE"""),239)</f>
        <v>239</v>
      </c>
      <c r="P69" s="51">
        <f t="shared" ca="1" si="4"/>
        <v>0.64075067024128685</v>
      </c>
      <c r="Q69" s="54">
        <f ca="1">IFERROR(__xludf.DUMMYFUNCTION("""COMPUTED_VALUE"""),79)</f>
        <v>79</v>
      </c>
      <c r="R69" s="51">
        <f t="shared" ca="1" si="5"/>
        <v>0.21179624664879357</v>
      </c>
      <c r="S69" s="54">
        <f ca="1">IFERROR(__xludf.DUMMYFUNCTION("""COMPUTED_VALUE"""),853)</f>
        <v>853</v>
      </c>
      <c r="T69" s="54">
        <f ca="1">IFERROR(__xludf.DUMMYFUNCTION("""COMPUTED_VALUE"""),801)</f>
        <v>801</v>
      </c>
      <c r="U69" s="51">
        <f t="shared" ca="1" si="6"/>
        <v>0.93903868698710435</v>
      </c>
      <c r="V69" s="54">
        <f ca="1">IFERROR(__xludf.DUMMYFUNCTION("""COMPUTED_VALUE"""),783)</f>
        <v>783</v>
      </c>
      <c r="W69" s="51">
        <f t="shared" ca="1" si="7"/>
        <v>0.91793669402110201</v>
      </c>
      <c r="X69" s="54">
        <f ca="1">IFERROR(__xludf.DUMMYFUNCTION("""COMPUTED_VALUE"""),231)</f>
        <v>231</v>
      </c>
      <c r="Y69" s="51">
        <f t="shared" ca="1" si="8"/>
        <v>0.27080890973036342</v>
      </c>
      <c r="Z69" s="2"/>
      <c r="AA69" s="2"/>
      <c r="AB69" s="2"/>
      <c r="AC69" s="2"/>
      <c r="AD69" s="2"/>
      <c r="AE69" s="2"/>
    </row>
    <row r="70" spans="1:31" ht="12.75" x14ac:dyDescent="0.2">
      <c r="A70" s="53">
        <f ca="1">IFERROR(__xludf.DUMMYFUNCTION("""COMPUTED_VALUE"""),62)</f>
        <v>62</v>
      </c>
      <c r="B70" s="53" t="str">
        <f ca="1">IFERROR(__xludf.DUMMYFUNCTION("""COMPUTED_VALUE"""),"THCS Hiệp Phước")</f>
        <v>THCS Hiệp Phước</v>
      </c>
      <c r="C70" s="53" t="str">
        <f ca="1">IFERROR(__xludf.DUMMYFUNCTION("""COMPUTED_VALUE"""),"THCS")</f>
        <v>THCS</v>
      </c>
      <c r="D70" s="53" t="str">
        <f ca="1">IFERROR(__xludf.DUMMYFUNCTION("""COMPUTED_VALUE"""),"Nhà Bè")</f>
        <v>Nhà Bè</v>
      </c>
      <c r="E70" s="54">
        <f ca="1">IFERROR(__xludf.DUMMYFUNCTION("""COMPUTED_VALUE"""),51)</f>
        <v>51</v>
      </c>
      <c r="F70" s="54">
        <f ca="1">IFERROR(__xludf.DUMMYFUNCTION("""COMPUTED_VALUE"""),51)</f>
        <v>51</v>
      </c>
      <c r="G70" s="51">
        <f t="shared" ref="G70:G78" ca="1" si="9">IFERROR(F70/E70,"")</f>
        <v>1</v>
      </c>
      <c r="H70" s="54">
        <f ca="1">IFERROR(__xludf.DUMMYFUNCTION("""COMPUTED_VALUE"""),51)</f>
        <v>51</v>
      </c>
      <c r="I70" s="51">
        <f t="shared" ref="I70:I78" ca="1" si="10">IFERROR(H70/E70,"")</f>
        <v>1</v>
      </c>
      <c r="J70" s="54">
        <f ca="1">IFERROR(__xludf.DUMMYFUNCTION("""COMPUTED_VALUE"""),51)</f>
        <v>51</v>
      </c>
      <c r="K70" s="51">
        <f t="shared" ref="K70:K78" ca="1" si="11">IFERROR(J70/E70,"")</f>
        <v>1</v>
      </c>
      <c r="L70" s="54">
        <f ca="1">IFERROR(__xludf.DUMMYFUNCTION("""COMPUTED_VALUE"""),36)</f>
        <v>36</v>
      </c>
      <c r="M70" s="51">
        <f t="shared" ref="M70:M78" ca="1" si="12">IFERROR(L70/E70,"")</f>
        <v>0.70588235294117652</v>
      </c>
      <c r="N70" s="54">
        <f ca="1">IFERROR(__xludf.DUMMYFUNCTION("""COMPUTED_VALUE"""),452)</f>
        <v>452</v>
      </c>
      <c r="O70" s="54">
        <f ca="1">IFERROR(__xludf.DUMMYFUNCTION("""COMPUTED_VALUE"""),415)</f>
        <v>415</v>
      </c>
      <c r="P70" s="51">
        <f t="shared" ref="P70:P78" ca="1" si="13">IFERROR(O70/N70,"")</f>
        <v>0.91814159292035402</v>
      </c>
      <c r="Q70" s="54">
        <f ca="1">IFERROR(__xludf.DUMMYFUNCTION("""COMPUTED_VALUE"""),179)</f>
        <v>179</v>
      </c>
      <c r="R70" s="51">
        <f t="shared" ref="R70:R78" ca="1" si="14">IFERROR(Q70/N70,"")</f>
        <v>0.39601769911504425</v>
      </c>
      <c r="S70" s="53">
        <f ca="1">IFERROR(__xludf.DUMMYFUNCTION("""COMPUTED_VALUE"""),884)</f>
        <v>884</v>
      </c>
      <c r="T70" s="53">
        <f ca="1">IFERROR(__xludf.DUMMYFUNCTION("""COMPUTED_VALUE"""),848)</f>
        <v>848</v>
      </c>
      <c r="U70" s="51">
        <f t="shared" ref="U70:U78" ca="1" si="15">IFERROR(T70/S70,"")</f>
        <v>0.95927601809954754</v>
      </c>
      <c r="V70" s="53">
        <f ca="1">IFERROR(__xludf.DUMMYFUNCTION("""COMPUTED_VALUE"""),795)</f>
        <v>795</v>
      </c>
      <c r="W70" s="51">
        <f t="shared" ref="W70:W78" ca="1" si="16">IFERROR(V70/S70,"")</f>
        <v>0.89932126696832582</v>
      </c>
      <c r="X70" s="53">
        <f ca="1">IFERROR(__xludf.DUMMYFUNCTION("""COMPUTED_VALUE"""),298)</f>
        <v>298</v>
      </c>
      <c r="Y70" s="51">
        <f t="shared" ref="Y70:Y78" ca="1" si="17">IFERROR(X70/S70,"")</f>
        <v>0.33710407239819007</v>
      </c>
      <c r="Z70" s="2"/>
      <c r="AA70" s="2"/>
      <c r="AB70" s="2"/>
      <c r="AC70" s="2"/>
      <c r="AD70" s="2"/>
      <c r="AE70" s="2"/>
    </row>
    <row r="71" spans="1:31" ht="12.75" x14ac:dyDescent="0.2">
      <c r="A71" s="53">
        <f ca="1">IFERROR(__xludf.DUMMYFUNCTION("""COMPUTED_VALUE"""),63)</f>
        <v>63</v>
      </c>
      <c r="B71" s="53" t="str">
        <f ca="1">IFERROR(__xludf.DUMMYFUNCTION("""COMPUTED_VALUE"""),"THCS Lê Thành Công")</f>
        <v>THCS Lê Thành Công</v>
      </c>
      <c r="C71" s="53" t="str">
        <f ca="1">IFERROR(__xludf.DUMMYFUNCTION("""COMPUTED_VALUE"""),"THCS")</f>
        <v>THCS</v>
      </c>
      <c r="D71" s="53" t="str">
        <f ca="1">IFERROR(__xludf.DUMMYFUNCTION("""COMPUTED_VALUE"""),"Nhà Bè")</f>
        <v>Nhà Bè</v>
      </c>
      <c r="E71" s="54">
        <f ca="1">IFERROR(__xludf.DUMMYFUNCTION("""COMPUTED_VALUE"""),49)</f>
        <v>49</v>
      </c>
      <c r="F71" s="54">
        <f ca="1">IFERROR(__xludf.DUMMYFUNCTION("""COMPUTED_VALUE"""),49)</f>
        <v>49</v>
      </c>
      <c r="G71" s="51">
        <f t="shared" ca="1" si="9"/>
        <v>1</v>
      </c>
      <c r="H71" s="54">
        <f ca="1">IFERROR(__xludf.DUMMYFUNCTION("""COMPUTED_VALUE"""),49)</f>
        <v>49</v>
      </c>
      <c r="I71" s="51">
        <f t="shared" ca="1" si="10"/>
        <v>1</v>
      </c>
      <c r="J71" s="54">
        <f ca="1">IFERROR(__xludf.DUMMYFUNCTION("""COMPUTED_VALUE"""),48)</f>
        <v>48</v>
      </c>
      <c r="K71" s="51">
        <f t="shared" ca="1" si="11"/>
        <v>0.97959183673469385</v>
      </c>
      <c r="L71" s="54">
        <f ca="1">IFERROR(__xludf.DUMMYFUNCTION("""COMPUTED_VALUE"""),24)</f>
        <v>24</v>
      </c>
      <c r="M71" s="51">
        <f t="shared" ca="1" si="12"/>
        <v>0.48979591836734693</v>
      </c>
      <c r="N71" s="54">
        <f ca="1">IFERROR(__xludf.DUMMYFUNCTION("""COMPUTED_VALUE"""),73)</f>
        <v>73</v>
      </c>
      <c r="O71" s="54">
        <f ca="1">IFERROR(__xludf.DUMMYFUNCTION("""COMPUTED_VALUE"""),60)</f>
        <v>60</v>
      </c>
      <c r="P71" s="51">
        <f t="shared" ca="1" si="13"/>
        <v>0.82191780821917804</v>
      </c>
      <c r="Q71" s="54">
        <f ca="1">IFERROR(__xludf.DUMMYFUNCTION("""COMPUTED_VALUE"""),37)</f>
        <v>37</v>
      </c>
      <c r="R71" s="51">
        <f t="shared" ca="1" si="14"/>
        <v>0.50684931506849318</v>
      </c>
      <c r="S71" s="54">
        <f ca="1">IFERROR(__xludf.DUMMYFUNCTION("""COMPUTED_VALUE"""),809)</f>
        <v>809</v>
      </c>
      <c r="T71" s="53">
        <f ca="1">IFERROR(__xludf.DUMMYFUNCTION("""COMPUTED_VALUE"""),809)</f>
        <v>809</v>
      </c>
      <c r="U71" s="51">
        <f t="shared" ca="1" si="15"/>
        <v>1</v>
      </c>
      <c r="V71" s="54">
        <f ca="1">IFERROR(__xludf.DUMMYFUNCTION("""COMPUTED_VALUE"""),768)</f>
        <v>768</v>
      </c>
      <c r="W71" s="51">
        <f t="shared" ca="1" si="16"/>
        <v>0.94932014833127321</v>
      </c>
      <c r="X71" s="54">
        <f ca="1">IFERROR(__xludf.DUMMYFUNCTION("""COMPUTED_VALUE"""),164)</f>
        <v>164</v>
      </c>
      <c r="Y71" s="51">
        <f t="shared" ca="1" si="17"/>
        <v>0.20271940667490729</v>
      </c>
      <c r="Z71" s="2"/>
      <c r="AA71" s="2"/>
      <c r="AB71" s="2"/>
      <c r="AC71" s="2"/>
      <c r="AD71" s="2"/>
      <c r="AE71" s="2"/>
    </row>
    <row r="72" spans="1:31" ht="12.75" x14ac:dyDescent="0.2">
      <c r="A72" s="53">
        <f ca="1">IFERROR(__xludf.DUMMYFUNCTION("""COMPUTED_VALUE"""),64)</f>
        <v>64</v>
      </c>
      <c r="B72" s="53" t="str">
        <f ca="1">IFERROR(__xludf.DUMMYFUNCTION("""COMPUTED_VALUE"""),"THCS Lê Văn Hưu")</f>
        <v>THCS Lê Văn Hưu</v>
      </c>
      <c r="C72" s="53" t="str">
        <f ca="1">IFERROR(__xludf.DUMMYFUNCTION("""COMPUTED_VALUE"""),"THCS")</f>
        <v>THCS</v>
      </c>
      <c r="D72" s="53" t="str">
        <f ca="1">IFERROR(__xludf.DUMMYFUNCTION("""COMPUTED_VALUE"""),"Nhà Bè")</f>
        <v>Nhà Bè</v>
      </c>
      <c r="E72" s="54">
        <f ca="1">IFERROR(__xludf.DUMMYFUNCTION("""COMPUTED_VALUE"""),82)</f>
        <v>82</v>
      </c>
      <c r="F72" s="54">
        <f ca="1">IFERROR(__xludf.DUMMYFUNCTION("""COMPUTED_VALUE"""),82)</f>
        <v>82</v>
      </c>
      <c r="G72" s="51">
        <f t="shared" ca="1" si="9"/>
        <v>1</v>
      </c>
      <c r="H72" s="54">
        <f ca="1">IFERROR(__xludf.DUMMYFUNCTION("""COMPUTED_VALUE"""),82)</f>
        <v>82</v>
      </c>
      <c r="I72" s="51">
        <f t="shared" ca="1" si="10"/>
        <v>1</v>
      </c>
      <c r="J72" s="54">
        <f ca="1">IFERROR(__xludf.DUMMYFUNCTION("""COMPUTED_VALUE"""),77)</f>
        <v>77</v>
      </c>
      <c r="K72" s="51">
        <f t="shared" ca="1" si="11"/>
        <v>0.93902439024390238</v>
      </c>
      <c r="L72" s="54">
        <f ca="1">IFERROR(__xludf.DUMMYFUNCTION("""COMPUTED_VALUE"""),54)</f>
        <v>54</v>
      </c>
      <c r="M72" s="51">
        <f t="shared" ca="1" si="12"/>
        <v>0.65853658536585369</v>
      </c>
      <c r="N72" s="54">
        <f ca="1">IFERROR(__xludf.DUMMYFUNCTION("""COMPUTED_VALUE"""),143)</f>
        <v>143</v>
      </c>
      <c r="O72" s="54">
        <f ca="1">IFERROR(__xludf.DUMMYFUNCTION("""COMPUTED_VALUE"""),130)</f>
        <v>130</v>
      </c>
      <c r="P72" s="51">
        <f t="shared" ca="1" si="13"/>
        <v>0.90909090909090906</v>
      </c>
      <c r="Q72" s="54">
        <f ca="1">IFERROR(__xludf.DUMMYFUNCTION("""COMPUTED_VALUE"""),73)</f>
        <v>73</v>
      </c>
      <c r="R72" s="51">
        <f t="shared" ca="1" si="14"/>
        <v>0.51048951048951052</v>
      </c>
      <c r="S72" s="54">
        <f ca="1">IFERROR(__xludf.DUMMYFUNCTION("""COMPUTED_VALUE"""),1321)</f>
        <v>1321</v>
      </c>
      <c r="T72" s="53">
        <f ca="1">IFERROR(__xludf.DUMMYFUNCTION("""COMPUTED_VALUE"""),1291)</f>
        <v>1291</v>
      </c>
      <c r="U72" s="51">
        <f t="shared" ca="1" si="15"/>
        <v>0.97728993186979563</v>
      </c>
      <c r="V72" s="54">
        <f ca="1">IFERROR(__xludf.DUMMYFUNCTION("""COMPUTED_VALUE"""),1229)</f>
        <v>1229</v>
      </c>
      <c r="W72" s="51">
        <f t="shared" ca="1" si="16"/>
        <v>0.93035579106737321</v>
      </c>
      <c r="X72" s="54">
        <f ca="1">IFERROR(__xludf.DUMMYFUNCTION("""COMPUTED_VALUE"""),489)</f>
        <v>489</v>
      </c>
      <c r="Y72" s="51">
        <f t="shared" ca="1" si="17"/>
        <v>0.37017411052233157</v>
      </c>
      <c r="Z72" s="2"/>
      <c r="AA72" s="2"/>
      <c r="AB72" s="2"/>
      <c r="AC72" s="2"/>
      <c r="AD72" s="2"/>
      <c r="AE72" s="2"/>
    </row>
    <row r="73" spans="1:31" ht="12.75" x14ac:dyDescent="0.2">
      <c r="A73" s="53">
        <f ca="1">IFERROR(__xludf.DUMMYFUNCTION("""COMPUTED_VALUE"""),65)</f>
        <v>65</v>
      </c>
      <c r="B73" s="53" t="str">
        <f ca="1">IFERROR(__xludf.DUMMYFUNCTION("""COMPUTED_VALUE"""),"THCS Phước Lộc")</f>
        <v>THCS Phước Lộc</v>
      </c>
      <c r="C73" s="53" t="str">
        <f ca="1">IFERROR(__xludf.DUMMYFUNCTION("""COMPUTED_VALUE"""),"THCS")</f>
        <v>THCS</v>
      </c>
      <c r="D73" s="53" t="str">
        <f ca="1">IFERROR(__xludf.DUMMYFUNCTION("""COMPUTED_VALUE"""),"Nhà Bè")</f>
        <v>Nhà Bè</v>
      </c>
      <c r="E73" s="54">
        <f ca="1">IFERROR(__xludf.DUMMYFUNCTION("""COMPUTED_VALUE"""),28)</f>
        <v>28</v>
      </c>
      <c r="F73" s="54">
        <f ca="1">IFERROR(__xludf.DUMMYFUNCTION("""COMPUTED_VALUE"""),28)</f>
        <v>28</v>
      </c>
      <c r="G73" s="51">
        <f t="shared" ca="1" si="9"/>
        <v>1</v>
      </c>
      <c r="H73" s="54">
        <f ca="1">IFERROR(__xludf.DUMMYFUNCTION("""COMPUTED_VALUE"""),27)</f>
        <v>27</v>
      </c>
      <c r="I73" s="51">
        <f t="shared" ca="1" si="10"/>
        <v>0.9642857142857143</v>
      </c>
      <c r="J73" s="54">
        <f ca="1">IFERROR(__xludf.DUMMYFUNCTION("""COMPUTED_VALUE"""),27)</f>
        <v>27</v>
      </c>
      <c r="K73" s="51">
        <f t="shared" ca="1" si="11"/>
        <v>0.9642857142857143</v>
      </c>
      <c r="L73" s="54">
        <f ca="1">IFERROR(__xludf.DUMMYFUNCTION("""COMPUTED_VALUE"""),20)</f>
        <v>20</v>
      </c>
      <c r="M73" s="51">
        <f t="shared" ca="1" si="12"/>
        <v>0.7142857142857143</v>
      </c>
      <c r="N73" s="54">
        <f ca="1">IFERROR(__xludf.DUMMYFUNCTION("""COMPUTED_VALUE"""),125)</f>
        <v>125</v>
      </c>
      <c r="O73" s="54">
        <f ca="1">IFERROR(__xludf.DUMMYFUNCTION("""COMPUTED_VALUE"""),98)</f>
        <v>98</v>
      </c>
      <c r="P73" s="51">
        <f t="shared" ca="1" si="13"/>
        <v>0.78400000000000003</v>
      </c>
      <c r="Q73" s="54">
        <f ca="1">IFERROR(__xludf.DUMMYFUNCTION("""COMPUTED_VALUE"""),48)</f>
        <v>48</v>
      </c>
      <c r="R73" s="51">
        <f t="shared" ca="1" si="14"/>
        <v>0.38400000000000001</v>
      </c>
      <c r="S73" s="54">
        <f ca="1">IFERROR(__xludf.DUMMYFUNCTION("""COMPUTED_VALUE"""),333)</f>
        <v>333</v>
      </c>
      <c r="T73" s="53">
        <f ca="1">IFERROR(__xludf.DUMMYFUNCTION("""COMPUTED_VALUE"""),251)</f>
        <v>251</v>
      </c>
      <c r="U73" s="51">
        <f t="shared" ca="1" si="15"/>
        <v>0.75375375375375375</v>
      </c>
      <c r="V73" s="54">
        <f ca="1">IFERROR(__xludf.DUMMYFUNCTION("""COMPUTED_VALUE"""),226)</f>
        <v>226</v>
      </c>
      <c r="W73" s="51">
        <f t="shared" ca="1" si="16"/>
        <v>0.6786786786786787</v>
      </c>
      <c r="X73" s="54">
        <f ca="1">IFERROR(__xludf.DUMMYFUNCTION("""COMPUTED_VALUE"""),110)</f>
        <v>110</v>
      </c>
      <c r="Y73" s="51">
        <f t="shared" ca="1" si="17"/>
        <v>0.33033033033033032</v>
      </c>
      <c r="Z73" s="2"/>
      <c r="AA73" s="2"/>
      <c r="AB73" s="2"/>
      <c r="AC73" s="2"/>
      <c r="AD73" s="2"/>
      <c r="AE73" s="2"/>
    </row>
    <row r="74" spans="1:31" ht="12.75" x14ac:dyDescent="0.2">
      <c r="A74" s="53">
        <f ca="1">IFERROR(__xludf.DUMMYFUNCTION("""COMPUTED_VALUE"""),66)</f>
        <v>66</v>
      </c>
      <c r="B74" s="53"/>
      <c r="C74" s="53"/>
      <c r="D74" s="53" t="str">
        <f ca="1">IFERROR(__xludf.DUMMYFUNCTION("""COMPUTED_VALUE"""),"Nhà Bè")</f>
        <v>Nhà Bè</v>
      </c>
      <c r="E74" s="54">
        <f ca="1">IFERROR(__xludf.DUMMYFUNCTION("""COMPUTED_VALUE"""),86)</f>
        <v>86</v>
      </c>
      <c r="F74" s="54">
        <f ca="1">IFERROR(__xludf.DUMMYFUNCTION("""COMPUTED_VALUE"""),86)</f>
        <v>86</v>
      </c>
      <c r="G74" s="51">
        <f t="shared" ca="1" si="9"/>
        <v>1</v>
      </c>
      <c r="H74" s="54">
        <f ca="1">IFERROR(__xludf.DUMMYFUNCTION("""COMPUTED_VALUE"""),86)</f>
        <v>86</v>
      </c>
      <c r="I74" s="51">
        <f t="shared" ca="1" si="10"/>
        <v>1</v>
      </c>
      <c r="J74" s="54">
        <f ca="1">IFERROR(__xludf.DUMMYFUNCTION("""COMPUTED_VALUE"""),84)</f>
        <v>84</v>
      </c>
      <c r="K74" s="51">
        <f t="shared" ca="1" si="11"/>
        <v>0.97674418604651159</v>
      </c>
      <c r="L74" s="54">
        <f ca="1">IFERROR(__xludf.DUMMYFUNCTION("""COMPUTED_VALUE"""),50)</f>
        <v>50</v>
      </c>
      <c r="M74" s="51">
        <f t="shared" ca="1" si="12"/>
        <v>0.58139534883720934</v>
      </c>
      <c r="N74" s="54">
        <f ca="1">IFERROR(__xludf.DUMMYFUNCTION("""COMPUTED_VALUE"""),663)</f>
        <v>663</v>
      </c>
      <c r="O74" s="54">
        <f ca="1">IFERROR(__xludf.DUMMYFUNCTION("""COMPUTED_VALUE"""),517)</f>
        <v>517</v>
      </c>
      <c r="P74" s="51">
        <f t="shared" ca="1" si="13"/>
        <v>0.77978883861236803</v>
      </c>
      <c r="Q74" s="54">
        <f ca="1">IFERROR(__xludf.DUMMYFUNCTION("""COMPUTED_VALUE"""),259)</f>
        <v>259</v>
      </c>
      <c r="R74" s="51">
        <f t="shared" ca="1" si="14"/>
        <v>0.39064856711915535</v>
      </c>
      <c r="S74" s="54">
        <f ca="1">IFERROR(__xludf.DUMMYFUNCTION("""COMPUTED_VALUE"""),1347)</f>
        <v>1347</v>
      </c>
      <c r="T74" s="53">
        <f ca="1">IFERROR(__xludf.DUMMYFUNCTION("""COMPUTED_VALUE"""),1266)</f>
        <v>1266</v>
      </c>
      <c r="U74" s="51">
        <f t="shared" ca="1" si="15"/>
        <v>0.93986636971046766</v>
      </c>
      <c r="V74" s="54">
        <f ca="1">IFERROR(__xludf.DUMMYFUNCTION("""COMPUTED_VALUE"""),1040)</f>
        <v>1040</v>
      </c>
      <c r="W74" s="51">
        <f t="shared" ca="1" si="16"/>
        <v>0.7720861172976986</v>
      </c>
      <c r="X74" s="54">
        <f ca="1">IFERROR(__xludf.DUMMYFUNCTION("""COMPUTED_VALUE"""),510)</f>
        <v>510</v>
      </c>
      <c r="Y74" s="51">
        <f t="shared" ca="1" si="17"/>
        <v>0.37861915367483295</v>
      </c>
      <c r="Z74" s="2"/>
      <c r="AA74" s="2"/>
      <c r="AB74" s="2"/>
      <c r="AC74" s="2"/>
      <c r="AD74" s="2"/>
      <c r="AE74" s="2"/>
    </row>
    <row r="75" spans="1:31" ht="12.75" x14ac:dyDescent="0.2">
      <c r="A75" s="53">
        <f ca="1">IFERROR(__xludf.DUMMYFUNCTION("""COMPUTED_VALUE"""),67)</f>
        <v>67</v>
      </c>
      <c r="B75" s="53" t="str">
        <f ca="1">IFERROR(__xludf.DUMMYFUNCTION("""COMPUTED_VALUE"""),"THCS Nguyễn Văn Quỳ")</f>
        <v>THCS Nguyễn Văn Quỳ</v>
      </c>
      <c r="C75" s="53" t="str">
        <f ca="1">IFERROR(__xludf.DUMMYFUNCTION("""COMPUTED_VALUE"""),"THCS")</f>
        <v>THCS</v>
      </c>
      <c r="D75" s="53" t="str">
        <f ca="1">IFERROR(__xludf.DUMMYFUNCTION("""COMPUTED_VALUE"""),"Nhà Bè")</f>
        <v>Nhà Bè</v>
      </c>
      <c r="E75" s="54">
        <f ca="1">IFERROR(__xludf.DUMMYFUNCTION("""COMPUTED_VALUE"""),44)</f>
        <v>44</v>
      </c>
      <c r="F75" s="54">
        <f ca="1">IFERROR(__xludf.DUMMYFUNCTION("""COMPUTED_VALUE"""),44)</f>
        <v>44</v>
      </c>
      <c r="G75" s="51">
        <f t="shared" ca="1" si="9"/>
        <v>1</v>
      </c>
      <c r="H75" s="54">
        <f ca="1">IFERROR(__xludf.DUMMYFUNCTION("""COMPUTED_VALUE"""),44)</f>
        <v>44</v>
      </c>
      <c r="I75" s="51">
        <f t="shared" ca="1" si="10"/>
        <v>1</v>
      </c>
      <c r="J75" s="54">
        <f ca="1">IFERROR(__xludf.DUMMYFUNCTION("""COMPUTED_VALUE"""),42)</f>
        <v>42</v>
      </c>
      <c r="K75" s="51">
        <f t="shared" ca="1" si="11"/>
        <v>0.95454545454545459</v>
      </c>
      <c r="L75" s="54">
        <f ca="1">IFERROR(__xludf.DUMMYFUNCTION("""COMPUTED_VALUE"""),30)</f>
        <v>30</v>
      </c>
      <c r="M75" s="51">
        <f t="shared" ca="1" si="12"/>
        <v>0.68181818181818177</v>
      </c>
      <c r="N75" s="54">
        <f ca="1">IFERROR(__xludf.DUMMYFUNCTION("""COMPUTED_VALUE"""),341)</f>
        <v>341</v>
      </c>
      <c r="O75" s="54">
        <f ca="1">IFERROR(__xludf.DUMMYFUNCTION("""COMPUTED_VALUE"""),227)</f>
        <v>227</v>
      </c>
      <c r="P75" s="51">
        <f t="shared" ca="1" si="13"/>
        <v>0.66568914956011727</v>
      </c>
      <c r="Q75" s="54">
        <f ca="1">IFERROR(__xludf.DUMMYFUNCTION("""COMPUTED_VALUE"""),153)</f>
        <v>153</v>
      </c>
      <c r="R75" s="51">
        <f t="shared" ca="1" si="14"/>
        <v>0.44868035190615835</v>
      </c>
      <c r="S75" s="54">
        <f ca="1">IFERROR(__xludf.DUMMYFUNCTION("""COMPUTED_VALUE"""),566)</f>
        <v>566</v>
      </c>
      <c r="T75" s="53">
        <f ca="1">IFERROR(__xludf.DUMMYFUNCTION("""COMPUTED_VALUE"""),535)</f>
        <v>535</v>
      </c>
      <c r="U75" s="51">
        <f t="shared" ca="1" si="15"/>
        <v>0.94522968197879864</v>
      </c>
      <c r="V75" s="54">
        <f ca="1">IFERROR(__xludf.DUMMYFUNCTION("""COMPUTED_VALUE"""),524)</f>
        <v>524</v>
      </c>
      <c r="W75" s="51">
        <f t="shared" ca="1" si="16"/>
        <v>0.9257950530035336</v>
      </c>
      <c r="X75" s="54">
        <f ca="1">IFERROR(__xludf.DUMMYFUNCTION("""COMPUTED_VALUE"""),188)</f>
        <v>188</v>
      </c>
      <c r="Y75" s="51">
        <f t="shared" ca="1" si="17"/>
        <v>0.33215547703180209</v>
      </c>
      <c r="Z75" s="2"/>
      <c r="AA75" s="2"/>
      <c r="AB75" s="2"/>
      <c r="AC75" s="2"/>
      <c r="AD75" s="2"/>
      <c r="AE75" s="2"/>
    </row>
    <row r="76" spans="1:31" ht="12.75" x14ac:dyDescent="0.2">
      <c r="A76" s="53">
        <f ca="1">IFERROR(__xludf.DUMMYFUNCTION("""COMPUTED_VALUE"""),68)</f>
        <v>68</v>
      </c>
      <c r="B76" s="53"/>
      <c r="C76" s="53"/>
      <c r="D76" s="53" t="str">
        <f ca="1">IFERROR(__xludf.DUMMYFUNCTION("""COMPUTED_VALUE"""),"Nhà Bè")</f>
        <v>Nhà Bè</v>
      </c>
      <c r="E76" s="54">
        <f ca="1">IFERROR(__xludf.DUMMYFUNCTION("""COMPUTED_VALUE"""),56)</f>
        <v>56</v>
      </c>
      <c r="F76" s="54">
        <f ca="1">IFERROR(__xludf.DUMMYFUNCTION("""COMPUTED_VALUE"""),56)</f>
        <v>56</v>
      </c>
      <c r="G76" s="51">
        <f t="shared" ca="1" si="9"/>
        <v>1</v>
      </c>
      <c r="H76" s="54">
        <f ca="1">IFERROR(__xludf.DUMMYFUNCTION("""COMPUTED_VALUE"""),56)</f>
        <v>56</v>
      </c>
      <c r="I76" s="51">
        <f t="shared" ca="1" si="10"/>
        <v>1</v>
      </c>
      <c r="J76" s="54">
        <f ca="1">IFERROR(__xludf.DUMMYFUNCTION("""COMPUTED_VALUE"""),55)</f>
        <v>55</v>
      </c>
      <c r="K76" s="51">
        <f t="shared" ca="1" si="11"/>
        <v>0.9821428571428571</v>
      </c>
      <c r="L76" s="54">
        <f ca="1">IFERROR(__xludf.DUMMYFUNCTION("""COMPUTED_VALUE"""),40)</f>
        <v>40</v>
      </c>
      <c r="M76" s="51">
        <f t="shared" ca="1" si="12"/>
        <v>0.7142857142857143</v>
      </c>
      <c r="N76" s="54">
        <f ca="1">IFERROR(__xludf.DUMMYFUNCTION("""COMPUTED_VALUE"""),111)</f>
        <v>111</v>
      </c>
      <c r="O76" s="54">
        <f ca="1">IFERROR(__xludf.DUMMYFUNCTION("""COMPUTED_VALUE"""),49)</f>
        <v>49</v>
      </c>
      <c r="P76" s="51">
        <f t="shared" ca="1" si="13"/>
        <v>0.44144144144144143</v>
      </c>
      <c r="Q76" s="54">
        <f ca="1">IFERROR(__xludf.DUMMYFUNCTION("""COMPUTED_VALUE"""),33)</f>
        <v>33</v>
      </c>
      <c r="R76" s="51">
        <f t="shared" ca="1" si="14"/>
        <v>0.29729729729729731</v>
      </c>
      <c r="S76" s="54">
        <f ca="1">IFERROR(__xludf.DUMMYFUNCTION("""COMPUTED_VALUE"""),1234)</f>
        <v>1234</v>
      </c>
      <c r="T76" s="53">
        <f ca="1">IFERROR(__xludf.DUMMYFUNCTION("""COMPUTED_VALUE"""),1231)</f>
        <v>1231</v>
      </c>
      <c r="U76" s="51">
        <f t="shared" ca="1" si="15"/>
        <v>0.99756888168557534</v>
      </c>
      <c r="V76" s="54">
        <f ca="1">IFERROR(__xludf.DUMMYFUNCTION("""COMPUTED_VALUE"""),1168)</f>
        <v>1168</v>
      </c>
      <c r="W76" s="51">
        <f t="shared" ca="1" si="16"/>
        <v>0.94651539708265797</v>
      </c>
      <c r="X76" s="54">
        <f ca="1">IFERROR(__xludf.DUMMYFUNCTION("""COMPUTED_VALUE"""),500)</f>
        <v>500</v>
      </c>
      <c r="Y76" s="51">
        <f t="shared" ca="1" si="17"/>
        <v>0.4051863857374392</v>
      </c>
      <c r="Z76" s="2"/>
      <c r="AA76" s="2"/>
      <c r="AB76" s="2"/>
      <c r="AC76" s="2"/>
      <c r="AD76" s="2"/>
      <c r="AE76" s="2"/>
    </row>
    <row r="77" spans="1:31" ht="12.75" x14ac:dyDescent="0.2">
      <c r="A77" s="53"/>
      <c r="B77" s="52" t="str">
        <f ca="1">IFERROR(__xludf.DUMMYFUNCTION("""COMPUTED_VALUE"""),"THPT (6)")</f>
        <v>THPT (6)</v>
      </c>
      <c r="C77" s="53"/>
      <c r="D77" s="53"/>
      <c r="E77" s="54">
        <f ca="1">IFERROR(__xludf.DUMMYFUNCTION("""COMPUTED_VALUE"""),1052)</f>
        <v>1052</v>
      </c>
      <c r="F77" s="54">
        <f ca="1">IFERROR(__xludf.DUMMYFUNCTION("""COMPUTED_VALUE"""),1049)</f>
        <v>1049</v>
      </c>
      <c r="G77" s="51">
        <f t="shared" ca="1" si="9"/>
        <v>0.99714828897338403</v>
      </c>
      <c r="H77" s="54">
        <f ca="1">IFERROR(__xludf.DUMMYFUNCTION("""COMPUTED_VALUE"""),1047)</f>
        <v>1047</v>
      </c>
      <c r="I77" s="51">
        <f t="shared" ca="1" si="10"/>
        <v>0.99524714828897343</v>
      </c>
      <c r="J77" s="54">
        <f ca="1">IFERROR(__xludf.DUMMYFUNCTION("""COMPUTED_VALUE"""),932)</f>
        <v>932</v>
      </c>
      <c r="K77" s="51">
        <f t="shared" ca="1" si="11"/>
        <v>0.88593155893536124</v>
      </c>
      <c r="L77" s="54">
        <f ca="1">IFERROR(__xludf.DUMMYFUNCTION("""COMPUTED_VALUE"""),228)</f>
        <v>228</v>
      </c>
      <c r="M77" s="51">
        <f t="shared" ca="1" si="12"/>
        <v>0.21673003802281368</v>
      </c>
      <c r="N77" s="54">
        <f ca="1">IFERROR(__xludf.DUMMYFUNCTION("""COMPUTED_VALUE"""),1083)</f>
        <v>1083</v>
      </c>
      <c r="O77" s="54">
        <f ca="1">IFERROR(__xludf.DUMMYFUNCTION("""COMPUTED_VALUE"""),217)</f>
        <v>217</v>
      </c>
      <c r="P77" s="51">
        <f t="shared" ca="1" si="13"/>
        <v>0.20036934441366575</v>
      </c>
      <c r="Q77" s="54">
        <f ca="1">IFERROR(__xludf.DUMMYFUNCTION("""COMPUTED_VALUE"""),105)</f>
        <v>105</v>
      </c>
      <c r="R77" s="51">
        <f t="shared" ca="1" si="14"/>
        <v>9.6952908587257622E-2</v>
      </c>
      <c r="S77" s="54">
        <f ca="1">IFERROR(__xludf.DUMMYFUNCTION("""COMPUTED_VALUE"""),4869)</f>
        <v>4869</v>
      </c>
      <c r="T77" s="53">
        <f ca="1">IFERROR(__xludf.DUMMYFUNCTION("""COMPUTED_VALUE"""),4805)</f>
        <v>4805</v>
      </c>
      <c r="U77" s="51">
        <f t="shared" ca="1" si="15"/>
        <v>0.98685561716985004</v>
      </c>
      <c r="V77" s="54">
        <f ca="1">IFERROR(__xludf.DUMMYFUNCTION("""COMPUTED_VALUE"""),4731)</f>
        <v>4731</v>
      </c>
      <c r="W77" s="51">
        <f t="shared" ca="1" si="16"/>
        <v>0.97165742452248927</v>
      </c>
      <c r="X77" s="54">
        <f ca="1">IFERROR(__xludf.DUMMYFUNCTION("""COMPUTED_VALUE"""),1173)</f>
        <v>1173</v>
      </c>
      <c r="Y77" s="51">
        <f t="shared" ca="1" si="17"/>
        <v>0.24091189155884166</v>
      </c>
      <c r="Z77" s="2"/>
      <c r="AA77" s="2"/>
      <c r="AB77" s="2"/>
      <c r="AC77" s="2"/>
      <c r="AD77" s="2"/>
      <c r="AE77" s="2"/>
    </row>
    <row r="78" spans="1:31" ht="12.75" x14ac:dyDescent="0.2">
      <c r="A78" s="53">
        <f ca="1">IFERROR(__xludf.DUMMYFUNCTION("""COMPUTED_VALUE"""),69)</f>
        <v>69</v>
      </c>
      <c r="B78" s="53" t="str">
        <f ca="1">IFERROR(__xludf.DUMMYFUNCTION("""COMPUTED_VALUE"""),"THPT Dương Văn Dương")</f>
        <v>THPT Dương Văn Dương</v>
      </c>
      <c r="C78" s="53" t="str">
        <f ca="1">IFERROR(__xludf.DUMMYFUNCTION("""COMPUTED_VALUE"""),"THPT")</f>
        <v>THPT</v>
      </c>
      <c r="D78" s="53" t="str">
        <f ca="1">IFERROR(__xludf.DUMMYFUNCTION("""COMPUTED_VALUE"""),"Nhà Bè")</f>
        <v>Nhà Bè</v>
      </c>
      <c r="E78" s="54">
        <f ca="1">IFERROR(__xludf.DUMMYFUNCTION("""COMPUTED_VALUE"""),82)</f>
        <v>82</v>
      </c>
      <c r="F78" s="54">
        <f ca="1">IFERROR(__xludf.DUMMYFUNCTION("""COMPUTED_VALUE"""),82)</f>
        <v>82</v>
      </c>
      <c r="G78" s="51">
        <f t="shared" ca="1" si="9"/>
        <v>1</v>
      </c>
      <c r="H78" s="54">
        <f ca="1">IFERROR(__xludf.DUMMYFUNCTION("""COMPUTED_VALUE"""),82)</f>
        <v>82</v>
      </c>
      <c r="I78" s="51">
        <f t="shared" ca="1" si="10"/>
        <v>1</v>
      </c>
      <c r="J78" s="54">
        <f ca="1">IFERROR(__xludf.DUMMYFUNCTION("""COMPUTED_VALUE"""),79)</f>
        <v>79</v>
      </c>
      <c r="K78" s="51">
        <f t="shared" ca="1" si="11"/>
        <v>0.96341463414634143</v>
      </c>
      <c r="L78" s="54">
        <f ca="1">IFERROR(__xludf.DUMMYFUNCTION("""COMPUTED_VALUE"""),48)</f>
        <v>48</v>
      </c>
      <c r="M78" s="51">
        <f t="shared" ca="1" si="12"/>
        <v>0.58536585365853655</v>
      </c>
      <c r="N78" s="54">
        <f ca="1">IFERROR(__xludf.DUMMYFUNCTION("""COMPUTED_VALUE"""),0)</f>
        <v>0</v>
      </c>
      <c r="O78" s="54">
        <f ca="1">IFERROR(__xludf.DUMMYFUNCTION("""COMPUTED_VALUE"""),0)</f>
        <v>0</v>
      </c>
      <c r="P78" s="51" t="str">
        <f t="shared" ca="1" si="13"/>
        <v/>
      </c>
      <c r="Q78" s="54">
        <f ca="1">IFERROR(__xludf.DUMMYFUNCTION("""COMPUTED_VALUE"""),0)</f>
        <v>0</v>
      </c>
      <c r="R78" s="51" t="str">
        <f t="shared" ca="1" si="14"/>
        <v/>
      </c>
      <c r="S78" s="54">
        <f ca="1">IFERROR(__xludf.DUMMYFUNCTION("""COMPUTED_VALUE"""),1423)</f>
        <v>1423</v>
      </c>
      <c r="T78" s="53">
        <f ca="1">IFERROR(__xludf.DUMMYFUNCTION("""COMPUTED_VALUE"""),1373)</f>
        <v>1373</v>
      </c>
      <c r="U78" s="51">
        <f t="shared" ca="1" si="15"/>
        <v>0.96486296556570628</v>
      </c>
      <c r="V78" s="54">
        <f ca="1">IFERROR(__xludf.DUMMYFUNCTION("""COMPUTED_VALUE"""),1373)</f>
        <v>1373</v>
      </c>
      <c r="W78" s="51">
        <f t="shared" ca="1" si="16"/>
        <v>0.96486296556570628</v>
      </c>
      <c r="X78" s="54">
        <f ca="1">IFERROR(__xludf.DUMMYFUNCTION("""COMPUTED_VALUE"""),410)</f>
        <v>410</v>
      </c>
      <c r="Y78" s="51">
        <f t="shared" ca="1" si="17"/>
        <v>0.28812368236120872</v>
      </c>
      <c r="Z78" s="2"/>
      <c r="AA78" s="2"/>
      <c r="AB78" s="2"/>
      <c r="AC78" s="2"/>
      <c r="AD78" s="2"/>
      <c r="AE78" s="2"/>
    </row>
    <row r="79" spans="1:31" ht="12.75" x14ac:dyDescent="0.2">
      <c r="A79" s="53">
        <f ca="1">IFERROR(__xludf.DUMMYFUNCTION("""COMPUTED_VALUE"""),70)</f>
        <v>70</v>
      </c>
      <c r="B79" s="53" t="str">
        <f ca="1">IFERROR(__xludf.DUMMYFUNCTION("""COMPUTED_VALUE"""),"THPT Long Thới")</f>
        <v>THPT Long Thới</v>
      </c>
      <c r="C79" s="53" t="str">
        <f ca="1">IFERROR(__xludf.DUMMYFUNCTION("""COMPUTED_VALUE"""),"THPT")</f>
        <v>THPT</v>
      </c>
      <c r="D79" s="53" t="str">
        <f ca="1">IFERROR(__xludf.DUMMYFUNCTION("""COMPUTED_VALUE"""),"Nhà Bè")</f>
        <v>Nhà Bè</v>
      </c>
      <c r="E79" s="54">
        <f ca="1">IFERROR(__xludf.DUMMYFUNCTION("""COMPUTED_VALUE"""),65)</f>
        <v>65</v>
      </c>
      <c r="F79" s="54">
        <f ca="1">IFERROR(__xludf.DUMMYFUNCTION("""COMPUTED_VALUE"""),64)</f>
        <v>64</v>
      </c>
      <c r="G79" s="54"/>
      <c r="H79" s="54">
        <f ca="1">IFERROR(__xludf.DUMMYFUNCTION("""COMPUTED_VALUE"""),64)</f>
        <v>64</v>
      </c>
      <c r="I79" s="54"/>
      <c r="J79" s="54">
        <f ca="1">IFERROR(__xludf.DUMMYFUNCTION("""COMPUTED_VALUE"""),60)</f>
        <v>60</v>
      </c>
      <c r="K79" s="54"/>
      <c r="L79" s="54">
        <f ca="1">IFERROR(__xludf.DUMMYFUNCTION("""COMPUTED_VALUE"""),34)</f>
        <v>34</v>
      </c>
      <c r="M79" s="54"/>
      <c r="N79" s="54">
        <f ca="1">IFERROR(__xludf.DUMMYFUNCTION("""COMPUTED_VALUE"""),0)</f>
        <v>0</v>
      </c>
      <c r="O79" s="54">
        <f ca="1">IFERROR(__xludf.DUMMYFUNCTION("""COMPUTED_VALUE"""),0)</f>
        <v>0</v>
      </c>
      <c r="P79" s="54"/>
      <c r="Q79" s="54">
        <f ca="1">IFERROR(__xludf.DUMMYFUNCTION("""COMPUTED_VALUE"""),0)</f>
        <v>0</v>
      </c>
      <c r="R79" s="54"/>
      <c r="S79" s="53">
        <f ca="1">IFERROR(__xludf.DUMMYFUNCTION("""COMPUTED_VALUE"""),1004)</f>
        <v>1004</v>
      </c>
      <c r="T79" s="53">
        <f ca="1">IFERROR(__xludf.DUMMYFUNCTION("""COMPUTED_VALUE"""),1001)</f>
        <v>1001</v>
      </c>
      <c r="U79" s="53"/>
      <c r="V79" s="53">
        <f ca="1">IFERROR(__xludf.DUMMYFUNCTION("""COMPUTED_VALUE"""),1000)</f>
        <v>1000</v>
      </c>
      <c r="W79" s="53"/>
      <c r="X79" s="53">
        <f ca="1">IFERROR(__xludf.DUMMYFUNCTION("""COMPUTED_VALUE"""),485)</f>
        <v>485</v>
      </c>
      <c r="Y79" s="53"/>
      <c r="Z79" s="2"/>
      <c r="AA79" s="2"/>
      <c r="AB79" s="2"/>
      <c r="AC79" s="2"/>
      <c r="AD79" s="2"/>
      <c r="AE79" s="2"/>
    </row>
    <row r="80" spans="1:31" ht="12.75" x14ac:dyDescent="0.2">
      <c r="A80" s="53">
        <f ca="1">IFERROR(__xludf.DUMMYFUNCTION("""COMPUTED_VALUE"""),71)</f>
        <v>71</v>
      </c>
      <c r="B80" s="53" t="str">
        <f ca="1">IFERROR(__xludf.DUMMYFUNCTION("""COMPUTED_VALUE"""),"THPT Phước Kiển")</f>
        <v>THPT Phước Kiển</v>
      </c>
      <c r="C80" s="53" t="str">
        <f ca="1">IFERROR(__xludf.DUMMYFUNCTION("""COMPUTED_VALUE"""),"THPT")</f>
        <v>THPT</v>
      </c>
      <c r="D80" s="53" t="str">
        <f ca="1">IFERROR(__xludf.DUMMYFUNCTION("""COMPUTED_VALUE"""),"Nhà Bè")</f>
        <v>Nhà Bè</v>
      </c>
      <c r="E80" s="54">
        <f ca="1">IFERROR(__xludf.DUMMYFUNCTION("""COMPUTED_VALUE"""),80)</f>
        <v>80</v>
      </c>
      <c r="F80" s="54">
        <f ca="1">IFERROR(__xludf.DUMMYFUNCTION("""COMPUTED_VALUE"""),80)</f>
        <v>80</v>
      </c>
      <c r="G80" s="54"/>
      <c r="H80" s="54">
        <f ca="1">IFERROR(__xludf.DUMMYFUNCTION("""COMPUTED_VALUE"""),80)</f>
        <v>80</v>
      </c>
      <c r="I80" s="54"/>
      <c r="J80" s="54">
        <f ca="1">IFERROR(__xludf.DUMMYFUNCTION("""COMPUTED_VALUE"""),80)</f>
        <v>80</v>
      </c>
      <c r="K80" s="54"/>
      <c r="L80" s="54">
        <f ca="1">IFERROR(__xludf.DUMMYFUNCTION("""COMPUTED_VALUE"""),15)</f>
        <v>15</v>
      </c>
      <c r="M80" s="54"/>
      <c r="N80" s="54">
        <f ca="1">IFERROR(__xludf.DUMMYFUNCTION("""COMPUTED_VALUE"""),0)</f>
        <v>0</v>
      </c>
      <c r="O80" s="54">
        <f ca="1">IFERROR(__xludf.DUMMYFUNCTION("""COMPUTED_VALUE"""),0)</f>
        <v>0</v>
      </c>
      <c r="P80" s="54"/>
      <c r="Q80" s="54">
        <f ca="1">IFERROR(__xludf.DUMMYFUNCTION("""COMPUTED_VALUE"""),0)</f>
        <v>0</v>
      </c>
      <c r="R80" s="54"/>
      <c r="S80" s="54">
        <f ca="1">IFERROR(__xludf.DUMMYFUNCTION("""COMPUTED_VALUE"""),1431)</f>
        <v>1431</v>
      </c>
      <c r="T80" s="53">
        <f ca="1">IFERROR(__xludf.DUMMYFUNCTION("""COMPUTED_VALUE"""),1431)</f>
        <v>1431</v>
      </c>
      <c r="U80" s="53"/>
      <c r="V80" s="54">
        <f ca="1">IFERROR(__xludf.DUMMYFUNCTION("""COMPUTED_VALUE"""),1431)</f>
        <v>1431</v>
      </c>
      <c r="W80" s="54"/>
      <c r="X80" s="54">
        <f ca="1">IFERROR(__xludf.DUMMYFUNCTION("""COMPUTED_VALUE"""),172)</f>
        <v>172</v>
      </c>
      <c r="Y80" s="54"/>
      <c r="Z80" s="2"/>
      <c r="AA80" s="2"/>
      <c r="AB80" s="2"/>
      <c r="AC80" s="2"/>
      <c r="AD80" s="2"/>
      <c r="AE80" s="2"/>
    </row>
    <row r="81" spans="1:31" ht="12.75" x14ac:dyDescent="0.2">
      <c r="A81" s="53">
        <f ca="1">IFERROR(__xludf.DUMMYFUNCTION("""COMPUTED_VALUE"""),72)</f>
        <v>72</v>
      </c>
      <c r="B81" s="53" t="str">
        <f ca="1">IFERROR(__xludf.DUMMYFUNCTION("""COMPUTED_VALUE"""),"TH - THCS Ánh Sao")</f>
        <v>TH - THCS Ánh Sao</v>
      </c>
      <c r="C81" s="53" t="str">
        <f ca="1">IFERROR(__xludf.DUMMYFUNCTION("""COMPUTED_VALUE"""),"THPT")</f>
        <v>THPT</v>
      </c>
      <c r="D81" s="53" t="str">
        <f ca="1">IFERROR(__xludf.DUMMYFUNCTION("""COMPUTED_VALUE"""),"Nhà Bè")</f>
        <v>Nhà Bè</v>
      </c>
      <c r="E81" s="54">
        <f ca="1">IFERROR(__xludf.DUMMYFUNCTION("""COMPUTED_VALUE"""),66)</f>
        <v>66</v>
      </c>
      <c r="F81" s="54">
        <f ca="1">IFERROR(__xludf.DUMMYFUNCTION("""COMPUTED_VALUE"""),64)</f>
        <v>64</v>
      </c>
      <c r="G81" s="54"/>
      <c r="H81" s="54">
        <f ca="1">IFERROR(__xludf.DUMMYFUNCTION("""COMPUTED_VALUE"""),64)</f>
        <v>64</v>
      </c>
      <c r="I81" s="54"/>
      <c r="J81" s="54">
        <f ca="1">IFERROR(__xludf.DUMMYFUNCTION("""COMPUTED_VALUE"""),33)</f>
        <v>33</v>
      </c>
      <c r="K81" s="54"/>
      <c r="L81" s="54">
        <f ca="1">IFERROR(__xludf.DUMMYFUNCTION("""COMPUTED_VALUE"""),0)</f>
        <v>0</v>
      </c>
      <c r="M81" s="54"/>
      <c r="N81" s="54">
        <f ca="1">IFERROR(__xludf.DUMMYFUNCTION("""COMPUTED_VALUE"""),69)</f>
        <v>69</v>
      </c>
      <c r="O81" s="54">
        <f ca="1">IFERROR(__xludf.DUMMYFUNCTION("""COMPUTED_VALUE"""),2)</f>
        <v>2</v>
      </c>
      <c r="P81" s="54"/>
      <c r="Q81" s="54">
        <f ca="1">IFERROR(__xludf.DUMMYFUNCTION("""COMPUTED_VALUE"""),2)</f>
        <v>2</v>
      </c>
      <c r="R81" s="54"/>
      <c r="S81" s="54">
        <f ca="1">IFERROR(__xludf.DUMMYFUNCTION("""COMPUTED_VALUE"""),37)</f>
        <v>37</v>
      </c>
      <c r="T81" s="54">
        <f ca="1">IFERROR(__xludf.DUMMYFUNCTION("""COMPUTED_VALUE"""),37)</f>
        <v>37</v>
      </c>
      <c r="U81" s="54"/>
      <c r="V81" s="54">
        <f ca="1">IFERROR(__xludf.DUMMYFUNCTION("""COMPUTED_VALUE"""),36)</f>
        <v>36</v>
      </c>
      <c r="W81" s="54"/>
      <c r="X81" s="54">
        <f ca="1">IFERROR(__xludf.DUMMYFUNCTION("""COMPUTED_VALUE"""),0)</f>
        <v>0</v>
      </c>
      <c r="Y81" s="54"/>
      <c r="Z81" s="2"/>
      <c r="AA81" s="2"/>
      <c r="AB81" s="2"/>
      <c r="AC81" s="2"/>
      <c r="AD81" s="2"/>
      <c r="AE81" s="2"/>
    </row>
    <row r="82" spans="1:31" ht="12.75" x14ac:dyDescent="0.2">
      <c r="A82" s="53">
        <f ca="1">IFERROR(__xludf.DUMMYFUNCTION("""COMPUTED_VALUE"""),73)</f>
        <v>73</v>
      </c>
      <c r="B82" s="53" t="str">
        <f ca="1">IFERROR(__xludf.DUMMYFUNCTION("""COMPUTED_VALUE"""),"TH - THCS - THPT QT Mỹ")</f>
        <v>TH - THCS - THPT QT Mỹ</v>
      </c>
      <c r="C82" s="53" t="str">
        <f ca="1">IFERROR(__xludf.DUMMYFUNCTION("""COMPUTED_VALUE"""),"THPT")</f>
        <v>THPT</v>
      </c>
      <c r="D82" s="53" t="str">
        <f ca="1">IFERROR(__xludf.DUMMYFUNCTION("""COMPUTED_VALUE"""),"Nhà Bè")</f>
        <v>Nhà Bè</v>
      </c>
      <c r="E82" s="54">
        <f ca="1">IFERROR(__xludf.DUMMYFUNCTION("""COMPUTED_VALUE"""),505)</f>
        <v>505</v>
      </c>
      <c r="F82" s="54">
        <f ca="1">IFERROR(__xludf.DUMMYFUNCTION("""COMPUTED_VALUE"""),505)</f>
        <v>505</v>
      </c>
      <c r="G82" s="54"/>
      <c r="H82" s="54">
        <f ca="1">IFERROR(__xludf.DUMMYFUNCTION("""COMPUTED_VALUE"""),503)</f>
        <v>503</v>
      </c>
      <c r="I82" s="54"/>
      <c r="J82" s="54">
        <f ca="1">IFERROR(__xludf.DUMMYFUNCTION("""COMPUTED_VALUE"""),465)</f>
        <v>465</v>
      </c>
      <c r="K82" s="54"/>
      <c r="L82" s="54">
        <f ca="1">IFERROR(__xludf.DUMMYFUNCTION("""COMPUTED_VALUE"""),92)</f>
        <v>92</v>
      </c>
      <c r="M82" s="54"/>
      <c r="N82" s="54">
        <f ca="1">IFERROR(__xludf.DUMMYFUNCTION("""COMPUTED_VALUE"""),650)</f>
        <v>650</v>
      </c>
      <c r="O82" s="54">
        <f ca="1">IFERROR(__xludf.DUMMYFUNCTION("""COMPUTED_VALUE"""),156)</f>
        <v>156</v>
      </c>
      <c r="P82" s="54"/>
      <c r="Q82" s="54">
        <f ca="1">IFERROR(__xludf.DUMMYFUNCTION("""COMPUTED_VALUE"""),72)</f>
        <v>72</v>
      </c>
      <c r="R82" s="54"/>
      <c r="S82" s="54">
        <f ca="1">IFERROR(__xludf.DUMMYFUNCTION("""COMPUTED_VALUE"""),620)</f>
        <v>620</v>
      </c>
      <c r="T82" s="53">
        <f ca="1">IFERROR(__xludf.DUMMYFUNCTION("""COMPUTED_VALUE"""),609)</f>
        <v>609</v>
      </c>
      <c r="U82" s="53"/>
      <c r="V82" s="54">
        <f ca="1">IFERROR(__xludf.DUMMYFUNCTION("""COMPUTED_VALUE"""),551)</f>
        <v>551</v>
      </c>
      <c r="W82" s="54"/>
      <c r="X82" s="54">
        <f ca="1">IFERROR(__xludf.DUMMYFUNCTION("""COMPUTED_VALUE"""),106)</f>
        <v>106</v>
      </c>
      <c r="Y82" s="54"/>
      <c r="Z82" s="2"/>
      <c r="AA82" s="2"/>
      <c r="AB82" s="2"/>
      <c r="AC82" s="2"/>
      <c r="AD82" s="2"/>
      <c r="AE82" s="2"/>
    </row>
    <row r="83" spans="1:31" ht="12.75" x14ac:dyDescent="0.2">
      <c r="A83" s="53">
        <f ca="1">IFERROR(__xludf.DUMMYFUNCTION("""COMPUTED_VALUE"""),74)</f>
        <v>74</v>
      </c>
      <c r="B83" s="53" t="str">
        <f ca="1">IFERROR(__xludf.DUMMYFUNCTION("""COMPUTED_VALUE"""),"TH - THCS - THPT Anglophone")</f>
        <v>TH - THCS - THPT Anglophone</v>
      </c>
      <c r="C83" s="53" t="str">
        <f ca="1">IFERROR(__xludf.DUMMYFUNCTION("""COMPUTED_VALUE"""),"THPT")</f>
        <v>THPT</v>
      </c>
      <c r="D83" s="53" t="str">
        <f ca="1">IFERROR(__xludf.DUMMYFUNCTION("""COMPUTED_VALUE"""),"Nhà Bè")</f>
        <v>Nhà Bè</v>
      </c>
      <c r="E83" s="54">
        <f ca="1">IFERROR(__xludf.DUMMYFUNCTION("""COMPUTED_VALUE"""),254)</f>
        <v>254</v>
      </c>
      <c r="F83" s="54">
        <f ca="1">IFERROR(__xludf.DUMMYFUNCTION("""COMPUTED_VALUE"""),254)</f>
        <v>254</v>
      </c>
      <c r="G83" s="54"/>
      <c r="H83" s="54">
        <f ca="1">IFERROR(__xludf.DUMMYFUNCTION("""COMPUTED_VALUE"""),254)</f>
        <v>254</v>
      </c>
      <c r="I83" s="54"/>
      <c r="J83" s="54">
        <f ca="1">IFERROR(__xludf.DUMMYFUNCTION("""COMPUTED_VALUE"""),215)</f>
        <v>215</v>
      </c>
      <c r="K83" s="54"/>
      <c r="L83" s="54">
        <f ca="1">IFERROR(__xludf.DUMMYFUNCTION("""COMPUTED_VALUE"""),39)</f>
        <v>39</v>
      </c>
      <c r="M83" s="54"/>
      <c r="N83" s="54">
        <f ca="1">IFERROR(__xludf.DUMMYFUNCTION("""COMPUTED_VALUE"""),364)</f>
        <v>364</v>
      </c>
      <c r="O83" s="54">
        <f ca="1">IFERROR(__xludf.DUMMYFUNCTION("""COMPUTED_VALUE"""),59)</f>
        <v>59</v>
      </c>
      <c r="P83" s="54"/>
      <c r="Q83" s="54">
        <f ca="1">IFERROR(__xludf.DUMMYFUNCTION("""COMPUTED_VALUE"""),31)</f>
        <v>31</v>
      </c>
      <c r="R83" s="54"/>
      <c r="S83" s="54">
        <f ca="1">IFERROR(__xludf.DUMMYFUNCTION("""COMPUTED_VALUE"""),354)</f>
        <v>354</v>
      </c>
      <c r="T83" s="53">
        <f ca="1">IFERROR(__xludf.DUMMYFUNCTION("""COMPUTED_VALUE"""),354)</f>
        <v>354</v>
      </c>
      <c r="U83" s="53"/>
      <c r="V83" s="54">
        <f ca="1">IFERROR(__xludf.DUMMYFUNCTION("""COMPUTED_VALUE"""),340)</f>
        <v>340</v>
      </c>
      <c r="W83" s="54"/>
      <c r="X83" s="54">
        <f ca="1">IFERROR(__xludf.DUMMYFUNCTION("""COMPUTED_VALUE"""),0)</f>
        <v>0</v>
      </c>
      <c r="Y83" s="54"/>
      <c r="Z83" s="2"/>
      <c r="AA83" s="2"/>
      <c r="AB83" s="2"/>
      <c r="AC83" s="2"/>
      <c r="AD83" s="2"/>
      <c r="AE83" s="2"/>
    </row>
    <row r="84" spans="1:31" ht="12.75" x14ac:dyDescent="0.2">
      <c r="A84" s="53"/>
      <c r="B84" s="52" t="str">
        <f ca="1">IFERROR(__xludf.DUMMYFUNCTION("""COMPUTED_VALUE"""),"GDTX (1)")</f>
        <v>GDTX (1)</v>
      </c>
      <c r="C84" s="53"/>
      <c r="D84" s="53"/>
      <c r="E84" s="54">
        <f ca="1">IFERROR(__xludf.DUMMYFUNCTION("""COMPUTED_VALUE"""),71)</f>
        <v>71</v>
      </c>
      <c r="F84" s="54">
        <f ca="1">IFERROR(__xludf.DUMMYFUNCTION("""COMPUTED_VALUE"""),71)</f>
        <v>71</v>
      </c>
      <c r="G84" s="54"/>
      <c r="H84" s="54">
        <f ca="1">IFERROR(__xludf.DUMMYFUNCTION("""COMPUTED_VALUE"""),71)</f>
        <v>71</v>
      </c>
      <c r="I84" s="54"/>
      <c r="J84" s="54">
        <f ca="1">IFERROR(__xludf.DUMMYFUNCTION("""COMPUTED_VALUE"""),71)</f>
        <v>71</v>
      </c>
      <c r="K84" s="54"/>
      <c r="L84" s="54">
        <f ca="1">IFERROR(__xludf.DUMMYFUNCTION("""COMPUTED_VALUE"""),35)</f>
        <v>35</v>
      </c>
      <c r="M84" s="54"/>
      <c r="N84" s="54">
        <f ca="1">IFERROR(__xludf.DUMMYFUNCTION("""COMPUTED_VALUE"""),0)</f>
        <v>0</v>
      </c>
      <c r="O84" s="54">
        <f ca="1">IFERROR(__xludf.DUMMYFUNCTION("""COMPUTED_VALUE"""),0)</f>
        <v>0</v>
      </c>
      <c r="P84" s="54"/>
      <c r="Q84" s="54">
        <f ca="1">IFERROR(__xludf.DUMMYFUNCTION("""COMPUTED_VALUE"""),0)</f>
        <v>0</v>
      </c>
      <c r="R84" s="54"/>
      <c r="S84" s="54">
        <f ca="1">IFERROR(__xludf.DUMMYFUNCTION("""COMPUTED_VALUE"""),220)</f>
        <v>220</v>
      </c>
      <c r="T84" s="53">
        <f ca="1">IFERROR(__xludf.DUMMYFUNCTION("""COMPUTED_VALUE"""),220)</f>
        <v>220</v>
      </c>
      <c r="U84" s="53"/>
      <c r="V84" s="54">
        <f ca="1">IFERROR(__xludf.DUMMYFUNCTION("""COMPUTED_VALUE"""),220)</f>
        <v>220</v>
      </c>
      <c r="W84" s="54"/>
      <c r="X84" s="54">
        <f ca="1">IFERROR(__xludf.DUMMYFUNCTION("""COMPUTED_VALUE"""),26)</f>
        <v>26</v>
      </c>
      <c r="Y84" s="54"/>
      <c r="Z84" s="2"/>
      <c r="AA84" s="2"/>
      <c r="AB84" s="2"/>
      <c r="AC84" s="2"/>
      <c r="AD84" s="2"/>
      <c r="AE84" s="2"/>
    </row>
    <row r="85" spans="1:31" ht="12.75" x14ac:dyDescent="0.2">
      <c r="A85" s="53">
        <f ca="1">IFERROR(__xludf.DUMMYFUNCTION("""COMPUTED_VALUE"""),75)</f>
        <v>75</v>
      </c>
      <c r="B85" s="53" t="str">
        <f ca="1">IFERROR(__xludf.DUMMYFUNCTION("""COMPUTED_VALUE"""),"Trung tâm GDNN-GDTX (1)")</f>
        <v>Trung tâm GDNN-GDTX (1)</v>
      </c>
      <c r="C85" s="53" t="str">
        <f ca="1">IFERROR(__xludf.DUMMYFUNCTION("""COMPUTED_VALUE"""),"GDTX")</f>
        <v>GDTX</v>
      </c>
      <c r="D85" s="53" t="str">
        <f ca="1">IFERROR(__xludf.DUMMYFUNCTION("""COMPUTED_VALUE"""),"Nhà Bè")</f>
        <v>Nhà Bè</v>
      </c>
      <c r="E85" s="54">
        <f ca="1">IFERROR(__xludf.DUMMYFUNCTION("""COMPUTED_VALUE"""),71)</f>
        <v>71</v>
      </c>
      <c r="F85" s="54">
        <f ca="1">IFERROR(__xludf.DUMMYFUNCTION("""COMPUTED_VALUE"""),71)</f>
        <v>71</v>
      </c>
      <c r="G85" s="54"/>
      <c r="H85" s="54">
        <f ca="1">IFERROR(__xludf.DUMMYFUNCTION("""COMPUTED_VALUE"""),71)</f>
        <v>71</v>
      </c>
      <c r="I85" s="54"/>
      <c r="J85" s="54">
        <f ca="1">IFERROR(__xludf.DUMMYFUNCTION("""COMPUTED_VALUE"""),71)</f>
        <v>71</v>
      </c>
      <c r="K85" s="54"/>
      <c r="L85" s="54">
        <f ca="1">IFERROR(__xludf.DUMMYFUNCTION("""COMPUTED_VALUE"""),35)</f>
        <v>35</v>
      </c>
      <c r="M85" s="54"/>
      <c r="N85" s="54">
        <f ca="1">IFERROR(__xludf.DUMMYFUNCTION("""COMPUTED_VALUE"""),0)</f>
        <v>0</v>
      </c>
      <c r="O85" s="54">
        <f ca="1">IFERROR(__xludf.DUMMYFUNCTION("""COMPUTED_VALUE"""),0)</f>
        <v>0</v>
      </c>
      <c r="P85" s="54"/>
      <c r="Q85" s="54">
        <f ca="1">IFERROR(__xludf.DUMMYFUNCTION("""COMPUTED_VALUE"""),0)</f>
        <v>0</v>
      </c>
      <c r="R85" s="54"/>
      <c r="S85" s="54">
        <f ca="1">IFERROR(__xludf.DUMMYFUNCTION("""COMPUTED_VALUE"""),220)</f>
        <v>220</v>
      </c>
      <c r="T85" s="54">
        <f ca="1">IFERROR(__xludf.DUMMYFUNCTION("""COMPUTED_VALUE"""),220)</f>
        <v>220</v>
      </c>
      <c r="U85" s="54"/>
      <c r="V85" s="54">
        <f ca="1">IFERROR(__xludf.DUMMYFUNCTION("""COMPUTED_VALUE"""),220)</f>
        <v>220</v>
      </c>
      <c r="W85" s="54"/>
      <c r="X85" s="54">
        <f ca="1">IFERROR(__xludf.DUMMYFUNCTION("""COMPUTED_VALUE"""),26)</f>
        <v>26</v>
      </c>
      <c r="Y85" s="54"/>
      <c r="Z85" s="2"/>
      <c r="AA85" s="2"/>
      <c r="AB85" s="2"/>
      <c r="AC85" s="2"/>
      <c r="AD85" s="2"/>
      <c r="AE85" s="2"/>
    </row>
    <row r="86" spans="1:31" ht="12.75" x14ac:dyDescent="0.2">
      <c r="A86" s="53"/>
      <c r="B86" s="52" t="str">
        <f ca="1">IFERROR(__xludf.DUMMYFUNCTION("""COMPUTED_VALUE"""),"TRUNG TÂM NGOẠI NGỮ (14)")</f>
        <v>TRUNG TÂM NGOẠI NGỮ (14)</v>
      </c>
      <c r="C86" s="53"/>
      <c r="D86" s="53"/>
      <c r="E86" s="54">
        <f ca="1">IFERROR(__xludf.DUMMYFUNCTION("""COMPUTED_VALUE"""),181)</f>
        <v>181</v>
      </c>
      <c r="F86" s="54">
        <f ca="1">IFERROR(__xludf.DUMMYFUNCTION("""COMPUTED_VALUE"""),178)</f>
        <v>178</v>
      </c>
      <c r="G86" s="54"/>
      <c r="H86" s="54">
        <f ca="1">IFERROR(__xludf.DUMMYFUNCTION("""COMPUTED_VALUE"""),152)</f>
        <v>152</v>
      </c>
      <c r="I86" s="54"/>
      <c r="J86" s="54">
        <f ca="1">IFERROR(__xludf.DUMMYFUNCTION("""COMPUTED_VALUE"""),46)</f>
        <v>46</v>
      </c>
      <c r="K86" s="54"/>
      <c r="L86" s="54">
        <f ca="1">IFERROR(__xludf.DUMMYFUNCTION("""COMPUTED_VALUE"""),8)</f>
        <v>8</v>
      </c>
      <c r="M86" s="54"/>
      <c r="N86" s="53"/>
      <c r="O86" s="53"/>
      <c r="P86" s="53"/>
      <c r="Q86" s="53"/>
      <c r="R86" s="53"/>
      <c r="S86" s="53"/>
      <c r="T86" s="53"/>
      <c r="U86" s="53"/>
      <c r="V86" s="53"/>
      <c r="W86" s="53"/>
      <c r="X86" s="53"/>
      <c r="Y86" s="53"/>
      <c r="Z86" s="2"/>
      <c r="AA86" s="2"/>
      <c r="AB86" s="2"/>
      <c r="AC86" s="2"/>
      <c r="AD86" s="2"/>
      <c r="AE86" s="2"/>
    </row>
    <row r="87" spans="1:31" ht="12.75" x14ac:dyDescent="0.2">
      <c r="A87" s="53">
        <f ca="1">IFERROR(__xludf.DUMMYFUNCTION("""COMPUTED_VALUE"""),76)</f>
        <v>76</v>
      </c>
      <c r="B87" s="53" t="str">
        <f ca="1">IFERROR(__xludf.DUMMYFUNCTION("""COMPUTED_VALUE"""),"TTNN Tương Lai Mới")</f>
        <v>TTNN Tương Lai Mới</v>
      </c>
      <c r="C87" s="53"/>
      <c r="D87" s="53" t="str">
        <f ca="1">IFERROR(__xludf.DUMMYFUNCTION("""COMPUTED_VALUE"""),"Nhà Bè")</f>
        <v>Nhà Bè</v>
      </c>
      <c r="E87" s="54">
        <f ca="1">IFERROR(__xludf.DUMMYFUNCTION("""COMPUTED_VALUE"""),35)</f>
        <v>35</v>
      </c>
      <c r="F87" s="54">
        <f ca="1">IFERROR(__xludf.DUMMYFUNCTION("""COMPUTED_VALUE"""),35)</f>
        <v>35</v>
      </c>
      <c r="G87" s="54"/>
      <c r="H87" s="54">
        <f ca="1">IFERROR(__xludf.DUMMYFUNCTION("""COMPUTED_VALUE"""),32)</f>
        <v>32</v>
      </c>
      <c r="I87" s="54"/>
      <c r="J87" s="54">
        <f ca="1">IFERROR(__xludf.DUMMYFUNCTION("""COMPUTED_VALUE"""),0)</f>
        <v>0</v>
      </c>
      <c r="K87" s="54"/>
      <c r="L87" s="54">
        <f ca="1">IFERROR(__xludf.DUMMYFUNCTION("""COMPUTED_VALUE"""),0)</f>
        <v>0</v>
      </c>
      <c r="M87" s="54"/>
      <c r="N87" s="53"/>
      <c r="O87" s="53"/>
      <c r="P87" s="53"/>
      <c r="Q87" s="53"/>
      <c r="R87" s="53"/>
      <c r="S87" s="53"/>
      <c r="T87" s="53"/>
      <c r="U87" s="53"/>
      <c r="V87" s="53"/>
      <c r="W87" s="53"/>
      <c r="X87" s="53"/>
      <c r="Y87" s="53"/>
      <c r="Z87" s="2"/>
      <c r="AA87" s="2"/>
      <c r="AB87" s="2"/>
      <c r="AC87" s="2"/>
      <c r="AD87" s="2"/>
      <c r="AE87" s="2"/>
    </row>
    <row r="88" spans="1:31" ht="12.75" x14ac:dyDescent="0.2">
      <c r="A88" s="53">
        <f ca="1">IFERROR(__xludf.DUMMYFUNCTION("""COMPUTED_VALUE"""),77)</f>
        <v>77</v>
      </c>
      <c r="B88" s="53" t="str">
        <f ca="1">IFERROR(__xludf.DUMMYFUNCTION("""COMPUTED_VALUE"""),"TTNN Sao Mộc")</f>
        <v>TTNN Sao Mộc</v>
      </c>
      <c r="C88" s="53"/>
      <c r="D88" s="53" t="str">
        <f ca="1">IFERROR(__xludf.DUMMYFUNCTION("""COMPUTED_VALUE"""),"Nhà Bè")</f>
        <v>Nhà Bè</v>
      </c>
      <c r="E88" s="54">
        <f ca="1">IFERROR(__xludf.DUMMYFUNCTION("""COMPUTED_VALUE"""),9)</f>
        <v>9</v>
      </c>
      <c r="F88" s="54">
        <f ca="1">IFERROR(__xludf.DUMMYFUNCTION("""COMPUTED_VALUE"""),9)</f>
        <v>9</v>
      </c>
      <c r="G88" s="54"/>
      <c r="H88" s="54">
        <f ca="1">IFERROR(__xludf.DUMMYFUNCTION("""COMPUTED_VALUE"""),9)</f>
        <v>9</v>
      </c>
      <c r="I88" s="54"/>
      <c r="J88" s="54">
        <f ca="1">IFERROR(__xludf.DUMMYFUNCTION("""COMPUTED_VALUE"""),5)</f>
        <v>5</v>
      </c>
      <c r="K88" s="54"/>
      <c r="L88" s="54">
        <f ca="1">IFERROR(__xludf.DUMMYFUNCTION("""COMPUTED_VALUE"""),0)</f>
        <v>0</v>
      </c>
      <c r="M88" s="54"/>
      <c r="N88" s="53"/>
      <c r="O88" s="53"/>
      <c r="P88" s="53"/>
      <c r="Q88" s="53"/>
      <c r="R88" s="53"/>
      <c r="S88" s="53"/>
      <c r="T88" s="53"/>
      <c r="U88" s="53"/>
      <c r="V88" s="53"/>
      <c r="W88" s="53"/>
      <c r="X88" s="53"/>
      <c r="Y88" s="53"/>
      <c r="Z88" s="2"/>
      <c r="AA88" s="2"/>
      <c r="AB88" s="2"/>
      <c r="AC88" s="2"/>
      <c r="AD88" s="2"/>
      <c r="AE88" s="2"/>
    </row>
    <row r="89" spans="1:31" ht="12.75" x14ac:dyDescent="0.2">
      <c r="A89" s="53">
        <f ca="1">IFERROR(__xludf.DUMMYFUNCTION("""COMPUTED_VALUE"""),78)</f>
        <v>78</v>
      </c>
      <c r="B89" s="53" t="str">
        <f ca="1">IFERROR(__xludf.DUMMYFUNCTION("""COMPUTED_VALUE"""),"TTNN Thái Hoàng Gia")</f>
        <v>TTNN Thái Hoàng Gia</v>
      </c>
      <c r="C89" s="53"/>
      <c r="D89" s="53" t="str">
        <f ca="1">IFERROR(__xludf.DUMMYFUNCTION("""COMPUTED_VALUE"""),"Nhà Bè")</f>
        <v>Nhà Bè</v>
      </c>
      <c r="E89" s="54">
        <f ca="1">IFERROR(__xludf.DUMMYFUNCTION("""COMPUTED_VALUE"""),3)</f>
        <v>3</v>
      </c>
      <c r="F89" s="54">
        <f ca="1">IFERROR(__xludf.DUMMYFUNCTION("""COMPUTED_VALUE"""),3)</f>
        <v>3</v>
      </c>
      <c r="G89" s="54"/>
      <c r="H89" s="54">
        <f ca="1">IFERROR(__xludf.DUMMYFUNCTION("""COMPUTED_VALUE"""),3)</f>
        <v>3</v>
      </c>
      <c r="I89" s="54"/>
      <c r="J89" s="54">
        <f ca="1">IFERROR(__xludf.DUMMYFUNCTION("""COMPUTED_VALUE"""),3)</f>
        <v>3</v>
      </c>
      <c r="K89" s="54"/>
      <c r="L89" s="54">
        <f ca="1">IFERROR(__xludf.DUMMYFUNCTION("""COMPUTED_VALUE"""),0)</f>
        <v>0</v>
      </c>
      <c r="M89" s="54"/>
      <c r="N89" s="53"/>
      <c r="O89" s="53"/>
      <c r="P89" s="53"/>
      <c r="Q89" s="53"/>
      <c r="R89" s="53"/>
      <c r="S89" s="53"/>
      <c r="T89" s="53"/>
      <c r="U89" s="53"/>
      <c r="V89" s="53"/>
      <c r="W89" s="53"/>
      <c r="X89" s="53"/>
      <c r="Y89" s="53"/>
      <c r="Z89" s="2"/>
      <c r="AA89" s="2"/>
      <c r="AB89" s="2"/>
      <c r="AC89" s="2"/>
      <c r="AD89" s="2"/>
      <c r="AE89" s="2"/>
    </row>
    <row r="90" spans="1:31" ht="12.75" x14ac:dyDescent="0.2">
      <c r="A90" s="53">
        <f ca="1">IFERROR(__xludf.DUMMYFUNCTION("""COMPUTED_VALUE"""),79)</f>
        <v>79</v>
      </c>
      <c r="B90" s="53" t="str">
        <f ca="1">IFERROR(__xludf.DUMMYFUNCTION("""COMPUTED_VALUE"""),"TTNN Thái Hoàng Mỹ")</f>
        <v>TTNN Thái Hoàng Mỹ</v>
      </c>
      <c r="C90" s="53"/>
      <c r="D90" s="53" t="str">
        <f ca="1">IFERROR(__xludf.DUMMYFUNCTION("""COMPUTED_VALUE"""),"Nhà Bè")</f>
        <v>Nhà Bè</v>
      </c>
      <c r="E90" s="54">
        <f ca="1">IFERROR(__xludf.DUMMYFUNCTION("""COMPUTED_VALUE"""),4)</f>
        <v>4</v>
      </c>
      <c r="F90" s="54">
        <f ca="1">IFERROR(__xludf.DUMMYFUNCTION("""COMPUTED_VALUE"""),4)</f>
        <v>4</v>
      </c>
      <c r="G90" s="54"/>
      <c r="H90" s="54">
        <f ca="1">IFERROR(__xludf.DUMMYFUNCTION("""COMPUTED_VALUE"""),4)</f>
        <v>4</v>
      </c>
      <c r="I90" s="54"/>
      <c r="J90" s="54">
        <f ca="1">IFERROR(__xludf.DUMMYFUNCTION("""COMPUTED_VALUE"""),4)</f>
        <v>4</v>
      </c>
      <c r="K90" s="54"/>
      <c r="L90" s="54">
        <f ca="1">IFERROR(__xludf.DUMMYFUNCTION("""COMPUTED_VALUE"""),0)</f>
        <v>0</v>
      </c>
      <c r="M90" s="54"/>
      <c r="N90" s="53"/>
      <c r="O90" s="53"/>
      <c r="P90" s="53"/>
      <c r="Q90" s="53"/>
      <c r="R90" s="53"/>
      <c r="S90" s="53"/>
      <c r="T90" s="53"/>
      <c r="U90" s="53"/>
      <c r="V90" s="53"/>
      <c r="W90" s="53"/>
      <c r="X90" s="53"/>
      <c r="Y90" s="53"/>
      <c r="Z90" s="2"/>
      <c r="AA90" s="2"/>
      <c r="AB90" s="2"/>
      <c r="AC90" s="2"/>
      <c r="AD90" s="2"/>
      <c r="AE90" s="2"/>
    </row>
    <row r="91" spans="1:31" ht="12.75" x14ac:dyDescent="0.2">
      <c r="A91" s="53">
        <f ca="1">IFERROR(__xludf.DUMMYFUNCTION("""COMPUTED_VALUE"""),80)</f>
        <v>80</v>
      </c>
      <c r="B91" s="53" t="str">
        <f ca="1">IFERROR(__xludf.DUMMYFUNCTION("""COMPUTED_VALUE"""),"TTNN Á Châu")</f>
        <v>TTNN Á Châu</v>
      </c>
      <c r="C91" s="53"/>
      <c r="D91" s="53" t="str">
        <f ca="1">IFERROR(__xludf.DUMMYFUNCTION("""COMPUTED_VALUE"""),"Nhà Bè")</f>
        <v>Nhà Bè</v>
      </c>
      <c r="E91" s="54">
        <f ca="1">IFERROR(__xludf.DUMMYFUNCTION("""COMPUTED_VALUE"""),16)</f>
        <v>16</v>
      </c>
      <c r="F91" s="54">
        <f ca="1">IFERROR(__xludf.DUMMYFUNCTION("""COMPUTED_VALUE"""),16)</f>
        <v>16</v>
      </c>
      <c r="G91" s="54"/>
      <c r="H91" s="54">
        <f ca="1">IFERROR(__xludf.DUMMYFUNCTION("""COMPUTED_VALUE"""),16)</f>
        <v>16</v>
      </c>
      <c r="I91" s="54"/>
      <c r="J91" s="54">
        <f ca="1">IFERROR(__xludf.DUMMYFUNCTION("""COMPUTED_VALUE"""),13)</f>
        <v>13</v>
      </c>
      <c r="K91" s="54"/>
      <c r="L91" s="54">
        <f ca="1">IFERROR(__xludf.DUMMYFUNCTION("""COMPUTED_VALUE"""),0)</f>
        <v>0</v>
      </c>
      <c r="M91" s="54"/>
      <c r="N91" s="53"/>
      <c r="O91" s="53"/>
      <c r="P91" s="53"/>
      <c r="Q91" s="53"/>
      <c r="R91" s="53"/>
      <c r="S91" s="53"/>
      <c r="T91" s="53"/>
      <c r="U91" s="53"/>
      <c r="V91" s="53"/>
      <c r="W91" s="53"/>
      <c r="X91" s="53"/>
      <c r="Y91" s="53"/>
      <c r="Z91" s="2"/>
      <c r="AA91" s="2"/>
      <c r="AB91" s="2"/>
      <c r="AC91" s="2"/>
      <c r="AD91" s="2"/>
      <c r="AE91" s="2"/>
    </row>
    <row r="92" spans="1:31" ht="12.75" x14ac:dyDescent="0.2">
      <c r="A92" s="53">
        <f ca="1">IFERROR(__xludf.DUMMYFUNCTION("""COMPUTED_VALUE"""),81)</f>
        <v>81</v>
      </c>
      <c r="B92" s="53" t="str">
        <f ca="1">IFERROR(__xludf.DUMMYFUNCTION("""COMPUTED_VALUE"""),"TTNN-TH Ánh Hào Quang")</f>
        <v>TTNN-TH Ánh Hào Quang</v>
      </c>
      <c r="C92" s="53"/>
      <c r="D92" s="53" t="str">
        <f ca="1">IFERROR(__xludf.DUMMYFUNCTION("""COMPUTED_VALUE"""),"Nhà Bè")</f>
        <v>Nhà Bè</v>
      </c>
      <c r="E92" s="54">
        <f ca="1">IFERROR(__xludf.DUMMYFUNCTION("""COMPUTED_VALUE"""),13)</f>
        <v>13</v>
      </c>
      <c r="F92" s="54">
        <f ca="1">IFERROR(__xludf.DUMMYFUNCTION("""COMPUTED_VALUE"""),13)</f>
        <v>13</v>
      </c>
      <c r="G92" s="54"/>
      <c r="H92" s="54">
        <f ca="1">IFERROR(__xludf.DUMMYFUNCTION("""COMPUTED_VALUE"""),7)</f>
        <v>7</v>
      </c>
      <c r="I92" s="54"/>
      <c r="J92" s="54">
        <f ca="1">IFERROR(__xludf.DUMMYFUNCTION("""COMPUTED_VALUE"""),0)</f>
        <v>0</v>
      </c>
      <c r="K92" s="54"/>
      <c r="L92" s="54">
        <f ca="1">IFERROR(__xludf.DUMMYFUNCTION("""COMPUTED_VALUE"""),0)</f>
        <v>0</v>
      </c>
      <c r="M92" s="54"/>
      <c r="N92" s="53"/>
      <c r="O92" s="53"/>
      <c r="P92" s="53"/>
      <c r="Q92" s="53"/>
      <c r="R92" s="53"/>
      <c r="S92" s="53"/>
      <c r="T92" s="53"/>
      <c r="U92" s="53"/>
      <c r="V92" s="53"/>
      <c r="W92" s="53"/>
      <c r="X92" s="53"/>
      <c r="Y92" s="53"/>
      <c r="Z92" s="2"/>
      <c r="AA92" s="2"/>
      <c r="AB92" s="2"/>
      <c r="AC92" s="2"/>
      <c r="AD92" s="2"/>
      <c r="AE92" s="2"/>
    </row>
    <row r="93" spans="1:31" ht="12.75" x14ac:dyDescent="0.2">
      <c r="A93" s="53">
        <f ca="1">IFERROR(__xludf.DUMMYFUNCTION("""COMPUTED_VALUE"""),82)</f>
        <v>82</v>
      </c>
      <c r="B93" s="53" t="str">
        <f ca="1">IFERROR(__xludf.DUMMYFUNCTION("""COMPUTED_VALUE"""),"TTNN Hồng Ân")</f>
        <v>TTNN Hồng Ân</v>
      </c>
      <c r="C93" s="53"/>
      <c r="D93" s="53" t="str">
        <f ca="1">IFERROR(__xludf.DUMMYFUNCTION("""COMPUTED_VALUE"""),"Nhà Bè")</f>
        <v>Nhà Bè</v>
      </c>
      <c r="E93" s="54">
        <f ca="1">IFERROR(__xludf.DUMMYFUNCTION("""COMPUTED_VALUE"""),12)</f>
        <v>12</v>
      </c>
      <c r="F93" s="54">
        <f ca="1">IFERROR(__xludf.DUMMYFUNCTION("""COMPUTED_VALUE"""),10)</f>
        <v>10</v>
      </c>
      <c r="G93" s="54"/>
      <c r="H93" s="54">
        <f ca="1">IFERROR(__xludf.DUMMYFUNCTION("""COMPUTED_VALUE"""),5)</f>
        <v>5</v>
      </c>
      <c r="I93" s="54"/>
      <c r="J93" s="54">
        <f ca="1">IFERROR(__xludf.DUMMYFUNCTION("""COMPUTED_VALUE"""),0)</f>
        <v>0</v>
      </c>
      <c r="K93" s="54"/>
      <c r="L93" s="54">
        <f ca="1">IFERROR(__xludf.DUMMYFUNCTION("""COMPUTED_VALUE"""),0)</f>
        <v>0</v>
      </c>
      <c r="M93" s="54"/>
      <c r="N93" s="53"/>
      <c r="O93" s="53"/>
      <c r="P93" s="53"/>
      <c r="Q93" s="53"/>
      <c r="R93" s="53"/>
      <c r="S93" s="53"/>
      <c r="T93" s="53"/>
      <c r="U93" s="53"/>
      <c r="V93" s="53"/>
      <c r="W93" s="53"/>
      <c r="X93" s="53"/>
      <c r="Y93" s="53"/>
      <c r="Z93" s="2"/>
      <c r="AA93" s="2"/>
      <c r="AB93" s="2"/>
      <c r="AC93" s="2"/>
      <c r="AD93" s="2"/>
      <c r="AE93" s="2"/>
    </row>
    <row r="94" spans="1:31" ht="12.75" x14ac:dyDescent="0.2">
      <c r="A94" s="53">
        <f ca="1">IFERROR(__xludf.DUMMYFUNCTION("""COMPUTED_VALUE"""),83)</f>
        <v>83</v>
      </c>
      <c r="B94" s="53" t="str">
        <f ca="1">IFERROR(__xludf.DUMMYFUNCTION("""COMPUTED_VALUE"""),"TTNN Nhật Gia")</f>
        <v>TTNN Nhật Gia</v>
      </c>
      <c r="C94" s="53"/>
      <c r="D94" s="53" t="str">
        <f ca="1">IFERROR(__xludf.DUMMYFUNCTION("""COMPUTED_VALUE"""),"Nhà Bè")</f>
        <v>Nhà Bè</v>
      </c>
      <c r="E94" s="54">
        <f ca="1">IFERROR(__xludf.DUMMYFUNCTION("""COMPUTED_VALUE"""),3)</f>
        <v>3</v>
      </c>
      <c r="F94" s="54">
        <f ca="1">IFERROR(__xludf.DUMMYFUNCTION("""COMPUTED_VALUE"""),3)</f>
        <v>3</v>
      </c>
      <c r="G94" s="54"/>
      <c r="H94" s="54">
        <f ca="1">IFERROR(__xludf.DUMMYFUNCTION("""COMPUTED_VALUE"""),3)</f>
        <v>3</v>
      </c>
      <c r="I94" s="54"/>
      <c r="J94" s="54">
        <f ca="1">IFERROR(__xludf.DUMMYFUNCTION("""COMPUTED_VALUE"""),0)</f>
        <v>0</v>
      </c>
      <c r="K94" s="54"/>
      <c r="L94" s="54">
        <f ca="1">IFERROR(__xludf.DUMMYFUNCTION("""COMPUTED_VALUE"""),0)</f>
        <v>0</v>
      </c>
      <c r="M94" s="54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3"/>
      <c r="Z94" s="2"/>
      <c r="AA94" s="2"/>
      <c r="AB94" s="2"/>
      <c r="AC94" s="2"/>
      <c r="AD94" s="2"/>
      <c r="AE94" s="2"/>
    </row>
    <row r="95" spans="1:31" ht="12.75" x14ac:dyDescent="0.2">
      <c r="A95" s="53">
        <f ca="1">IFERROR(__xludf.DUMMYFUNCTION("""COMPUTED_VALUE"""),84)</f>
        <v>84</v>
      </c>
      <c r="B95" s="53" t="str">
        <f ca="1">IFERROR(__xludf.DUMMYFUNCTION("""COMPUTED_VALUE"""),"TTNN Mai Anh")</f>
        <v>TTNN Mai Anh</v>
      </c>
      <c r="C95" s="53"/>
      <c r="D95" s="53" t="str">
        <f ca="1">IFERROR(__xludf.DUMMYFUNCTION("""COMPUTED_VALUE"""),"Nhà Bè")</f>
        <v>Nhà Bè</v>
      </c>
      <c r="E95" s="54">
        <f ca="1">IFERROR(__xludf.DUMMYFUNCTION("""COMPUTED_VALUE"""),10)</f>
        <v>10</v>
      </c>
      <c r="F95" s="54">
        <f ca="1">IFERROR(__xludf.DUMMYFUNCTION("""COMPUTED_VALUE"""),10)</f>
        <v>10</v>
      </c>
      <c r="G95" s="54"/>
      <c r="H95" s="54">
        <f ca="1">IFERROR(__xludf.DUMMYFUNCTION("""COMPUTED_VALUE"""),10)</f>
        <v>10</v>
      </c>
      <c r="I95" s="54"/>
      <c r="J95" s="54">
        <f ca="1">IFERROR(__xludf.DUMMYFUNCTION("""COMPUTED_VALUE"""),0)</f>
        <v>0</v>
      </c>
      <c r="K95" s="54"/>
      <c r="L95" s="54">
        <f ca="1">IFERROR(__xludf.DUMMYFUNCTION("""COMPUTED_VALUE"""),0)</f>
        <v>0</v>
      </c>
      <c r="M95" s="54"/>
      <c r="N95" s="53"/>
      <c r="O95" s="53"/>
      <c r="P95" s="53"/>
      <c r="Q95" s="53"/>
      <c r="R95" s="53"/>
      <c r="S95" s="53"/>
      <c r="T95" s="53"/>
      <c r="U95" s="53"/>
      <c r="V95" s="53"/>
      <c r="W95" s="53"/>
      <c r="X95" s="53"/>
      <c r="Y95" s="53"/>
      <c r="Z95" s="2"/>
      <c r="AA95" s="2"/>
      <c r="AB95" s="2"/>
      <c r="AC95" s="2"/>
      <c r="AD95" s="2"/>
      <c r="AE95" s="2"/>
    </row>
    <row r="96" spans="1:31" ht="12.75" x14ac:dyDescent="0.2">
      <c r="A96" s="53">
        <f ca="1">IFERROR(__xludf.DUMMYFUNCTION("""COMPUTED_VALUE"""),85)</f>
        <v>85</v>
      </c>
      <c r="B96" s="53" t="str">
        <f ca="1">IFERROR(__xludf.DUMMYFUNCTION("""COMPUTED_VALUE"""),"TTNN Phú Long")</f>
        <v>TTNN Phú Long</v>
      </c>
      <c r="C96" s="53"/>
      <c r="D96" s="53" t="str">
        <f ca="1">IFERROR(__xludf.DUMMYFUNCTION("""COMPUTED_VALUE"""),"Nhà Bè")</f>
        <v>Nhà Bè</v>
      </c>
      <c r="E96" s="54">
        <f ca="1">IFERROR(__xludf.DUMMYFUNCTION("""COMPUTED_VALUE"""),27)</f>
        <v>27</v>
      </c>
      <c r="F96" s="54">
        <f ca="1">IFERROR(__xludf.DUMMYFUNCTION("""COMPUTED_VALUE"""),26)</f>
        <v>26</v>
      </c>
      <c r="G96" s="54"/>
      <c r="H96" s="54">
        <f ca="1">IFERROR(__xludf.DUMMYFUNCTION("""COMPUTED_VALUE"""),18)</f>
        <v>18</v>
      </c>
      <c r="I96" s="54"/>
      <c r="J96" s="54">
        <f ca="1">IFERROR(__xludf.DUMMYFUNCTION("""COMPUTED_VALUE"""),0)</f>
        <v>0</v>
      </c>
      <c r="K96" s="54"/>
      <c r="L96" s="54">
        <f ca="1">IFERROR(__xludf.DUMMYFUNCTION("""COMPUTED_VALUE"""),0)</f>
        <v>0</v>
      </c>
      <c r="M96" s="54"/>
      <c r="N96" s="53"/>
      <c r="O96" s="53"/>
      <c r="P96" s="53"/>
      <c r="Q96" s="53"/>
      <c r="R96" s="53"/>
      <c r="S96" s="53"/>
      <c r="T96" s="53"/>
      <c r="U96" s="53"/>
      <c r="V96" s="53"/>
      <c r="W96" s="53"/>
      <c r="X96" s="53"/>
      <c r="Y96" s="53"/>
      <c r="Z96" s="2"/>
      <c r="AA96" s="2"/>
      <c r="AB96" s="2"/>
      <c r="AC96" s="2"/>
      <c r="AD96" s="2"/>
      <c r="AE96" s="2"/>
    </row>
    <row r="97" spans="1:31" ht="12.75" x14ac:dyDescent="0.2">
      <c r="A97" s="53">
        <f ca="1">IFERROR(__xludf.DUMMYFUNCTION("""COMPUTED_VALUE"""),86)</f>
        <v>86</v>
      </c>
      <c r="B97" s="53" t="str">
        <f ca="1">IFERROR(__xludf.DUMMYFUNCTION("""COMPUTED_VALUE"""),"TTNN Cleverlearn Phú Mỹ Hưng")</f>
        <v>TTNN Cleverlearn Phú Mỹ Hưng</v>
      </c>
      <c r="C97" s="53"/>
      <c r="D97" s="53" t="str">
        <f ca="1">IFERROR(__xludf.DUMMYFUNCTION("""COMPUTED_VALUE"""),"Nhà Bè")</f>
        <v>Nhà Bè</v>
      </c>
      <c r="E97" s="54">
        <f ca="1">IFERROR(__xludf.DUMMYFUNCTION("""COMPUTED_VALUE"""),6)</f>
        <v>6</v>
      </c>
      <c r="F97" s="54">
        <f ca="1">IFERROR(__xludf.DUMMYFUNCTION("""COMPUTED_VALUE"""),6)</f>
        <v>6</v>
      </c>
      <c r="G97" s="54"/>
      <c r="H97" s="54">
        <f ca="1">IFERROR(__xludf.DUMMYFUNCTION("""COMPUTED_VALUE"""),6)</f>
        <v>6</v>
      </c>
      <c r="I97" s="54"/>
      <c r="J97" s="54">
        <f ca="1">IFERROR(__xludf.DUMMYFUNCTION("""COMPUTED_VALUE"""),0)</f>
        <v>0</v>
      </c>
      <c r="K97" s="54"/>
      <c r="L97" s="54">
        <f ca="1">IFERROR(__xludf.DUMMYFUNCTION("""COMPUTED_VALUE"""),0)</f>
        <v>0</v>
      </c>
      <c r="M97" s="54"/>
      <c r="N97" s="53"/>
      <c r="O97" s="53"/>
      <c r="P97" s="53"/>
      <c r="Q97" s="53"/>
      <c r="R97" s="53"/>
      <c r="S97" s="53"/>
      <c r="T97" s="53"/>
      <c r="U97" s="53"/>
      <c r="V97" s="53"/>
      <c r="W97" s="53"/>
      <c r="X97" s="53"/>
      <c r="Y97" s="53"/>
      <c r="Z97" s="2"/>
      <c r="AA97" s="2"/>
      <c r="AB97" s="2"/>
      <c r="AC97" s="2"/>
      <c r="AD97" s="2"/>
      <c r="AE97" s="2"/>
    </row>
    <row r="98" spans="1:31" ht="12.75" x14ac:dyDescent="0.2">
      <c r="A98" s="53">
        <f ca="1">IFERROR(__xludf.DUMMYFUNCTION("""COMPUTED_VALUE"""),87)</f>
        <v>87</v>
      </c>
      <c r="B98" s="53" t="str">
        <f ca="1">IFERROR(__xludf.DUMMYFUNCTION("""COMPUTED_VALUE"""),"TTNN Khang Trí")</f>
        <v>TTNN Khang Trí</v>
      </c>
      <c r="C98" s="53"/>
      <c r="D98" s="53" t="str">
        <f ca="1">IFERROR(__xludf.DUMMYFUNCTION("""COMPUTED_VALUE"""),"Nhà Bè")</f>
        <v>Nhà Bè</v>
      </c>
      <c r="E98" s="54">
        <f ca="1">IFERROR(__xludf.DUMMYFUNCTION("""COMPUTED_VALUE"""),4)</f>
        <v>4</v>
      </c>
      <c r="F98" s="54">
        <f ca="1">IFERROR(__xludf.DUMMYFUNCTION("""COMPUTED_VALUE"""),4)</f>
        <v>4</v>
      </c>
      <c r="G98" s="54"/>
      <c r="H98" s="54">
        <f ca="1">IFERROR(__xludf.DUMMYFUNCTION("""COMPUTED_VALUE"""),0)</f>
        <v>0</v>
      </c>
      <c r="I98" s="54"/>
      <c r="J98" s="54">
        <f ca="1">IFERROR(__xludf.DUMMYFUNCTION("""COMPUTED_VALUE"""),0)</f>
        <v>0</v>
      </c>
      <c r="K98" s="54"/>
      <c r="L98" s="54">
        <f ca="1">IFERROR(__xludf.DUMMYFUNCTION("""COMPUTED_VALUE"""),0)</f>
        <v>0</v>
      </c>
      <c r="M98" s="54"/>
      <c r="N98" s="53"/>
      <c r="O98" s="53"/>
      <c r="P98" s="53"/>
      <c r="Q98" s="53"/>
      <c r="R98" s="53"/>
      <c r="S98" s="53"/>
      <c r="T98" s="53"/>
      <c r="U98" s="53"/>
      <c r="V98" s="53"/>
      <c r="W98" s="53"/>
      <c r="X98" s="53"/>
      <c r="Y98" s="53"/>
      <c r="Z98" s="2"/>
      <c r="AA98" s="2"/>
      <c r="AB98" s="2"/>
      <c r="AC98" s="2"/>
      <c r="AD98" s="2"/>
      <c r="AE98" s="2"/>
    </row>
    <row r="99" spans="1:31" ht="12.75" x14ac:dyDescent="0.2">
      <c r="A99" s="53">
        <f ca="1">IFERROR(__xludf.DUMMYFUNCTION("""COMPUTED_VALUE"""),88)</f>
        <v>88</v>
      </c>
      <c r="B99" s="53" t="str">
        <f ca="1">IFERROR(__xludf.DUMMYFUNCTION("""COMPUTED_VALUE"""),"TTNN Tri Ân + TT dạy thêm Trí Việt")</f>
        <v>TTNN Tri Ân + TT dạy thêm Trí Việt</v>
      </c>
      <c r="C99" s="53"/>
      <c r="D99" s="53" t="str">
        <f ca="1">IFERROR(__xludf.DUMMYFUNCTION("""COMPUTED_VALUE"""),"Nhà Bè")</f>
        <v>Nhà Bè</v>
      </c>
      <c r="E99" s="54">
        <f ca="1">IFERROR(__xludf.DUMMYFUNCTION("""COMPUTED_VALUE"""),32)</f>
        <v>32</v>
      </c>
      <c r="F99" s="54">
        <f ca="1">IFERROR(__xludf.DUMMYFUNCTION("""COMPUTED_VALUE"""),32)</f>
        <v>32</v>
      </c>
      <c r="G99" s="54"/>
      <c r="H99" s="54">
        <f ca="1">IFERROR(__xludf.DUMMYFUNCTION("""COMPUTED_VALUE"""),32)</f>
        <v>32</v>
      </c>
      <c r="I99" s="54"/>
      <c r="J99" s="54">
        <f ca="1">IFERROR(__xludf.DUMMYFUNCTION("""COMPUTED_VALUE"""),20)</f>
        <v>20</v>
      </c>
      <c r="K99" s="54"/>
      <c r="L99" s="54">
        <f ca="1">IFERROR(__xludf.DUMMYFUNCTION("""COMPUTED_VALUE"""),8)</f>
        <v>8</v>
      </c>
      <c r="M99" s="54"/>
      <c r="N99" s="53"/>
      <c r="O99" s="53"/>
      <c r="P99" s="53"/>
      <c r="Q99" s="53"/>
      <c r="R99" s="53"/>
      <c r="S99" s="53"/>
      <c r="T99" s="53"/>
      <c r="U99" s="53"/>
      <c r="V99" s="53"/>
      <c r="W99" s="53"/>
      <c r="X99" s="53"/>
      <c r="Y99" s="53"/>
      <c r="Z99" s="2"/>
      <c r="AA99" s="2"/>
      <c r="AB99" s="2"/>
      <c r="AC99" s="2"/>
      <c r="AD99" s="2"/>
      <c r="AE99" s="2"/>
    </row>
    <row r="100" spans="1:31" ht="12.75" x14ac:dyDescent="0.2">
      <c r="A100" s="53">
        <f ca="1">IFERROR(__xludf.DUMMYFUNCTION("""COMPUTED_VALUE"""),89)</f>
        <v>89</v>
      </c>
      <c r="B100" s="53" t="str">
        <f ca="1">IFERROR(__xludf.DUMMYFUNCTION("""COMPUTED_VALUE"""),"TTNN Hàn Lâm - Nhà Bè")</f>
        <v>TTNN Hàn Lâm - Nhà Bè</v>
      </c>
      <c r="C100" s="53"/>
      <c r="D100" s="53" t="str">
        <f ca="1">IFERROR(__xludf.DUMMYFUNCTION("""COMPUTED_VALUE"""),"Nhà Bè")</f>
        <v>Nhà Bè</v>
      </c>
      <c r="E100" s="54">
        <f ca="1">IFERROR(__xludf.DUMMYFUNCTION("""COMPUTED_VALUE"""),7)</f>
        <v>7</v>
      </c>
      <c r="F100" s="54">
        <f ca="1">IFERROR(__xludf.DUMMYFUNCTION("""COMPUTED_VALUE"""),7)</f>
        <v>7</v>
      </c>
      <c r="G100" s="54"/>
      <c r="H100" s="54">
        <f ca="1">IFERROR(__xludf.DUMMYFUNCTION("""COMPUTED_VALUE"""),7)</f>
        <v>7</v>
      </c>
      <c r="I100" s="54"/>
      <c r="J100" s="54">
        <f ca="1">IFERROR(__xludf.DUMMYFUNCTION("""COMPUTED_VALUE"""),1)</f>
        <v>1</v>
      </c>
      <c r="K100" s="54"/>
      <c r="L100" s="54">
        <f ca="1">IFERROR(__xludf.DUMMYFUNCTION("""COMPUTED_VALUE"""),0)</f>
        <v>0</v>
      </c>
      <c r="M100" s="54"/>
      <c r="N100" s="53"/>
      <c r="O100" s="53"/>
      <c r="P100" s="53"/>
      <c r="Q100" s="53"/>
      <c r="R100" s="53"/>
      <c r="S100" s="53"/>
      <c r="T100" s="53"/>
      <c r="U100" s="53"/>
      <c r="V100" s="53"/>
      <c r="W100" s="53"/>
      <c r="X100" s="53"/>
      <c r="Y100" s="53"/>
      <c r="Z100" s="2"/>
      <c r="AA100" s="2"/>
      <c r="AB100" s="2"/>
      <c r="AC100" s="2"/>
      <c r="AD100" s="2"/>
      <c r="AE100" s="2"/>
    </row>
    <row r="101" spans="1:31" ht="12.75" x14ac:dyDescent="0.2">
      <c r="A101" s="53"/>
      <c r="B101" s="52" t="str">
        <f ca="1">IFERROR(__xludf.DUMMYFUNCTION("""COMPUTED_VALUE"""),"TRƯỜNG BỒI DƯỠNG GIÁO DỤC")</f>
        <v>TRƯỜNG BỒI DƯỠNG GIÁO DỤC</v>
      </c>
      <c r="C101" s="53"/>
      <c r="D101" s="53" t="str">
        <f ca="1">IFERROR(__xludf.DUMMYFUNCTION("""COMPUTED_VALUE"""),"Nhà Bè")</f>
        <v>Nhà Bè</v>
      </c>
      <c r="E101" s="54">
        <f ca="1">IFERROR(__xludf.DUMMYFUNCTION("""COMPUTED_VALUE"""),6)</f>
        <v>6</v>
      </c>
      <c r="F101" s="54">
        <f ca="1">IFERROR(__xludf.DUMMYFUNCTION("""COMPUTED_VALUE"""),6)</f>
        <v>6</v>
      </c>
      <c r="G101" s="54"/>
      <c r="H101" s="54">
        <f ca="1">IFERROR(__xludf.DUMMYFUNCTION("""COMPUTED_VALUE"""),6)</f>
        <v>6</v>
      </c>
      <c r="I101" s="54"/>
      <c r="J101" s="54">
        <f ca="1">IFERROR(__xludf.DUMMYFUNCTION("""COMPUTED_VALUE"""),6)</f>
        <v>6</v>
      </c>
      <c r="K101" s="54"/>
      <c r="L101" s="54">
        <f ca="1">IFERROR(__xludf.DUMMYFUNCTION("""COMPUTED_VALUE"""),4)</f>
        <v>4</v>
      </c>
      <c r="M101" s="54"/>
      <c r="N101" s="53"/>
      <c r="O101" s="53"/>
      <c r="P101" s="53"/>
      <c r="Q101" s="53"/>
      <c r="R101" s="53"/>
      <c r="S101" s="53"/>
      <c r="T101" s="53"/>
      <c r="U101" s="53"/>
      <c r="V101" s="53"/>
      <c r="W101" s="53"/>
      <c r="X101" s="53"/>
      <c r="Y101" s="53"/>
      <c r="Z101" s="2"/>
      <c r="AA101" s="2"/>
      <c r="AB101" s="2"/>
      <c r="AC101" s="2"/>
      <c r="AD101" s="2"/>
      <c r="AE101" s="2"/>
    </row>
    <row r="102" spans="1:31" ht="12.75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1:31" ht="12.75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1:31" ht="12.75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1:31" ht="12.75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1:31" ht="12.75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1:31" ht="12.75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</row>
    <row r="108" spans="1:31" ht="12.75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1:31" ht="12.75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 spans="1:31" ht="12.75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1:31" ht="12.75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1:31" ht="12.75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:31" ht="12.75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 ht="12.75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 ht="12.75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 ht="12.75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 ht="12.75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 ht="12.75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 ht="12.75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 ht="12.75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 ht="12.75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 ht="12.75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 ht="12.75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 ht="12.75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 ht="12.75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ht="12.75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ht="12.75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ht="12.75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ht="12.75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ht="12.75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ht="12.75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ht="12.75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ht="12.75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ht="12.75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ht="12.75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ht="12.75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ht="12.75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ht="12.75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ht="12.75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ht="12.75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2.75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2.75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2.75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2.75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2.75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2.75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2.75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2.75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2.75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2.75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2.75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2.75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2.75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2.75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2.75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2.75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2.75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2.75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2.75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2.75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2.75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2.75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2.75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2.75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2.75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2.75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2.75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2.75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2.75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2.75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2.75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2.75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2.75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2.75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2.75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2.75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2.75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2.75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2.75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2.75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2.75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2.75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2.75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2.75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2.75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2.75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2.75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2.75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2.75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2.75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2.75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2.75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2.75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2.75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2.75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2.75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2.75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2.75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2.75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2.75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2.75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2.75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2.75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2.75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2.75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2.75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2.75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2.75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2.75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2.75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2.75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2.75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2.75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2.75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2.75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2.75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2.75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2.75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2.75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2.75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2.75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2.75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2.75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2.75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2.75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2.75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2.75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2.75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2.75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2.75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2.75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2.75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2.75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2.75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2.75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2.75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2.75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2.75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2.75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2.75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2.75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2.75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2.75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2.75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2.75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2.75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2.75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2.75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2.75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2.75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2.75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2.75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2.75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2.75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2.75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2.75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2.75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2.75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2.75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2.75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2.75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2.75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2.75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2.75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2.75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2.75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2.75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2.75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2.75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2.75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2.75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2.75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2.75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2.75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2.75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2.75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2.75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2.75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2.75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2.75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2.75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2.75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2.75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2.75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2.75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2.75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2.75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2.75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2.75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2.75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2.75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2.75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2.75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2.75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2.75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2.75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2.75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2.75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2.75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2.75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2.75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2.75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2.75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2.75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2.75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2.75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2.75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2.75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2.75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2.75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2.75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2.75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2.75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2.75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2.75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2.75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2.75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2.75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2.75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2.75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2.75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2.75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2.75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2.75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2.75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2.75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2.75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2.75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2.75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2.75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2.75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2.75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2.75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2.75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2.75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2.75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2.75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2.75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2.75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2.75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2.75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2.75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2.75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2.75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2.75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2.75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2.75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2.75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2.75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2.75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2.75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2.75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2.75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2.75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2.75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2.75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2.75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2.75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2.75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2.75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2.75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2.75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2.75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2.75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2.75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2.75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2.75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2.75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2.75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2.75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2.75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2.75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2.75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2.75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2.75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2.75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2.75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2.75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2.75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2.75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2.75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2.75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2.75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2.75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2.75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2.75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2.75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2.75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2.75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2.75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2.75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2.75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2.75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2.75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2.75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2.75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2.75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2.75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2.75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2.75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2.75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2.75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2.75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2.75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2.75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2.75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2.75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2.75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2.75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2.75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2.75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2.75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2.75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2.75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2.75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2.75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2.75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2.75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2.75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2.75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2.75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2.75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2.75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2.75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2.75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2.75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2.75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2.75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2.75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2.75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2.75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2.75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2.75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2.75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2.75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2.75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2.75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2.75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2.75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2.75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2.75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2.75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2.75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2.75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2.75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2.75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2.75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2.75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2.75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2.75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2.75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2.75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2.75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2.75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2.75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2.75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2.75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2.75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2.75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2.75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2.75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2.75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2.75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2.75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2.75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2.75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2.75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2.75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2.75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2.75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2.75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2.75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2.75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2.75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2.75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2.75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2.75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2.75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2.75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2.75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2.75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2.75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2.75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2.75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2.75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2.75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2.75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2.75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2.75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2.75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2.75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2.75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2.75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2.75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2.75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2.75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2.75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2.75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2.75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2.75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2.75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2.75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2.75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2.75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2.75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2.75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2.75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2.75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2.75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2.75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2.75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2.75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2.75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2.75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2.75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2.75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2.75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2.75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2.75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2.75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2.75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2.75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2.75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2.75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2.75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2.75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2.75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2.75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2.75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2.75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2.75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2.75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2.75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2.75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2.75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2.75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2.75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2.75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2.75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2.75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2.75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2.75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2.75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2.75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2.75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2.75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2.75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2.75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2.75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2.75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2.75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2.75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2.75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2.75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2.75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2.75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2.75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2.75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2.75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2.75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2.75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2.75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2.75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2.75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2.75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2.75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2.75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2.75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2.75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2.75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2.75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2.75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2.75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2.75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2.75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2.75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2.75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2.75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2.75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2.75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2.75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2.75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2.75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2.75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2.75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2.75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2.75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2.75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2.75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2.75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2.75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2.75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2.75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2.75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2.75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2.75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2.75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2.75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2.75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2.75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2.75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2.75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2.75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2.75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2.75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2.75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2.75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2.75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2.75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2.75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2.75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2.75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2.75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2.75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2.75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2.75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2.75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2.75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2.75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2.75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2.75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2.75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2.75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2.75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2.75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2.75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2.75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2.75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2.75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2.75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2.75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2.75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2.75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2.75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2.75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2.75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2.75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2.75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2.75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2.75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2.75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2.75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2.75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2.75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2.75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2.75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2.75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2.75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2.75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2.75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2.75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2.75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2.75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2.75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2.75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2.75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2.75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2.75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2.75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2.75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2.75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2.75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2.75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2.75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2.75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2.75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2.75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2.75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2.75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2.75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2.75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2.75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2.75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2.75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2.75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2.75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2.75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2.75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2.75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2.75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2.75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2.75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2.75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2.75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2.75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2.75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2.75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2.75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2.75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2.75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2.75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2.75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2.75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2.75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2.75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2.75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2.75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2.75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2.75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2.75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2.75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2.75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2.75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2.75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2.75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2.75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2.75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2.75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2.75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2.75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2.75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2.75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2.75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2.75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2.75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2.75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2.75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2.75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2.75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2.75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2.75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2.75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2.75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2.75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2.75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2.75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2.75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2.75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2.75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2.75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2.75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2.75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2.75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2.75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2.75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2.75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2.75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2.75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2.75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2.75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2.75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2.75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2.75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2.75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2.75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2.75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2.75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2.75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2.75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2.75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2.75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2.75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2.75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2.75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2.75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2.75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2.75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2.75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2.75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2.75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2.75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2.75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2.75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2.75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2.75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2.75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2.75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2.75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2.75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2.75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2.75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2.75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2.75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2.75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2.75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2.75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2.75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2.75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2.75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2.75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2.75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2.75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2.75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2.75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2.75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2.75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2.75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2.75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2.75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2.75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2.75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2.75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2.75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2.75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2.75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2.75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2.75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2.75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2.75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2.75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2.75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2.75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2.75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2.75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2.75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2.75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2.75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2.75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2.75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2.75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2.75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2.75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2.75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2.75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2.75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2.75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2.75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2.75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2.75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2.75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2.75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2.75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2.75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2.75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2.75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2.75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2.75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2.75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2.75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2.75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2.75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2.75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2.75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2.75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2.75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2.75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2.75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2.75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2.75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2.75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2.75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2.75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2.75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2.75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2.75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2.75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2.75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2.75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2.75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2.75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2.75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2.75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2.75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2.75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2.75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2.75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2.75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2.75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2.75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2.75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2.75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2.75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2.75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2.75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2.75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2.75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2.75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2.75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2.75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2.75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2.75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2.75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2.75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2.75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2.75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2.75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2.75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2.75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2.75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2.75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2.75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2.75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2.75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2.75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2.75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2.75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2.75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2.75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2.75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2.75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2.75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2.75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2.75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2.75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2.75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2.75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2.75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2.75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2.75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2.75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2.75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2.75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2.75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2.75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2.75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2.75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2.75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2.75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2.75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2.75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2.75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2.75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2.75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2.75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2.75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2.75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2.75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2.75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2.75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2.75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2.75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2.75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2.75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2.75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2.75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2.75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2.75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2.75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2.75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2.75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2.75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2.75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2.75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2.75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2.75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2.75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2.75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2.75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2.75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2.75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2.75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2.75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2.75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2.75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2.75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2.75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2.75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2.75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2.75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2.75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2.75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2.75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2.75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2.75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2.75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2.75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2.75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2.75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2.75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2.75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2.75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2.75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2.75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2.75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2.75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2.75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2.75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2.75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2.75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2.75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2.75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2.75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2.75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2.75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2.75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2.75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2.75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2.75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2.75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2.75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2.75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2.75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2.75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2.75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2.75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2.75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2.75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2.75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2.75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2.75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2.75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2.75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2.75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2.75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2.75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2.75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2.75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 ht="12.75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 ht="12.75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  <row r="1000" spans="1:31" ht="12.75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</row>
  </sheetData>
  <mergeCells count="16">
    <mergeCell ref="N3:R3"/>
    <mergeCell ref="S3:Y3"/>
    <mergeCell ref="F4:G4"/>
    <mergeCell ref="H4:I4"/>
    <mergeCell ref="J4:K4"/>
    <mergeCell ref="L4:M4"/>
    <mergeCell ref="O4:P4"/>
    <mergeCell ref="Q4:R4"/>
    <mergeCell ref="T4:U4"/>
    <mergeCell ref="V4:W4"/>
    <mergeCell ref="X4:Y4"/>
    <mergeCell ref="A3:A4"/>
    <mergeCell ref="B3:B4"/>
    <mergeCell ref="C3:C4"/>
    <mergeCell ref="D3:D4"/>
    <mergeCell ref="E3:M3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E1000"/>
  <sheetViews>
    <sheetView zoomScale="85" zoomScaleNormal="85" workbookViewId="0">
      <selection activeCell="B21" sqref="B21"/>
    </sheetView>
  </sheetViews>
  <sheetFormatPr defaultColWidth="12.5703125" defaultRowHeight="15.75" customHeight="1" x14ac:dyDescent="0.2"/>
  <cols>
    <col min="1" max="1" width="10.42578125" style="3" customWidth="1"/>
    <col min="2" max="2" width="33.42578125" style="3" customWidth="1"/>
    <col min="3" max="4" width="12.5703125" style="3"/>
    <col min="5" max="5" width="10.42578125" style="3" customWidth="1"/>
    <col min="6" max="13" width="8.85546875" style="3" customWidth="1"/>
    <col min="14" max="14" width="10.42578125" style="3" customWidth="1"/>
    <col min="15" max="18" width="8.85546875" style="3" customWidth="1"/>
    <col min="19" max="19" width="10.42578125" style="3" customWidth="1"/>
    <col min="20" max="25" width="8.85546875" style="3" customWidth="1"/>
    <col min="26" max="16384" width="12.5703125" style="3"/>
  </cols>
  <sheetData>
    <row r="1" spans="1:31" ht="26.25" customHeight="1" x14ac:dyDescent="0.2">
      <c r="A1" s="49" t="s">
        <v>17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ht="35.25" customHeight="1" x14ac:dyDescent="0.2">
      <c r="A2" s="4" t="s">
        <v>26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</row>
    <row r="3" spans="1:31" ht="30.75" customHeight="1" x14ac:dyDescent="0.2">
      <c r="A3" s="89" t="str">
        <f ca="1">IFERROR(__xludf.DUMMYFUNCTION("IMPORTRANGE(""https://docs.google.com/spreadsheets/d/1giFCfPZvq6d2WPbrXwJ7ksTcnSjmuNbU5G4IRrh5hOk/edit#gid=0"",""CC!A14:T500"")"),"STT")</f>
        <v>STT</v>
      </c>
      <c r="B3" s="89" t="str">
        <f ca="1">IFERROR(__xludf.DUMMYFUNCTION("""COMPUTED_VALUE"""),"TRƯỜNG")</f>
        <v>TRƯỜNG</v>
      </c>
      <c r="C3" s="89" t="str">
        <f ca="1">IFERROR(__xludf.DUMMYFUNCTION("""COMPUTED_VALUE"""),"BẬC HỌC (MN, TH, THCS, THPT, CB, GDTX)")</f>
        <v>BẬC HỌC (MN, TH, THCS, THPT, CB, GDTX)</v>
      </c>
      <c r="D3" s="89" t="str">
        <f ca="1">IFERROR(__xludf.DUMMYFUNCTION("""COMPUTED_VALUE"""),"THÀNH PHỐ, QUẬN, HUYỆN")</f>
        <v>THÀNH PHỐ, QUẬN, HUYỆN</v>
      </c>
      <c r="E3" s="91" t="str">
        <f ca="1">IFERROR(__xludf.DUMMYFUNCTION("""COMPUTED_VALUE"""),"Cán bộ - Giáo viên - Nhân viên")</f>
        <v>Cán bộ - Giáo viên - Nhân viên</v>
      </c>
      <c r="F3" s="92"/>
      <c r="G3" s="92"/>
      <c r="H3" s="92"/>
      <c r="I3" s="92"/>
      <c r="J3" s="92"/>
      <c r="K3" s="92"/>
      <c r="L3" s="92"/>
      <c r="M3" s="92"/>
      <c r="N3" s="93" t="str">
        <f ca="1">IFERROR(__xludf.DUMMYFUNCTION("""COMPUTED_VALUE"""),"Học sinh từ 5 đến dưới 12 tuổi")</f>
        <v>Học sinh từ 5 đến dưới 12 tuổi</v>
      </c>
      <c r="O3" s="92"/>
      <c r="P3" s="92"/>
      <c r="Q3" s="92"/>
      <c r="R3" s="92"/>
      <c r="S3" s="94" t="str">
        <f ca="1">IFERROR(__xludf.DUMMYFUNCTION("""COMPUTED_VALUE"""),"Học sinh từ 12 đến dưới 18 tuổi")</f>
        <v>Học sinh từ 12 đến dưới 18 tuổi</v>
      </c>
      <c r="T3" s="95"/>
      <c r="U3" s="95"/>
      <c r="V3" s="95"/>
      <c r="W3" s="95"/>
      <c r="X3" s="95"/>
      <c r="Y3" s="95"/>
      <c r="Z3" s="2"/>
      <c r="AA3" s="2"/>
      <c r="AB3" s="2"/>
      <c r="AC3" s="2"/>
      <c r="AD3" s="2"/>
      <c r="AE3" s="2"/>
    </row>
    <row r="4" spans="1:31" ht="27" customHeight="1" x14ac:dyDescent="0.2">
      <c r="A4" s="90"/>
      <c r="B4" s="90"/>
      <c r="C4" s="90"/>
      <c r="D4" s="90"/>
      <c r="E4" s="7" t="str">
        <f ca="1">IFERROR(__xludf.DUMMYFUNCTION("""COMPUTED_VALUE"""),"Tổng CB-GV-NV")</f>
        <v>Tổng CB-GV-NV</v>
      </c>
      <c r="F4" s="96" t="s">
        <v>22</v>
      </c>
      <c r="G4" s="97"/>
      <c r="H4" s="96" t="s">
        <v>23</v>
      </c>
      <c r="I4" s="97"/>
      <c r="J4" s="96" t="s">
        <v>24</v>
      </c>
      <c r="K4" s="97"/>
      <c r="L4" s="96" t="s">
        <v>25</v>
      </c>
      <c r="M4" s="97"/>
      <c r="N4" s="7" t="str">
        <f ca="1">IFERROR(__xludf.DUMMYFUNCTION("""COMPUTED_VALUE"""),"Tổng học sinh")</f>
        <v>Tổng học sinh</v>
      </c>
      <c r="O4" s="96" t="s">
        <v>22</v>
      </c>
      <c r="P4" s="97"/>
      <c r="Q4" s="96" t="s">
        <v>23</v>
      </c>
      <c r="R4" s="97"/>
      <c r="S4" s="8" t="str">
        <f ca="1">IFERROR(__xludf.DUMMYFUNCTION("""COMPUTED_VALUE"""),"Tổng học sinh")</f>
        <v>Tổng học sinh</v>
      </c>
      <c r="T4" s="98" t="s">
        <v>22</v>
      </c>
      <c r="U4" s="99"/>
      <c r="V4" s="98" t="s">
        <v>23</v>
      </c>
      <c r="W4" s="99"/>
      <c r="X4" s="98" t="s">
        <v>24</v>
      </c>
      <c r="Y4" s="99"/>
      <c r="Z4" s="2"/>
      <c r="AA4" s="2"/>
      <c r="AB4" s="2"/>
      <c r="AC4" s="2"/>
      <c r="AD4" s="2"/>
      <c r="AE4" s="2"/>
    </row>
    <row r="5" spans="1:31" ht="12.75" x14ac:dyDescent="0.2">
      <c r="A5" s="50" t="str">
        <f ca="1">IFERROR(__xludf.DUMMYFUNCTION("""COMPUTED_VALUE"""),"TỔNG TOÀN QUẬN/HUYỆN/TP")</f>
        <v>TỔNG TOÀN QUẬN/HUYỆN/TP</v>
      </c>
      <c r="B5" s="20"/>
      <c r="C5" s="20"/>
      <c r="D5" s="20" t="str">
        <f ca="1">IFERROR(__xludf.DUMMYFUNCTION("""COMPUTED_VALUE"""),"CỦ CHI")</f>
        <v>CỦ CHI</v>
      </c>
      <c r="E5" s="15">
        <f ca="1">IFERROR(__xludf.DUMMYFUNCTION("""COMPUTED_VALUE"""),5099)</f>
        <v>5099</v>
      </c>
      <c r="F5" s="15">
        <f ca="1">IFERROR(__xludf.DUMMYFUNCTION("""COMPUTED_VALUE"""),4904)</f>
        <v>4904</v>
      </c>
      <c r="G5" s="51">
        <f ca="1">IFERROR(F5/E5,"")</f>
        <v>0.96175720729554814</v>
      </c>
      <c r="H5" s="15">
        <f ca="1">IFERROR(__xludf.DUMMYFUNCTION("""COMPUTED_VALUE"""),3569)</f>
        <v>3569</v>
      </c>
      <c r="I5" s="51">
        <f ca="1">IFERROR(H5/E5,"")</f>
        <v>0.69994116493430081</v>
      </c>
      <c r="J5" s="15">
        <f ca="1">IFERROR(__xludf.DUMMYFUNCTION("""COMPUTED_VALUE"""),4890)</f>
        <v>4890</v>
      </c>
      <c r="K5" s="51">
        <f ca="1">IFERROR(J5/E5,"")</f>
        <v>0.95901157089625422</v>
      </c>
      <c r="L5" s="15">
        <f ca="1">IFERROR(__xludf.DUMMYFUNCTION("""COMPUTED_VALUE"""),3621)</f>
        <v>3621</v>
      </c>
      <c r="M5" s="51">
        <f ca="1">IFERROR(L5/E5,"")</f>
        <v>0.71013924298882136</v>
      </c>
      <c r="N5" s="15">
        <f ca="1">IFERROR(__xludf.DUMMYFUNCTION("""COMPUTED_VALUE"""),81456)</f>
        <v>81456</v>
      </c>
      <c r="O5" s="15">
        <f ca="1">IFERROR(__xludf.DUMMYFUNCTION("""COMPUTED_VALUE"""),66893)</f>
        <v>66893</v>
      </c>
      <c r="P5" s="51">
        <f ca="1">IFERROR(O5/N5,"")</f>
        <v>0.82121636220781769</v>
      </c>
      <c r="Q5" s="15">
        <f ca="1">IFERROR(__xludf.DUMMYFUNCTION("""COMPUTED_VALUE"""),52713)</f>
        <v>52713</v>
      </c>
      <c r="R5" s="51">
        <f ca="1">IFERROR(Q5/N5,"")</f>
        <v>0.64713464938126108</v>
      </c>
      <c r="S5" s="15">
        <f ca="1">IFERROR(__xludf.DUMMYFUNCTION("""COMPUTED_VALUE"""),9893)</f>
        <v>9893</v>
      </c>
      <c r="T5" s="15">
        <f ca="1">IFERROR(__xludf.DUMMYFUNCTION("""COMPUTED_VALUE"""),47326)</f>
        <v>47326</v>
      </c>
      <c r="U5" s="51">
        <f ca="1">IFERROR(T5/S5,"")</f>
        <v>4.7837865157181847</v>
      </c>
      <c r="V5" s="15">
        <f ca="1">IFERROR(__xludf.DUMMYFUNCTION("""COMPUTED_VALUE"""),34538)</f>
        <v>34538</v>
      </c>
      <c r="W5" s="51">
        <f ca="1">IFERROR(V5/S5,"")</f>
        <v>3.4911553623774387</v>
      </c>
      <c r="X5" s="15">
        <f ca="1">IFERROR(__xludf.DUMMYFUNCTION("""COMPUTED_VALUE"""),17450)</f>
        <v>17450</v>
      </c>
      <c r="Y5" s="51">
        <f ca="1">IFERROR(X5/S5,"")</f>
        <v>1.7638734458708178</v>
      </c>
      <c r="Z5" s="2"/>
      <c r="AA5" s="2"/>
      <c r="AB5" s="2"/>
      <c r="AC5" s="2"/>
      <c r="AD5" s="2"/>
      <c r="AE5" s="2"/>
    </row>
    <row r="6" spans="1:31" ht="12.75" x14ac:dyDescent="0.2">
      <c r="A6" s="53" t="str">
        <f ca="1">IFERROR(__xludf.DUMMYFUNCTION("""COMPUTED_VALUE"""),"Mầm non")</f>
        <v>Mầm non</v>
      </c>
      <c r="B6" s="53"/>
      <c r="C6" s="53"/>
      <c r="D6" s="53" t="str">
        <f ca="1">IFERROR(__xludf.DUMMYFUNCTION("""COMPUTED_VALUE"""),"CỦ CHI")</f>
        <v>CỦ CHI</v>
      </c>
      <c r="E6" s="53"/>
      <c r="F6" s="53"/>
      <c r="G6" s="51" t="str">
        <f t="shared" ref="G6:G69" si="0">IFERROR(F6/E6,"")</f>
        <v/>
      </c>
      <c r="H6" s="53"/>
      <c r="I6" s="51" t="str">
        <f t="shared" ref="I6:I69" si="1">IFERROR(H6/E6,"")</f>
        <v/>
      </c>
      <c r="J6" s="53"/>
      <c r="K6" s="51" t="str">
        <f t="shared" ref="K6:K69" si="2">IFERROR(J6/E6,"")</f>
        <v/>
      </c>
      <c r="L6" s="53"/>
      <c r="M6" s="51" t="str">
        <f t="shared" ref="M6:M69" si="3">IFERROR(L6/E6,"")</f>
        <v/>
      </c>
      <c r="N6" s="53"/>
      <c r="O6" s="53"/>
      <c r="P6" s="51" t="str">
        <f t="shared" ref="P6:P69" si="4">IFERROR(O6/N6,"")</f>
        <v/>
      </c>
      <c r="Q6" s="53"/>
      <c r="R6" s="51" t="str">
        <f t="shared" ref="R6:R69" si="5">IFERROR(Q6/N6,"")</f>
        <v/>
      </c>
      <c r="S6" s="53"/>
      <c r="T6" s="53"/>
      <c r="U6" s="51" t="str">
        <f t="shared" ref="U6:U69" si="6">IFERROR(T6/S6,"")</f>
        <v/>
      </c>
      <c r="V6" s="53"/>
      <c r="W6" s="51" t="str">
        <f t="shared" ref="W6:W69" si="7">IFERROR(V6/S6,"")</f>
        <v/>
      </c>
      <c r="X6" s="53"/>
      <c r="Y6" s="51" t="str">
        <f t="shared" ref="Y6:Y69" si="8">IFERROR(X6/S6,"")</f>
        <v/>
      </c>
      <c r="Z6" s="2"/>
      <c r="AA6" s="2"/>
      <c r="AB6" s="2"/>
      <c r="AC6" s="2"/>
      <c r="AD6" s="2"/>
      <c r="AE6" s="2"/>
    </row>
    <row r="7" spans="1:31" ht="12.75" x14ac:dyDescent="0.2">
      <c r="A7" s="53">
        <f ca="1">IFERROR(__xludf.DUMMYFUNCTION("""COMPUTED_VALUE"""),1)</f>
        <v>1</v>
      </c>
      <c r="B7" s="53" t="str">
        <f ca="1">IFERROR(__xludf.DUMMYFUNCTION("""COMPUTED_VALUE"""),"MN An Nhơn Tây")</f>
        <v>MN An Nhơn Tây</v>
      </c>
      <c r="C7" s="53" t="str">
        <f ca="1">IFERROR(__xludf.DUMMYFUNCTION("""COMPUTED_VALUE"""),"MN")</f>
        <v>MN</v>
      </c>
      <c r="D7" s="53" t="str">
        <f ca="1">IFERROR(__xludf.DUMMYFUNCTION("""COMPUTED_VALUE"""),"CỦ CHI")</f>
        <v>CỦ CHI</v>
      </c>
      <c r="E7" s="54">
        <f ca="1">IFERROR(__xludf.DUMMYFUNCTION("""COMPUTED_VALUE"""),37)</f>
        <v>37</v>
      </c>
      <c r="F7" s="54">
        <f ca="1">IFERROR(__xludf.DUMMYFUNCTION("""COMPUTED_VALUE"""),37)</f>
        <v>37</v>
      </c>
      <c r="G7" s="51">
        <f t="shared" ca="1" si="0"/>
        <v>1</v>
      </c>
      <c r="H7" s="54">
        <f ca="1">IFERROR(__xludf.DUMMYFUNCTION("""COMPUTED_VALUE"""),32)</f>
        <v>32</v>
      </c>
      <c r="I7" s="51">
        <f t="shared" ca="1" si="1"/>
        <v>0.86486486486486491</v>
      </c>
      <c r="J7" s="54">
        <f ca="1">IFERROR(__xludf.DUMMYFUNCTION("""COMPUTED_VALUE"""),37)</f>
        <v>37</v>
      </c>
      <c r="K7" s="51">
        <f t="shared" ca="1" si="2"/>
        <v>1</v>
      </c>
      <c r="L7" s="54">
        <f ca="1">IFERROR(__xludf.DUMMYFUNCTION("""COMPUTED_VALUE"""),34)</f>
        <v>34</v>
      </c>
      <c r="M7" s="51">
        <f t="shared" ca="1" si="3"/>
        <v>0.91891891891891897</v>
      </c>
      <c r="N7" s="54">
        <f ca="1">IFERROR(__xludf.DUMMYFUNCTION("""COMPUTED_VALUE"""),261)</f>
        <v>261</v>
      </c>
      <c r="O7" s="54">
        <f ca="1">IFERROR(__xludf.DUMMYFUNCTION("""COMPUTED_VALUE"""),188)</f>
        <v>188</v>
      </c>
      <c r="P7" s="51">
        <f t="shared" ca="1" si="4"/>
        <v>0.72030651340996166</v>
      </c>
      <c r="Q7" s="54">
        <f ca="1">IFERROR(__xludf.DUMMYFUNCTION("""COMPUTED_VALUE"""),101)</f>
        <v>101</v>
      </c>
      <c r="R7" s="51">
        <f t="shared" ca="1" si="5"/>
        <v>0.38697318007662834</v>
      </c>
      <c r="S7" s="54">
        <f ca="1">IFERROR(__xludf.DUMMYFUNCTION("""COMPUTED_VALUE"""),261)</f>
        <v>261</v>
      </c>
      <c r="T7" s="53">
        <f ca="1">IFERROR(__xludf.DUMMYFUNCTION("""COMPUTED_VALUE"""),261)</f>
        <v>261</v>
      </c>
      <c r="U7" s="51">
        <f t="shared" ca="1" si="6"/>
        <v>1</v>
      </c>
      <c r="V7" s="54">
        <f ca="1">IFERROR(__xludf.DUMMYFUNCTION("""COMPUTED_VALUE"""),188)</f>
        <v>188</v>
      </c>
      <c r="W7" s="51">
        <f t="shared" ca="1" si="7"/>
        <v>0.72030651340996166</v>
      </c>
      <c r="X7" s="54">
        <f ca="1">IFERROR(__xludf.DUMMYFUNCTION("""COMPUTED_VALUE"""),101)</f>
        <v>101</v>
      </c>
      <c r="Y7" s="51">
        <f t="shared" ca="1" si="8"/>
        <v>0.38697318007662834</v>
      </c>
      <c r="Z7" s="2"/>
      <c r="AA7" s="2"/>
      <c r="AB7" s="2"/>
      <c r="AC7" s="2"/>
      <c r="AD7" s="2"/>
      <c r="AE7" s="2"/>
    </row>
    <row r="8" spans="1:31" ht="12.75" x14ac:dyDescent="0.2">
      <c r="A8" s="53">
        <f ca="1">IFERROR(__xludf.DUMMYFUNCTION("""COMPUTED_VALUE"""),2)</f>
        <v>2</v>
      </c>
      <c r="B8" s="53" t="str">
        <f ca="1">IFERROR(__xludf.DUMMYFUNCTION("""COMPUTED_VALUE"""),"MN An Phú")</f>
        <v>MN An Phú</v>
      </c>
      <c r="C8" s="53" t="str">
        <f ca="1">IFERROR(__xludf.DUMMYFUNCTION("""COMPUTED_VALUE"""),"MN")</f>
        <v>MN</v>
      </c>
      <c r="D8" s="53" t="str">
        <f ca="1">IFERROR(__xludf.DUMMYFUNCTION("""COMPUTED_VALUE"""),"CỦ CHI")</f>
        <v>CỦ CHI</v>
      </c>
      <c r="E8" s="54">
        <f ca="1">IFERROR(__xludf.DUMMYFUNCTION("""COMPUTED_VALUE"""),34)</f>
        <v>34</v>
      </c>
      <c r="F8" s="54">
        <f ca="1">IFERROR(__xludf.DUMMYFUNCTION("""COMPUTED_VALUE"""),33)</f>
        <v>33</v>
      </c>
      <c r="G8" s="51">
        <f t="shared" ca="1" si="0"/>
        <v>0.97058823529411764</v>
      </c>
      <c r="H8" s="53">
        <f ca="1">IFERROR(__xludf.DUMMYFUNCTION("""COMPUTED_VALUE"""),33)</f>
        <v>33</v>
      </c>
      <c r="I8" s="51">
        <f t="shared" ca="1" si="1"/>
        <v>0.97058823529411764</v>
      </c>
      <c r="J8" s="54">
        <f ca="1">IFERROR(__xludf.DUMMYFUNCTION("""COMPUTED_VALUE"""),33)</f>
        <v>33</v>
      </c>
      <c r="K8" s="51">
        <f t="shared" ca="1" si="2"/>
        <v>0.97058823529411764</v>
      </c>
      <c r="L8" s="54">
        <f ca="1">IFERROR(__xludf.DUMMYFUNCTION("""COMPUTED_VALUE"""),34)</f>
        <v>34</v>
      </c>
      <c r="M8" s="51">
        <f t="shared" ca="1" si="3"/>
        <v>1</v>
      </c>
      <c r="N8" s="54">
        <f ca="1">IFERROR(__xludf.DUMMYFUNCTION("""COMPUTED_VALUE"""),173)</f>
        <v>173</v>
      </c>
      <c r="O8" s="54">
        <f ca="1">IFERROR(__xludf.DUMMYFUNCTION("""COMPUTED_VALUE"""),121)</f>
        <v>121</v>
      </c>
      <c r="P8" s="51">
        <f t="shared" ca="1" si="4"/>
        <v>0.69942196531791911</v>
      </c>
      <c r="Q8" s="54">
        <f ca="1">IFERROR(__xludf.DUMMYFUNCTION("""COMPUTED_VALUE"""),83)</f>
        <v>83</v>
      </c>
      <c r="R8" s="51">
        <f t="shared" ca="1" si="5"/>
        <v>0.47976878612716761</v>
      </c>
      <c r="S8" s="54">
        <f ca="1">IFERROR(__xludf.DUMMYFUNCTION("""COMPUTED_VALUE"""),52)</f>
        <v>52</v>
      </c>
      <c r="T8" s="54">
        <f ca="1">IFERROR(__xludf.DUMMYFUNCTION("""COMPUTED_VALUE"""),173)</f>
        <v>173</v>
      </c>
      <c r="U8" s="51">
        <f t="shared" ca="1" si="6"/>
        <v>3.3269230769230771</v>
      </c>
      <c r="V8" s="54">
        <f ca="1">IFERROR(__xludf.DUMMYFUNCTION("""COMPUTED_VALUE"""),121)</f>
        <v>121</v>
      </c>
      <c r="W8" s="51">
        <f t="shared" ca="1" si="7"/>
        <v>2.3269230769230771</v>
      </c>
      <c r="X8" s="54">
        <f ca="1">IFERROR(__xludf.DUMMYFUNCTION("""COMPUTED_VALUE"""),83)</f>
        <v>83</v>
      </c>
      <c r="Y8" s="51">
        <f t="shared" ca="1" si="8"/>
        <v>1.5961538461538463</v>
      </c>
      <c r="Z8" s="2"/>
      <c r="AA8" s="2"/>
      <c r="AB8" s="2"/>
      <c r="AC8" s="2"/>
      <c r="AD8" s="2"/>
      <c r="AE8" s="2"/>
    </row>
    <row r="9" spans="1:31" ht="12.75" x14ac:dyDescent="0.2">
      <c r="A9" s="53">
        <f ca="1">IFERROR(__xludf.DUMMYFUNCTION("""COMPUTED_VALUE"""),3)</f>
        <v>3</v>
      </c>
      <c r="B9" s="53" t="str">
        <f ca="1">IFERROR(__xludf.DUMMYFUNCTION("""COMPUTED_VALUE"""),"MN Bình Mỹ")</f>
        <v>MN Bình Mỹ</v>
      </c>
      <c r="C9" s="53" t="str">
        <f ca="1">IFERROR(__xludf.DUMMYFUNCTION("""COMPUTED_VALUE"""),"MN")</f>
        <v>MN</v>
      </c>
      <c r="D9" s="53" t="str">
        <f ca="1">IFERROR(__xludf.DUMMYFUNCTION("""COMPUTED_VALUE"""),"CỦ CHI")</f>
        <v>CỦ CHI</v>
      </c>
      <c r="E9" s="54">
        <f ca="1">IFERROR(__xludf.DUMMYFUNCTION("""COMPUTED_VALUE"""),32)</f>
        <v>32</v>
      </c>
      <c r="F9" s="54">
        <f ca="1">IFERROR(__xludf.DUMMYFUNCTION("""COMPUTED_VALUE"""),32)</f>
        <v>32</v>
      </c>
      <c r="G9" s="51">
        <f t="shared" ca="1" si="0"/>
        <v>1</v>
      </c>
      <c r="H9" s="54">
        <f ca="1">IFERROR(__xludf.DUMMYFUNCTION("""COMPUTED_VALUE"""),25)</f>
        <v>25</v>
      </c>
      <c r="I9" s="51">
        <f t="shared" ca="1" si="1"/>
        <v>0.78125</v>
      </c>
      <c r="J9" s="54">
        <f ca="1">IFERROR(__xludf.DUMMYFUNCTION("""COMPUTED_VALUE"""),32)</f>
        <v>32</v>
      </c>
      <c r="K9" s="51">
        <f t="shared" ca="1" si="2"/>
        <v>1</v>
      </c>
      <c r="L9" s="54">
        <f ca="1">IFERROR(__xludf.DUMMYFUNCTION("""COMPUTED_VALUE"""),25)</f>
        <v>25</v>
      </c>
      <c r="M9" s="51">
        <f t="shared" ca="1" si="3"/>
        <v>0.78125</v>
      </c>
      <c r="N9" s="54">
        <f ca="1">IFERROR(__xludf.DUMMYFUNCTION("""COMPUTED_VALUE"""),138)</f>
        <v>138</v>
      </c>
      <c r="O9" s="54">
        <f ca="1">IFERROR(__xludf.DUMMYFUNCTION("""COMPUTED_VALUE"""),56)</f>
        <v>56</v>
      </c>
      <c r="P9" s="51">
        <f t="shared" ca="1" si="4"/>
        <v>0.40579710144927539</v>
      </c>
      <c r="Q9" s="54">
        <f ca="1">IFERROR(__xludf.DUMMYFUNCTION("""COMPUTED_VALUE"""),0)</f>
        <v>0</v>
      </c>
      <c r="R9" s="51">
        <f t="shared" ca="1" si="5"/>
        <v>0</v>
      </c>
      <c r="S9" s="54">
        <f ca="1">IFERROR(__xludf.DUMMYFUNCTION("""COMPUTED_VALUE"""),82)</f>
        <v>82</v>
      </c>
      <c r="T9" s="54">
        <f ca="1">IFERROR(__xludf.DUMMYFUNCTION("""COMPUTED_VALUE"""),138)</f>
        <v>138</v>
      </c>
      <c r="U9" s="51">
        <f t="shared" ca="1" si="6"/>
        <v>1.6829268292682926</v>
      </c>
      <c r="V9" s="54">
        <f ca="1">IFERROR(__xludf.DUMMYFUNCTION("""COMPUTED_VALUE"""),56)</f>
        <v>56</v>
      </c>
      <c r="W9" s="51">
        <f t="shared" ca="1" si="7"/>
        <v>0.68292682926829273</v>
      </c>
      <c r="X9" s="54">
        <f ca="1">IFERROR(__xludf.DUMMYFUNCTION("""COMPUTED_VALUE"""),0)</f>
        <v>0</v>
      </c>
      <c r="Y9" s="51">
        <f t="shared" ca="1" si="8"/>
        <v>0</v>
      </c>
      <c r="Z9" s="2"/>
      <c r="AA9" s="2"/>
      <c r="AB9" s="2"/>
      <c r="AC9" s="2"/>
      <c r="AD9" s="2"/>
      <c r="AE9" s="2"/>
    </row>
    <row r="10" spans="1:31" ht="12.75" x14ac:dyDescent="0.2">
      <c r="A10" s="53">
        <f ca="1">IFERROR(__xludf.DUMMYFUNCTION("""COMPUTED_VALUE"""),4)</f>
        <v>4</v>
      </c>
      <c r="B10" s="53" t="str">
        <f ca="1">IFERROR(__xludf.DUMMYFUNCTION("""COMPUTED_VALUE"""),"MN Hòa Phú")</f>
        <v>MN Hòa Phú</v>
      </c>
      <c r="C10" s="53" t="str">
        <f ca="1">IFERROR(__xludf.DUMMYFUNCTION("""COMPUTED_VALUE"""),"MN")</f>
        <v>MN</v>
      </c>
      <c r="D10" s="53" t="str">
        <f ca="1">IFERROR(__xludf.DUMMYFUNCTION("""COMPUTED_VALUE"""),"CỦ CHI")</f>
        <v>CỦ CHI</v>
      </c>
      <c r="E10" s="54">
        <f ca="1">IFERROR(__xludf.DUMMYFUNCTION("""COMPUTED_VALUE"""),32)</f>
        <v>32</v>
      </c>
      <c r="F10" s="54">
        <f ca="1">IFERROR(__xludf.DUMMYFUNCTION("""COMPUTED_VALUE"""),29)</f>
        <v>29</v>
      </c>
      <c r="G10" s="51">
        <f t="shared" ca="1" si="0"/>
        <v>0.90625</v>
      </c>
      <c r="H10" s="54">
        <f ca="1">IFERROR(__xludf.DUMMYFUNCTION("""COMPUTED_VALUE"""),7)</f>
        <v>7</v>
      </c>
      <c r="I10" s="51">
        <f t="shared" ca="1" si="1"/>
        <v>0.21875</v>
      </c>
      <c r="J10" s="54">
        <f ca="1">IFERROR(__xludf.DUMMYFUNCTION("""COMPUTED_VALUE"""),29)</f>
        <v>29</v>
      </c>
      <c r="K10" s="51">
        <f t="shared" ca="1" si="2"/>
        <v>0.90625</v>
      </c>
      <c r="L10" s="54">
        <f ca="1">IFERROR(__xludf.DUMMYFUNCTION("""COMPUTED_VALUE"""),30)</f>
        <v>30</v>
      </c>
      <c r="M10" s="51">
        <f t="shared" ca="1" si="3"/>
        <v>0.9375</v>
      </c>
      <c r="N10" s="54">
        <f ca="1">IFERROR(__xludf.DUMMYFUNCTION("""COMPUTED_VALUE"""),154)</f>
        <v>154</v>
      </c>
      <c r="O10" s="54">
        <f ca="1">IFERROR(__xludf.DUMMYFUNCTION("""COMPUTED_VALUE"""),43)</f>
        <v>43</v>
      </c>
      <c r="P10" s="51">
        <f t="shared" ca="1" si="4"/>
        <v>0.2792207792207792</v>
      </c>
      <c r="Q10" s="54">
        <f ca="1">IFERROR(__xludf.DUMMYFUNCTION("""COMPUTED_VALUE"""),0)</f>
        <v>0</v>
      </c>
      <c r="R10" s="51">
        <f t="shared" ca="1" si="5"/>
        <v>0</v>
      </c>
      <c r="S10" s="54">
        <f ca="1">IFERROR(__xludf.DUMMYFUNCTION("""COMPUTED_VALUE"""),103)</f>
        <v>103</v>
      </c>
      <c r="T10" s="54">
        <f ca="1">IFERROR(__xludf.DUMMYFUNCTION("""COMPUTED_VALUE"""),154)</f>
        <v>154</v>
      </c>
      <c r="U10" s="51">
        <f t="shared" ca="1" si="6"/>
        <v>1.4951456310679612</v>
      </c>
      <c r="V10" s="54">
        <f ca="1">IFERROR(__xludf.DUMMYFUNCTION("""COMPUTED_VALUE"""),43)</f>
        <v>43</v>
      </c>
      <c r="W10" s="51">
        <f t="shared" ca="1" si="7"/>
        <v>0.41747572815533979</v>
      </c>
      <c r="X10" s="54">
        <f ca="1">IFERROR(__xludf.DUMMYFUNCTION("""COMPUTED_VALUE"""),0)</f>
        <v>0</v>
      </c>
      <c r="Y10" s="51">
        <f t="shared" ca="1" si="8"/>
        <v>0</v>
      </c>
      <c r="Z10" s="2"/>
      <c r="AA10" s="2"/>
      <c r="AB10" s="2"/>
      <c r="AC10" s="2"/>
      <c r="AD10" s="2"/>
      <c r="AE10" s="2"/>
    </row>
    <row r="11" spans="1:31" ht="12.75" x14ac:dyDescent="0.2">
      <c r="A11" s="53">
        <f ca="1">IFERROR(__xludf.DUMMYFUNCTION("""COMPUTED_VALUE"""),5)</f>
        <v>5</v>
      </c>
      <c r="B11" s="53" t="str">
        <f ca="1">IFERROR(__xludf.DUMMYFUNCTION("""COMPUTED_VALUE"""),"MN Hoàng Minh Đạo")</f>
        <v>MN Hoàng Minh Đạo</v>
      </c>
      <c r="C11" s="53" t="str">
        <f ca="1">IFERROR(__xludf.DUMMYFUNCTION("""COMPUTED_VALUE"""),"MN")</f>
        <v>MN</v>
      </c>
      <c r="D11" s="53" t="str">
        <f ca="1">IFERROR(__xludf.DUMMYFUNCTION("""COMPUTED_VALUE"""),"CỦ CHI")</f>
        <v>CỦ CHI</v>
      </c>
      <c r="E11" s="54">
        <f ca="1">IFERROR(__xludf.DUMMYFUNCTION("""COMPUTED_VALUE"""),29)</f>
        <v>29</v>
      </c>
      <c r="F11" s="54">
        <f ca="1">IFERROR(__xludf.DUMMYFUNCTION("""COMPUTED_VALUE"""),28)</f>
        <v>28</v>
      </c>
      <c r="G11" s="51">
        <f t="shared" ca="1" si="0"/>
        <v>0.96551724137931039</v>
      </c>
      <c r="H11" s="54">
        <f ca="1">IFERROR(__xludf.DUMMYFUNCTION("""COMPUTED_VALUE"""),26)</f>
        <v>26</v>
      </c>
      <c r="I11" s="51">
        <f t="shared" ca="1" si="1"/>
        <v>0.89655172413793105</v>
      </c>
      <c r="J11" s="54">
        <f ca="1">IFERROR(__xludf.DUMMYFUNCTION("""COMPUTED_VALUE"""),28)</f>
        <v>28</v>
      </c>
      <c r="K11" s="51">
        <f t="shared" ca="1" si="2"/>
        <v>0.96551724137931039</v>
      </c>
      <c r="L11" s="54">
        <f ca="1">IFERROR(__xludf.DUMMYFUNCTION("""COMPUTED_VALUE"""),26)</f>
        <v>26</v>
      </c>
      <c r="M11" s="51">
        <f t="shared" ca="1" si="3"/>
        <v>0.89655172413793105</v>
      </c>
      <c r="N11" s="54">
        <f ca="1">IFERROR(__xludf.DUMMYFUNCTION("""COMPUTED_VALUE"""),128)</f>
        <v>128</v>
      </c>
      <c r="O11" s="54">
        <f ca="1">IFERROR(__xludf.DUMMYFUNCTION("""COMPUTED_VALUE"""),96)</f>
        <v>96</v>
      </c>
      <c r="P11" s="51">
        <f t="shared" ca="1" si="4"/>
        <v>0.75</v>
      </c>
      <c r="Q11" s="54">
        <f ca="1">IFERROR(__xludf.DUMMYFUNCTION("""COMPUTED_VALUE"""),61)</f>
        <v>61</v>
      </c>
      <c r="R11" s="51">
        <f t="shared" ca="1" si="5"/>
        <v>0.4765625</v>
      </c>
      <c r="S11" s="54">
        <f ca="1">IFERROR(__xludf.DUMMYFUNCTION("""COMPUTED_VALUE"""),8)</f>
        <v>8</v>
      </c>
      <c r="T11" s="53">
        <f ca="1">IFERROR(__xludf.DUMMYFUNCTION("""COMPUTED_VALUE"""),128)</f>
        <v>128</v>
      </c>
      <c r="U11" s="51">
        <f t="shared" ca="1" si="6"/>
        <v>16</v>
      </c>
      <c r="V11" s="54">
        <f ca="1">IFERROR(__xludf.DUMMYFUNCTION("""COMPUTED_VALUE"""),96)</f>
        <v>96</v>
      </c>
      <c r="W11" s="51">
        <f t="shared" ca="1" si="7"/>
        <v>12</v>
      </c>
      <c r="X11" s="54">
        <f ca="1">IFERROR(__xludf.DUMMYFUNCTION("""COMPUTED_VALUE"""),61)</f>
        <v>61</v>
      </c>
      <c r="Y11" s="51">
        <f t="shared" ca="1" si="8"/>
        <v>7.625</v>
      </c>
      <c r="Z11" s="2"/>
      <c r="AA11" s="2"/>
      <c r="AB11" s="2"/>
      <c r="AC11" s="2"/>
      <c r="AD11" s="2"/>
      <c r="AE11" s="2"/>
    </row>
    <row r="12" spans="1:31" ht="12.75" x14ac:dyDescent="0.2">
      <c r="A12" s="53">
        <f ca="1">IFERROR(__xludf.DUMMYFUNCTION("""COMPUTED_VALUE"""),6)</f>
        <v>6</v>
      </c>
      <c r="B12" s="53" t="str">
        <f ca="1">IFERROR(__xludf.DUMMYFUNCTION("""COMPUTED_VALUE"""),"MN Nhuận Đức")</f>
        <v>MN Nhuận Đức</v>
      </c>
      <c r="C12" s="53" t="str">
        <f ca="1">IFERROR(__xludf.DUMMYFUNCTION("""COMPUTED_VALUE"""),"MN")</f>
        <v>MN</v>
      </c>
      <c r="D12" s="53" t="str">
        <f ca="1">IFERROR(__xludf.DUMMYFUNCTION("""COMPUTED_VALUE"""),"CỦ CHI")</f>
        <v>CỦ CHI</v>
      </c>
      <c r="E12" s="54">
        <f ca="1">IFERROR(__xludf.DUMMYFUNCTION("""COMPUTED_VALUE"""),28)</f>
        <v>28</v>
      </c>
      <c r="F12" s="54">
        <f ca="1">IFERROR(__xludf.DUMMYFUNCTION("""COMPUTED_VALUE"""),28)</f>
        <v>28</v>
      </c>
      <c r="G12" s="51">
        <f t="shared" ca="1" si="0"/>
        <v>1</v>
      </c>
      <c r="H12" s="54">
        <f ca="1">IFERROR(__xludf.DUMMYFUNCTION("""COMPUTED_VALUE"""),25)</f>
        <v>25</v>
      </c>
      <c r="I12" s="51">
        <f t="shared" ca="1" si="1"/>
        <v>0.8928571428571429</v>
      </c>
      <c r="J12" s="54">
        <f ca="1">IFERROR(__xludf.DUMMYFUNCTION("""COMPUTED_VALUE"""),28)</f>
        <v>28</v>
      </c>
      <c r="K12" s="51">
        <f t="shared" ca="1" si="2"/>
        <v>1</v>
      </c>
      <c r="L12" s="54">
        <f ca="1">IFERROR(__xludf.DUMMYFUNCTION("""COMPUTED_VALUE"""),26)</f>
        <v>26</v>
      </c>
      <c r="M12" s="51">
        <f t="shared" ca="1" si="3"/>
        <v>0.9285714285714286</v>
      </c>
      <c r="N12" s="54">
        <f ca="1">IFERROR(__xludf.DUMMYFUNCTION("""COMPUTED_VALUE"""),150)</f>
        <v>150</v>
      </c>
      <c r="O12" s="54">
        <f ca="1">IFERROR(__xludf.DUMMYFUNCTION("""COMPUTED_VALUE"""),120)</f>
        <v>120</v>
      </c>
      <c r="P12" s="51">
        <f t="shared" ca="1" si="4"/>
        <v>0.8</v>
      </c>
      <c r="Q12" s="54">
        <f ca="1">IFERROR(__xludf.DUMMYFUNCTION("""COMPUTED_VALUE"""),52)</f>
        <v>52</v>
      </c>
      <c r="R12" s="51">
        <f t="shared" ca="1" si="5"/>
        <v>0.34666666666666668</v>
      </c>
      <c r="S12" s="54">
        <f ca="1">IFERROR(__xludf.DUMMYFUNCTION("""COMPUTED_VALUE"""),30)</f>
        <v>30</v>
      </c>
      <c r="T12" s="54">
        <f ca="1">IFERROR(__xludf.DUMMYFUNCTION("""COMPUTED_VALUE"""),150)</f>
        <v>150</v>
      </c>
      <c r="U12" s="51">
        <f t="shared" ca="1" si="6"/>
        <v>5</v>
      </c>
      <c r="V12" s="54">
        <f ca="1">IFERROR(__xludf.DUMMYFUNCTION("""COMPUTED_VALUE"""),120)</f>
        <v>120</v>
      </c>
      <c r="W12" s="51">
        <f t="shared" ca="1" si="7"/>
        <v>4</v>
      </c>
      <c r="X12" s="54">
        <f ca="1">IFERROR(__xludf.DUMMYFUNCTION("""COMPUTED_VALUE"""),52)</f>
        <v>52</v>
      </c>
      <c r="Y12" s="51">
        <f t="shared" ca="1" si="8"/>
        <v>1.7333333333333334</v>
      </c>
      <c r="Z12" s="2"/>
      <c r="AA12" s="2"/>
      <c r="AB12" s="2"/>
      <c r="AC12" s="2"/>
      <c r="AD12" s="2"/>
      <c r="AE12" s="2"/>
    </row>
    <row r="13" spans="1:31" ht="12.75" x14ac:dyDescent="0.2">
      <c r="A13" s="53">
        <f ca="1">IFERROR(__xludf.DUMMYFUNCTION("""COMPUTED_VALUE"""),7)</f>
        <v>7</v>
      </c>
      <c r="B13" s="53" t="str">
        <f ca="1">IFERROR(__xludf.DUMMYFUNCTION("""COMPUTED_VALUE"""),"MN Phạm Văn Cội 1")</f>
        <v>MN Phạm Văn Cội 1</v>
      </c>
      <c r="C13" s="53" t="str">
        <f ca="1">IFERROR(__xludf.DUMMYFUNCTION("""COMPUTED_VALUE"""),"MN")</f>
        <v>MN</v>
      </c>
      <c r="D13" s="53" t="str">
        <f ca="1">IFERROR(__xludf.DUMMYFUNCTION("""COMPUTED_VALUE"""),"CỦ CHI")</f>
        <v>CỦ CHI</v>
      </c>
      <c r="E13" s="54">
        <f ca="1">IFERROR(__xludf.DUMMYFUNCTION("""COMPUTED_VALUE"""),32)</f>
        <v>32</v>
      </c>
      <c r="F13" s="54">
        <f ca="1">IFERROR(__xludf.DUMMYFUNCTION("""COMPUTED_VALUE"""),32)</f>
        <v>32</v>
      </c>
      <c r="G13" s="51">
        <f t="shared" ca="1" si="0"/>
        <v>1</v>
      </c>
      <c r="H13" s="54">
        <f ca="1">IFERROR(__xludf.DUMMYFUNCTION("""COMPUTED_VALUE"""),28)</f>
        <v>28</v>
      </c>
      <c r="I13" s="51">
        <f t="shared" ca="1" si="1"/>
        <v>0.875</v>
      </c>
      <c r="J13" s="54">
        <f ca="1">IFERROR(__xludf.DUMMYFUNCTION("""COMPUTED_VALUE"""),32)</f>
        <v>32</v>
      </c>
      <c r="K13" s="51">
        <f t="shared" ca="1" si="2"/>
        <v>1</v>
      </c>
      <c r="L13" s="54">
        <f ca="1">IFERROR(__xludf.DUMMYFUNCTION("""COMPUTED_VALUE"""),30)</f>
        <v>30</v>
      </c>
      <c r="M13" s="51">
        <f t="shared" ca="1" si="3"/>
        <v>0.9375</v>
      </c>
      <c r="N13" s="54">
        <f ca="1">IFERROR(__xludf.DUMMYFUNCTION("""COMPUTED_VALUE"""),123)</f>
        <v>123</v>
      </c>
      <c r="O13" s="54">
        <f ca="1">IFERROR(__xludf.DUMMYFUNCTION("""COMPUTED_VALUE"""),64)</f>
        <v>64</v>
      </c>
      <c r="P13" s="51">
        <f t="shared" ca="1" si="4"/>
        <v>0.52032520325203258</v>
      </c>
      <c r="Q13" s="54">
        <f ca="1">IFERROR(__xludf.DUMMYFUNCTION("""COMPUTED_VALUE"""),21)</f>
        <v>21</v>
      </c>
      <c r="R13" s="51">
        <f t="shared" ca="1" si="5"/>
        <v>0.17073170731707318</v>
      </c>
      <c r="S13" s="54">
        <f ca="1">IFERROR(__xludf.DUMMYFUNCTION("""COMPUTED_VALUE"""),12)</f>
        <v>12</v>
      </c>
      <c r="T13" s="54">
        <f ca="1">IFERROR(__xludf.DUMMYFUNCTION("""COMPUTED_VALUE"""),123)</f>
        <v>123</v>
      </c>
      <c r="U13" s="51">
        <f t="shared" ca="1" si="6"/>
        <v>10.25</v>
      </c>
      <c r="V13" s="54">
        <f ca="1">IFERROR(__xludf.DUMMYFUNCTION("""COMPUTED_VALUE"""),64)</f>
        <v>64</v>
      </c>
      <c r="W13" s="51">
        <f t="shared" ca="1" si="7"/>
        <v>5.333333333333333</v>
      </c>
      <c r="X13" s="54">
        <f ca="1">IFERROR(__xludf.DUMMYFUNCTION("""COMPUTED_VALUE"""),21)</f>
        <v>21</v>
      </c>
      <c r="Y13" s="51">
        <f t="shared" ca="1" si="8"/>
        <v>1.75</v>
      </c>
      <c r="Z13" s="2"/>
      <c r="AA13" s="2"/>
      <c r="AB13" s="2"/>
      <c r="AC13" s="2"/>
      <c r="AD13" s="2"/>
      <c r="AE13" s="2"/>
    </row>
    <row r="14" spans="1:31" ht="12.75" x14ac:dyDescent="0.2">
      <c r="A14" s="53">
        <f ca="1">IFERROR(__xludf.DUMMYFUNCTION("""COMPUTED_VALUE"""),8)</f>
        <v>8</v>
      </c>
      <c r="B14" s="53" t="str">
        <f ca="1">IFERROR(__xludf.DUMMYFUNCTION("""COMPUTED_VALUE"""),"MN Phạm Văn Cội 2")</f>
        <v>MN Phạm Văn Cội 2</v>
      </c>
      <c r="C14" s="53" t="str">
        <f ca="1">IFERROR(__xludf.DUMMYFUNCTION("""COMPUTED_VALUE"""),"MN")</f>
        <v>MN</v>
      </c>
      <c r="D14" s="53" t="str">
        <f ca="1">IFERROR(__xludf.DUMMYFUNCTION("""COMPUTED_VALUE"""),"CỦ CHI")</f>
        <v>CỦ CHI</v>
      </c>
      <c r="E14" s="54">
        <f ca="1">IFERROR(__xludf.DUMMYFUNCTION("""COMPUTED_VALUE"""),25)</f>
        <v>25</v>
      </c>
      <c r="F14" s="54">
        <f ca="1">IFERROR(__xludf.DUMMYFUNCTION("""COMPUTED_VALUE"""),25)</f>
        <v>25</v>
      </c>
      <c r="G14" s="51">
        <f t="shared" ca="1" si="0"/>
        <v>1</v>
      </c>
      <c r="H14" s="54">
        <f ca="1">IFERROR(__xludf.DUMMYFUNCTION("""COMPUTED_VALUE"""),23)</f>
        <v>23</v>
      </c>
      <c r="I14" s="51">
        <f t="shared" ca="1" si="1"/>
        <v>0.92</v>
      </c>
      <c r="J14" s="54">
        <f ca="1">IFERROR(__xludf.DUMMYFUNCTION("""COMPUTED_VALUE"""),25)</f>
        <v>25</v>
      </c>
      <c r="K14" s="51">
        <f t="shared" ca="1" si="2"/>
        <v>1</v>
      </c>
      <c r="L14" s="54">
        <f ca="1">IFERROR(__xludf.DUMMYFUNCTION("""COMPUTED_VALUE"""),23)</f>
        <v>23</v>
      </c>
      <c r="M14" s="51">
        <f t="shared" ca="1" si="3"/>
        <v>0.92</v>
      </c>
      <c r="N14" s="54">
        <f ca="1">IFERROR(__xludf.DUMMYFUNCTION("""COMPUTED_VALUE"""),83)</f>
        <v>83</v>
      </c>
      <c r="O14" s="54">
        <f ca="1">IFERROR(__xludf.DUMMYFUNCTION("""COMPUTED_VALUE"""),37)</f>
        <v>37</v>
      </c>
      <c r="P14" s="51">
        <f t="shared" ca="1" si="4"/>
        <v>0.44578313253012047</v>
      </c>
      <c r="Q14" s="54">
        <f ca="1">IFERROR(__xludf.DUMMYFUNCTION("""COMPUTED_VALUE"""),23)</f>
        <v>23</v>
      </c>
      <c r="R14" s="51">
        <f t="shared" ca="1" si="5"/>
        <v>0.27710843373493976</v>
      </c>
      <c r="S14" s="54">
        <f ca="1">IFERROR(__xludf.DUMMYFUNCTION("""COMPUTED_VALUE"""),0)</f>
        <v>0</v>
      </c>
      <c r="T14" s="54">
        <f ca="1">IFERROR(__xludf.DUMMYFUNCTION("""COMPUTED_VALUE"""),83)</f>
        <v>83</v>
      </c>
      <c r="U14" s="51" t="str">
        <f t="shared" ca="1" si="6"/>
        <v/>
      </c>
      <c r="V14" s="54">
        <f ca="1">IFERROR(__xludf.DUMMYFUNCTION("""COMPUTED_VALUE"""),37)</f>
        <v>37</v>
      </c>
      <c r="W14" s="51" t="str">
        <f t="shared" ca="1" si="7"/>
        <v/>
      </c>
      <c r="X14" s="54">
        <f ca="1">IFERROR(__xludf.DUMMYFUNCTION("""COMPUTED_VALUE"""),23)</f>
        <v>23</v>
      </c>
      <c r="Y14" s="51" t="str">
        <f t="shared" ca="1" si="8"/>
        <v/>
      </c>
      <c r="Z14" s="2"/>
      <c r="AA14" s="2"/>
      <c r="AB14" s="2"/>
      <c r="AC14" s="2"/>
      <c r="AD14" s="2"/>
      <c r="AE14" s="2"/>
    </row>
    <row r="15" spans="1:31" ht="12.75" x14ac:dyDescent="0.2">
      <c r="A15" s="53">
        <f ca="1">IFERROR(__xludf.DUMMYFUNCTION("""COMPUTED_VALUE"""),9)</f>
        <v>9</v>
      </c>
      <c r="B15" s="53" t="str">
        <f ca="1">IFERROR(__xludf.DUMMYFUNCTION("""COMPUTED_VALUE"""),"MN Phú Hòa Đông")</f>
        <v>MN Phú Hòa Đông</v>
      </c>
      <c r="C15" s="53" t="str">
        <f ca="1">IFERROR(__xludf.DUMMYFUNCTION("""COMPUTED_VALUE"""),"MN")</f>
        <v>MN</v>
      </c>
      <c r="D15" s="53" t="str">
        <f ca="1">IFERROR(__xludf.DUMMYFUNCTION("""COMPUTED_VALUE"""),"CỦ CHI")</f>
        <v>CỦ CHI</v>
      </c>
      <c r="E15" s="54">
        <f ca="1">IFERROR(__xludf.DUMMYFUNCTION("""COMPUTED_VALUE"""),51)</f>
        <v>51</v>
      </c>
      <c r="F15" s="54">
        <f ca="1">IFERROR(__xludf.DUMMYFUNCTION("""COMPUTED_VALUE"""),51)</f>
        <v>51</v>
      </c>
      <c r="G15" s="51">
        <f t="shared" ca="1" si="0"/>
        <v>1</v>
      </c>
      <c r="H15" s="54">
        <f ca="1">IFERROR(__xludf.DUMMYFUNCTION("""COMPUTED_VALUE"""),45)</f>
        <v>45</v>
      </c>
      <c r="I15" s="51">
        <f t="shared" ca="1" si="1"/>
        <v>0.88235294117647056</v>
      </c>
      <c r="J15" s="54">
        <f ca="1">IFERROR(__xludf.DUMMYFUNCTION("""COMPUTED_VALUE"""),51)</f>
        <v>51</v>
      </c>
      <c r="K15" s="51">
        <f t="shared" ca="1" si="2"/>
        <v>1</v>
      </c>
      <c r="L15" s="54">
        <f ca="1">IFERROR(__xludf.DUMMYFUNCTION("""COMPUTED_VALUE"""),45)</f>
        <v>45</v>
      </c>
      <c r="M15" s="51">
        <f t="shared" ca="1" si="3"/>
        <v>0.88235294117647056</v>
      </c>
      <c r="N15" s="54">
        <f ca="1">IFERROR(__xludf.DUMMYFUNCTION("""COMPUTED_VALUE"""),326)</f>
        <v>326</v>
      </c>
      <c r="O15" s="54">
        <f ca="1">IFERROR(__xludf.DUMMYFUNCTION("""COMPUTED_VALUE"""),167)</f>
        <v>167</v>
      </c>
      <c r="P15" s="51">
        <f t="shared" ca="1" si="4"/>
        <v>0.51226993865030679</v>
      </c>
      <c r="Q15" s="54">
        <f ca="1">IFERROR(__xludf.DUMMYFUNCTION("""COMPUTED_VALUE"""),108)</f>
        <v>108</v>
      </c>
      <c r="R15" s="51">
        <f t="shared" ca="1" si="5"/>
        <v>0.33128834355828218</v>
      </c>
      <c r="S15" s="54">
        <f ca="1">IFERROR(__xludf.DUMMYFUNCTION("""COMPUTED_VALUE"""),35)</f>
        <v>35</v>
      </c>
      <c r="T15" s="54">
        <f ca="1">IFERROR(__xludf.DUMMYFUNCTION("""COMPUTED_VALUE"""),326)</f>
        <v>326</v>
      </c>
      <c r="U15" s="51">
        <f t="shared" ca="1" si="6"/>
        <v>9.3142857142857149</v>
      </c>
      <c r="V15" s="54">
        <f ca="1">IFERROR(__xludf.DUMMYFUNCTION("""COMPUTED_VALUE"""),145)</f>
        <v>145</v>
      </c>
      <c r="W15" s="51">
        <f t="shared" ca="1" si="7"/>
        <v>4.1428571428571432</v>
      </c>
      <c r="X15" s="54">
        <f ca="1">IFERROR(__xludf.DUMMYFUNCTION("""COMPUTED_VALUE"""),0)</f>
        <v>0</v>
      </c>
      <c r="Y15" s="51">
        <f t="shared" ca="1" si="8"/>
        <v>0</v>
      </c>
      <c r="Z15" s="2"/>
      <c r="AA15" s="2"/>
      <c r="AB15" s="2"/>
      <c r="AC15" s="2"/>
      <c r="AD15" s="2"/>
      <c r="AE15" s="2"/>
    </row>
    <row r="16" spans="1:31" ht="12.75" x14ac:dyDescent="0.2">
      <c r="A16" s="53">
        <f ca="1">IFERROR(__xludf.DUMMYFUNCTION("""COMPUTED_VALUE"""),10)</f>
        <v>10</v>
      </c>
      <c r="B16" s="53" t="str">
        <f ca="1">IFERROR(__xludf.DUMMYFUNCTION("""COMPUTED_VALUE"""),"MN Phước Hiệp")</f>
        <v>MN Phước Hiệp</v>
      </c>
      <c r="C16" s="53" t="str">
        <f ca="1">IFERROR(__xludf.DUMMYFUNCTION("""COMPUTED_VALUE"""),"MN")</f>
        <v>MN</v>
      </c>
      <c r="D16" s="53" t="str">
        <f ca="1">IFERROR(__xludf.DUMMYFUNCTION("""COMPUTED_VALUE"""),"CỦ CHI")</f>
        <v>CỦ CHI</v>
      </c>
      <c r="E16" s="54">
        <f ca="1">IFERROR(__xludf.DUMMYFUNCTION("""COMPUTED_VALUE"""),31)</f>
        <v>31</v>
      </c>
      <c r="F16" s="54">
        <f ca="1">IFERROR(__xludf.DUMMYFUNCTION("""COMPUTED_VALUE"""),29)</f>
        <v>29</v>
      </c>
      <c r="G16" s="51">
        <f t="shared" ca="1" si="0"/>
        <v>0.93548387096774188</v>
      </c>
      <c r="H16" s="54">
        <f ca="1">IFERROR(__xludf.DUMMYFUNCTION("""COMPUTED_VALUE"""),20)</f>
        <v>20</v>
      </c>
      <c r="I16" s="51">
        <f t="shared" ca="1" si="1"/>
        <v>0.64516129032258063</v>
      </c>
      <c r="J16" s="54">
        <f ca="1">IFERROR(__xludf.DUMMYFUNCTION("""COMPUTED_VALUE"""),29)</f>
        <v>29</v>
      </c>
      <c r="K16" s="51">
        <f t="shared" ca="1" si="2"/>
        <v>0.93548387096774188</v>
      </c>
      <c r="L16" s="54">
        <f ca="1">IFERROR(__xludf.DUMMYFUNCTION("""COMPUTED_VALUE"""),25)</f>
        <v>25</v>
      </c>
      <c r="M16" s="51">
        <f t="shared" ca="1" si="3"/>
        <v>0.80645161290322576</v>
      </c>
      <c r="N16" s="54">
        <f ca="1">IFERROR(__xludf.DUMMYFUNCTION("""COMPUTED_VALUE"""),166)</f>
        <v>166</v>
      </c>
      <c r="O16" s="54">
        <f ca="1">IFERROR(__xludf.DUMMYFUNCTION("""COMPUTED_VALUE"""),84)</f>
        <v>84</v>
      </c>
      <c r="P16" s="51">
        <f t="shared" ca="1" si="4"/>
        <v>0.50602409638554213</v>
      </c>
      <c r="Q16" s="54">
        <f ca="1">IFERROR(__xludf.DUMMYFUNCTION("""COMPUTED_VALUE"""),0)</f>
        <v>0</v>
      </c>
      <c r="R16" s="51">
        <f t="shared" ca="1" si="5"/>
        <v>0</v>
      </c>
      <c r="S16" s="54">
        <f ca="1">IFERROR(__xludf.DUMMYFUNCTION("""COMPUTED_VALUE"""),0)</f>
        <v>0</v>
      </c>
      <c r="T16" s="53">
        <f ca="1">IFERROR(__xludf.DUMMYFUNCTION("""COMPUTED_VALUE"""),166)</f>
        <v>166</v>
      </c>
      <c r="U16" s="51" t="str">
        <f t="shared" ca="1" si="6"/>
        <v/>
      </c>
      <c r="V16" s="54">
        <f ca="1">IFERROR(__xludf.DUMMYFUNCTION("""COMPUTED_VALUE"""),103)</f>
        <v>103</v>
      </c>
      <c r="W16" s="51" t="str">
        <f t="shared" ca="1" si="7"/>
        <v/>
      </c>
      <c r="X16" s="54">
        <f ca="1">IFERROR(__xludf.DUMMYFUNCTION("""COMPUTED_VALUE"""),0)</f>
        <v>0</v>
      </c>
      <c r="Y16" s="51" t="str">
        <f t="shared" ca="1" si="8"/>
        <v/>
      </c>
      <c r="Z16" s="2"/>
      <c r="AA16" s="2"/>
      <c r="AB16" s="2"/>
      <c r="AC16" s="2"/>
      <c r="AD16" s="2"/>
      <c r="AE16" s="2"/>
    </row>
    <row r="17" spans="1:31" ht="12.75" x14ac:dyDescent="0.2">
      <c r="A17" s="53">
        <f ca="1">IFERROR(__xludf.DUMMYFUNCTION("""COMPUTED_VALUE"""),11)</f>
        <v>11</v>
      </c>
      <c r="B17" s="53" t="str">
        <f ca="1">IFERROR(__xludf.DUMMYFUNCTION("""COMPUTED_VALUE"""),"MN Phước Thạnh")</f>
        <v>MN Phước Thạnh</v>
      </c>
      <c r="C17" s="53" t="str">
        <f ca="1">IFERROR(__xludf.DUMMYFUNCTION("""COMPUTED_VALUE"""),"MN")</f>
        <v>MN</v>
      </c>
      <c r="D17" s="53" t="str">
        <f ca="1">IFERROR(__xludf.DUMMYFUNCTION("""COMPUTED_VALUE"""),"CỦ CHI")</f>
        <v>CỦ CHI</v>
      </c>
      <c r="E17" s="54">
        <f ca="1">IFERROR(__xludf.DUMMYFUNCTION("""COMPUTED_VALUE"""),44)</f>
        <v>44</v>
      </c>
      <c r="F17" s="54">
        <f ca="1">IFERROR(__xludf.DUMMYFUNCTION("""COMPUTED_VALUE"""),44)</f>
        <v>44</v>
      </c>
      <c r="G17" s="51">
        <f t="shared" ca="1" si="0"/>
        <v>1</v>
      </c>
      <c r="H17" s="54">
        <f ca="1">IFERROR(__xludf.DUMMYFUNCTION("""COMPUTED_VALUE"""),38)</f>
        <v>38</v>
      </c>
      <c r="I17" s="51">
        <f t="shared" ca="1" si="1"/>
        <v>0.86363636363636365</v>
      </c>
      <c r="J17" s="54">
        <f ca="1">IFERROR(__xludf.DUMMYFUNCTION("""COMPUTED_VALUE"""),44)</f>
        <v>44</v>
      </c>
      <c r="K17" s="51">
        <f t="shared" ca="1" si="2"/>
        <v>1</v>
      </c>
      <c r="L17" s="54">
        <f ca="1">IFERROR(__xludf.DUMMYFUNCTION("""COMPUTED_VALUE"""),38)</f>
        <v>38</v>
      </c>
      <c r="M17" s="51">
        <f t="shared" ca="1" si="3"/>
        <v>0.86363636363636365</v>
      </c>
      <c r="N17" s="54">
        <f ca="1">IFERROR(__xludf.DUMMYFUNCTION("""COMPUTED_VALUE"""),173)</f>
        <v>173</v>
      </c>
      <c r="O17" s="54">
        <f ca="1">IFERROR(__xludf.DUMMYFUNCTION("""COMPUTED_VALUE"""),111)</f>
        <v>111</v>
      </c>
      <c r="P17" s="51">
        <f t="shared" ca="1" si="4"/>
        <v>0.64161849710982655</v>
      </c>
      <c r="Q17" s="54">
        <f ca="1">IFERROR(__xludf.DUMMYFUNCTION("""COMPUTED_VALUE"""),0)</f>
        <v>0</v>
      </c>
      <c r="R17" s="51">
        <f t="shared" ca="1" si="5"/>
        <v>0</v>
      </c>
      <c r="S17" s="54">
        <f ca="1">IFERROR(__xludf.DUMMYFUNCTION("""COMPUTED_VALUE"""),62)</f>
        <v>62</v>
      </c>
      <c r="T17" s="54">
        <f ca="1">IFERROR(__xludf.DUMMYFUNCTION("""COMPUTED_VALUE"""),173)</f>
        <v>173</v>
      </c>
      <c r="U17" s="51">
        <f t="shared" ca="1" si="6"/>
        <v>2.7903225806451615</v>
      </c>
      <c r="V17" s="54">
        <f ca="1">IFERROR(__xludf.DUMMYFUNCTION("""COMPUTED_VALUE"""),111)</f>
        <v>111</v>
      </c>
      <c r="W17" s="51">
        <f t="shared" ca="1" si="7"/>
        <v>1.7903225806451613</v>
      </c>
      <c r="X17" s="54">
        <f ca="1">IFERROR(__xludf.DUMMYFUNCTION("""COMPUTED_VALUE"""),0)</f>
        <v>0</v>
      </c>
      <c r="Y17" s="51">
        <f t="shared" ca="1" si="8"/>
        <v>0</v>
      </c>
      <c r="Z17" s="2"/>
      <c r="AA17" s="2"/>
      <c r="AB17" s="2"/>
      <c r="AC17" s="2"/>
      <c r="AD17" s="2"/>
      <c r="AE17" s="2"/>
    </row>
    <row r="18" spans="1:31" ht="12.75" x14ac:dyDescent="0.2">
      <c r="A18" s="53">
        <f ca="1">IFERROR(__xludf.DUMMYFUNCTION("""COMPUTED_VALUE"""),12)</f>
        <v>12</v>
      </c>
      <c r="B18" s="53" t="str">
        <f ca="1">IFERROR(__xludf.DUMMYFUNCTION("""COMPUTED_VALUE"""),"MN Phước Vĩnh An")</f>
        <v>MN Phước Vĩnh An</v>
      </c>
      <c r="C18" s="53" t="str">
        <f ca="1">IFERROR(__xludf.DUMMYFUNCTION("""COMPUTED_VALUE"""),"MN")</f>
        <v>MN</v>
      </c>
      <c r="D18" s="53" t="str">
        <f ca="1">IFERROR(__xludf.DUMMYFUNCTION("""COMPUTED_VALUE"""),"CỦ CHI")</f>
        <v>CỦ CHI</v>
      </c>
      <c r="E18" s="54">
        <f ca="1">IFERROR(__xludf.DUMMYFUNCTION("""COMPUTED_VALUE"""),28)</f>
        <v>28</v>
      </c>
      <c r="F18" s="54">
        <f ca="1">IFERROR(__xludf.DUMMYFUNCTION("""COMPUTED_VALUE"""),28)</f>
        <v>28</v>
      </c>
      <c r="G18" s="51">
        <f t="shared" ca="1" si="0"/>
        <v>1</v>
      </c>
      <c r="H18" s="54">
        <f ca="1">IFERROR(__xludf.DUMMYFUNCTION("""COMPUTED_VALUE"""),22)</f>
        <v>22</v>
      </c>
      <c r="I18" s="51">
        <f t="shared" ca="1" si="1"/>
        <v>0.7857142857142857</v>
      </c>
      <c r="J18" s="54">
        <f ca="1">IFERROR(__xludf.DUMMYFUNCTION("""COMPUTED_VALUE"""),28)</f>
        <v>28</v>
      </c>
      <c r="K18" s="51">
        <f t="shared" ca="1" si="2"/>
        <v>1</v>
      </c>
      <c r="L18" s="54">
        <f ca="1">IFERROR(__xludf.DUMMYFUNCTION("""COMPUTED_VALUE"""),22)</f>
        <v>22</v>
      </c>
      <c r="M18" s="51">
        <f t="shared" ca="1" si="3"/>
        <v>0.7857142857142857</v>
      </c>
      <c r="N18" s="54">
        <f ca="1">IFERROR(__xludf.DUMMYFUNCTION("""COMPUTED_VALUE"""),123)</f>
        <v>123</v>
      </c>
      <c r="O18" s="53"/>
      <c r="P18" s="51">
        <f t="shared" ca="1" si="4"/>
        <v>0</v>
      </c>
      <c r="Q18" s="53"/>
      <c r="R18" s="51">
        <f t="shared" ca="1" si="5"/>
        <v>0</v>
      </c>
      <c r="S18" s="53"/>
      <c r="T18" s="53">
        <f ca="1">IFERROR(__xludf.DUMMYFUNCTION("""COMPUTED_VALUE"""),123)</f>
        <v>123</v>
      </c>
      <c r="U18" s="51" t="str">
        <f t="shared" ca="1" si="6"/>
        <v/>
      </c>
      <c r="V18" s="54">
        <f ca="1">IFERROR(__xludf.DUMMYFUNCTION("""COMPUTED_VALUE"""),101)</f>
        <v>101</v>
      </c>
      <c r="W18" s="51" t="str">
        <f t="shared" ca="1" si="7"/>
        <v/>
      </c>
      <c r="X18" s="54">
        <f ca="1">IFERROR(__xludf.DUMMYFUNCTION("""COMPUTED_VALUE"""),60)</f>
        <v>60</v>
      </c>
      <c r="Y18" s="51" t="str">
        <f t="shared" ca="1" si="8"/>
        <v/>
      </c>
      <c r="Z18" s="2"/>
      <c r="AA18" s="2"/>
      <c r="AB18" s="2"/>
      <c r="AC18" s="2"/>
      <c r="AD18" s="2"/>
      <c r="AE18" s="2"/>
    </row>
    <row r="19" spans="1:31" ht="12.75" x14ac:dyDescent="0.2">
      <c r="A19" s="53">
        <f ca="1">IFERROR(__xludf.DUMMYFUNCTION("""COMPUTED_VALUE"""),13)</f>
        <v>13</v>
      </c>
      <c r="B19" s="53" t="str">
        <f ca="1">IFERROR(__xludf.DUMMYFUNCTION("""COMPUTED_VALUE"""),"MN Tân An Hội 1")</f>
        <v>MN Tân An Hội 1</v>
      </c>
      <c r="C19" s="53" t="str">
        <f ca="1">IFERROR(__xludf.DUMMYFUNCTION("""COMPUTED_VALUE"""),"MN")</f>
        <v>MN</v>
      </c>
      <c r="D19" s="53" t="str">
        <f ca="1">IFERROR(__xludf.DUMMYFUNCTION("""COMPUTED_VALUE"""),"CỦ CHI")</f>
        <v>CỦ CHI</v>
      </c>
      <c r="E19" s="54">
        <f ca="1">IFERROR(__xludf.DUMMYFUNCTION("""COMPUTED_VALUE"""),26)</f>
        <v>26</v>
      </c>
      <c r="F19" s="54">
        <f ca="1">IFERROR(__xludf.DUMMYFUNCTION("""COMPUTED_VALUE"""),25)</f>
        <v>25</v>
      </c>
      <c r="G19" s="51">
        <f t="shared" ca="1" si="0"/>
        <v>0.96153846153846156</v>
      </c>
      <c r="H19" s="54">
        <f ca="1">IFERROR(__xludf.DUMMYFUNCTION("""COMPUTED_VALUE"""),19)</f>
        <v>19</v>
      </c>
      <c r="I19" s="51">
        <f t="shared" ca="1" si="1"/>
        <v>0.73076923076923073</v>
      </c>
      <c r="J19" s="54">
        <f ca="1">IFERROR(__xludf.DUMMYFUNCTION("""COMPUTED_VALUE"""),25)</f>
        <v>25</v>
      </c>
      <c r="K19" s="51">
        <f t="shared" ca="1" si="2"/>
        <v>0.96153846153846156</v>
      </c>
      <c r="L19" s="54">
        <f ca="1">IFERROR(__xludf.DUMMYFUNCTION("""COMPUTED_VALUE"""),25)</f>
        <v>25</v>
      </c>
      <c r="M19" s="51">
        <f t="shared" ca="1" si="3"/>
        <v>0.96153846153846156</v>
      </c>
      <c r="N19" s="54">
        <f ca="1">IFERROR(__xludf.DUMMYFUNCTION("""COMPUTED_VALUE"""),129)</f>
        <v>129</v>
      </c>
      <c r="O19" s="54">
        <f ca="1">IFERROR(__xludf.DUMMYFUNCTION("""COMPUTED_VALUE"""),92)</f>
        <v>92</v>
      </c>
      <c r="P19" s="51">
        <f t="shared" ca="1" si="4"/>
        <v>0.71317829457364346</v>
      </c>
      <c r="Q19" s="54">
        <f ca="1">IFERROR(__xludf.DUMMYFUNCTION("""COMPUTED_VALUE"""),38)</f>
        <v>38</v>
      </c>
      <c r="R19" s="51">
        <f t="shared" ca="1" si="5"/>
        <v>0.29457364341085274</v>
      </c>
      <c r="S19" s="54">
        <f ca="1">IFERROR(__xludf.DUMMYFUNCTION("""COMPUTED_VALUE"""),37)</f>
        <v>37</v>
      </c>
      <c r="T19" s="54">
        <f ca="1">IFERROR(__xludf.DUMMYFUNCTION("""COMPUTED_VALUE"""),129)</f>
        <v>129</v>
      </c>
      <c r="U19" s="51">
        <f t="shared" ca="1" si="6"/>
        <v>3.4864864864864864</v>
      </c>
      <c r="V19" s="54">
        <f ca="1">IFERROR(__xludf.DUMMYFUNCTION("""COMPUTED_VALUE"""),92)</f>
        <v>92</v>
      </c>
      <c r="W19" s="51">
        <f t="shared" ca="1" si="7"/>
        <v>2.4864864864864864</v>
      </c>
      <c r="X19" s="54">
        <f ca="1">IFERROR(__xludf.DUMMYFUNCTION("""COMPUTED_VALUE"""),38)</f>
        <v>38</v>
      </c>
      <c r="Y19" s="51">
        <f t="shared" ca="1" si="8"/>
        <v>1.027027027027027</v>
      </c>
      <c r="Z19" s="2"/>
      <c r="AA19" s="2"/>
      <c r="AB19" s="2"/>
      <c r="AC19" s="2"/>
      <c r="AD19" s="2"/>
      <c r="AE19" s="2"/>
    </row>
    <row r="20" spans="1:31" ht="12.75" x14ac:dyDescent="0.2">
      <c r="A20" s="53">
        <f ca="1">IFERROR(__xludf.DUMMYFUNCTION("""COMPUTED_VALUE"""),14)</f>
        <v>14</v>
      </c>
      <c r="B20" s="53" t="str">
        <f ca="1">IFERROR(__xludf.DUMMYFUNCTION("""COMPUTED_VALUE"""),"MN Tân An Hội 2")</f>
        <v>MN Tân An Hội 2</v>
      </c>
      <c r="C20" s="53" t="str">
        <f ca="1">IFERROR(__xludf.DUMMYFUNCTION("""COMPUTED_VALUE"""),"MN")</f>
        <v>MN</v>
      </c>
      <c r="D20" s="53" t="str">
        <f ca="1">IFERROR(__xludf.DUMMYFUNCTION("""COMPUTED_VALUE"""),"CỦ CHI")</f>
        <v>CỦ CHI</v>
      </c>
      <c r="E20" s="54">
        <f ca="1">IFERROR(__xludf.DUMMYFUNCTION("""COMPUTED_VALUE"""),26)</f>
        <v>26</v>
      </c>
      <c r="F20" s="54">
        <f ca="1">IFERROR(__xludf.DUMMYFUNCTION("""COMPUTED_VALUE"""),25)</f>
        <v>25</v>
      </c>
      <c r="G20" s="51">
        <f t="shared" ca="1" si="0"/>
        <v>0.96153846153846156</v>
      </c>
      <c r="H20" s="54">
        <f ca="1">IFERROR(__xludf.DUMMYFUNCTION("""COMPUTED_VALUE"""),19)</f>
        <v>19</v>
      </c>
      <c r="I20" s="51">
        <f t="shared" ca="1" si="1"/>
        <v>0.73076923076923073</v>
      </c>
      <c r="J20" s="54">
        <f ca="1">IFERROR(__xludf.DUMMYFUNCTION("""COMPUTED_VALUE"""),25)</f>
        <v>25</v>
      </c>
      <c r="K20" s="51">
        <f t="shared" ca="1" si="2"/>
        <v>0.96153846153846156</v>
      </c>
      <c r="L20" s="54">
        <f ca="1">IFERROR(__xludf.DUMMYFUNCTION("""COMPUTED_VALUE"""),19)</f>
        <v>19</v>
      </c>
      <c r="M20" s="51">
        <f t="shared" ca="1" si="3"/>
        <v>0.73076923076923073</v>
      </c>
      <c r="N20" s="54">
        <f ca="1">IFERROR(__xludf.DUMMYFUNCTION("""COMPUTED_VALUE"""),140)</f>
        <v>140</v>
      </c>
      <c r="O20" s="54">
        <f ca="1">IFERROR(__xludf.DUMMYFUNCTION("""COMPUTED_VALUE"""),90)</f>
        <v>90</v>
      </c>
      <c r="P20" s="51">
        <f t="shared" ca="1" si="4"/>
        <v>0.6428571428571429</v>
      </c>
      <c r="Q20" s="54">
        <f ca="1">IFERROR(__xludf.DUMMYFUNCTION("""COMPUTED_VALUE"""),0)</f>
        <v>0</v>
      </c>
      <c r="R20" s="51">
        <f t="shared" ca="1" si="5"/>
        <v>0</v>
      </c>
      <c r="S20" s="54">
        <f ca="1">IFERROR(__xludf.DUMMYFUNCTION("""COMPUTED_VALUE"""),50)</f>
        <v>50</v>
      </c>
      <c r="T20" s="53">
        <f ca="1">IFERROR(__xludf.DUMMYFUNCTION("""COMPUTED_VALUE"""),140)</f>
        <v>140</v>
      </c>
      <c r="U20" s="51">
        <f t="shared" ca="1" si="6"/>
        <v>2.8</v>
      </c>
      <c r="V20" s="54">
        <f ca="1">IFERROR(__xludf.DUMMYFUNCTION("""COMPUTED_VALUE"""),90)</f>
        <v>90</v>
      </c>
      <c r="W20" s="51">
        <f t="shared" ca="1" si="7"/>
        <v>1.8</v>
      </c>
      <c r="X20" s="54">
        <f ca="1">IFERROR(__xludf.DUMMYFUNCTION("""COMPUTED_VALUE"""),0)</f>
        <v>0</v>
      </c>
      <c r="Y20" s="51">
        <f t="shared" ca="1" si="8"/>
        <v>0</v>
      </c>
      <c r="Z20" s="2"/>
      <c r="AA20" s="2"/>
      <c r="AB20" s="2"/>
      <c r="AC20" s="2"/>
      <c r="AD20" s="2"/>
      <c r="AE20" s="2"/>
    </row>
    <row r="21" spans="1:31" ht="12.75" x14ac:dyDescent="0.2">
      <c r="A21" s="53">
        <f ca="1">IFERROR(__xludf.DUMMYFUNCTION("""COMPUTED_VALUE"""),15)</f>
        <v>15</v>
      </c>
      <c r="B21" s="53" t="str">
        <f ca="1">IFERROR(__xludf.DUMMYFUNCTION("""COMPUTED_VALUE"""),"MN Tân Phú Trung 1")</f>
        <v>MN Tân Phú Trung 1</v>
      </c>
      <c r="C21" s="53" t="str">
        <f ca="1">IFERROR(__xludf.DUMMYFUNCTION("""COMPUTED_VALUE"""),"MN")</f>
        <v>MN</v>
      </c>
      <c r="D21" s="53" t="str">
        <f ca="1">IFERROR(__xludf.DUMMYFUNCTION("""COMPUTED_VALUE"""),"CỦ CHI")</f>
        <v>CỦ CHI</v>
      </c>
      <c r="E21" s="54">
        <f ca="1">IFERROR(__xludf.DUMMYFUNCTION("""COMPUTED_VALUE"""),47)</f>
        <v>47</v>
      </c>
      <c r="F21" s="54">
        <f ca="1">IFERROR(__xludf.DUMMYFUNCTION("""COMPUTED_VALUE"""),46)</f>
        <v>46</v>
      </c>
      <c r="G21" s="51">
        <f t="shared" ca="1" si="0"/>
        <v>0.97872340425531912</v>
      </c>
      <c r="H21" s="54">
        <f ca="1">IFERROR(__xludf.DUMMYFUNCTION("""COMPUTED_VALUE"""),39)</f>
        <v>39</v>
      </c>
      <c r="I21" s="51">
        <f t="shared" ca="1" si="1"/>
        <v>0.82978723404255317</v>
      </c>
      <c r="J21" s="54">
        <f ca="1">IFERROR(__xludf.DUMMYFUNCTION("""COMPUTED_VALUE"""),46)</f>
        <v>46</v>
      </c>
      <c r="K21" s="51">
        <f t="shared" ca="1" si="2"/>
        <v>0.97872340425531912</v>
      </c>
      <c r="L21" s="54">
        <f ca="1">IFERROR(__xludf.DUMMYFUNCTION("""COMPUTED_VALUE"""),39)</f>
        <v>39</v>
      </c>
      <c r="M21" s="51">
        <f t="shared" ca="1" si="3"/>
        <v>0.82978723404255317</v>
      </c>
      <c r="N21" s="54">
        <f ca="1">IFERROR(__xludf.DUMMYFUNCTION("""COMPUTED_VALUE"""),463)</f>
        <v>463</v>
      </c>
      <c r="O21" s="53"/>
      <c r="P21" s="51">
        <f t="shared" ca="1" si="4"/>
        <v>0</v>
      </c>
      <c r="Q21" s="53"/>
      <c r="R21" s="51">
        <f t="shared" ca="1" si="5"/>
        <v>0</v>
      </c>
      <c r="S21" s="53"/>
      <c r="T21" s="54">
        <f ca="1">IFERROR(__xludf.DUMMYFUNCTION("""COMPUTED_VALUE"""),312)</f>
        <v>312</v>
      </c>
      <c r="U21" s="51" t="str">
        <f t="shared" ca="1" si="6"/>
        <v/>
      </c>
      <c r="V21" s="54">
        <f ca="1">IFERROR(__xludf.DUMMYFUNCTION("""COMPUTED_VALUE"""),153)</f>
        <v>153</v>
      </c>
      <c r="W21" s="51" t="str">
        <f t="shared" ca="1" si="7"/>
        <v/>
      </c>
      <c r="X21" s="54">
        <f ca="1">IFERROR(__xludf.DUMMYFUNCTION("""COMPUTED_VALUE"""),61)</f>
        <v>61</v>
      </c>
      <c r="Y21" s="51" t="str">
        <f t="shared" ca="1" si="8"/>
        <v/>
      </c>
      <c r="Z21" s="2"/>
      <c r="AA21" s="2"/>
      <c r="AB21" s="2"/>
      <c r="AC21" s="2"/>
      <c r="AD21" s="2"/>
      <c r="AE21" s="2"/>
    </row>
    <row r="22" spans="1:31" ht="12.75" x14ac:dyDescent="0.2">
      <c r="A22" s="53">
        <f ca="1">IFERROR(__xludf.DUMMYFUNCTION("""COMPUTED_VALUE"""),16)</f>
        <v>16</v>
      </c>
      <c r="B22" s="53" t="str">
        <f ca="1">IFERROR(__xludf.DUMMYFUNCTION("""COMPUTED_VALUE"""),"MN Tân Phú Trung 2")</f>
        <v>MN Tân Phú Trung 2</v>
      </c>
      <c r="C22" s="53" t="str">
        <f ca="1">IFERROR(__xludf.DUMMYFUNCTION("""COMPUTED_VALUE"""),"MN")</f>
        <v>MN</v>
      </c>
      <c r="D22" s="53" t="str">
        <f ca="1">IFERROR(__xludf.DUMMYFUNCTION("""COMPUTED_VALUE"""),"CỦ CHI")</f>
        <v>CỦ CHI</v>
      </c>
      <c r="E22" s="54">
        <f ca="1">IFERROR(__xludf.DUMMYFUNCTION("""COMPUTED_VALUE"""),27)</f>
        <v>27</v>
      </c>
      <c r="F22" s="54">
        <f ca="1">IFERROR(__xludf.DUMMYFUNCTION("""COMPUTED_VALUE"""),26)</f>
        <v>26</v>
      </c>
      <c r="G22" s="51">
        <f t="shared" ca="1" si="0"/>
        <v>0.96296296296296291</v>
      </c>
      <c r="H22" s="54">
        <f ca="1">IFERROR(__xludf.DUMMYFUNCTION("""COMPUTED_VALUE"""),19)</f>
        <v>19</v>
      </c>
      <c r="I22" s="51">
        <f t="shared" ca="1" si="1"/>
        <v>0.70370370370370372</v>
      </c>
      <c r="J22" s="54">
        <f ca="1">IFERROR(__xludf.DUMMYFUNCTION("""COMPUTED_VALUE"""),26)</f>
        <v>26</v>
      </c>
      <c r="K22" s="51">
        <f t="shared" ca="1" si="2"/>
        <v>0.96296296296296291</v>
      </c>
      <c r="L22" s="54">
        <f ca="1">IFERROR(__xludf.DUMMYFUNCTION("""COMPUTED_VALUE"""),19)</f>
        <v>19</v>
      </c>
      <c r="M22" s="51">
        <f t="shared" ca="1" si="3"/>
        <v>0.70370370370370372</v>
      </c>
      <c r="N22" s="54">
        <f ca="1">IFERROR(__xludf.DUMMYFUNCTION("""COMPUTED_VALUE"""),168)</f>
        <v>168</v>
      </c>
      <c r="O22" s="54">
        <f ca="1">IFERROR(__xludf.DUMMYFUNCTION("""COMPUTED_VALUE"""),104)</f>
        <v>104</v>
      </c>
      <c r="P22" s="51">
        <f t="shared" ca="1" si="4"/>
        <v>0.61904761904761907</v>
      </c>
      <c r="Q22" s="54">
        <f ca="1">IFERROR(__xludf.DUMMYFUNCTION("""COMPUTED_VALUE"""),32)</f>
        <v>32</v>
      </c>
      <c r="R22" s="51">
        <f t="shared" ca="1" si="5"/>
        <v>0.19047619047619047</v>
      </c>
      <c r="S22" s="54">
        <f ca="1">IFERROR(__xludf.DUMMYFUNCTION("""COMPUTED_VALUE"""),64)</f>
        <v>64</v>
      </c>
      <c r="T22" s="54">
        <f ca="1">IFERROR(__xludf.DUMMYFUNCTION("""COMPUTED_VALUE"""),168)</f>
        <v>168</v>
      </c>
      <c r="U22" s="51">
        <f t="shared" ca="1" si="6"/>
        <v>2.625</v>
      </c>
      <c r="V22" s="54">
        <f ca="1">IFERROR(__xludf.DUMMYFUNCTION("""COMPUTED_VALUE"""),104)</f>
        <v>104</v>
      </c>
      <c r="W22" s="51">
        <f t="shared" ca="1" si="7"/>
        <v>1.625</v>
      </c>
      <c r="X22" s="54">
        <f ca="1">IFERROR(__xludf.DUMMYFUNCTION("""COMPUTED_VALUE"""),32)</f>
        <v>32</v>
      </c>
      <c r="Y22" s="51">
        <f t="shared" ca="1" si="8"/>
        <v>0.5</v>
      </c>
      <c r="Z22" s="2"/>
      <c r="AA22" s="2"/>
      <c r="AB22" s="2"/>
      <c r="AC22" s="2"/>
      <c r="AD22" s="2"/>
      <c r="AE22" s="2"/>
    </row>
    <row r="23" spans="1:31" ht="12.75" x14ac:dyDescent="0.2">
      <c r="A23" s="53">
        <f ca="1">IFERROR(__xludf.DUMMYFUNCTION("""COMPUTED_VALUE"""),17)</f>
        <v>17</v>
      </c>
      <c r="B23" s="53" t="str">
        <f ca="1">IFERROR(__xludf.DUMMYFUNCTION("""COMPUTED_VALUE"""),"MN Tân Thạnh Đông")</f>
        <v>MN Tân Thạnh Đông</v>
      </c>
      <c r="C23" s="53" t="str">
        <f ca="1">IFERROR(__xludf.DUMMYFUNCTION("""COMPUTED_VALUE"""),"MN")</f>
        <v>MN</v>
      </c>
      <c r="D23" s="53" t="str">
        <f ca="1">IFERROR(__xludf.DUMMYFUNCTION("""COMPUTED_VALUE"""),"CỦ CHI")</f>
        <v>CỦ CHI</v>
      </c>
      <c r="E23" s="54">
        <f ca="1">IFERROR(__xludf.DUMMYFUNCTION("""COMPUTED_VALUE"""),45)</f>
        <v>45</v>
      </c>
      <c r="F23" s="54">
        <f ca="1">IFERROR(__xludf.DUMMYFUNCTION("""COMPUTED_VALUE"""),43)</f>
        <v>43</v>
      </c>
      <c r="G23" s="51">
        <f t="shared" ca="1" si="0"/>
        <v>0.9555555555555556</v>
      </c>
      <c r="H23" s="54">
        <f ca="1">IFERROR(__xludf.DUMMYFUNCTION("""COMPUTED_VALUE"""),35)</f>
        <v>35</v>
      </c>
      <c r="I23" s="51">
        <f t="shared" ca="1" si="1"/>
        <v>0.77777777777777779</v>
      </c>
      <c r="J23" s="54">
        <f ca="1">IFERROR(__xludf.DUMMYFUNCTION("""COMPUTED_VALUE"""),43)</f>
        <v>43</v>
      </c>
      <c r="K23" s="51">
        <f t="shared" ca="1" si="2"/>
        <v>0.9555555555555556</v>
      </c>
      <c r="L23" s="54">
        <f ca="1">IFERROR(__xludf.DUMMYFUNCTION("""COMPUTED_VALUE"""),35)</f>
        <v>35</v>
      </c>
      <c r="M23" s="51">
        <f t="shared" ca="1" si="3"/>
        <v>0.77777777777777779</v>
      </c>
      <c r="N23" s="54">
        <f ca="1">IFERROR(__xludf.DUMMYFUNCTION("""COMPUTED_VALUE"""),360)</f>
        <v>360</v>
      </c>
      <c r="O23" s="54">
        <f ca="1">IFERROR(__xludf.DUMMYFUNCTION("""COMPUTED_VALUE"""),185)</f>
        <v>185</v>
      </c>
      <c r="P23" s="51">
        <f t="shared" ca="1" si="4"/>
        <v>0.51388888888888884</v>
      </c>
      <c r="Q23" s="54">
        <f ca="1">IFERROR(__xludf.DUMMYFUNCTION("""COMPUTED_VALUE"""),82)</f>
        <v>82</v>
      </c>
      <c r="R23" s="51">
        <f t="shared" ca="1" si="5"/>
        <v>0.22777777777777777</v>
      </c>
      <c r="S23" s="54">
        <f ca="1">IFERROR(__xludf.DUMMYFUNCTION("""COMPUTED_VALUE"""),175)</f>
        <v>175</v>
      </c>
      <c r="T23" s="53">
        <f ca="1">IFERROR(__xludf.DUMMYFUNCTION("""COMPUTED_VALUE"""),360)</f>
        <v>360</v>
      </c>
      <c r="U23" s="51">
        <f t="shared" ca="1" si="6"/>
        <v>2.0571428571428569</v>
      </c>
      <c r="V23" s="54">
        <f ca="1">IFERROR(__xludf.DUMMYFUNCTION("""COMPUTED_VALUE"""),148)</f>
        <v>148</v>
      </c>
      <c r="W23" s="51">
        <f t="shared" ca="1" si="7"/>
        <v>0.84571428571428575</v>
      </c>
      <c r="X23" s="54">
        <f ca="1">IFERROR(__xludf.DUMMYFUNCTION("""COMPUTED_VALUE"""),0)</f>
        <v>0</v>
      </c>
      <c r="Y23" s="51">
        <f t="shared" ca="1" si="8"/>
        <v>0</v>
      </c>
      <c r="Z23" s="2"/>
      <c r="AA23" s="2"/>
      <c r="AB23" s="2"/>
      <c r="AC23" s="2"/>
      <c r="AD23" s="2"/>
      <c r="AE23" s="2"/>
    </row>
    <row r="24" spans="1:31" ht="12.75" x14ac:dyDescent="0.2">
      <c r="A24" s="53">
        <f ca="1">IFERROR(__xludf.DUMMYFUNCTION("""COMPUTED_VALUE"""),18)</f>
        <v>18</v>
      </c>
      <c r="B24" s="53" t="str">
        <f ca="1">IFERROR(__xludf.DUMMYFUNCTION("""COMPUTED_VALUE"""),"MN Tân Thạnh Tây")</f>
        <v>MN Tân Thạnh Tây</v>
      </c>
      <c r="C24" s="53" t="str">
        <f ca="1">IFERROR(__xludf.DUMMYFUNCTION("""COMPUTED_VALUE"""),"MN")</f>
        <v>MN</v>
      </c>
      <c r="D24" s="53" t="str">
        <f ca="1">IFERROR(__xludf.DUMMYFUNCTION("""COMPUTED_VALUE"""),"CỦ CHI")</f>
        <v>CỦ CHI</v>
      </c>
      <c r="E24" s="54">
        <f ca="1">IFERROR(__xludf.DUMMYFUNCTION("""COMPUTED_VALUE"""),34)</f>
        <v>34</v>
      </c>
      <c r="F24" s="54">
        <f ca="1">IFERROR(__xludf.DUMMYFUNCTION("""COMPUTED_VALUE"""),33)</f>
        <v>33</v>
      </c>
      <c r="G24" s="51">
        <f t="shared" ca="1" si="0"/>
        <v>0.97058823529411764</v>
      </c>
      <c r="H24" s="54">
        <f ca="1">IFERROR(__xludf.DUMMYFUNCTION("""COMPUTED_VALUE"""),26)</f>
        <v>26</v>
      </c>
      <c r="I24" s="51">
        <f t="shared" ca="1" si="1"/>
        <v>0.76470588235294112</v>
      </c>
      <c r="J24" s="54">
        <f ca="1">IFERROR(__xludf.DUMMYFUNCTION("""COMPUTED_VALUE"""),33)</f>
        <v>33</v>
      </c>
      <c r="K24" s="51">
        <f t="shared" ca="1" si="2"/>
        <v>0.97058823529411764</v>
      </c>
      <c r="L24" s="54">
        <f ca="1">IFERROR(__xludf.DUMMYFUNCTION("""COMPUTED_VALUE"""),26)</f>
        <v>26</v>
      </c>
      <c r="M24" s="51">
        <f t="shared" ca="1" si="3"/>
        <v>0.76470588235294112</v>
      </c>
      <c r="N24" s="54">
        <f ca="1">IFERROR(__xludf.DUMMYFUNCTION("""COMPUTED_VALUE"""),136)</f>
        <v>136</v>
      </c>
      <c r="O24" s="54">
        <f ca="1">IFERROR(__xludf.DUMMYFUNCTION("""COMPUTED_VALUE"""),32)</f>
        <v>32</v>
      </c>
      <c r="P24" s="51">
        <f t="shared" ca="1" si="4"/>
        <v>0.23529411764705882</v>
      </c>
      <c r="Q24" s="54">
        <f ca="1">IFERROR(__xludf.DUMMYFUNCTION("""COMPUTED_VALUE"""),0)</f>
        <v>0</v>
      </c>
      <c r="R24" s="51">
        <f t="shared" ca="1" si="5"/>
        <v>0</v>
      </c>
      <c r="S24" s="54">
        <f ca="1">IFERROR(__xludf.DUMMYFUNCTION("""COMPUTED_VALUE"""),104)</f>
        <v>104</v>
      </c>
      <c r="T24" s="53">
        <f ca="1">IFERROR(__xludf.DUMMYFUNCTION("""COMPUTED_VALUE"""),136)</f>
        <v>136</v>
      </c>
      <c r="U24" s="51">
        <f t="shared" ca="1" si="6"/>
        <v>1.3076923076923077</v>
      </c>
      <c r="V24" s="54">
        <f ca="1">IFERROR(__xludf.DUMMYFUNCTION("""COMPUTED_VALUE"""),32)</f>
        <v>32</v>
      </c>
      <c r="W24" s="51">
        <f t="shared" ca="1" si="7"/>
        <v>0.30769230769230771</v>
      </c>
      <c r="X24" s="54">
        <f ca="1">IFERROR(__xludf.DUMMYFUNCTION("""COMPUTED_VALUE"""),0)</f>
        <v>0</v>
      </c>
      <c r="Y24" s="51">
        <f t="shared" ca="1" si="8"/>
        <v>0</v>
      </c>
      <c r="Z24" s="2"/>
      <c r="AA24" s="2"/>
      <c r="AB24" s="2"/>
      <c r="AC24" s="2"/>
      <c r="AD24" s="2"/>
      <c r="AE24" s="2"/>
    </row>
    <row r="25" spans="1:31" ht="12.75" x14ac:dyDescent="0.2">
      <c r="A25" s="53">
        <f ca="1">IFERROR(__xludf.DUMMYFUNCTION("""COMPUTED_VALUE"""),19)</f>
        <v>19</v>
      </c>
      <c r="B25" s="53" t="str">
        <f ca="1">IFERROR(__xludf.DUMMYFUNCTION("""COMPUTED_VALUE"""),"MN Tân Thông Hội 1")</f>
        <v>MN Tân Thông Hội 1</v>
      </c>
      <c r="C25" s="53" t="str">
        <f ca="1">IFERROR(__xludf.DUMMYFUNCTION("""COMPUTED_VALUE"""),"MN")</f>
        <v>MN</v>
      </c>
      <c r="D25" s="53" t="str">
        <f ca="1">IFERROR(__xludf.DUMMYFUNCTION("""COMPUTED_VALUE"""),"CỦ CHI")</f>
        <v>CỦ CHI</v>
      </c>
      <c r="E25" s="54">
        <f ca="1">IFERROR(__xludf.DUMMYFUNCTION("""COMPUTED_VALUE"""),31)</f>
        <v>31</v>
      </c>
      <c r="F25" s="54">
        <f ca="1">IFERROR(__xludf.DUMMYFUNCTION("""COMPUTED_VALUE"""),30)</f>
        <v>30</v>
      </c>
      <c r="G25" s="51">
        <f t="shared" ca="1" si="0"/>
        <v>0.967741935483871</v>
      </c>
      <c r="H25" s="54">
        <f ca="1">IFERROR(__xludf.DUMMYFUNCTION("""COMPUTED_VALUE"""),27)</f>
        <v>27</v>
      </c>
      <c r="I25" s="51">
        <f t="shared" ca="1" si="1"/>
        <v>0.87096774193548387</v>
      </c>
      <c r="J25" s="54">
        <f ca="1">IFERROR(__xludf.DUMMYFUNCTION("""COMPUTED_VALUE"""),30)</f>
        <v>30</v>
      </c>
      <c r="K25" s="51">
        <f t="shared" ca="1" si="2"/>
        <v>0.967741935483871</v>
      </c>
      <c r="L25" s="54">
        <f ca="1">IFERROR(__xludf.DUMMYFUNCTION("""COMPUTED_VALUE"""),27)</f>
        <v>27</v>
      </c>
      <c r="M25" s="51">
        <f t="shared" ca="1" si="3"/>
        <v>0.87096774193548387</v>
      </c>
      <c r="N25" s="54">
        <f ca="1">IFERROR(__xludf.DUMMYFUNCTION("""COMPUTED_VALUE"""),101)</f>
        <v>101</v>
      </c>
      <c r="O25" s="53"/>
      <c r="P25" s="51">
        <f t="shared" ca="1" si="4"/>
        <v>0</v>
      </c>
      <c r="Q25" s="53"/>
      <c r="R25" s="51">
        <f t="shared" ca="1" si="5"/>
        <v>0</v>
      </c>
      <c r="S25" s="53"/>
      <c r="T25" s="54">
        <f ca="1">IFERROR(__xludf.DUMMYFUNCTION("""COMPUTED_VALUE"""),101)</f>
        <v>101</v>
      </c>
      <c r="U25" s="51" t="str">
        <f t="shared" ca="1" si="6"/>
        <v/>
      </c>
      <c r="V25" s="54">
        <f ca="1">IFERROR(__xludf.DUMMYFUNCTION("""COMPUTED_VALUE"""),48)</f>
        <v>48</v>
      </c>
      <c r="W25" s="51" t="str">
        <f t="shared" ca="1" si="7"/>
        <v/>
      </c>
      <c r="X25" s="54">
        <f ca="1">IFERROR(__xludf.DUMMYFUNCTION("""COMPUTED_VALUE"""),22)</f>
        <v>22</v>
      </c>
      <c r="Y25" s="51" t="str">
        <f t="shared" ca="1" si="8"/>
        <v/>
      </c>
      <c r="Z25" s="2"/>
      <c r="AA25" s="2"/>
      <c r="AB25" s="2"/>
      <c r="AC25" s="2"/>
      <c r="AD25" s="2"/>
      <c r="AE25" s="2"/>
    </row>
    <row r="26" spans="1:31" ht="12.75" x14ac:dyDescent="0.2">
      <c r="A26" s="53">
        <f ca="1">IFERROR(__xludf.DUMMYFUNCTION("""COMPUTED_VALUE"""),20)</f>
        <v>20</v>
      </c>
      <c r="B26" s="53" t="str">
        <f ca="1">IFERROR(__xludf.DUMMYFUNCTION("""COMPUTED_VALUE"""),"MN Tân Thông Hội 2")</f>
        <v>MN Tân Thông Hội 2</v>
      </c>
      <c r="C26" s="53" t="str">
        <f ca="1">IFERROR(__xludf.DUMMYFUNCTION("""COMPUTED_VALUE"""),"MN")</f>
        <v>MN</v>
      </c>
      <c r="D26" s="53" t="str">
        <f ca="1">IFERROR(__xludf.DUMMYFUNCTION("""COMPUTED_VALUE"""),"CỦ CHI")</f>
        <v>CỦ CHI</v>
      </c>
      <c r="E26" s="54">
        <f ca="1">IFERROR(__xludf.DUMMYFUNCTION("""COMPUTED_VALUE"""),48)</f>
        <v>48</v>
      </c>
      <c r="F26" s="54">
        <f ca="1">IFERROR(__xludf.DUMMYFUNCTION("""COMPUTED_VALUE"""),48)</f>
        <v>48</v>
      </c>
      <c r="G26" s="51">
        <f t="shared" ca="1" si="0"/>
        <v>1</v>
      </c>
      <c r="H26" s="54">
        <f ca="1">IFERROR(__xludf.DUMMYFUNCTION("""COMPUTED_VALUE"""),46)</f>
        <v>46</v>
      </c>
      <c r="I26" s="51">
        <f t="shared" ca="1" si="1"/>
        <v>0.95833333333333337</v>
      </c>
      <c r="J26" s="54">
        <f ca="1">IFERROR(__xludf.DUMMYFUNCTION("""COMPUTED_VALUE"""),48)</f>
        <v>48</v>
      </c>
      <c r="K26" s="51">
        <f t="shared" ca="1" si="2"/>
        <v>1</v>
      </c>
      <c r="L26" s="54">
        <f ca="1">IFERROR(__xludf.DUMMYFUNCTION("""COMPUTED_VALUE"""),46)</f>
        <v>46</v>
      </c>
      <c r="M26" s="51">
        <f t="shared" ca="1" si="3"/>
        <v>0.95833333333333337</v>
      </c>
      <c r="N26" s="54">
        <f ca="1">IFERROR(__xludf.DUMMYFUNCTION("""COMPUTED_VALUE"""),177)</f>
        <v>177</v>
      </c>
      <c r="O26" s="54">
        <f ca="1">IFERROR(__xludf.DUMMYFUNCTION("""COMPUTED_VALUE"""),83)</f>
        <v>83</v>
      </c>
      <c r="P26" s="51">
        <f t="shared" ca="1" si="4"/>
        <v>0.46892655367231639</v>
      </c>
      <c r="Q26" s="54">
        <f ca="1">IFERROR(__xludf.DUMMYFUNCTION("""COMPUTED_VALUE"""),42)</f>
        <v>42</v>
      </c>
      <c r="R26" s="51">
        <f t="shared" ca="1" si="5"/>
        <v>0.23728813559322035</v>
      </c>
      <c r="S26" s="54">
        <f ca="1">IFERROR(__xludf.DUMMYFUNCTION("""COMPUTED_VALUE"""),0)</f>
        <v>0</v>
      </c>
      <c r="T26" s="54">
        <f ca="1">IFERROR(__xludf.DUMMYFUNCTION("""COMPUTED_VALUE"""),177)</f>
        <v>177</v>
      </c>
      <c r="U26" s="51" t="str">
        <f t="shared" ca="1" si="6"/>
        <v/>
      </c>
      <c r="V26" s="54">
        <f ca="1">IFERROR(__xludf.DUMMYFUNCTION("""COMPUTED_VALUE"""),83)</f>
        <v>83</v>
      </c>
      <c r="W26" s="51" t="str">
        <f t="shared" ca="1" si="7"/>
        <v/>
      </c>
      <c r="X26" s="54">
        <f ca="1">IFERROR(__xludf.DUMMYFUNCTION("""COMPUTED_VALUE"""),42)</f>
        <v>42</v>
      </c>
      <c r="Y26" s="51" t="str">
        <f t="shared" ca="1" si="8"/>
        <v/>
      </c>
      <c r="Z26" s="2"/>
      <c r="AA26" s="2"/>
      <c r="AB26" s="2"/>
      <c r="AC26" s="2"/>
      <c r="AD26" s="2"/>
      <c r="AE26" s="2"/>
    </row>
    <row r="27" spans="1:31" ht="12.75" x14ac:dyDescent="0.2">
      <c r="A27" s="53">
        <f ca="1">IFERROR(__xludf.DUMMYFUNCTION("""COMPUTED_VALUE"""),21)</f>
        <v>21</v>
      </c>
      <c r="B27" s="53" t="str">
        <f ca="1">IFERROR(__xludf.DUMMYFUNCTION("""COMPUTED_VALUE"""),"MN Tân Thông Hội 3")</f>
        <v>MN Tân Thông Hội 3</v>
      </c>
      <c r="C27" s="53" t="str">
        <f ca="1">IFERROR(__xludf.DUMMYFUNCTION("""COMPUTED_VALUE"""),"MN")</f>
        <v>MN</v>
      </c>
      <c r="D27" s="53" t="str">
        <f ca="1">IFERROR(__xludf.DUMMYFUNCTION("""COMPUTED_VALUE"""),"CỦ CHI")</f>
        <v>CỦ CHI</v>
      </c>
      <c r="E27" s="54">
        <f ca="1">IFERROR(__xludf.DUMMYFUNCTION("""COMPUTED_VALUE"""),29)</f>
        <v>29</v>
      </c>
      <c r="F27" s="54">
        <f ca="1">IFERROR(__xludf.DUMMYFUNCTION("""COMPUTED_VALUE"""),29)</f>
        <v>29</v>
      </c>
      <c r="G27" s="51">
        <f t="shared" ca="1" si="0"/>
        <v>1</v>
      </c>
      <c r="H27" s="54">
        <f ca="1">IFERROR(__xludf.DUMMYFUNCTION("""COMPUTED_VALUE"""),22)</f>
        <v>22</v>
      </c>
      <c r="I27" s="51">
        <f t="shared" ca="1" si="1"/>
        <v>0.75862068965517238</v>
      </c>
      <c r="J27" s="54">
        <f ca="1">IFERROR(__xludf.DUMMYFUNCTION("""COMPUTED_VALUE"""),29)</f>
        <v>29</v>
      </c>
      <c r="K27" s="51">
        <f t="shared" ca="1" si="2"/>
        <v>1</v>
      </c>
      <c r="L27" s="54">
        <f ca="1">IFERROR(__xludf.DUMMYFUNCTION("""COMPUTED_VALUE"""),22)</f>
        <v>22</v>
      </c>
      <c r="M27" s="51">
        <f t="shared" ca="1" si="3"/>
        <v>0.75862068965517238</v>
      </c>
      <c r="N27" s="54">
        <f ca="1">IFERROR(__xludf.DUMMYFUNCTION("""COMPUTED_VALUE"""),136)</f>
        <v>136</v>
      </c>
      <c r="O27" s="53"/>
      <c r="P27" s="51">
        <f t="shared" ca="1" si="4"/>
        <v>0</v>
      </c>
      <c r="Q27" s="53"/>
      <c r="R27" s="51">
        <f t="shared" ca="1" si="5"/>
        <v>0</v>
      </c>
      <c r="S27" s="54">
        <f ca="1">IFERROR(__xludf.DUMMYFUNCTION("""COMPUTED_VALUE"""),0)</f>
        <v>0</v>
      </c>
      <c r="T27" s="53">
        <f ca="1">IFERROR(__xludf.DUMMYFUNCTION("""COMPUTED_VALUE"""),136)</f>
        <v>136</v>
      </c>
      <c r="U27" s="51" t="str">
        <f t="shared" ca="1" si="6"/>
        <v/>
      </c>
      <c r="V27" s="54">
        <f ca="1">IFERROR(__xludf.DUMMYFUNCTION("""COMPUTED_VALUE"""),85)</f>
        <v>85</v>
      </c>
      <c r="W27" s="51" t="str">
        <f t="shared" ca="1" si="7"/>
        <v/>
      </c>
      <c r="X27" s="54">
        <f ca="1">IFERROR(__xludf.DUMMYFUNCTION("""COMPUTED_VALUE"""),54)</f>
        <v>54</v>
      </c>
      <c r="Y27" s="51" t="str">
        <f t="shared" ca="1" si="8"/>
        <v/>
      </c>
      <c r="Z27" s="2"/>
      <c r="AA27" s="2"/>
      <c r="AB27" s="2"/>
      <c r="AC27" s="2"/>
      <c r="AD27" s="2"/>
      <c r="AE27" s="2"/>
    </row>
    <row r="28" spans="1:31" ht="12.75" x14ac:dyDescent="0.2">
      <c r="A28" s="53">
        <f ca="1">IFERROR(__xludf.DUMMYFUNCTION("""COMPUTED_VALUE"""),22)</f>
        <v>22</v>
      </c>
      <c r="B28" s="53" t="str">
        <f ca="1">IFERROR(__xludf.DUMMYFUNCTION("""COMPUTED_VALUE"""),"MN Tân Thông Hội 4")</f>
        <v>MN Tân Thông Hội 4</v>
      </c>
      <c r="C28" s="53" t="str">
        <f ca="1">IFERROR(__xludf.DUMMYFUNCTION("""COMPUTED_VALUE"""),"MN")</f>
        <v>MN</v>
      </c>
      <c r="D28" s="53" t="str">
        <f ca="1">IFERROR(__xludf.DUMMYFUNCTION("""COMPUTED_VALUE"""),"CỦ CHI")</f>
        <v>CỦ CHI</v>
      </c>
      <c r="E28" s="54">
        <f ca="1">IFERROR(__xludf.DUMMYFUNCTION("""COMPUTED_VALUE"""),24)</f>
        <v>24</v>
      </c>
      <c r="F28" s="54">
        <f ca="1">IFERROR(__xludf.DUMMYFUNCTION("""COMPUTED_VALUE"""),24)</f>
        <v>24</v>
      </c>
      <c r="G28" s="51">
        <f t="shared" ca="1" si="0"/>
        <v>1</v>
      </c>
      <c r="H28" s="54">
        <f ca="1">IFERROR(__xludf.DUMMYFUNCTION("""COMPUTED_VALUE"""),22)</f>
        <v>22</v>
      </c>
      <c r="I28" s="51">
        <f t="shared" ca="1" si="1"/>
        <v>0.91666666666666663</v>
      </c>
      <c r="J28" s="54">
        <f ca="1">IFERROR(__xludf.DUMMYFUNCTION("""COMPUTED_VALUE"""),24)</f>
        <v>24</v>
      </c>
      <c r="K28" s="51">
        <f t="shared" ca="1" si="2"/>
        <v>1</v>
      </c>
      <c r="L28" s="54">
        <f ca="1">IFERROR(__xludf.DUMMYFUNCTION("""COMPUTED_VALUE"""),22)</f>
        <v>22</v>
      </c>
      <c r="M28" s="51">
        <f t="shared" ca="1" si="3"/>
        <v>0.91666666666666663</v>
      </c>
      <c r="N28" s="54">
        <f ca="1">IFERROR(__xludf.DUMMYFUNCTION("""COMPUTED_VALUE"""),131)</f>
        <v>131</v>
      </c>
      <c r="O28" s="54">
        <f ca="1">IFERROR(__xludf.DUMMYFUNCTION("""COMPUTED_VALUE"""),67)</f>
        <v>67</v>
      </c>
      <c r="P28" s="51">
        <f t="shared" ca="1" si="4"/>
        <v>0.51145038167938928</v>
      </c>
      <c r="Q28" s="54">
        <f ca="1">IFERROR(__xludf.DUMMYFUNCTION("""COMPUTED_VALUE"""),0)</f>
        <v>0</v>
      </c>
      <c r="R28" s="51">
        <f t="shared" ca="1" si="5"/>
        <v>0</v>
      </c>
      <c r="S28" s="54">
        <f ca="1">IFERROR(__xludf.DUMMYFUNCTION("""COMPUTED_VALUE"""),19)</f>
        <v>19</v>
      </c>
      <c r="T28" s="54">
        <f ca="1">IFERROR(__xludf.DUMMYFUNCTION("""COMPUTED_VALUE"""),131)</f>
        <v>131</v>
      </c>
      <c r="U28" s="51">
        <f t="shared" ca="1" si="6"/>
        <v>6.8947368421052628</v>
      </c>
      <c r="V28" s="54">
        <f ca="1">IFERROR(__xludf.DUMMYFUNCTION("""COMPUTED_VALUE"""),67)</f>
        <v>67</v>
      </c>
      <c r="W28" s="51">
        <f t="shared" ca="1" si="7"/>
        <v>3.5263157894736841</v>
      </c>
      <c r="X28" s="54">
        <f ca="1">IFERROR(__xludf.DUMMYFUNCTION("""COMPUTED_VALUE"""),0)</f>
        <v>0</v>
      </c>
      <c r="Y28" s="51">
        <f t="shared" ca="1" si="8"/>
        <v>0</v>
      </c>
      <c r="Z28" s="2"/>
      <c r="AA28" s="2"/>
      <c r="AB28" s="2"/>
      <c r="AC28" s="2"/>
      <c r="AD28" s="2"/>
      <c r="AE28" s="2"/>
    </row>
    <row r="29" spans="1:31" ht="12.75" x14ac:dyDescent="0.2">
      <c r="A29" s="53">
        <f ca="1">IFERROR(__xludf.DUMMYFUNCTION("""COMPUTED_VALUE"""),23)</f>
        <v>23</v>
      </c>
      <c r="B29" s="53" t="str">
        <f ca="1">IFERROR(__xludf.DUMMYFUNCTION("""COMPUTED_VALUE"""),"MN Tây Bắc")</f>
        <v>MN Tây Bắc</v>
      </c>
      <c r="C29" s="53" t="str">
        <f ca="1">IFERROR(__xludf.DUMMYFUNCTION("""COMPUTED_VALUE"""),"MN")</f>
        <v>MN</v>
      </c>
      <c r="D29" s="53" t="str">
        <f ca="1">IFERROR(__xludf.DUMMYFUNCTION("""COMPUTED_VALUE"""),"CỦ CHI")</f>
        <v>CỦ CHI</v>
      </c>
      <c r="E29" s="54">
        <f ca="1">IFERROR(__xludf.DUMMYFUNCTION("""COMPUTED_VALUE"""),27)</f>
        <v>27</v>
      </c>
      <c r="F29" s="54">
        <f ca="1">IFERROR(__xludf.DUMMYFUNCTION("""COMPUTED_VALUE"""),24)</f>
        <v>24</v>
      </c>
      <c r="G29" s="51">
        <f t="shared" ca="1" si="0"/>
        <v>0.88888888888888884</v>
      </c>
      <c r="H29" s="54">
        <f ca="1">IFERROR(__xludf.DUMMYFUNCTION("""COMPUTED_VALUE"""),15)</f>
        <v>15</v>
      </c>
      <c r="I29" s="51">
        <f t="shared" ca="1" si="1"/>
        <v>0.55555555555555558</v>
      </c>
      <c r="J29" s="54">
        <f ca="1">IFERROR(__xludf.DUMMYFUNCTION("""COMPUTED_VALUE"""),24)</f>
        <v>24</v>
      </c>
      <c r="K29" s="51">
        <f t="shared" ca="1" si="2"/>
        <v>0.88888888888888884</v>
      </c>
      <c r="L29" s="54">
        <f ca="1">IFERROR(__xludf.DUMMYFUNCTION("""COMPUTED_VALUE"""),15)</f>
        <v>15</v>
      </c>
      <c r="M29" s="51">
        <f t="shared" ca="1" si="3"/>
        <v>0.55555555555555558</v>
      </c>
      <c r="N29" s="54">
        <f ca="1">IFERROR(__xludf.DUMMYFUNCTION("""COMPUTED_VALUE"""),78)</f>
        <v>78</v>
      </c>
      <c r="O29" s="54">
        <f ca="1">IFERROR(__xludf.DUMMYFUNCTION("""COMPUTED_VALUE"""),45)</f>
        <v>45</v>
      </c>
      <c r="P29" s="51">
        <f t="shared" ca="1" si="4"/>
        <v>0.57692307692307687</v>
      </c>
      <c r="Q29" s="54">
        <f ca="1">IFERROR(__xludf.DUMMYFUNCTION("""COMPUTED_VALUE"""),19)</f>
        <v>19</v>
      </c>
      <c r="R29" s="51">
        <f t="shared" ca="1" si="5"/>
        <v>0.24358974358974358</v>
      </c>
      <c r="S29" s="54">
        <f ca="1">IFERROR(__xludf.DUMMYFUNCTION("""COMPUTED_VALUE"""),33)</f>
        <v>33</v>
      </c>
      <c r="T29" s="54">
        <f ca="1">IFERROR(__xludf.DUMMYFUNCTION("""COMPUTED_VALUE"""),78)</f>
        <v>78</v>
      </c>
      <c r="U29" s="51">
        <f t="shared" ca="1" si="6"/>
        <v>2.3636363636363638</v>
      </c>
      <c r="V29" s="54">
        <f ca="1">IFERROR(__xludf.DUMMYFUNCTION("""COMPUTED_VALUE"""),45)</f>
        <v>45</v>
      </c>
      <c r="W29" s="51">
        <f t="shared" ca="1" si="7"/>
        <v>1.3636363636363635</v>
      </c>
      <c r="X29" s="54">
        <f ca="1">IFERROR(__xludf.DUMMYFUNCTION("""COMPUTED_VALUE"""),19)</f>
        <v>19</v>
      </c>
      <c r="Y29" s="51">
        <f t="shared" ca="1" si="8"/>
        <v>0.5757575757575758</v>
      </c>
      <c r="Z29" s="2"/>
      <c r="AA29" s="2"/>
      <c r="AB29" s="2"/>
      <c r="AC29" s="2"/>
      <c r="AD29" s="2"/>
      <c r="AE29" s="2"/>
    </row>
    <row r="30" spans="1:31" ht="12.75" x14ac:dyDescent="0.2">
      <c r="A30" s="53">
        <f ca="1">IFERROR(__xludf.DUMMYFUNCTION("""COMPUTED_VALUE"""),24)</f>
        <v>24</v>
      </c>
      <c r="B30" s="53" t="str">
        <f ca="1">IFERROR(__xludf.DUMMYFUNCTION("""COMPUTED_VALUE"""),"MN Thái Mỹ")</f>
        <v>MN Thái Mỹ</v>
      </c>
      <c r="C30" s="53" t="str">
        <f ca="1">IFERROR(__xludf.DUMMYFUNCTION("""COMPUTED_VALUE"""),"MN")</f>
        <v>MN</v>
      </c>
      <c r="D30" s="53" t="str">
        <f ca="1">IFERROR(__xludf.DUMMYFUNCTION("""COMPUTED_VALUE"""),"CỦ CHI")</f>
        <v>CỦ CHI</v>
      </c>
      <c r="E30" s="54">
        <f ca="1">IFERROR(__xludf.DUMMYFUNCTION("""COMPUTED_VALUE"""),37)</f>
        <v>37</v>
      </c>
      <c r="F30" s="54">
        <f ca="1">IFERROR(__xludf.DUMMYFUNCTION("""COMPUTED_VALUE"""),37)</f>
        <v>37</v>
      </c>
      <c r="G30" s="51">
        <f t="shared" ca="1" si="0"/>
        <v>1</v>
      </c>
      <c r="H30" s="54">
        <f ca="1">IFERROR(__xludf.DUMMYFUNCTION("""COMPUTED_VALUE"""),35)</f>
        <v>35</v>
      </c>
      <c r="I30" s="51">
        <f t="shared" ca="1" si="1"/>
        <v>0.94594594594594594</v>
      </c>
      <c r="J30" s="54">
        <f ca="1">IFERROR(__xludf.DUMMYFUNCTION("""COMPUTED_VALUE"""),37)</f>
        <v>37</v>
      </c>
      <c r="K30" s="51">
        <f t="shared" ca="1" si="2"/>
        <v>1</v>
      </c>
      <c r="L30" s="54">
        <f ca="1">IFERROR(__xludf.DUMMYFUNCTION("""COMPUTED_VALUE"""),35)</f>
        <v>35</v>
      </c>
      <c r="M30" s="51">
        <f t="shared" ca="1" si="3"/>
        <v>0.94594594594594594</v>
      </c>
      <c r="N30" s="54">
        <f ca="1">IFERROR(__xludf.DUMMYFUNCTION("""COMPUTED_VALUE"""),163)</f>
        <v>163</v>
      </c>
      <c r="O30" s="53"/>
      <c r="P30" s="51">
        <f t="shared" ca="1" si="4"/>
        <v>0</v>
      </c>
      <c r="Q30" s="53"/>
      <c r="R30" s="51">
        <f t="shared" ca="1" si="5"/>
        <v>0</v>
      </c>
      <c r="S30" s="53"/>
      <c r="T30" s="53"/>
      <c r="U30" s="51" t="str">
        <f t="shared" si="6"/>
        <v/>
      </c>
      <c r="V30" s="53"/>
      <c r="W30" s="51" t="str">
        <f t="shared" si="7"/>
        <v/>
      </c>
      <c r="X30" s="53"/>
      <c r="Y30" s="51" t="str">
        <f t="shared" si="8"/>
        <v/>
      </c>
      <c r="Z30" s="2"/>
      <c r="AA30" s="2"/>
      <c r="AB30" s="2"/>
      <c r="AC30" s="2"/>
      <c r="AD30" s="2"/>
      <c r="AE30" s="2"/>
    </row>
    <row r="31" spans="1:31" ht="12.75" x14ac:dyDescent="0.2">
      <c r="A31" s="53">
        <f ca="1">IFERROR(__xludf.DUMMYFUNCTION("""COMPUTED_VALUE"""),25)</f>
        <v>25</v>
      </c>
      <c r="B31" s="53" t="str">
        <f ca="1">IFERROR(__xludf.DUMMYFUNCTION("""COMPUTED_VALUE"""),"MN Thị Trấn Củ Chi 1")</f>
        <v>MN Thị Trấn Củ Chi 1</v>
      </c>
      <c r="C31" s="53" t="str">
        <f ca="1">IFERROR(__xludf.DUMMYFUNCTION("""COMPUTED_VALUE"""),"MN")</f>
        <v>MN</v>
      </c>
      <c r="D31" s="53" t="str">
        <f ca="1">IFERROR(__xludf.DUMMYFUNCTION("""COMPUTED_VALUE"""),"CỦ CHI")</f>
        <v>CỦ CHI</v>
      </c>
      <c r="E31" s="54">
        <f ca="1">IFERROR(__xludf.DUMMYFUNCTION("""COMPUTED_VALUE"""),24)</f>
        <v>24</v>
      </c>
      <c r="F31" s="54">
        <f ca="1">IFERROR(__xludf.DUMMYFUNCTION("""COMPUTED_VALUE"""),23)</f>
        <v>23</v>
      </c>
      <c r="G31" s="51">
        <f t="shared" ca="1" si="0"/>
        <v>0.95833333333333337</v>
      </c>
      <c r="H31" s="54">
        <f ca="1">IFERROR(__xludf.DUMMYFUNCTION("""COMPUTED_VALUE"""),9)</f>
        <v>9</v>
      </c>
      <c r="I31" s="51">
        <f t="shared" ca="1" si="1"/>
        <v>0.375</v>
      </c>
      <c r="J31" s="54">
        <f ca="1">IFERROR(__xludf.DUMMYFUNCTION("""COMPUTED_VALUE"""),23)</f>
        <v>23</v>
      </c>
      <c r="K31" s="51">
        <f t="shared" ca="1" si="2"/>
        <v>0.95833333333333337</v>
      </c>
      <c r="L31" s="54">
        <f ca="1">IFERROR(__xludf.DUMMYFUNCTION("""COMPUTED_VALUE"""),9)</f>
        <v>9</v>
      </c>
      <c r="M31" s="51">
        <f t="shared" ca="1" si="3"/>
        <v>0.375</v>
      </c>
      <c r="N31" s="54">
        <f ca="1">IFERROR(__xludf.DUMMYFUNCTION("""COMPUTED_VALUE"""),81)</f>
        <v>81</v>
      </c>
      <c r="O31" s="54">
        <f ca="1">IFERROR(__xludf.DUMMYFUNCTION("""COMPUTED_VALUE"""),52)</f>
        <v>52</v>
      </c>
      <c r="P31" s="51">
        <f t="shared" ca="1" si="4"/>
        <v>0.64197530864197527</v>
      </c>
      <c r="Q31" s="54">
        <f ca="1">IFERROR(__xludf.DUMMYFUNCTION("""COMPUTED_VALUE"""),25)</f>
        <v>25</v>
      </c>
      <c r="R31" s="51">
        <f t="shared" ca="1" si="5"/>
        <v>0.30864197530864196</v>
      </c>
      <c r="S31" s="54">
        <f ca="1">IFERROR(__xludf.DUMMYFUNCTION("""COMPUTED_VALUE"""),6)</f>
        <v>6</v>
      </c>
      <c r="T31" s="54">
        <f ca="1">IFERROR(__xludf.DUMMYFUNCTION("""COMPUTED_VALUE"""),81)</f>
        <v>81</v>
      </c>
      <c r="U31" s="51">
        <f t="shared" ca="1" si="6"/>
        <v>13.5</v>
      </c>
      <c r="V31" s="54">
        <f ca="1">IFERROR(__xludf.DUMMYFUNCTION("""COMPUTED_VALUE"""),52)</f>
        <v>52</v>
      </c>
      <c r="W31" s="51">
        <f t="shared" ca="1" si="7"/>
        <v>8.6666666666666661</v>
      </c>
      <c r="X31" s="54">
        <f ca="1">IFERROR(__xludf.DUMMYFUNCTION("""COMPUTED_VALUE"""),25)</f>
        <v>25</v>
      </c>
      <c r="Y31" s="51">
        <f t="shared" ca="1" si="8"/>
        <v>4.166666666666667</v>
      </c>
      <c r="Z31" s="2"/>
      <c r="AA31" s="2"/>
      <c r="AB31" s="2"/>
      <c r="AC31" s="2"/>
      <c r="AD31" s="2"/>
      <c r="AE31" s="2"/>
    </row>
    <row r="32" spans="1:31" ht="12.75" x14ac:dyDescent="0.2">
      <c r="A32" s="53">
        <f ca="1">IFERROR(__xludf.DUMMYFUNCTION("""COMPUTED_VALUE"""),26)</f>
        <v>26</v>
      </c>
      <c r="B32" s="53" t="str">
        <f ca="1">IFERROR(__xludf.DUMMYFUNCTION("""COMPUTED_VALUE"""),"MN Thị Trấn Củ Chi 2")</f>
        <v>MN Thị Trấn Củ Chi 2</v>
      </c>
      <c r="C32" s="53" t="str">
        <f ca="1">IFERROR(__xludf.DUMMYFUNCTION("""COMPUTED_VALUE"""),"MN")</f>
        <v>MN</v>
      </c>
      <c r="D32" s="53" t="str">
        <f ca="1">IFERROR(__xludf.DUMMYFUNCTION("""COMPUTED_VALUE"""),"CỦ CHI")</f>
        <v>CỦ CHI</v>
      </c>
      <c r="E32" s="54">
        <f ca="1">IFERROR(__xludf.DUMMYFUNCTION("""COMPUTED_VALUE"""),60)</f>
        <v>60</v>
      </c>
      <c r="F32" s="54">
        <f ca="1">IFERROR(__xludf.DUMMYFUNCTION("""COMPUTED_VALUE"""),57)</f>
        <v>57</v>
      </c>
      <c r="G32" s="51">
        <f t="shared" ca="1" si="0"/>
        <v>0.95</v>
      </c>
      <c r="H32" s="54">
        <f ca="1">IFERROR(__xludf.DUMMYFUNCTION("""COMPUTED_VALUE"""),36)</f>
        <v>36</v>
      </c>
      <c r="I32" s="51">
        <f t="shared" ca="1" si="1"/>
        <v>0.6</v>
      </c>
      <c r="J32" s="54">
        <f ca="1">IFERROR(__xludf.DUMMYFUNCTION("""COMPUTED_VALUE"""),57)</f>
        <v>57</v>
      </c>
      <c r="K32" s="51">
        <f t="shared" ca="1" si="2"/>
        <v>0.95</v>
      </c>
      <c r="L32" s="54">
        <f ca="1">IFERROR(__xludf.DUMMYFUNCTION("""COMPUTED_VALUE"""),36)</f>
        <v>36</v>
      </c>
      <c r="M32" s="51">
        <f t="shared" ca="1" si="3"/>
        <v>0.6</v>
      </c>
      <c r="N32" s="54">
        <f ca="1">IFERROR(__xludf.DUMMYFUNCTION("""COMPUTED_VALUE"""),200)</f>
        <v>200</v>
      </c>
      <c r="O32" s="54">
        <f ca="1">IFERROR(__xludf.DUMMYFUNCTION("""COMPUTED_VALUE"""),76)</f>
        <v>76</v>
      </c>
      <c r="P32" s="51">
        <f t="shared" ca="1" si="4"/>
        <v>0.38</v>
      </c>
      <c r="Q32" s="54">
        <f ca="1">IFERROR(__xludf.DUMMYFUNCTION("""COMPUTED_VALUE"""),29)</f>
        <v>29</v>
      </c>
      <c r="R32" s="51">
        <f t="shared" ca="1" si="5"/>
        <v>0.14499999999999999</v>
      </c>
      <c r="S32" s="54">
        <f ca="1">IFERROR(__xludf.DUMMYFUNCTION("""COMPUTED_VALUE"""),124)</f>
        <v>124</v>
      </c>
      <c r="T32" s="54">
        <f ca="1">IFERROR(__xludf.DUMMYFUNCTION("""COMPUTED_VALUE"""),200)</f>
        <v>200</v>
      </c>
      <c r="U32" s="51">
        <f t="shared" ca="1" si="6"/>
        <v>1.6129032258064515</v>
      </c>
      <c r="V32" s="54">
        <f ca="1">IFERROR(__xludf.DUMMYFUNCTION("""COMPUTED_VALUE"""),76)</f>
        <v>76</v>
      </c>
      <c r="W32" s="51">
        <f t="shared" ca="1" si="7"/>
        <v>0.61290322580645162</v>
      </c>
      <c r="X32" s="54">
        <f ca="1">IFERROR(__xludf.DUMMYFUNCTION("""COMPUTED_VALUE"""),29)</f>
        <v>29</v>
      </c>
      <c r="Y32" s="51">
        <f t="shared" ca="1" si="8"/>
        <v>0.23387096774193547</v>
      </c>
      <c r="Z32" s="2"/>
      <c r="AA32" s="2"/>
      <c r="AB32" s="2"/>
      <c r="AC32" s="2"/>
      <c r="AD32" s="2"/>
      <c r="AE32" s="2"/>
    </row>
    <row r="33" spans="1:31" ht="12.75" x14ac:dyDescent="0.2">
      <c r="A33" s="53">
        <f ca="1">IFERROR(__xludf.DUMMYFUNCTION("""COMPUTED_VALUE"""),27)</f>
        <v>27</v>
      </c>
      <c r="B33" s="53" t="str">
        <f ca="1">IFERROR(__xludf.DUMMYFUNCTION("""COMPUTED_VALUE"""),"MN Thị Trấn Củ Chi 3")</f>
        <v>MN Thị Trấn Củ Chi 3</v>
      </c>
      <c r="C33" s="53" t="str">
        <f ca="1">IFERROR(__xludf.DUMMYFUNCTION("""COMPUTED_VALUE"""),"MN")</f>
        <v>MN</v>
      </c>
      <c r="D33" s="53" t="str">
        <f ca="1">IFERROR(__xludf.DUMMYFUNCTION("""COMPUTED_VALUE"""),"CỦ CHI")</f>
        <v>CỦ CHI</v>
      </c>
      <c r="E33" s="54">
        <f ca="1">IFERROR(__xludf.DUMMYFUNCTION("""COMPUTED_VALUE"""),44)</f>
        <v>44</v>
      </c>
      <c r="F33" s="54">
        <f ca="1">IFERROR(__xludf.DUMMYFUNCTION("""COMPUTED_VALUE"""),39)</f>
        <v>39</v>
      </c>
      <c r="G33" s="51">
        <f t="shared" ca="1" si="0"/>
        <v>0.88636363636363635</v>
      </c>
      <c r="H33" s="54">
        <f ca="1">IFERROR(__xludf.DUMMYFUNCTION("""COMPUTED_VALUE"""),38)</f>
        <v>38</v>
      </c>
      <c r="I33" s="51">
        <f t="shared" ca="1" si="1"/>
        <v>0.86363636363636365</v>
      </c>
      <c r="J33" s="54">
        <f ca="1">IFERROR(__xludf.DUMMYFUNCTION("""COMPUTED_VALUE"""),39)</f>
        <v>39</v>
      </c>
      <c r="K33" s="51">
        <f t="shared" ca="1" si="2"/>
        <v>0.88636363636363635</v>
      </c>
      <c r="L33" s="54">
        <f ca="1">IFERROR(__xludf.DUMMYFUNCTION("""COMPUTED_VALUE"""),38)</f>
        <v>38</v>
      </c>
      <c r="M33" s="51">
        <f t="shared" ca="1" si="3"/>
        <v>0.86363636363636365</v>
      </c>
      <c r="N33" s="54">
        <f ca="1">IFERROR(__xludf.DUMMYFUNCTION("""COMPUTED_VALUE"""),159)</f>
        <v>159</v>
      </c>
      <c r="O33" s="53"/>
      <c r="P33" s="51">
        <f t="shared" ca="1" si="4"/>
        <v>0</v>
      </c>
      <c r="Q33" s="53"/>
      <c r="R33" s="51">
        <f t="shared" ca="1" si="5"/>
        <v>0</v>
      </c>
      <c r="S33" s="53"/>
      <c r="T33" s="53">
        <f ca="1">IFERROR(__xludf.DUMMYFUNCTION("""COMPUTED_VALUE"""),159)</f>
        <v>159</v>
      </c>
      <c r="U33" s="51" t="str">
        <f t="shared" ca="1" si="6"/>
        <v/>
      </c>
      <c r="V33" s="54">
        <f ca="1">IFERROR(__xludf.DUMMYFUNCTION("""COMPUTED_VALUE"""),95)</f>
        <v>95</v>
      </c>
      <c r="W33" s="51" t="str">
        <f t="shared" ca="1" si="7"/>
        <v/>
      </c>
      <c r="X33" s="54">
        <f ca="1">IFERROR(__xludf.DUMMYFUNCTION("""COMPUTED_VALUE"""),23)</f>
        <v>23</v>
      </c>
      <c r="Y33" s="51" t="str">
        <f t="shared" ca="1" si="8"/>
        <v/>
      </c>
      <c r="Z33" s="2"/>
      <c r="AA33" s="2"/>
      <c r="AB33" s="2"/>
      <c r="AC33" s="2"/>
      <c r="AD33" s="2"/>
      <c r="AE33" s="2"/>
    </row>
    <row r="34" spans="1:31" ht="12.75" x14ac:dyDescent="0.2">
      <c r="A34" s="53">
        <f ca="1">IFERROR(__xludf.DUMMYFUNCTION("""COMPUTED_VALUE"""),28)</f>
        <v>28</v>
      </c>
      <c r="B34" s="53" t="str">
        <f ca="1">IFERROR(__xludf.DUMMYFUNCTION("""COMPUTED_VALUE"""),"MN Trung An 1")</f>
        <v>MN Trung An 1</v>
      </c>
      <c r="C34" s="53" t="str">
        <f ca="1">IFERROR(__xludf.DUMMYFUNCTION("""COMPUTED_VALUE"""),"MN")</f>
        <v>MN</v>
      </c>
      <c r="D34" s="53" t="str">
        <f ca="1">IFERROR(__xludf.DUMMYFUNCTION("""COMPUTED_VALUE"""),"CỦ CHI")</f>
        <v>CỦ CHI</v>
      </c>
      <c r="E34" s="54">
        <f ca="1">IFERROR(__xludf.DUMMYFUNCTION("""COMPUTED_VALUE"""),22)</f>
        <v>22</v>
      </c>
      <c r="F34" s="54">
        <f ca="1">IFERROR(__xludf.DUMMYFUNCTION("""COMPUTED_VALUE"""),22)</f>
        <v>22</v>
      </c>
      <c r="G34" s="51">
        <f t="shared" ca="1" si="0"/>
        <v>1</v>
      </c>
      <c r="H34" s="54">
        <f ca="1">IFERROR(__xludf.DUMMYFUNCTION("""COMPUTED_VALUE"""),20)</f>
        <v>20</v>
      </c>
      <c r="I34" s="51">
        <f t="shared" ca="1" si="1"/>
        <v>0.90909090909090906</v>
      </c>
      <c r="J34" s="54">
        <f ca="1">IFERROR(__xludf.DUMMYFUNCTION("""COMPUTED_VALUE"""),22)</f>
        <v>22</v>
      </c>
      <c r="K34" s="51">
        <f t="shared" ca="1" si="2"/>
        <v>1</v>
      </c>
      <c r="L34" s="54">
        <f ca="1">IFERROR(__xludf.DUMMYFUNCTION("""COMPUTED_VALUE"""),20)</f>
        <v>20</v>
      </c>
      <c r="M34" s="51">
        <f t="shared" ca="1" si="3"/>
        <v>0.90909090909090906</v>
      </c>
      <c r="N34" s="54">
        <f ca="1">IFERROR(__xludf.DUMMYFUNCTION("""COMPUTED_VALUE"""),105)</f>
        <v>105</v>
      </c>
      <c r="O34" s="54">
        <f ca="1">IFERROR(__xludf.DUMMYFUNCTION("""COMPUTED_VALUE"""),64)</f>
        <v>64</v>
      </c>
      <c r="P34" s="51">
        <f t="shared" ca="1" si="4"/>
        <v>0.60952380952380958</v>
      </c>
      <c r="Q34" s="54">
        <f ca="1">IFERROR(__xludf.DUMMYFUNCTION("""COMPUTED_VALUE"""),0)</f>
        <v>0</v>
      </c>
      <c r="R34" s="51">
        <f t="shared" ca="1" si="5"/>
        <v>0</v>
      </c>
      <c r="S34" s="54">
        <f ca="1">IFERROR(__xludf.DUMMYFUNCTION("""COMPUTED_VALUE"""),41)</f>
        <v>41</v>
      </c>
      <c r="T34" s="54">
        <f ca="1">IFERROR(__xludf.DUMMYFUNCTION("""COMPUTED_VALUE"""),105)</f>
        <v>105</v>
      </c>
      <c r="U34" s="51">
        <f t="shared" ca="1" si="6"/>
        <v>2.5609756097560976</v>
      </c>
      <c r="V34" s="54">
        <f ca="1">IFERROR(__xludf.DUMMYFUNCTION("""COMPUTED_VALUE"""),64)</f>
        <v>64</v>
      </c>
      <c r="W34" s="51">
        <f t="shared" ca="1" si="7"/>
        <v>1.5609756097560976</v>
      </c>
      <c r="X34" s="54">
        <f ca="1">IFERROR(__xludf.DUMMYFUNCTION("""COMPUTED_VALUE"""),0)</f>
        <v>0</v>
      </c>
      <c r="Y34" s="51">
        <f t="shared" ca="1" si="8"/>
        <v>0</v>
      </c>
      <c r="Z34" s="2"/>
      <c r="AA34" s="2"/>
      <c r="AB34" s="2"/>
      <c r="AC34" s="2"/>
      <c r="AD34" s="2"/>
      <c r="AE34" s="2"/>
    </row>
    <row r="35" spans="1:31" ht="12.75" x14ac:dyDescent="0.2">
      <c r="A35" s="53">
        <f ca="1">IFERROR(__xludf.DUMMYFUNCTION("""COMPUTED_VALUE"""),29)</f>
        <v>29</v>
      </c>
      <c r="B35" s="53" t="str">
        <f ca="1">IFERROR(__xludf.DUMMYFUNCTION("""COMPUTED_VALUE"""),"MN Trung An 2")</f>
        <v>MN Trung An 2</v>
      </c>
      <c r="C35" s="53" t="str">
        <f ca="1">IFERROR(__xludf.DUMMYFUNCTION("""COMPUTED_VALUE"""),"MN")</f>
        <v>MN</v>
      </c>
      <c r="D35" s="53" t="str">
        <f ca="1">IFERROR(__xludf.DUMMYFUNCTION("""COMPUTED_VALUE"""),"CỦ CHI")</f>
        <v>CỦ CHI</v>
      </c>
      <c r="E35" s="54">
        <f ca="1">IFERROR(__xludf.DUMMYFUNCTION("""COMPUTED_VALUE"""),35)</f>
        <v>35</v>
      </c>
      <c r="F35" s="54">
        <f ca="1">IFERROR(__xludf.DUMMYFUNCTION("""COMPUTED_VALUE"""),34)</f>
        <v>34</v>
      </c>
      <c r="G35" s="51">
        <f t="shared" ca="1" si="0"/>
        <v>0.97142857142857142</v>
      </c>
      <c r="H35" s="54">
        <f ca="1">IFERROR(__xludf.DUMMYFUNCTION("""COMPUTED_VALUE"""),33)</f>
        <v>33</v>
      </c>
      <c r="I35" s="51">
        <f t="shared" ca="1" si="1"/>
        <v>0.94285714285714284</v>
      </c>
      <c r="J35" s="54">
        <f ca="1">IFERROR(__xludf.DUMMYFUNCTION("""COMPUTED_VALUE"""),34)</f>
        <v>34</v>
      </c>
      <c r="K35" s="51">
        <f t="shared" ca="1" si="2"/>
        <v>0.97142857142857142</v>
      </c>
      <c r="L35" s="54">
        <f ca="1">IFERROR(__xludf.DUMMYFUNCTION("""COMPUTED_VALUE"""),33)</f>
        <v>33</v>
      </c>
      <c r="M35" s="51">
        <f t="shared" ca="1" si="3"/>
        <v>0.94285714285714284</v>
      </c>
      <c r="N35" s="54">
        <f ca="1">IFERROR(__xludf.DUMMYFUNCTION("""COMPUTED_VALUE"""),137)</f>
        <v>137</v>
      </c>
      <c r="O35" s="54">
        <f ca="1">IFERROR(__xludf.DUMMYFUNCTION("""COMPUTED_VALUE"""),53)</f>
        <v>53</v>
      </c>
      <c r="P35" s="51">
        <f t="shared" ca="1" si="4"/>
        <v>0.38686131386861317</v>
      </c>
      <c r="Q35" s="54">
        <f ca="1">IFERROR(__xludf.DUMMYFUNCTION("""COMPUTED_VALUE"""),0)</f>
        <v>0</v>
      </c>
      <c r="R35" s="51">
        <f t="shared" ca="1" si="5"/>
        <v>0</v>
      </c>
      <c r="S35" s="54">
        <f ca="1">IFERROR(__xludf.DUMMYFUNCTION("""COMPUTED_VALUE"""),84)</f>
        <v>84</v>
      </c>
      <c r="T35" s="54">
        <f ca="1">IFERROR(__xludf.DUMMYFUNCTION("""COMPUTED_VALUE"""),137)</f>
        <v>137</v>
      </c>
      <c r="U35" s="51">
        <f t="shared" ca="1" si="6"/>
        <v>1.6309523809523809</v>
      </c>
      <c r="V35" s="54">
        <f ca="1">IFERROR(__xludf.DUMMYFUNCTION("""COMPUTED_VALUE"""),53)</f>
        <v>53</v>
      </c>
      <c r="W35" s="51">
        <f t="shared" ca="1" si="7"/>
        <v>0.63095238095238093</v>
      </c>
      <c r="X35" s="54">
        <f ca="1">IFERROR(__xludf.DUMMYFUNCTION("""COMPUTED_VALUE"""),53)</f>
        <v>53</v>
      </c>
      <c r="Y35" s="51">
        <f t="shared" ca="1" si="8"/>
        <v>0.63095238095238093</v>
      </c>
      <c r="Z35" s="2"/>
      <c r="AA35" s="2"/>
      <c r="AB35" s="2"/>
      <c r="AC35" s="2"/>
      <c r="AD35" s="2"/>
      <c r="AE35" s="2"/>
    </row>
    <row r="36" spans="1:31" ht="12.75" x14ac:dyDescent="0.2">
      <c r="A36" s="53">
        <f ca="1">IFERROR(__xludf.DUMMYFUNCTION("""COMPUTED_VALUE"""),30)</f>
        <v>30</v>
      </c>
      <c r="B36" s="53"/>
      <c r="C36" s="53"/>
      <c r="D36" s="53" t="str">
        <f ca="1">IFERROR(__xludf.DUMMYFUNCTION("""COMPUTED_VALUE"""),"CỦ CHI")</f>
        <v>CỦ CHI</v>
      </c>
      <c r="E36" s="54">
        <f ca="1">IFERROR(__xludf.DUMMYFUNCTION("""COMPUTED_VALUE"""),30)</f>
        <v>30</v>
      </c>
      <c r="F36" s="54">
        <f ca="1">IFERROR(__xludf.DUMMYFUNCTION("""COMPUTED_VALUE"""),30)</f>
        <v>30</v>
      </c>
      <c r="G36" s="51">
        <f t="shared" ca="1" si="0"/>
        <v>1</v>
      </c>
      <c r="H36" s="54">
        <f ca="1">IFERROR(__xludf.DUMMYFUNCTION("""COMPUTED_VALUE"""),27)</f>
        <v>27</v>
      </c>
      <c r="I36" s="51">
        <f t="shared" ca="1" si="1"/>
        <v>0.9</v>
      </c>
      <c r="J36" s="54">
        <f ca="1">IFERROR(__xludf.DUMMYFUNCTION("""COMPUTED_VALUE"""),30)</f>
        <v>30</v>
      </c>
      <c r="K36" s="51">
        <f t="shared" ca="1" si="2"/>
        <v>1</v>
      </c>
      <c r="L36" s="54">
        <f ca="1">IFERROR(__xludf.DUMMYFUNCTION("""COMPUTED_VALUE"""),27)</f>
        <v>27</v>
      </c>
      <c r="M36" s="51">
        <f t="shared" ca="1" si="3"/>
        <v>0.9</v>
      </c>
      <c r="N36" s="54">
        <f ca="1">IFERROR(__xludf.DUMMYFUNCTION("""COMPUTED_VALUE"""),138)</f>
        <v>138</v>
      </c>
      <c r="O36" s="54">
        <f ca="1">IFERROR(__xludf.DUMMYFUNCTION("""COMPUTED_VALUE"""),106)</f>
        <v>106</v>
      </c>
      <c r="P36" s="51">
        <f t="shared" ca="1" si="4"/>
        <v>0.76811594202898548</v>
      </c>
      <c r="Q36" s="54">
        <f ca="1">IFERROR(__xludf.DUMMYFUNCTION("""COMPUTED_VALUE"""),0)</f>
        <v>0</v>
      </c>
      <c r="R36" s="51">
        <f t="shared" ca="1" si="5"/>
        <v>0</v>
      </c>
      <c r="S36" s="54">
        <f ca="1">IFERROR(__xludf.DUMMYFUNCTION("""COMPUTED_VALUE"""),32)</f>
        <v>32</v>
      </c>
      <c r="T36" s="54">
        <f ca="1">IFERROR(__xludf.DUMMYFUNCTION("""COMPUTED_VALUE"""),138)</f>
        <v>138</v>
      </c>
      <c r="U36" s="51">
        <f t="shared" ca="1" si="6"/>
        <v>4.3125</v>
      </c>
      <c r="V36" s="54">
        <f ca="1">IFERROR(__xludf.DUMMYFUNCTION("""COMPUTED_VALUE"""),106)</f>
        <v>106</v>
      </c>
      <c r="W36" s="51">
        <f t="shared" ca="1" si="7"/>
        <v>3.3125</v>
      </c>
      <c r="X36" s="54">
        <f ca="1">IFERROR(__xludf.DUMMYFUNCTION("""COMPUTED_VALUE"""),0)</f>
        <v>0</v>
      </c>
      <c r="Y36" s="51">
        <f t="shared" ca="1" si="8"/>
        <v>0</v>
      </c>
      <c r="Z36" s="2"/>
      <c r="AA36" s="2"/>
      <c r="AB36" s="2"/>
      <c r="AC36" s="2"/>
      <c r="AD36" s="2"/>
      <c r="AE36" s="2"/>
    </row>
    <row r="37" spans="1:31" ht="12.75" x14ac:dyDescent="0.2">
      <c r="A37" s="53">
        <f ca="1">IFERROR(__xludf.DUMMYFUNCTION("""COMPUTED_VALUE"""),31)</f>
        <v>31</v>
      </c>
      <c r="B37" s="53" t="str">
        <f ca="1">IFERROR(__xludf.DUMMYFUNCTION("""COMPUTED_VALUE"""),"MN Trung Lập Thượng")</f>
        <v>MN Trung Lập Thượng</v>
      </c>
      <c r="C37" s="53" t="str">
        <f ca="1">IFERROR(__xludf.DUMMYFUNCTION("""COMPUTED_VALUE"""),"MN")</f>
        <v>MN</v>
      </c>
      <c r="D37" s="53" t="str">
        <f ca="1">IFERROR(__xludf.DUMMYFUNCTION("""COMPUTED_VALUE"""),"CỦ CHI")</f>
        <v>CỦ CHI</v>
      </c>
      <c r="E37" s="54">
        <f ca="1">IFERROR(__xludf.DUMMYFUNCTION("""COMPUTED_VALUE"""),29)</f>
        <v>29</v>
      </c>
      <c r="F37" s="54">
        <f ca="1">IFERROR(__xludf.DUMMYFUNCTION("""COMPUTED_VALUE"""),29)</f>
        <v>29</v>
      </c>
      <c r="G37" s="51">
        <f t="shared" ca="1" si="0"/>
        <v>1</v>
      </c>
      <c r="H37" s="54">
        <f ca="1">IFERROR(__xludf.DUMMYFUNCTION("""COMPUTED_VALUE"""),27)</f>
        <v>27</v>
      </c>
      <c r="I37" s="51">
        <f t="shared" ca="1" si="1"/>
        <v>0.93103448275862066</v>
      </c>
      <c r="J37" s="54">
        <f ca="1">IFERROR(__xludf.DUMMYFUNCTION("""COMPUTED_VALUE"""),29)</f>
        <v>29</v>
      </c>
      <c r="K37" s="51">
        <f t="shared" ca="1" si="2"/>
        <v>1</v>
      </c>
      <c r="L37" s="54">
        <f ca="1">IFERROR(__xludf.DUMMYFUNCTION("""COMPUTED_VALUE"""),27)</f>
        <v>27</v>
      </c>
      <c r="M37" s="51">
        <f t="shared" ca="1" si="3"/>
        <v>0.93103448275862066</v>
      </c>
      <c r="N37" s="54">
        <f ca="1">IFERROR(__xludf.DUMMYFUNCTION("""COMPUTED_VALUE"""),136)</f>
        <v>136</v>
      </c>
      <c r="O37" s="54">
        <f ca="1">IFERROR(__xludf.DUMMYFUNCTION("""COMPUTED_VALUE"""),102)</f>
        <v>102</v>
      </c>
      <c r="P37" s="51">
        <f t="shared" ca="1" si="4"/>
        <v>0.75</v>
      </c>
      <c r="Q37" s="54">
        <f ca="1">IFERROR(__xludf.DUMMYFUNCTION("""COMPUTED_VALUE"""),61)</f>
        <v>61</v>
      </c>
      <c r="R37" s="51">
        <f t="shared" ca="1" si="5"/>
        <v>0.4485294117647059</v>
      </c>
      <c r="S37" s="54">
        <f ca="1">IFERROR(__xludf.DUMMYFUNCTION("""COMPUTED_VALUE"""),25)</f>
        <v>25</v>
      </c>
      <c r="T37" s="54">
        <f ca="1">IFERROR(__xludf.DUMMYFUNCTION("""COMPUTED_VALUE"""),136)</f>
        <v>136</v>
      </c>
      <c r="U37" s="51">
        <f t="shared" ca="1" si="6"/>
        <v>5.44</v>
      </c>
      <c r="V37" s="54">
        <f ca="1">IFERROR(__xludf.DUMMYFUNCTION("""COMPUTED_VALUE"""),102)</f>
        <v>102</v>
      </c>
      <c r="W37" s="51">
        <f t="shared" ca="1" si="7"/>
        <v>4.08</v>
      </c>
      <c r="X37" s="54">
        <f ca="1">IFERROR(__xludf.DUMMYFUNCTION("""COMPUTED_VALUE"""),61)</f>
        <v>61</v>
      </c>
      <c r="Y37" s="51">
        <f t="shared" ca="1" si="8"/>
        <v>2.44</v>
      </c>
      <c r="Z37" s="2"/>
      <c r="AA37" s="2"/>
      <c r="AB37" s="2"/>
      <c r="AC37" s="2"/>
      <c r="AD37" s="2"/>
      <c r="AE37" s="2"/>
    </row>
    <row r="38" spans="1:31" ht="12.75" x14ac:dyDescent="0.2">
      <c r="A38" s="53">
        <f ca="1">IFERROR(__xludf.DUMMYFUNCTION("""COMPUTED_VALUE"""),32)</f>
        <v>32</v>
      </c>
      <c r="B38" s="53" t="str">
        <f ca="1">IFERROR(__xludf.DUMMYFUNCTION("""COMPUTED_VALUE"""),"MN Nguyễn Thị Dậu")</f>
        <v>MN Nguyễn Thị Dậu</v>
      </c>
      <c r="C38" s="53" t="str">
        <f ca="1">IFERROR(__xludf.DUMMYFUNCTION("""COMPUTED_VALUE"""),"MN")</f>
        <v>MN</v>
      </c>
      <c r="D38" s="53" t="str">
        <f ca="1">IFERROR(__xludf.DUMMYFUNCTION("""COMPUTED_VALUE"""),"CỦ CHI")</f>
        <v>CỦ CHI</v>
      </c>
      <c r="E38" s="54">
        <f ca="1">IFERROR(__xludf.DUMMYFUNCTION("""COMPUTED_VALUE"""),27)</f>
        <v>27</v>
      </c>
      <c r="F38" s="54">
        <f ca="1">IFERROR(__xludf.DUMMYFUNCTION("""COMPUTED_VALUE"""),27)</f>
        <v>27</v>
      </c>
      <c r="G38" s="51">
        <f t="shared" ca="1" si="0"/>
        <v>1</v>
      </c>
      <c r="H38" s="54">
        <f ca="1">IFERROR(__xludf.DUMMYFUNCTION("""COMPUTED_VALUE"""),16)</f>
        <v>16</v>
      </c>
      <c r="I38" s="51">
        <f t="shared" ca="1" si="1"/>
        <v>0.59259259259259256</v>
      </c>
      <c r="J38" s="54">
        <f ca="1">IFERROR(__xludf.DUMMYFUNCTION("""COMPUTED_VALUE"""),27)</f>
        <v>27</v>
      </c>
      <c r="K38" s="51">
        <f t="shared" ca="1" si="2"/>
        <v>1</v>
      </c>
      <c r="L38" s="54">
        <f ca="1">IFERROR(__xludf.DUMMYFUNCTION("""COMPUTED_VALUE"""),16)</f>
        <v>16</v>
      </c>
      <c r="M38" s="51">
        <f t="shared" ca="1" si="3"/>
        <v>0.59259259259259256</v>
      </c>
      <c r="N38" s="54">
        <f ca="1">IFERROR(__xludf.DUMMYFUNCTION("""COMPUTED_VALUE"""),117)</f>
        <v>117</v>
      </c>
      <c r="O38" s="54">
        <f ca="1">IFERROR(__xludf.DUMMYFUNCTION("""COMPUTED_VALUE"""),40)</f>
        <v>40</v>
      </c>
      <c r="P38" s="51">
        <f t="shared" ca="1" si="4"/>
        <v>0.34188034188034189</v>
      </c>
      <c r="Q38" s="54">
        <f ca="1">IFERROR(__xludf.DUMMYFUNCTION("""COMPUTED_VALUE"""),0)</f>
        <v>0</v>
      </c>
      <c r="R38" s="51">
        <f t="shared" ca="1" si="5"/>
        <v>0</v>
      </c>
      <c r="S38" s="54">
        <f ca="1">IFERROR(__xludf.DUMMYFUNCTION("""COMPUTED_VALUE"""),77)</f>
        <v>77</v>
      </c>
      <c r="T38" s="53">
        <f ca="1">IFERROR(__xludf.DUMMYFUNCTION("""COMPUTED_VALUE"""),117)</f>
        <v>117</v>
      </c>
      <c r="U38" s="51">
        <f t="shared" ca="1" si="6"/>
        <v>1.5194805194805194</v>
      </c>
      <c r="V38" s="54">
        <f ca="1">IFERROR(__xludf.DUMMYFUNCTION("""COMPUTED_VALUE"""),40)</f>
        <v>40</v>
      </c>
      <c r="W38" s="51">
        <f t="shared" ca="1" si="7"/>
        <v>0.51948051948051943</v>
      </c>
      <c r="X38" s="54">
        <f ca="1">IFERROR(__xludf.DUMMYFUNCTION("""COMPUTED_VALUE"""),0)</f>
        <v>0</v>
      </c>
      <c r="Y38" s="51">
        <f t="shared" ca="1" si="8"/>
        <v>0</v>
      </c>
      <c r="Z38" s="2"/>
      <c r="AA38" s="2"/>
      <c r="AB38" s="2"/>
      <c r="AC38" s="2"/>
      <c r="AD38" s="2"/>
      <c r="AE38" s="2"/>
    </row>
    <row r="39" spans="1:31" ht="12.75" x14ac:dyDescent="0.2">
      <c r="A39" s="53">
        <f ca="1">IFERROR(__xludf.DUMMYFUNCTION("""COMPUTED_VALUE"""),33)</f>
        <v>33</v>
      </c>
      <c r="B39" s="53" t="str">
        <f ca="1">IFERROR(__xludf.DUMMYFUNCTION("""COMPUTED_VALUE"""),"MN Thủy Tiên")</f>
        <v>MN Thủy Tiên</v>
      </c>
      <c r="C39" s="53" t="str">
        <f ca="1">IFERROR(__xludf.DUMMYFUNCTION("""COMPUTED_VALUE"""),"MN")</f>
        <v>MN</v>
      </c>
      <c r="D39" s="53" t="str">
        <f ca="1">IFERROR(__xludf.DUMMYFUNCTION("""COMPUTED_VALUE"""),"CỦ CHI")</f>
        <v>CỦ CHI</v>
      </c>
      <c r="E39" s="54">
        <f ca="1">IFERROR(__xludf.DUMMYFUNCTION("""COMPUTED_VALUE"""),18)</f>
        <v>18</v>
      </c>
      <c r="F39" s="54">
        <f ca="1">IFERROR(__xludf.DUMMYFUNCTION("""COMPUTED_VALUE"""),18)</f>
        <v>18</v>
      </c>
      <c r="G39" s="51">
        <f t="shared" ca="1" si="0"/>
        <v>1</v>
      </c>
      <c r="H39" s="54">
        <f ca="1">IFERROR(__xludf.DUMMYFUNCTION("""COMPUTED_VALUE"""),17)</f>
        <v>17</v>
      </c>
      <c r="I39" s="51">
        <f t="shared" ca="1" si="1"/>
        <v>0.94444444444444442</v>
      </c>
      <c r="J39" s="54">
        <f ca="1">IFERROR(__xludf.DUMMYFUNCTION("""COMPUTED_VALUE"""),18)</f>
        <v>18</v>
      </c>
      <c r="K39" s="51">
        <f t="shared" ca="1" si="2"/>
        <v>1</v>
      </c>
      <c r="L39" s="54">
        <f ca="1">IFERROR(__xludf.DUMMYFUNCTION("""COMPUTED_VALUE"""),17)</f>
        <v>17</v>
      </c>
      <c r="M39" s="51">
        <f t="shared" ca="1" si="3"/>
        <v>0.94444444444444442</v>
      </c>
      <c r="N39" s="54">
        <f ca="1">IFERROR(__xludf.DUMMYFUNCTION("""COMPUTED_VALUE"""),87)</f>
        <v>87</v>
      </c>
      <c r="O39" s="54">
        <f ca="1">IFERROR(__xludf.DUMMYFUNCTION("""COMPUTED_VALUE"""),40)</f>
        <v>40</v>
      </c>
      <c r="P39" s="51">
        <f t="shared" ca="1" si="4"/>
        <v>0.45977011494252873</v>
      </c>
      <c r="Q39" s="54">
        <f ca="1">IFERROR(__xludf.DUMMYFUNCTION("""COMPUTED_VALUE"""),0)</f>
        <v>0</v>
      </c>
      <c r="R39" s="51">
        <f t="shared" ca="1" si="5"/>
        <v>0</v>
      </c>
      <c r="S39" s="54">
        <f ca="1">IFERROR(__xludf.DUMMYFUNCTION("""COMPUTED_VALUE"""),47)</f>
        <v>47</v>
      </c>
      <c r="T39" s="53">
        <f ca="1">IFERROR(__xludf.DUMMYFUNCTION("""COMPUTED_VALUE"""),87)</f>
        <v>87</v>
      </c>
      <c r="U39" s="51">
        <f t="shared" ca="1" si="6"/>
        <v>1.8510638297872339</v>
      </c>
      <c r="V39" s="54">
        <f ca="1">IFERROR(__xludf.DUMMYFUNCTION("""COMPUTED_VALUE"""),40)</f>
        <v>40</v>
      </c>
      <c r="W39" s="51">
        <f t="shared" ca="1" si="7"/>
        <v>0.85106382978723405</v>
      </c>
      <c r="X39" s="54">
        <f ca="1">IFERROR(__xludf.DUMMYFUNCTION("""COMPUTED_VALUE"""),0)</f>
        <v>0</v>
      </c>
      <c r="Y39" s="51">
        <f t="shared" ca="1" si="8"/>
        <v>0</v>
      </c>
      <c r="Z39" s="2"/>
      <c r="AA39" s="2"/>
      <c r="AB39" s="2"/>
      <c r="AC39" s="2"/>
      <c r="AD39" s="2"/>
      <c r="AE39" s="2"/>
    </row>
    <row r="40" spans="1:31" ht="12.75" x14ac:dyDescent="0.2">
      <c r="A40" s="53">
        <f ca="1">IFERROR(__xludf.DUMMYFUNCTION("""COMPUTED_VALUE"""),34)</f>
        <v>34</v>
      </c>
      <c r="B40" s="53" t="str">
        <f ca="1">IFERROR(__xludf.DUMMYFUNCTION("""COMPUTED_VALUE"""),"MN Thành Danh")</f>
        <v>MN Thành Danh</v>
      </c>
      <c r="C40" s="53" t="str">
        <f ca="1">IFERROR(__xludf.DUMMYFUNCTION("""COMPUTED_VALUE"""),"MN")</f>
        <v>MN</v>
      </c>
      <c r="D40" s="53" t="str">
        <f ca="1">IFERROR(__xludf.DUMMYFUNCTION("""COMPUTED_VALUE"""),"CỦ CHI")</f>
        <v>CỦ CHI</v>
      </c>
      <c r="E40" s="54">
        <f ca="1">IFERROR(__xludf.DUMMYFUNCTION("""COMPUTED_VALUE"""),18)</f>
        <v>18</v>
      </c>
      <c r="F40" s="54">
        <f ca="1">IFERROR(__xludf.DUMMYFUNCTION("""COMPUTED_VALUE"""),18)</f>
        <v>18</v>
      </c>
      <c r="G40" s="51">
        <f t="shared" ca="1" si="0"/>
        <v>1</v>
      </c>
      <c r="H40" s="54">
        <f ca="1">IFERROR(__xludf.DUMMYFUNCTION("""COMPUTED_VALUE"""),9)</f>
        <v>9</v>
      </c>
      <c r="I40" s="51">
        <f t="shared" ca="1" si="1"/>
        <v>0.5</v>
      </c>
      <c r="J40" s="54">
        <f ca="1">IFERROR(__xludf.DUMMYFUNCTION("""COMPUTED_VALUE"""),18)</f>
        <v>18</v>
      </c>
      <c r="K40" s="51">
        <f t="shared" ca="1" si="2"/>
        <v>1</v>
      </c>
      <c r="L40" s="54">
        <f ca="1">IFERROR(__xludf.DUMMYFUNCTION("""COMPUTED_VALUE"""),9)</f>
        <v>9</v>
      </c>
      <c r="M40" s="51">
        <f t="shared" ca="1" si="3"/>
        <v>0.5</v>
      </c>
      <c r="N40" s="54">
        <f ca="1">IFERROR(__xludf.DUMMYFUNCTION("""COMPUTED_VALUE"""),52)</f>
        <v>52</v>
      </c>
      <c r="O40" s="54">
        <f ca="1">IFERROR(__xludf.DUMMYFUNCTION("""COMPUTED_VALUE"""),22)</f>
        <v>22</v>
      </c>
      <c r="P40" s="51">
        <f t="shared" ca="1" si="4"/>
        <v>0.42307692307692307</v>
      </c>
      <c r="Q40" s="54">
        <f ca="1">IFERROR(__xludf.DUMMYFUNCTION("""COMPUTED_VALUE"""),0)</f>
        <v>0</v>
      </c>
      <c r="R40" s="51">
        <f t="shared" ca="1" si="5"/>
        <v>0</v>
      </c>
      <c r="S40" s="54">
        <f ca="1">IFERROR(__xludf.DUMMYFUNCTION("""COMPUTED_VALUE"""),30)</f>
        <v>30</v>
      </c>
      <c r="T40" s="53"/>
      <c r="U40" s="51">
        <f t="shared" ca="1" si="6"/>
        <v>0</v>
      </c>
      <c r="V40" s="53"/>
      <c r="W40" s="51">
        <f t="shared" ca="1" si="7"/>
        <v>0</v>
      </c>
      <c r="X40" s="53"/>
      <c r="Y40" s="51">
        <f t="shared" ca="1" si="8"/>
        <v>0</v>
      </c>
      <c r="Z40" s="2"/>
      <c r="AA40" s="2"/>
      <c r="AB40" s="2"/>
      <c r="AC40" s="2"/>
      <c r="AD40" s="2"/>
      <c r="AE40" s="2"/>
    </row>
    <row r="41" spans="1:31" ht="12.75" x14ac:dyDescent="0.2">
      <c r="A41" s="53">
        <f ca="1">IFERROR(__xludf.DUMMYFUNCTION("""COMPUTED_VALUE"""),35)</f>
        <v>35</v>
      </c>
      <c r="B41" s="53" t="str">
        <f ca="1">IFERROR(__xludf.DUMMYFUNCTION("""COMPUTED_VALUE"""),"MN Ánh Ánh Dương")</f>
        <v>MN Ánh Ánh Dương</v>
      </c>
      <c r="C41" s="53" t="str">
        <f ca="1">IFERROR(__xludf.DUMMYFUNCTION("""COMPUTED_VALUE"""),"MN")</f>
        <v>MN</v>
      </c>
      <c r="D41" s="53" t="str">
        <f ca="1">IFERROR(__xludf.DUMMYFUNCTION("""COMPUTED_VALUE"""),"CỦ CHI")</f>
        <v>CỦ CHI</v>
      </c>
      <c r="E41" s="54">
        <f ca="1">IFERROR(__xludf.DUMMYFUNCTION("""COMPUTED_VALUE"""),7)</f>
        <v>7</v>
      </c>
      <c r="F41" s="54">
        <f ca="1">IFERROR(__xludf.DUMMYFUNCTION("""COMPUTED_VALUE"""),7)</f>
        <v>7</v>
      </c>
      <c r="G41" s="51">
        <f t="shared" ca="1" si="0"/>
        <v>1</v>
      </c>
      <c r="H41" s="54">
        <f ca="1">IFERROR(__xludf.DUMMYFUNCTION("""COMPUTED_VALUE"""),4)</f>
        <v>4</v>
      </c>
      <c r="I41" s="51">
        <f t="shared" ca="1" si="1"/>
        <v>0.5714285714285714</v>
      </c>
      <c r="J41" s="54">
        <f ca="1">IFERROR(__xludf.DUMMYFUNCTION("""COMPUTED_VALUE"""),3)</f>
        <v>3</v>
      </c>
      <c r="K41" s="51">
        <f t="shared" ca="1" si="2"/>
        <v>0.42857142857142855</v>
      </c>
      <c r="L41" s="54">
        <f ca="1">IFERROR(__xludf.DUMMYFUNCTION("""COMPUTED_VALUE"""),3)</f>
        <v>3</v>
      </c>
      <c r="M41" s="51">
        <f t="shared" ca="1" si="3"/>
        <v>0.42857142857142855</v>
      </c>
      <c r="N41" s="54">
        <f ca="1">IFERROR(__xludf.DUMMYFUNCTION("""COMPUTED_VALUE"""),29)</f>
        <v>29</v>
      </c>
      <c r="O41" s="54">
        <f ca="1">IFERROR(__xludf.DUMMYFUNCTION("""COMPUTED_VALUE"""),0)</f>
        <v>0</v>
      </c>
      <c r="P41" s="51">
        <f t="shared" ca="1" si="4"/>
        <v>0</v>
      </c>
      <c r="Q41" s="54">
        <f ca="1">IFERROR(__xludf.DUMMYFUNCTION("""COMPUTED_VALUE"""),0)</f>
        <v>0</v>
      </c>
      <c r="R41" s="51">
        <f t="shared" ca="1" si="5"/>
        <v>0</v>
      </c>
      <c r="S41" s="54">
        <f ca="1">IFERROR(__xludf.DUMMYFUNCTION("""COMPUTED_VALUE"""),9)</f>
        <v>9</v>
      </c>
      <c r="T41" s="53"/>
      <c r="U41" s="51">
        <f t="shared" ca="1" si="6"/>
        <v>0</v>
      </c>
      <c r="V41" s="53"/>
      <c r="W41" s="51">
        <f t="shared" ca="1" si="7"/>
        <v>0</v>
      </c>
      <c r="X41" s="53"/>
      <c r="Y41" s="51">
        <f t="shared" ca="1" si="8"/>
        <v>0</v>
      </c>
      <c r="Z41" s="2"/>
      <c r="AA41" s="2"/>
      <c r="AB41" s="2"/>
      <c r="AC41" s="2"/>
      <c r="AD41" s="2"/>
      <c r="AE41" s="2"/>
    </row>
    <row r="42" spans="1:31" ht="12.75" x14ac:dyDescent="0.2">
      <c r="A42" s="53">
        <f ca="1">IFERROR(__xludf.DUMMYFUNCTION("""COMPUTED_VALUE"""),36)</f>
        <v>36</v>
      </c>
      <c r="B42" s="53" t="str">
        <f ca="1">IFERROR(__xludf.DUMMYFUNCTION("""COMPUTED_VALUE"""),"MN ABC")</f>
        <v>MN ABC</v>
      </c>
      <c r="C42" s="53" t="str">
        <f ca="1">IFERROR(__xludf.DUMMYFUNCTION("""COMPUTED_VALUE"""),"MN")</f>
        <v>MN</v>
      </c>
      <c r="D42" s="53" t="str">
        <f ca="1">IFERROR(__xludf.DUMMYFUNCTION("""COMPUTED_VALUE"""),"CỦ CHI")</f>
        <v>CỦ CHI</v>
      </c>
      <c r="E42" s="54">
        <f ca="1">IFERROR(__xludf.DUMMYFUNCTION("""COMPUTED_VALUE"""),13)</f>
        <v>13</v>
      </c>
      <c r="F42" s="54">
        <f ca="1">IFERROR(__xludf.DUMMYFUNCTION("""COMPUTED_VALUE"""),13)</f>
        <v>13</v>
      </c>
      <c r="G42" s="51">
        <f t="shared" ca="1" si="0"/>
        <v>1</v>
      </c>
      <c r="H42" s="54">
        <f ca="1">IFERROR(__xludf.DUMMYFUNCTION("""COMPUTED_VALUE"""),7)</f>
        <v>7</v>
      </c>
      <c r="I42" s="51">
        <f t="shared" ca="1" si="1"/>
        <v>0.53846153846153844</v>
      </c>
      <c r="J42" s="54">
        <f ca="1">IFERROR(__xludf.DUMMYFUNCTION("""COMPUTED_VALUE"""),13)</f>
        <v>13</v>
      </c>
      <c r="K42" s="51">
        <f t="shared" ca="1" si="2"/>
        <v>1</v>
      </c>
      <c r="L42" s="54">
        <f ca="1">IFERROR(__xludf.DUMMYFUNCTION("""COMPUTED_VALUE"""),7)</f>
        <v>7</v>
      </c>
      <c r="M42" s="51">
        <f t="shared" ca="1" si="3"/>
        <v>0.53846153846153844</v>
      </c>
      <c r="N42" s="54">
        <f ca="1">IFERROR(__xludf.DUMMYFUNCTION("""COMPUTED_VALUE"""),130)</f>
        <v>130</v>
      </c>
      <c r="O42" s="53"/>
      <c r="P42" s="51">
        <f t="shared" ca="1" si="4"/>
        <v>0</v>
      </c>
      <c r="Q42" s="53"/>
      <c r="R42" s="51">
        <f t="shared" ca="1" si="5"/>
        <v>0</v>
      </c>
      <c r="S42" s="53"/>
      <c r="T42" s="53"/>
      <c r="U42" s="51" t="str">
        <f t="shared" si="6"/>
        <v/>
      </c>
      <c r="V42" s="53"/>
      <c r="W42" s="51" t="str">
        <f t="shared" si="7"/>
        <v/>
      </c>
      <c r="X42" s="53"/>
      <c r="Y42" s="51" t="str">
        <f t="shared" si="8"/>
        <v/>
      </c>
      <c r="Z42" s="2"/>
      <c r="AA42" s="2"/>
      <c r="AB42" s="2"/>
      <c r="AC42" s="2"/>
      <c r="AD42" s="2"/>
      <c r="AE42" s="2"/>
    </row>
    <row r="43" spans="1:31" ht="12.75" x14ac:dyDescent="0.2">
      <c r="A43" s="53">
        <f ca="1">IFERROR(__xludf.DUMMYFUNCTION("""COMPUTED_VALUE"""),37)</f>
        <v>37</v>
      </c>
      <c r="B43" s="53" t="str">
        <f ca="1">IFERROR(__xludf.DUMMYFUNCTION("""COMPUTED_VALUE"""),"MN Hoa Lan")</f>
        <v>MN Hoa Lan</v>
      </c>
      <c r="C43" s="53" t="str">
        <f ca="1">IFERROR(__xludf.DUMMYFUNCTION("""COMPUTED_VALUE"""),"MN")</f>
        <v>MN</v>
      </c>
      <c r="D43" s="53" t="str">
        <f ca="1">IFERROR(__xludf.DUMMYFUNCTION("""COMPUTED_VALUE"""),"CỦ CHI")</f>
        <v>CỦ CHI</v>
      </c>
      <c r="E43" s="54">
        <f ca="1">IFERROR(__xludf.DUMMYFUNCTION("""COMPUTED_VALUE"""),24)</f>
        <v>24</v>
      </c>
      <c r="F43" s="54">
        <f ca="1">IFERROR(__xludf.DUMMYFUNCTION("""COMPUTED_VALUE"""),23)</f>
        <v>23</v>
      </c>
      <c r="G43" s="51">
        <f t="shared" ca="1" si="0"/>
        <v>0.95833333333333337</v>
      </c>
      <c r="H43" s="54">
        <f ca="1">IFERROR(__xludf.DUMMYFUNCTION("""COMPUTED_VALUE"""),16)</f>
        <v>16</v>
      </c>
      <c r="I43" s="51">
        <f t="shared" ca="1" si="1"/>
        <v>0.66666666666666663</v>
      </c>
      <c r="J43" s="54">
        <f ca="1">IFERROR(__xludf.DUMMYFUNCTION("""COMPUTED_VALUE"""),23)</f>
        <v>23</v>
      </c>
      <c r="K43" s="51">
        <f t="shared" ca="1" si="2"/>
        <v>0.95833333333333337</v>
      </c>
      <c r="L43" s="54">
        <f ca="1">IFERROR(__xludf.DUMMYFUNCTION("""COMPUTED_VALUE"""),16)</f>
        <v>16</v>
      </c>
      <c r="M43" s="51">
        <f t="shared" ca="1" si="3"/>
        <v>0.66666666666666663</v>
      </c>
      <c r="N43" s="54">
        <f ca="1">IFERROR(__xludf.DUMMYFUNCTION("""COMPUTED_VALUE"""),96)</f>
        <v>96</v>
      </c>
      <c r="O43" s="54">
        <f ca="1">IFERROR(__xludf.DUMMYFUNCTION("""COMPUTED_VALUE"""),87)</f>
        <v>87</v>
      </c>
      <c r="P43" s="51">
        <f t="shared" ca="1" si="4"/>
        <v>0.90625</v>
      </c>
      <c r="Q43" s="54">
        <f ca="1">IFERROR(__xludf.DUMMYFUNCTION("""COMPUTED_VALUE"""),48)</f>
        <v>48</v>
      </c>
      <c r="R43" s="51">
        <f t="shared" ca="1" si="5"/>
        <v>0.5</v>
      </c>
      <c r="S43" s="54">
        <f ca="1">IFERROR(__xludf.DUMMYFUNCTION("""COMPUTED_VALUE"""),9)</f>
        <v>9</v>
      </c>
      <c r="T43" s="54">
        <f ca="1">IFERROR(__xludf.DUMMYFUNCTION("""COMPUTED_VALUE"""),96)</f>
        <v>96</v>
      </c>
      <c r="U43" s="51">
        <f t="shared" ca="1" si="6"/>
        <v>10.666666666666666</v>
      </c>
      <c r="V43" s="54">
        <f ca="1">IFERROR(__xludf.DUMMYFUNCTION("""COMPUTED_VALUE"""),87)</f>
        <v>87</v>
      </c>
      <c r="W43" s="51">
        <f t="shared" ca="1" si="7"/>
        <v>9.6666666666666661</v>
      </c>
      <c r="X43" s="54">
        <f ca="1">IFERROR(__xludf.DUMMYFUNCTION("""COMPUTED_VALUE"""),48)</f>
        <v>48</v>
      </c>
      <c r="Y43" s="51">
        <f t="shared" ca="1" si="8"/>
        <v>5.333333333333333</v>
      </c>
      <c r="Z43" s="2"/>
      <c r="AA43" s="2"/>
      <c r="AB43" s="2"/>
      <c r="AC43" s="2"/>
      <c r="AD43" s="2"/>
      <c r="AE43" s="2"/>
    </row>
    <row r="44" spans="1:31" ht="12.75" x14ac:dyDescent="0.2">
      <c r="A44" s="53">
        <f ca="1">IFERROR(__xludf.DUMMYFUNCTION("""COMPUTED_VALUE"""),38)</f>
        <v>38</v>
      </c>
      <c r="B44" s="53" t="str">
        <f ca="1">IFERROR(__xludf.DUMMYFUNCTION("""COMPUTED_VALUE"""),"MN Sơn Ca")</f>
        <v>MN Sơn Ca</v>
      </c>
      <c r="C44" s="53" t="str">
        <f ca="1">IFERROR(__xludf.DUMMYFUNCTION("""COMPUTED_VALUE"""),"MN")</f>
        <v>MN</v>
      </c>
      <c r="D44" s="53" t="str">
        <f ca="1">IFERROR(__xludf.DUMMYFUNCTION("""COMPUTED_VALUE"""),"CỦ CHI")</f>
        <v>CỦ CHI</v>
      </c>
      <c r="E44" s="54">
        <f ca="1">IFERROR(__xludf.DUMMYFUNCTION("""COMPUTED_VALUE"""),12)</f>
        <v>12</v>
      </c>
      <c r="F44" s="54">
        <f ca="1">IFERROR(__xludf.DUMMYFUNCTION("""COMPUTED_VALUE"""),10)</f>
        <v>10</v>
      </c>
      <c r="G44" s="51">
        <f t="shared" ca="1" si="0"/>
        <v>0.83333333333333337</v>
      </c>
      <c r="H44" s="54">
        <f ca="1">IFERROR(__xludf.DUMMYFUNCTION("""COMPUTED_VALUE"""),8)</f>
        <v>8</v>
      </c>
      <c r="I44" s="51">
        <f t="shared" ca="1" si="1"/>
        <v>0.66666666666666663</v>
      </c>
      <c r="J44" s="54">
        <f ca="1">IFERROR(__xludf.DUMMYFUNCTION("""COMPUTED_VALUE"""),8)</f>
        <v>8</v>
      </c>
      <c r="K44" s="51">
        <f t="shared" ca="1" si="2"/>
        <v>0.66666666666666663</v>
      </c>
      <c r="L44" s="54">
        <f ca="1">IFERROR(__xludf.DUMMYFUNCTION("""COMPUTED_VALUE"""),8)</f>
        <v>8</v>
      </c>
      <c r="M44" s="51">
        <f t="shared" ca="1" si="3"/>
        <v>0.66666666666666663</v>
      </c>
      <c r="N44" s="53"/>
      <c r="O44" s="53"/>
      <c r="P44" s="51" t="str">
        <f t="shared" si="4"/>
        <v/>
      </c>
      <c r="Q44" s="53"/>
      <c r="R44" s="51" t="str">
        <f t="shared" si="5"/>
        <v/>
      </c>
      <c r="S44" s="53"/>
      <c r="T44" s="53"/>
      <c r="U44" s="51" t="str">
        <f t="shared" si="6"/>
        <v/>
      </c>
      <c r="V44" s="53"/>
      <c r="W44" s="51" t="str">
        <f t="shared" si="7"/>
        <v/>
      </c>
      <c r="X44" s="53"/>
      <c r="Y44" s="51" t="str">
        <f t="shared" si="8"/>
        <v/>
      </c>
      <c r="Z44" s="2"/>
      <c r="AA44" s="2"/>
      <c r="AB44" s="2"/>
      <c r="AC44" s="2"/>
      <c r="AD44" s="2"/>
      <c r="AE44" s="2"/>
    </row>
    <row r="45" spans="1:31" ht="12.75" x14ac:dyDescent="0.2">
      <c r="A45" s="53">
        <f ca="1">IFERROR(__xludf.DUMMYFUNCTION("""COMPUTED_VALUE"""),39)</f>
        <v>39</v>
      </c>
      <c r="B45" s="53" t="str">
        <f ca="1">IFERROR(__xludf.DUMMYFUNCTION("""COMPUTED_VALUE"""),"MN Thanh Phương")</f>
        <v>MN Thanh Phương</v>
      </c>
      <c r="C45" s="53" t="str">
        <f ca="1">IFERROR(__xludf.DUMMYFUNCTION("""COMPUTED_VALUE"""),"MN")</f>
        <v>MN</v>
      </c>
      <c r="D45" s="53" t="str">
        <f ca="1">IFERROR(__xludf.DUMMYFUNCTION("""COMPUTED_VALUE"""),"CỦ CHI")</f>
        <v>CỦ CHI</v>
      </c>
      <c r="E45" s="54">
        <f ca="1">IFERROR(__xludf.DUMMYFUNCTION("""COMPUTED_VALUE"""),8)</f>
        <v>8</v>
      </c>
      <c r="F45" s="54">
        <f ca="1">IFERROR(__xludf.DUMMYFUNCTION("""COMPUTED_VALUE"""),8)</f>
        <v>8</v>
      </c>
      <c r="G45" s="51">
        <f t="shared" ca="1" si="0"/>
        <v>1</v>
      </c>
      <c r="H45" s="54">
        <f ca="1">IFERROR(__xludf.DUMMYFUNCTION("""COMPUTED_VALUE"""),7)</f>
        <v>7</v>
      </c>
      <c r="I45" s="51">
        <f t="shared" ca="1" si="1"/>
        <v>0.875</v>
      </c>
      <c r="J45" s="54">
        <f ca="1">IFERROR(__xludf.DUMMYFUNCTION("""COMPUTED_VALUE"""),8)</f>
        <v>8</v>
      </c>
      <c r="K45" s="51">
        <f t="shared" ca="1" si="2"/>
        <v>1</v>
      </c>
      <c r="L45" s="54">
        <f ca="1">IFERROR(__xludf.DUMMYFUNCTION("""COMPUTED_VALUE"""),7)</f>
        <v>7</v>
      </c>
      <c r="M45" s="51">
        <f t="shared" ca="1" si="3"/>
        <v>0.875</v>
      </c>
      <c r="N45" s="54">
        <f ca="1">IFERROR(__xludf.DUMMYFUNCTION("""COMPUTED_VALUE"""),28)</f>
        <v>28</v>
      </c>
      <c r="O45" s="53"/>
      <c r="P45" s="51">
        <f t="shared" ca="1" si="4"/>
        <v>0</v>
      </c>
      <c r="Q45" s="53"/>
      <c r="R45" s="51">
        <f t="shared" ca="1" si="5"/>
        <v>0</v>
      </c>
      <c r="S45" s="53"/>
      <c r="T45" s="53"/>
      <c r="U45" s="51" t="str">
        <f t="shared" si="6"/>
        <v/>
      </c>
      <c r="V45" s="53"/>
      <c r="W45" s="51" t="str">
        <f t="shared" si="7"/>
        <v/>
      </c>
      <c r="X45" s="53"/>
      <c r="Y45" s="51" t="str">
        <f t="shared" si="8"/>
        <v/>
      </c>
      <c r="Z45" s="2"/>
      <c r="AA45" s="2"/>
      <c r="AB45" s="2"/>
      <c r="AC45" s="2"/>
      <c r="AD45" s="2"/>
      <c r="AE45" s="2"/>
    </row>
    <row r="46" spans="1:31" ht="12.75" x14ac:dyDescent="0.2">
      <c r="A46" s="53">
        <f ca="1">IFERROR(__xludf.DUMMYFUNCTION("""COMPUTED_VALUE"""),40)</f>
        <v>40</v>
      </c>
      <c r="B46" s="53" t="str">
        <f ca="1">IFERROR(__xludf.DUMMYFUNCTION("""COMPUTED_VALUE"""),"MN Tuổi Ngọc")</f>
        <v>MN Tuổi Ngọc</v>
      </c>
      <c r="C46" s="53" t="str">
        <f ca="1">IFERROR(__xludf.DUMMYFUNCTION("""COMPUTED_VALUE"""),"MN")</f>
        <v>MN</v>
      </c>
      <c r="D46" s="53" t="str">
        <f ca="1">IFERROR(__xludf.DUMMYFUNCTION("""COMPUTED_VALUE"""),"CỦ CHI")</f>
        <v>CỦ CHI</v>
      </c>
      <c r="E46" s="54">
        <f ca="1">IFERROR(__xludf.DUMMYFUNCTION("""COMPUTED_VALUE"""),21)</f>
        <v>21</v>
      </c>
      <c r="F46" s="54">
        <f ca="1">IFERROR(__xludf.DUMMYFUNCTION("""COMPUTED_VALUE"""),21)</f>
        <v>21</v>
      </c>
      <c r="G46" s="51">
        <f t="shared" ca="1" si="0"/>
        <v>1</v>
      </c>
      <c r="H46" s="54">
        <f ca="1">IFERROR(__xludf.DUMMYFUNCTION("""COMPUTED_VALUE"""),20)</f>
        <v>20</v>
      </c>
      <c r="I46" s="51">
        <f t="shared" ca="1" si="1"/>
        <v>0.95238095238095233</v>
      </c>
      <c r="J46" s="54">
        <f ca="1">IFERROR(__xludf.DUMMYFUNCTION("""COMPUTED_VALUE"""),21)</f>
        <v>21</v>
      </c>
      <c r="K46" s="51">
        <f t="shared" ca="1" si="2"/>
        <v>1</v>
      </c>
      <c r="L46" s="54">
        <f ca="1">IFERROR(__xludf.DUMMYFUNCTION("""COMPUTED_VALUE"""),20)</f>
        <v>20</v>
      </c>
      <c r="M46" s="51">
        <f t="shared" ca="1" si="3"/>
        <v>0.95238095238095233</v>
      </c>
      <c r="N46" s="54">
        <f ca="1">IFERROR(__xludf.DUMMYFUNCTION("""COMPUTED_VALUE"""),96)</f>
        <v>96</v>
      </c>
      <c r="O46" s="53"/>
      <c r="P46" s="51">
        <f t="shared" ca="1" si="4"/>
        <v>0</v>
      </c>
      <c r="Q46" s="53"/>
      <c r="R46" s="51">
        <f t="shared" ca="1" si="5"/>
        <v>0</v>
      </c>
      <c r="S46" s="53"/>
      <c r="T46" s="53">
        <f ca="1">IFERROR(__xludf.DUMMYFUNCTION("""COMPUTED_VALUE"""),96)</f>
        <v>96</v>
      </c>
      <c r="U46" s="51" t="str">
        <f t="shared" ca="1" si="6"/>
        <v/>
      </c>
      <c r="V46" s="54">
        <f ca="1">IFERROR(__xludf.DUMMYFUNCTION("""COMPUTED_VALUE"""),44)</f>
        <v>44</v>
      </c>
      <c r="W46" s="51" t="str">
        <f t="shared" ca="1" si="7"/>
        <v/>
      </c>
      <c r="X46" s="54">
        <f ca="1">IFERROR(__xludf.DUMMYFUNCTION("""COMPUTED_VALUE"""),0)</f>
        <v>0</v>
      </c>
      <c r="Y46" s="51" t="str">
        <f t="shared" ca="1" si="8"/>
        <v/>
      </c>
      <c r="Z46" s="2"/>
      <c r="AA46" s="2"/>
      <c r="AB46" s="2"/>
      <c r="AC46" s="2"/>
      <c r="AD46" s="2"/>
      <c r="AE46" s="2"/>
    </row>
    <row r="47" spans="1:31" ht="12.75" x14ac:dyDescent="0.2">
      <c r="A47" s="53">
        <f ca="1">IFERROR(__xludf.DUMMYFUNCTION("""COMPUTED_VALUE"""),41)</f>
        <v>41</v>
      </c>
      <c r="B47" s="53" t="str">
        <f ca="1">IFERROR(__xludf.DUMMYFUNCTION("""COMPUTED_VALUE"""),"MN Anh Dũng")</f>
        <v>MN Anh Dũng</v>
      </c>
      <c r="C47" s="53" t="str">
        <f ca="1">IFERROR(__xludf.DUMMYFUNCTION("""COMPUTED_VALUE"""),"MN")</f>
        <v>MN</v>
      </c>
      <c r="D47" s="53" t="str">
        <f ca="1">IFERROR(__xludf.DUMMYFUNCTION("""COMPUTED_VALUE"""),"CỦ CHI")</f>
        <v>CỦ CHI</v>
      </c>
      <c r="E47" s="54">
        <f ca="1">IFERROR(__xludf.DUMMYFUNCTION("""COMPUTED_VALUE"""),10)</f>
        <v>10</v>
      </c>
      <c r="F47" s="54">
        <f ca="1">IFERROR(__xludf.DUMMYFUNCTION("""COMPUTED_VALUE"""),10)</f>
        <v>10</v>
      </c>
      <c r="G47" s="51">
        <f t="shared" ca="1" si="0"/>
        <v>1</v>
      </c>
      <c r="H47" s="54">
        <f ca="1">IFERROR(__xludf.DUMMYFUNCTION("""COMPUTED_VALUE"""),8)</f>
        <v>8</v>
      </c>
      <c r="I47" s="51">
        <f t="shared" ca="1" si="1"/>
        <v>0.8</v>
      </c>
      <c r="J47" s="54">
        <f ca="1">IFERROR(__xludf.DUMMYFUNCTION("""COMPUTED_VALUE"""),8)</f>
        <v>8</v>
      </c>
      <c r="K47" s="51">
        <f t="shared" ca="1" si="2"/>
        <v>0.8</v>
      </c>
      <c r="L47" s="54">
        <f ca="1">IFERROR(__xludf.DUMMYFUNCTION("""COMPUTED_VALUE"""),6)</f>
        <v>6</v>
      </c>
      <c r="M47" s="51">
        <f t="shared" ca="1" si="3"/>
        <v>0.6</v>
      </c>
      <c r="N47" s="53"/>
      <c r="O47" s="53"/>
      <c r="P47" s="51" t="str">
        <f t="shared" si="4"/>
        <v/>
      </c>
      <c r="Q47" s="53"/>
      <c r="R47" s="51" t="str">
        <f t="shared" si="5"/>
        <v/>
      </c>
      <c r="S47" s="53"/>
      <c r="T47" s="53"/>
      <c r="U47" s="51" t="str">
        <f t="shared" si="6"/>
        <v/>
      </c>
      <c r="V47" s="53"/>
      <c r="W47" s="51" t="str">
        <f t="shared" si="7"/>
        <v/>
      </c>
      <c r="X47" s="53"/>
      <c r="Y47" s="51" t="str">
        <f t="shared" si="8"/>
        <v/>
      </c>
      <c r="Z47" s="2"/>
      <c r="AA47" s="2"/>
      <c r="AB47" s="2"/>
      <c r="AC47" s="2"/>
      <c r="AD47" s="2"/>
      <c r="AE47" s="2"/>
    </row>
    <row r="48" spans="1:31" ht="12.75" x14ac:dyDescent="0.2">
      <c r="A48" s="53">
        <f ca="1">IFERROR(__xludf.DUMMYFUNCTION("""COMPUTED_VALUE"""),42)</f>
        <v>42</v>
      </c>
      <c r="B48" s="53" t="str">
        <f ca="1">IFERROR(__xludf.DUMMYFUNCTION("""COMPUTED_VALUE"""),"MN Hoa Hồng")</f>
        <v>MN Hoa Hồng</v>
      </c>
      <c r="C48" s="53" t="str">
        <f ca="1">IFERROR(__xludf.DUMMYFUNCTION("""COMPUTED_VALUE"""),"MN")</f>
        <v>MN</v>
      </c>
      <c r="D48" s="53" t="str">
        <f ca="1">IFERROR(__xludf.DUMMYFUNCTION("""COMPUTED_VALUE"""),"CỦ CHI")</f>
        <v>CỦ CHI</v>
      </c>
      <c r="E48" s="54">
        <f ca="1">IFERROR(__xludf.DUMMYFUNCTION("""COMPUTED_VALUE"""),19)</f>
        <v>19</v>
      </c>
      <c r="F48" s="54">
        <f ca="1">IFERROR(__xludf.DUMMYFUNCTION("""COMPUTED_VALUE"""),19)</f>
        <v>19</v>
      </c>
      <c r="G48" s="51">
        <f t="shared" ca="1" si="0"/>
        <v>1</v>
      </c>
      <c r="H48" s="54">
        <f ca="1">IFERROR(__xludf.DUMMYFUNCTION("""COMPUTED_VALUE"""),17)</f>
        <v>17</v>
      </c>
      <c r="I48" s="51">
        <f t="shared" ca="1" si="1"/>
        <v>0.89473684210526316</v>
      </c>
      <c r="J48" s="54">
        <f ca="1">IFERROR(__xludf.DUMMYFUNCTION("""COMPUTED_VALUE"""),19)</f>
        <v>19</v>
      </c>
      <c r="K48" s="51">
        <f t="shared" ca="1" si="2"/>
        <v>1</v>
      </c>
      <c r="L48" s="54">
        <f ca="1">IFERROR(__xludf.DUMMYFUNCTION("""COMPUTED_VALUE"""),17)</f>
        <v>17</v>
      </c>
      <c r="M48" s="51">
        <f t="shared" ca="1" si="3"/>
        <v>0.89473684210526316</v>
      </c>
      <c r="N48" s="53"/>
      <c r="O48" s="54">
        <f ca="1">IFERROR(__xludf.DUMMYFUNCTION("""COMPUTED_VALUE"""),25)</f>
        <v>25</v>
      </c>
      <c r="P48" s="51" t="str">
        <f t="shared" ca="1" si="4"/>
        <v/>
      </c>
      <c r="Q48" s="54">
        <f ca="1">IFERROR(__xludf.DUMMYFUNCTION("""COMPUTED_VALUE"""),0)</f>
        <v>0</v>
      </c>
      <c r="R48" s="51" t="str">
        <f t="shared" ca="1" si="5"/>
        <v/>
      </c>
      <c r="S48" s="54">
        <f ca="1">IFERROR(__xludf.DUMMYFUNCTION("""COMPUTED_VALUE"""),1)</f>
        <v>1</v>
      </c>
      <c r="T48" s="53">
        <f ca="1">IFERROR(__xludf.DUMMYFUNCTION("""COMPUTED_VALUE"""),48)</f>
        <v>48</v>
      </c>
      <c r="U48" s="51">
        <f t="shared" ca="1" si="6"/>
        <v>48</v>
      </c>
      <c r="V48" s="54">
        <f ca="1">IFERROR(__xludf.DUMMYFUNCTION("""COMPUTED_VALUE"""),25)</f>
        <v>25</v>
      </c>
      <c r="W48" s="51">
        <f t="shared" ca="1" si="7"/>
        <v>25</v>
      </c>
      <c r="X48" s="54">
        <f ca="1">IFERROR(__xludf.DUMMYFUNCTION("""COMPUTED_VALUE"""),0)</f>
        <v>0</v>
      </c>
      <c r="Y48" s="51">
        <f t="shared" ca="1" si="8"/>
        <v>0</v>
      </c>
      <c r="Z48" s="2"/>
      <c r="AA48" s="2"/>
      <c r="AB48" s="2"/>
      <c r="AC48" s="2"/>
      <c r="AD48" s="2"/>
      <c r="AE48" s="2"/>
    </row>
    <row r="49" spans="1:31" ht="12.75" x14ac:dyDescent="0.2">
      <c r="A49" s="53">
        <f ca="1">IFERROR(__xludf.DUMMYFUNCTION("""COMPUTED_VALUE"""),43)</f>
        <v>43</v>
      </c>
      <c r="B49" s="53" t="str">
        <f ca="1">IFERROR(__xludf.DUMMYFUNCTION("""COMPUTED_VALUE"""),"MN Sư Đoàn 9")</f>
        <v>MN Sư Đoàn 9</v>
      </c>
      <c r="C49" s="53" t="str">
        <f ca="1">IFERROR(__xludf.DUMMYFUNCTION("""COMPUTED_VALUE"""),"MN")</f>
        <v>MN</v>
      </c>
      <c r="D49" s="53" t="str">
        <f ca="1">IFERROR(__xludf.DUMMYFUNCTION("""COMPUTED_VALUE"""),"CỦ CHI")</f>
        <v>CỦ CHI</v>
      </c>
      <c r="E49" s="54">
        <f ca="1">IFERROR(__xludf.DUMMYFUNCTION("""COMPUTED_VALUE"""),16)</f>
        <v>16</v>
      </c>
      <c r="F49" s="54">
        <f ca="1">IFERROR(__xludf.DUMMYFUNCTION("""COMPUTED_VALUE"""),16)</f>
        <v>16</v>
      </c>
      <c r="G49" s="51">
        <f t="shared" ca="1" si="0"/>
        <v>1</v>
      </c>
      <c r="H49" s="54">
        <f ca="1">IFERROR(__xludf.DUMMYFUNCTION("""COMPUTED_VALUE"""),16)</f>
        <v>16</v>
      </c>
      <c r="I49" s="51">
        <f t="shared" ca="1" si="1"/>
        <v>1</v>
      </c>
      <c r="J49" s="54">
        <f ca="1">IFERROR(__xludf.DUMMYFUNCTION("""COMPUTED_VALUE"""),15)</f>
        <v>15</v>
      </c>
      <c r="K49" s="51">
        <f t="shared" ca="1" si="2"/>
        <v>0.9375</v>
      </c>
      <c r="L49" s="54">
        <f ca="1">IFERROR(__xludf.DUMMYFUNCTION("""COMPUTED_VALUE"""),14)</f>
        <v>14</v>
      </c>
      <c r="M49" s="51">
        <f t="shared" ca="1" si="3"/>
        <v>0.875</v>
      </c>
      <c r="N49" s="54">
        <f ca="1">IFERROR(__xludf.DUMMYFUNCTION("""COMPUTED_VALUE"""),52)</f>
        <v>52</v>
      </c>
      <c r="O49" s="54">
        <f ca="1">IFERROR(__xludf.DUMMYFUNCTION("""COMPUTED_VALUE"""),20)</f>
        <v>20</v>
      </c>
      <c r="P49" s="51">
        <f t="shared" ca="1" si="4"/>
        <v>0.38461538461538464</v>
      </c>
      <c r="Q49" s="53"/>
      <c r="R49" s="51">
        <f t="shared" ca="1" si="5"/>
        <v>0</v>
      </c>
      <c r="S49" s="54">
        <f ca="1">IFERROR(__xludf.DUMMYFUNCTION("""COMPUTED_VALUE"""),32)</f>
        <v>32</v>
      </c>
      <c r="T49" s="53">
        <f ca="1">IFERROR(__xludf.DUMMYFUNCTION("""COMPUTED_VALUE"""),52)</f>
        <v>52</v>
      </c>
      <c r="U49" s="51">
        <f t="shared" ca="1" si="6"/>
        <v>1.625</v>
      </c>
      <c r="V49" s="54">
        <f ca="1">IFERROR(__xludf.DUMMYFUNCTION("""COMPUTED_VALUE"""),0)</f>
        <v>0</v>
      </c>
      <c r="W49" s="51">
        <f t="shared" ca="1" si="7"/>
        <v>0</v>
      </c>
      <c r="X49" s="54">
        <f ca="1">IFERROR(__xludf.DUMMYFUNCTION("""COMPUTED_VALUE"""),0)</f>
        <v>0</v>
      </c>
      <c r="Y49" s="51">
        <f t="shared" ca="1" si="8"/>
        <v>0</v>
      </c>
      <c r="Z49" s="2"/>
      <c r="AA49" s="2"/>
      <c r="AB49" s="2"/>
      <c r="AC49" s="2"/>
      <c r="AD49" s="2"/>
      <c r="AE49" s="2"/>
    </row>
    <row r="50" spans="1:31" ht="12.75" x14ac:dyDescent="0.2">
      <c r="A50" s="53">
        <f ca="1">IFERROR(__xludf.DUMMYFUNCTION("""COMPUTED_VALUE"""),44)</f>
        <v>44</v>
      </c>
      <c r="B50" s="53" t="str">
        <f ca="1">IFERROR(__xludf.DUMMYFUNCTION("""COMPUTED_VALUE"""),"MN Bé Thông Minh")</f>
        <v>MN Bé Thông Minh</v>
      </c>
      <c r="C50" s="53" t="str">
        <f ca="1">IFERROR(__xludf.DUMMYFUNCTION("""COMPUTED_VALUE"""),"MN")</f>
        <v>MN</v>
      </c>
      <c r="D50" s="53" t="str">
        <f ca="1">IFERROR(__xludf.DUMMYFUNCTION("""COMPUTED_VALUE"""),"CỦ CHI")</f>
        <v>CỦ CHI</v>
      </c>
      <c r="E50" s="54">
        <f ca="1">IFERROR(__xludf.DUMMYFUNCTION("""COMPUTED_VALUE"""),13)</f>
        <v>13</v>
      </c>
      <c r="F50" s="54">
        <f ca="1">IFERROR(__xludf.DUMMYFUNCTION("""COMPUTED_VALUE"""),8)</f>
        <v>8</v>
      </c>
      <c r="G50" s="51">
        <f t="shared" ca="1" si="0"/>
        <v>0.61538461538461542</v>
      </c>
      <c r="H50" s="54">
        <f ca="1">IFERROR(__xludf.DUMMYFUNCTION("""COMPUTED_VALUE"""),0)</f>
        <v>0</v>
      </c>
      <c r="I50" s="51">
        <f t="shared" ca="1" si="1"/>
        <v>0</v>
      </c>
      <c r="J50" s="54">
        <f ca="1">IFERROR(__xludf.DUMMYFUNCTION("""COMPUTED_VALUE"""),8)</f>
        <v>8</v>
      </c>
      <c r="K50" s="51">
        <f t="shared" ca="1" si="2"/>
        <v>0.61538461538461542</v>
      </c>
      <c r="L50" s="54">
        <f ca="1">IFERROR(__xludf.DUMMYFUNCTION("""COMPUTED_VALUE"""),0)</f>
        <v>0</v>
      </c>
      <c r="M50" s="51">
        <f t="shared" ca="1" si="3"/>
        <v>0</v>
      </c>
      <c r="N50" s="54">
        <f ca="1">IFERROR(__xludf.DUMMYFUNCTION("""COMPUTED_VALUE"""),63)</f>
        <v>63</v>
      </c>
      <c r="O50" s="53"/>
      <c r="P50" s="51">
        <f t="shared" ca="1" si="4"/>
        <v>0</v>
      </c>
      <c r="Q50" s="53"/>
      <c r="R50" s="51">
        <f t="shared" ca="1" si="5"/>
        <v>0</v>
      </c>
      <c r="S50" s="53"/>
      <c r="T50" s="53"/>
      <c r="U50" s="51" t="str">
        <f t="shared" si="6"/>
        <v/>
      </c>
      <c r="V50" s="53"/>
      <c r="W50" s="51" t="str">
        <f t="shared" si="7"/>
        <v/>
      </c>
      <c r="X50" s="53"/>
      <c r="Y50" s="51" t="str">
        <f t="shared" si="8"/>
        <v/>
      </c>
      <c r="Z50" s="2"/>
      <c r="AA50" s="2"/>
      <c r="AB50" s="2"/>
      <c r="AC50" s="2"/>
      <c r="AD50" s="2"/>
      <c r="AE50" s="2"/>
    </row>
    <row r="51" spans="1:31" ht="12.75" x14ac:dyDescent="0.2">
      <c r="A51" s="53">
        <f ca="1">IFERROR(__xludf.DUMMYFUNCTION("""COMPUTED_VALUE"""),45)</f>
        <v>45</v>
      </c>
      <c r="B51" s="53" t="str">
        <f ca="1">IFERROR(__xludf.DUMMYFUNCTION("""COMPUTED_VALUE"""),"MN Ánh Dương Samho")</f>
        <v>MN Ánh Dương Samho</v>
      </c>
      <c r="C51" s="53" t="str">
        <f ca="1">IFERROR(__xludf.DUMMYFUNCTION("""COMPUTED_VALUE"""),"MN")</f>
        <v>MN</v>
      </c>
      <c r="D51" s="53" t="str">
        <f ca="1">IFERROR(__xludf.DUMMYFUNCTION("""COMPUTED_VALUE"""),"CỦ CHI")</f>
        <v>CỦ CHI</v>
      </c>
      <c r="E51" s="54">
        <f ca="1">IFERROR(__xludf.DUMMYFUNCTION("""COMPUTED_VALUE"""),7)</f>
        <v>7</v>
      </c>
      <c r="F51" s="54">
        <f ca="1">IFERROR(__xludf.DUMMYFUNCTION("""COMPUTED_VALUE"""),7)</f>
        <v>7</v>
      </c>
      <c r="G51" s="51">
        <f t="shared" ca="1" si="0"/>
        <v>1</v>
      </c>
      <c r="H51" s="54">
        <f ca="1">IFERROR(__xludf.DUMMYFUNCTION("""COMPUTED_VALUE"""),6)</f>
        <v>6</v>
      </c>
      <c r="I51" s="51">
        <f t="shared" ca="1" si="1"/>
        <v>0.8571428571428571</v>
      </c>
      <c r="J51" s="54">
        <f ca="1">IFERROR(__xludf.DUMMYFUNCTION("""COMPUTED_VALUE"""),6)</f>
        <v>6</v>
      </c>
      <c r="K51" s="51">
        <f t="shared" ca="1" si="2"/>
        <v>0.8571428571428571</v>
      </c>
      <c r="L51" s="54">
        <f ca="1">IFERROR(__xludf.DUMMYFUNCTION("""COMPUTED_VALUE"""),6)</f>
        <v>6</v>
      </c>
      <c r="M51" s="51">
        <f t="shared" ca="1" si="3"/>
        <v>0.8571428571428571</v>
      </c>
      <c r="N51" s="53"/>
      <c r="O51" s="53"/>
      <c r="P51" s="51" t="str">
        <f t="shared" si="4"/>
        <v/>
      </c>
      <c r="Q51" s="53"/>
      <c r="R51" s="51" t="str">
        <f t="shared" si="5"/>
        <v/>
      </c>
      <c r="S51" s="53"/>
      <c r="T51" s="53"/>
      <c r="U51" s="51" t="str">
        <f t="shared" si="6"/>
        <v/>
      </c>
      <c r="V51" s="53"/>
      <c r="W51" s="51" t="str">
        <f t="shared" si="7"/>
        <v/>
      </c>
      <c r="X51" s="53"/>
      <c r="Y51" s="51" t="str">
        <f t="shared" si="8"/>
        <v/>
      </c>
      <c r="Z51" s="2"/>
      <c r="AA51" s="2"/>
      <c r="AB51" s="2"/>
      <c r="AC51" s="2"/>
      <c r="AD51" s="2"/>
      <c r="AE51" s="2"/>
    </row>
    <row r="52" spans="1:31" ht="12.75" x14ac:dyDescent="0.2">
      <c r="A52" s="53">
        <f ca="1">IFERROR(__xludf.DUMMYFUNCTION("""COMPUTED_VALUE"""),46)</f>
        <v>46</v>
      </c>
      <c r="B52" s="53" t="str">
        <f ca="1">IFERROR(__xludf.DUMMYFUNCTION("""COMPUTED_VALUE"""),"MN Hoàng Anh")</f>
        <v>MN Hoàng Anh</v>
      </c>
      <c r="C52" s="53" t="str">
        <f ca="1">IFERROR(__xludf.DUMMYFUNCTION("""COMPUTED_VALUE"""),"MN")</f>
        <v>MN</v>
      </c>
      <c r="D52" s="53" t="str">
        <f ca="1">IFERROR(__xludf.DUMMYFUNCTION("""COMPUTED_VALUE"""),"CỦ CHI")</f>
        <v>CỦ CHI</v>
      </c>
      <c r="E52" s="54">
        <f ca="1">IFERROR(__xludf.DUMMYFUNCTION("""COMPUTED_VALUE"""),18)</f>
        <v>18</v>
      </c>
      <c r="F52" s="54">
        <f ca="1">IFERROR(__xludf.DUMMYFUNCTION("""COMPUTED_VALUE"""),16)</f>
        <v>16</v>
      </c>
      <c r="G52" s="51">
        <f t="shared" ca="1" si="0"/>
        <v>0.88888888888888884</v>
      </c>
      <c r="H52" s="54">
        <f ca="1">IFERROR(__xludf.DUMMYFUNCTION("""COMPUTED_VALUE"""),15)</f>
        <v>15</v>
      </c>
      <c r="I52" s="51">
        <f t="shared" ca="1" si="1"/>
        <v>0.83333333333333337</v>
      </c>
      <c r="J52" s="54">
        <f ca="1">IFERROR(__xludf.DUMMYFUNCTION("""COMPUTED_VALUE"""),14)</f>
        <v>14</v>
      </c>
      <c r="K52" s="51">
        <f t="shared" ca="1" si="2"/>
        <v>0.77777777777777779</v>
      </c>
      <c r="L52" s="54">
        <f ca="1">IFERROR(__xludf.DUMMYFUNCTION("""COMPUTED_VALUE"""),14)</f>
        <v>14</v>
      </c>
      <c r="M52" s="51">
        <f t="shared" ca="1" si="3"/>
        <v>0.77777777777777779</v>
      </c>
      <c r="N52" s="53"/>
      <c r="O52" s="53"/>
      <c r="P52" s="51" t="str">
        <f t="shared" si="4"/>
        <v/>
      </c>
      <c r="Q52" s="53"/>
      <c r="R52" s="51" t="str">
        <f t="shared" si="5"/>
        <v/>
      </c>
      <c r="S52" s="53"/>
      <c r="T52" s="53"/>
      <c r="U52" s="51" t="str">
        <f t="shared" si="6"/>
        <v/>
      </c>
      <c r="V52" s="53"/>
      <c r="W52" s="51" t="str">
        <f t="shared" si="7"/>
        <v/>
      </c>
      <c r="X52" s="53"/>
      <c r="Y52" s="51" t="str">
        <f t="shared" si="8"/>
        <v/>
      </c>
      <c r="Z52" s="2"/>
      <c r="AA52" s="2"/>
      <c r="AB52" s="2"/>
      <c r="AC52" s="2"/>
      <c r="AD52" s="2"/>
      <c r="AE52" s="2"/>
    </row>
    <row r="53" spans="1:31" ht="12.75" x14ac:dyDescent="0.2">
      <c r="A53" s="53">
        <f ca="1">IFERROR(__xludf.DUMMYFUNCTION("""COMPUTED_VALUE"""),47)</f>
        <v>47</v>
      </c>
      <c r="B53" s="53" t="str">
        <f ca="1">IFERROR(__xludf.DUMMYFUNCTION("""COMPUTED_VALUE"""),"MN Trái Tim Thơ")</f>
        <v>MN Trái Tim Thơ</v>
      </c>
      <c r="C53" s="53" t="str">
        <f ca="1">IFERROR(__xludf.DUMMYFUNCTION("""COMPUTED_VALUE"""),"MN")</f>
        <v>MN</v>
      </c>
      <c r="D53" s="53" t="str">
        <f ca="1">IFERROR(__xludf.DUMMYFUNCTION("""COMPUTED_VALUE"""),"CỦ CHI")</f>
        <v>CỦ CHI</v>
      </c>
      <c r="E53" s="54">
        <f ca="1">IFERROR(__xludf.DUMMYFUNCTION("""COMPUTED_VALUE"""),20)</f>
        <v>20</v>
      </c>
      <c r="F53" s="54">
        <f ca="1">IFERROR(__xludf.DUMMYFUNCTION("""COMPUTED_VALUE"""),20)</f>
        <v>20</v>
      </c>
      <c r="G53" s="51">
        <f t="shared" ca="1" si="0"/>
        <v>1</v>
      </c>
      <c r="H53" s="54">
        <f ca="1">IFERROR(__xludf.DUMMYFUNCTION("""COMPUTED_VALUE"""),1)</f>
        <v>1</v>
      </c>
      <c r="I53" s="51">
        <f t="shared" ca="1" si="1"/>
        <v>0.05</v>
      </c>
      <c r="J53" s="54">
        <f ca="1">IFERROR(__xludf.DUMMYFUNCTION("""COMPUTED_VALUE"""),20)</f>
        <v>20</v>
      </c>
      <c r="K53" s="51">
        <f t="shared" ca="1" si="2"/>
        <v>1</v>
      </c>
      <c r="L53" s="54">
        <f ca="1">IFERROR(__xludf.DUMMYFUNCTION("""COMPUTED_VALUE"""),1)</f>
        <v>1</v>
      </c>
      <c r="M53" s="51">
        <f t="shared" ca="1" si="3"/>
        <v>0.05</v>
      </c>
      <c r="N53" s="54">
        <f ca="1">IFERROR(__xludf.DUMMYFUNCTION("""COMPUTED_VALUE"""),68)</f>
        <v>68</v>
      </c>
      <c r="O53" s="53"/>
      <c r="P53" s="51">
        <f t="shared" ca="1" si="4"/>
        <v>0</v>
      </c>
      <c r="Q53" s="53"/>
      <c r="R53" s="51">
        <f t="shared" ca="1" si="5"/>
        <v>0</v>
      </c>
      <c r="S53" s="53"/>
      <c r="T53" s="54">
        <f ca="1">IFERROR(__xludf.DUMMYFUNCTION("""COMPUTED_VALUE"""),68)</f>
        <v>68</v>
      </c>
      <c r="U53" s="51" t="str">
        <f t="shared" ca="1" si="6"/>
        <v/>
      </c>
      <c r="V53" s="54">
        <f ca="1">IFERROR(__xludf.DUMMYFUNCTION("""COMPUTED_VALUE"""),19)</f>
        <v>19</v>
      </c>
      <c r="W53" s="51" t="str">
        <f t="shared" ca="1" si="7"/>
        <v/>
      </c>
      <c r="X53" s="54">
        <f ca="1">IFERROR(__xludf.DUMMYFUNCTION("""COMPUTED_VALUE"""),0)</f>
        <v>0</v>
      </c>
      <c r="Y53" s="51" t="str">
        <f t="shared" ca="1" si="8"/>
        <v/>
      </c>
      <c r="Z53" s="2"/>
      <c r="AA53" s="2"/>
      <c r="AB53" s="2"/>
      <c r="AC53" s="2"/>
      <c r="AD53" s="2"/>
      <c r="AE53" s="2"/>
    </row>
    <row r="54" spans="1:31" ht="12.75" x14ac:dyDescent="0.2">
      <c r="A54" s="53">
        <f ca="1">IFERROR(__xludf.DUMMYFUNCTION("""COMPUTED_VALUE"""),48)</f>
        <v>48</v>
      </c>
      <c r="B54" s="53"/>
      <c r="C54" s="53"/>
      <c r="D54" s="53" t="str">
        <f ca="1">IFERROR(__xludf.DUMMYFUNCTION("""COMPUTED_VALUE"""),"CỦ CHI")</f>
        <v>CỦ CHI</v>
      </c>
      <c r="E54" s="54">
        <f ca="1">IFERROR(__xludf.DUMMYFUNCTION("""COMPUTED_VALUE"""),18)</f>
        <v>18</v>
      </c>
      <c r="F54" s="54">
        <f ca="1">IFERROR(__xludf.DUMMYFUNCTION("""COMPUTED_VALUE"""),16)</f>
        <v>16</v>
      </c>
      <c r="G54" s="51">
        <f t="shared" ca="1" si="0"/>
        <v>0.88888888888888884</v>
      </c>
      <c r="H54" s="54">
        <f ca="1">IFERROR(__xludf.DUMMYFUNCTION("""COMPUTED_VALUE"""),15)</f>
        <v>15</v>
      </c>
      <c r="I54" s="51">
        <f t="shared" ca="1" si="1"/>
        <v>0.83333333333333337</v>
      </c>
      <c r="J54" s="54">
        <f ca="1">IFERROR(__xludf.DUMMYFUNCTION("""COMPUTED_VALUE"""),14)</f>
        <v>14</v>
      </c>
      <c r="K54" s="51">
        <f t="shared" ca="1" si="2"/>
        <v>0.77777777777777779</v>
      </c>
      <c r="L54" s="54">
        <f ca="1">IFERROR(__xludf.DUMMYFUNCTION("""COMPUTED_VALUE"""),13)</f>
        <v>13</v>
      </c>
      <c r="M54" s="51">
        <f t="shared" ca="1" si="3"/>
        <v>0.72222222222222221</v>
      </c>
      <c r="N54" s="53"/>
      <c r="O54" s="53"/>
      <c r="P54" s="51" t="str">
        <f t="shared" si="4"/>
        <v/>
      </c>
      <c r="Q54" s="53"/>
      <c r="R54" s="51" t="str">
        <f t="shared" si="5"/>
        <v/>
      </c>
      <c r="S54" s="53"/>
      <c r="T54" s="53"/>
      <c r="U54" s="51" t="str">
        <f t="shared" si="6"/>
        <v/>
      </c>
      <c r="V54" s="53"/>
      <c r="W54" s="51" t="str">
        <f t="shared" si="7"/>
        <v/>
      </c>
      <c r="X54" s="53"/>
      <c r="Y54" s="51" t="str">
        <f t="shared" si="8"/>
        <v/>
      </c>
      <c r="Z54" s="2"/>
      <c r="AA54" s="2"/>
      <c r="AB54" s="2"/>
      <c r="AC54" s="2"/>
      <c r="AD54" s="2"/>
      <c r="AE54" s="2"/>
    </row>
    <row r="55" spans="1:31" ht="12.75" x14ac:dyDescent="0.2">
      <c r="A55" s="53">
        <f ca="1">IFERROR(__xludf.DUMMYFUNCTION("""COMPUTED_VALUE"""),49)</f>
        <v>49</v>
      </c>
      <c r="B55" s="53" t="str">
        <f ca="1">IFERROR(__xludf.DUMMYFUNCTION("""COMPUTED_VALUE"""),"MN Tường Vy")</f>
        <v>MN Tường Vy</v>
      </c>
      <c r="C55" s="53" t="str">
        <f ca="1">IFERROR(__xludf.DUMMYFUNCTION("""COMPUTED_VALUE"""),"MN")</f>
        <v>MN</v>
      </c>
      <c r="D55" s="53" t="str">
        <f ca="1">IFERROR(__xludf.DUMMYFUNCTION("""COMPUTED_VALUE"""),"CỦ CHI")</f>
        <v>CỦ CHI</v>
      </c>
      <c r="E55" s="54">
        <f ca="1">IFERROR(__xludf.DUMMYFUNCTION("""COMPUTED_VALUE"""),20)</f>
        <v>20</v>
      </c>
      <c r="F55" s="54">
        <f ca="1">IFERROR(__xludf.DUMMYFUNCTION("""COMPUTED_VALUE"""),20)</f>
        <v>20</v>
      </c>
      <c r="G55" s="51">
        <f t="shared" ca="1" si="0"/>
        <v>1</v>
      </c>
      <c r="H55" s="54">
        <f ca="1">IFERROR(__xludf.DUMMYFUNCTION("""COMPUTED_VALUE"""),10)</f>
        <v>10</v>
      </c>
      <c r="I55" s="51">
        <f t="shared" ca="1" si="1"/>
        <v>0.5</v>
      </c>
      <c r="J55" s="54">
        <f ca="1">IFERROR(__xludf.DUMMYFUNCTION("""COMPUTED_VALUE"""),20)</f>
        <v>20</v>
      </c>
      <c r="K55" s="51">
        <f t="shared" ca="1" si="2"/>
        <v>1</v>
      </c>
      <c r="L55" s="54">
        <f ca="1">IFERROR(__xludf.DUMMYFUNCTION("""COMPUTED_VALUE"""),10)</f>
        <v>10</v>
      </c>
      <c r="M55" s="51">
        <f t="shared" ca="1" si="3"/>
        <v>0.5</v>
      </c>
      <c r="N55" s="54">
        <f ca="1">IFERROR(__xludf.DUMMYFUNCTION("""COMPUTED_VALUE"""),61)</f>
        <v>61</v>
      </c>
      <c r="O55" s="54">
        <f ca="1">IFERROR(__xludf.DUMMYFUNCTION("""COMPUTED_VALUE"""),31)</f>
        <v>31</v>
      </c>
      <c r="P55" s="51">
        <f t="shared" ca="1" si="4"/>
        <v>0.50819672131147542</v>
      </c>
      <c r="Q55" s="54">
        <f ca="1">IFERROR(__xludf.DUMMYFUNCTION("""COMPUTED_VALUE"""),26)</f>
        <v>26</v>
      </c>
      <c r="R55" s="51">
        <f t="shared" ca="1" si="5"/>
        <v>0.42622950819672129</v>
      </c>
      <c r="S55" s="53"/>
      <c r="T55" s="53">
        <f ca="1">IFERROR(__xludf.DUMMYFUNCTION("""COMPUTED_VALUE"""),61)</f>
        <v>61</v>
      </c>
      <c r="U55" s="51" t="str">
        <f t="shared" ca="1" si="6"/>
        <v/>
      </c>
      <c r="V55" s="54">
        <f ca="1">IFERROR(__xludf.DUMMYFUNCTION("""COMPUTED_VALUE"""),31)</f>
        <v>31</v>
      </c>
      <c r="W55" s="51" t="str">
        <f t="shared" ca="1" si="7"/>
        <v/>
      </c>
      <c r="X55" s="54">
        <f ca="1">IFERROR(__xludf.DUMMYFUNCTION("""COMPUTED_VALUE"""),26)</f>
        <v>26</v>
      </c>
      <c r="Y55" s="51" t="str">
        <f t="shared" ca="1" si="8"/>
        <v/>
      </c>
      <c r="Z55" s="2"/>
      <c r="AA55" s="2"/>
      <c r="AB55" s="2"/>
      <c r="AC55" s="2"/>
      <c r="AD55" s="2"/>
      <c r="AE55" s="2"/>
    </row>
    <row r="56" spans="1:31" ht="12.75" x14ac:dyDescent="0.2">
      <c r="A56" s="53" t="str">
        <f ca="1">IFERROR(__xludf.DUMMYFUNCTION("""COMPUTED_VALUE"""),"Tiểu học")</f>
        <v>Tiểu học</v>
      </c>
      <c r="B56" s="53"/>
      <c r="C56" s="53"/>
      <c r="D56" s="53" t="str">
        <f ca="1">IFERROR(__xludf.DUMMYFUNCTION("""COMPUTED_VALUE"""),"CỦ CHI")</f>
        <v>CỦ CHI</v>
      </c>
      <c r="E56" s="53"/>
      <c r="F56" s="53"/>
      <c r="G56" s="51" t="str">
        <f t="shared" si="0"/>
        <v/>
      </c>
      <c r="H56" s="53"/>
      <c r="I56" s="51" t="str">
        <f t="shared" si="1"/>
        <v/>
      </c>
      <c r="J56" s="53"/>
      <c r="K56" s="51" t="str">
        <f t="shared" si="2"/>
        <v/>
      </c>
      <c r="L56" s="53"/>
      <c r="M56" s="51" t="str">
        <f t="shared" si="3"/>
        <v/>
      </c>
      <c r="N56" s="53"/>
      <c r="O56" s="53"/>
      <c r="P56" s="51" t="str">
        <f t="shared" si="4"/>
        <v/>
      </c>
      <c r="Q56" s="53"/>
      <c r="R56" s="51" t="str">
        <f t="shared" si="5"/>
        <v/>
      </c>
      <c r="S56" s="53"/>
      <c r="T56" s="53"/>
      <c r="U56" s="51" t="str">
        <f t="shared" si="6"/>
        <v/>
      </c>
      <c r="V56" s="53"/>
      <c r="W56" s="51" t="str">
        <f t="shared" si="7"/>
        <v/>
      </c>
      <c r="X56" s="53"/>
      <c r="Y56" s="51" t="str">
        <f t="shared" si="8"/>
        <v/>
      </c>
      <c r="Z56" s="2"/>
      <c r="AA56" s="2"/>
      <c r="AB56" s="2"/>
      <c r="AC56" s="2"/>
      <c r="AD56" s="2"/>
      <c r="AE56" s="2"/>
    </row>
    <row r="57" spans="1:31" ht="12.75" x14ac:dyDescent="0.2">
      <c r="A57" s="53">
        <f ca="1">IFERROR(__xludf.DUMMYFUNCTION("""COMPUTED_VALUE"""),1)</f>
        <v>1</v>
      </c>
      <c r="B57" s="53" t="str">
        <f ca="1">IFERROR(__xludf.DUMMYFUNCTION("""COMPUTED_VALUE"""),"TH An Nhơn Đông")</f>
        <v>TH An Nhơn Đông</v>
      </c>
      <c r="C57" s="53" t="str">
        <f ca="1">IFERROR(__xludf.DUMMYFUNCTION("""COMPUTED_VALUE"""),"TH")</f>
        <v>TH</v>
      </c>
      <c r="D57" s="53" t="str">
        <f ca="1">IFERROR(__xludf.DUMMYFUNCTION("""COMPUTED_VALUE"""),"CỦ CHI")</f>
        <v>CỦ CHI</v>
      </c>
      <c r="E57" s="54">
        <f ca="1">IFERROR(__xludf.DUMMYFUNCTION("""COMPUTED_VALUE"""),43)</f>
        <v>43</v>
      </c>
      <c r="F57" s="54">
        <f ca="1">IFERROR(__xludf.DUMMYFUNCTION("""COMPUTED_VALUE"""),43)</f>
        <v>43</v>
      </c>
      <c r="G57" s="51">
        <f t="shared" ca="1" si="0"/>
        <v>1</v>
      </c>
      <c r="H57" s="54">
        <f ca="1">IFERROR(__xludf.DUMMYFUNCTION("""COMPUTED_VALUE"""),40)</f>
        <v>40</v>
      </c>
      <c r="I57" s="51">
        <f t="shared" ca="1" si="1"/>
        <v>0.93023255813953487</v>
      </c>
      <c r="J57" s="54">
        <f ca="1">IFERROR(__xludf.DUMMYFUNCTION("""COMPUTED_VALUE"""),43)</f>
        <v>43</v>
      </c>
      <c r="K57" s="51">
        <f t="shared" ca="1" si="2"/>
        <v>1</v>
      </c>
      <c r="L57" s="54">
        <f ca="1">IFERROR(__xludf.DUMMYFUNCTION("""COMPUTED_VALUE"""),40)</f>
        <v>40</v>
      </c>
      <c r="M57" s="51">
        <f t="shared" ca="1" si="3"/>
        <v>0.93023255813953487</v>
      </c>
      <c r="N57" s="54">
        <f ca="1">IFERROR(__xludf.DUMMYFUNCTION("""COMPUTED_VALUE"""),847)</f>
        <v>847</v>
      </c>
      <c r="O57" s="54">
        <f ca="1">IFERROR(__xludf.DUMMYFUNCTION("""COMPUTED_VALUE"""),762)</f>
        <v>762</v>
      </c>
      <c r="P57" s="51">
        <f t="shared" ca="1" si="4"/>
        <v>0.89964580873671784</v>
      </c>
      <c r="Q57" s="54">
        <f ca="1">IFERROR(__xludf.DUMMYFUNCTION("""COMPUTED_VALUE"""),547)</f>
        <v>547</v>
      </c>
      <c r="R57" s="51">
        <f t="shared" ca="1" si="5"/>
        <v>0.64580873671782768</v>
      </c>
      <c r="S57" s="54">
        <f ca="1">IFERROR(__xludf.DUMMYFUNCTION("""COMPUTED_VALUE"""),41)</f>
        <v>41</v>
      </c>
      <c r="T57" s="54">
        <f ca="1">IFERROR(__xludf.DUMMYFUNCTION("""COMPUTED_VALUE"""),847)</f>
        <v>847</v>
      </c>
      <c r="U57" s="51">
        <f t="shared" ca="1" si="6"/>
        <v>20.658536585365855</v>
      </c>
      <c r="V57" s="54">
        <f ca="1">IFERROR(__xludf.DUMMYFUNCTION("""COMPUTED_VALUE"""),762)</f>
        <v>762</v>
      </c>
      <c r="W57" s="51">
        <f t="shared" ca="1" si="7"/>
        <v>18.585365853658537</v>
      </c>
      <c r="X57" s="54">
        <f ca="1">IFERROR(__xludf.DUMMYFUNCTION("""COMPUTED_VALUE"""),546)</f>
        <v>546</v>
      </c>
      <c r="Y57" s="51">
        <f t="shared" ca="1" si="8"/>
        <v>13.317073170731707</v>
      </c>
      <c r="Z57" s="2"/>
      <c r="AA57" s="2"/>
      <c r="AB57" s="2"/>
      <c r="AC57" s="2"/>
      <c r="AD57" s="2"/>
      <c r="AE57" s="2"/>
    </row>
    <row r="58" spans="1:31" ht="12.75" x14ac:dyDescent="0.2">
      <c r="A58" s="53">
        <f ca="1">IFERROR(__xludf.DUMMYFUNCTION("""COMPUTED_VALUE"""),2)</f>
        <v>2</v>
      </c>
      <c r="B58" s="53" t="str">
        <f ca="1">IFERROR(__xludf.DUMMYFUNCTION("""COMPUTED_VALUE"""),"TH An Nhơn Tây")</f>
        <v>TH An Nhơn Tây</v>
      </c>
      <c r="C58" s="53" t="str">
        <f ca="1">IFERROR(__xludf.DUMMYFUNCTION("""COMPUTED_VALUE"""),"TH")</f>
        <v>TH</v>
      </c>
      <c r="D58" s="53" t="str">
        <f ca="1">IFERROR(__xludf.DUMMYFUNCTION("""COMPUTED_VALUE"""),"CỦ CHI")</f>
        <v>CỦ CHI</v>
      </c>
      <c r="E58" s="54">
        <f ca="1">IFERROR(__xludf.DUMMYFUNCTION("""COMPUTED_VALUE"""),41)</f>
        <v>41</v>
      </c>
      <c r="F58" s="54">
        <f ca="1">IFERROR(__xludf.DUMMYFUNCTION("""COMPUTED_VALUE"""),41)</f>
        <v>41</v>
      </c>
      <c r="G58" s="51">
        <f t="shared" ca="1" si="0"/>
        <v>1</v>
      </c>
      <c r="H58" s="54">
        <f ca="1">IFERROR(__xludf.DUMMYFUNCTION("""COMPUTED_VALUE"""),38)</f>
        <v>38</v>
      </c>
      <c r="I58" s="51">
        <f t="shared" ca="1" si="1"/>
        <v>0.92682926829268297</v>
      </c>
      <c r="J58" s="54">
        <f ca="1">IFERROR(__xludf.DUMMYFUNCTION("""COMPUTED_VALUE"""),41)</f>
        <v>41</v>
      </c>
      <c r="K58" s="51">
        <f t="shared" ca="1" si="2"/>
        <v>1</v>
      </c>
      <c r="L58" s="54">
        <f ca="1">IFERROR(__xludf.DUMMYFUNCTION("""COMPUTED_VALUE"""),38)</f>
        <v>38</v>
      </c>
      <c r="M58" s="51">
        <f t="shared" ca="1" si="3"/>
        <v>0.92682926829268297</v>
      </c>
      <c r="N58" s="54">
        <f ca="1">IFERROR(__xludf.DUMMYFUNCTION("""COMPUTED_VALUE"""),769)</f>
        <v>769</v>
      </c>
      <c r="O58" s="54">
        <f ca="1">IFERROR(__xludf.DUMMYFUNCTION("""COMPUTED_VALUE"""),578)</f>
        <v>578</v>
      </c>
      <c r="P58" s="51">
        <f t="shared" ca="1" si="4"/>
        <v>0.75162548764629389</v>
      </c>
      <c r="Q58" s="54">
        <f ca="1">IFERROR(__xludf.DUMMYFUNCTION("""COMPUTED_VALUE"""),295)</f>
        <v>295</v>
      </c>
      <c r="R58" s="51">
        <f t="shared" ca="1" si="5"/>
        <v>0.38361508452535759</v>
      </c>
      <c r="S58" s="54">
        <f ca="1">IFERROR(__xludf.DUMMYFUNCTION("""COMPUTED_VALUE"""),94)</f>
        <v>94</v>
      </c>
      <c r="T58" s="53">
        <f ca="1">IFERROR(__xludf.DUMMYFUNCTION("""COMPUTED_VALUE"""),769)</f>
        <v>769</v>
      </c>
      <c r="U58" s="51">
        <f t="shared" ca="1" si="6"/>
        <v>8.1808510638297864</v>
      </c>
      <c r="V58" s="54">
        <f ca="1">IFERROR(__xludf.DUMMYFUNCTION("""COMPUTED_VALUE"""),578)</f>
        <v>578</v>
      </c>
      <c r="W58" s="51">
        <f t="shared" ca="1" si="7"/>
        <v>6.1489361702127656</v>
      </c>
      <c r="X58" s="54">
        <f ca="1">IFERROR(__xludf.DUMMYFUNCTION("""COMPUTED_VALUE"""),295)</f>
        <v>295</v>
      </c>
      <c r="Y58" s="51">
        <f t="shared" ca="1" si="8"/>
        <v>3.1382978723404253</v>
      </c>
      <c r="Z58" s="2"/>
      <c r="AA58" s="2"/>
      <c r="AB58" s="2"/>
      <c r="AC58" s="2"/>
      <c r="AD58" s="2"/>
      <c r="AE58" s="2"/>
    </row>
    <row r="59" spans="1:31" ht="12.75" x14ac:dyDescent="0.2">
      <c r="A59" s="53">
        <f ca="1">IFERROR(__xludf.DUMMYFUNCTION("""COMPUTED_VALUE"""),3)</f>
        <v>3</v>
      </c>
      <c r="B59" s="53" t="str">
        <f ca="1">IFERROR(__xludf.DUMMYFUNCTION("""COMPUTED_VALUE"""),"TH An Phú 1")</f>
        <v>TH An Phú 1</v>
      </c>
      <c r="C59" s="53" t="str">
        <f ca="1">IFERROR(__xludf.DUMMYFUNCTION("""COMPUTED_VALUE"""),"TH")</f>
        <v>TH</v>
      </c>
      <c r="D59" s="53" t="str">
        <f ca="1">IFERROR(__xludf.DUMMYFUNCTION("""COMPUTED_VALUE"""),"CỦ CHI")</f>
        <v>CỦ CHI</v>
      </c>
      <c r="E59" s="54">
        <f ca="1">IFERROR(__xludf.DUMMYFUNCTION("""COMPUTED_VALUE"""),29)</f>
        <v>29</v>
      </c>
      <c r="F59" s="54">
        <f ca="1">IFERROR(__xludf.DUMMYFUNCTION("""COMPUTED_VALUE"""),29)</f>
        <v>29</v>
      </c>
      <c r="G59" s="51">
        <f t="shared" ca="1" si="0"/>
        <v>1</v>
      </c>
      <c r="H59" s="54">
        <f ca="1">IFERROR(__xludf.DUMMYFUNCTION("""COMPUTED_VALUE"""),6)</f>
        <v>6</v>
      </c>
      <c r="I59" s="51">
        <f t="shared" ca="1" si="1"/>
        <v>0.20689655172413793</v>
      </c>
      <c r="J59" s="54">
        <f ca="1">IFERROR(__xludf.DUMMYFUNCTION("""COMPUTED_VALUE"""),29)</f>
        <v>29</v>
      </c>
      <c r="K59" s="51">
        <f t="shared" ca="1" si="2"/>
        <v>1</v>
      </c>
      <c r="L59" s="54">
        <f ca="1">IFERROR(__xludf.DUMMYFUNCTION("""COMPUTED_VALUE"""),6)</f>
        <v>6</v>
      </c>
      <c r="M59" s="51">
        <f t="shared" ca="1" si="3"/>
        <v>0.20689655172413793</v>
      </c>
      <c r="N59" s="54">
        <f ca="1">IFERROR(__xludf.DUMMYFUNCTION("""COMPUTED_VALUE"""),581)</f>
        <v>581</v>
      </c>
      <c r="O59" s="54">
        <f ca="1">IFERROR(__xludf.DUMMYFUNCTION("""COMPUTED_VALUE"""),454)</f>
        <v>454</v>
      </c>
      <c r="P59" s="51">
        <f t="shared" ca="1" si="4"/>
        <v>0.78141135972461273</v>
      </c>
      <c r="Q59" s="54">
        <f ca="1">IFERROR(__xludf.DUMMYFUNCTION("""COMPUTED_VALUE"""),240)</f>
        <v>240</v>
      </c>
      <c r="R59" s="51">
        <f t="shared" ca="1" si="5"/>
        <v>0.41308089500860584</v>
      </c>
      <c r="S59" s="54">
        <f ca="1">IFERROR(__xludf.DUMMYFUNCTION("""COMPUTED_VALUE"""),127)</f>
        <v>127</v>
      </c>
      <c r="T59" s="54">
        <f ca="1">IFERROR(__xludf.DUMMYFUNCTION("""COMPUTED_VALUE"""),581)</f>
        <v>581</v>
      </c>
      <c r="U59" s="51">
        <f t="shared" ca="1" si="6"/>
        <v>4.5748031496062991</v>
      </c>
      <c r="V59" s="54">
        <f ca="1">IFERROR(__xludf.DUMMYFUNCTION("""COMPUTED_VALUE"""),454)</f>
        <v>454</v>
      </c>
      <c r="W59" s="51">
        <f t="shared" ca="1" si="7"/>
        <v>3.5748031496062991</v>
      </c>
      <c r="X59" s="54">
        <f ca="1">IFERROR(__xludf.DUMMYFUNCTION("""COMPUTED_VALUE"""),240)</f>
        <v>240</v>
      </c>
      <c r="Y59" s="51">
        <f t="shared" ca="1" si="8"/>
        <v>1.889763779527559</v>
      </c>
      <c r="Z59" s="2"/>
      <c r="AA59" s="2"/>
      <c r="AB59" s="2"/>
      <c r="AC59" s="2"/>
      <c r="AD59" s="2"/>
      <c r="AE59" s="2"/>
    </row>
    <row r="60" spans="1:31" ht="12.75" x14ac:dyDescent="0.2">
      <c r="A60" s="53">
        <f ca="1">IFERROR(__xludf.DUMMYFUNCTION("""COMPUTED_VALUE"""),4)</f>
        <v>4</v>
      </c>
      <c r="B60" s="53" t="str">
        <f ca="1">IFERROR(__xludf.DUMMYFUNCTION("""COMPUTED_VALUE"""),"TH An Phú 2")</f>
        <v>TH An Phú 2</v>
      </c>
      <c r="C60" s="53" t="str">
        <f ca="1">IFERROR(__xludf.DUMMYFUNCTION("""COMPUTED_VALUE"""),"TH")</f>
        <v>TH</v>
      </c>
      <c r="D60" s="53" t="str">
        <f ca="1">IFERROR(__xludf.DUMMYFUNCTION("""COMPUTED_VALUE"""),"CỦ CHI")</f>
        <v>CỦ CHI</v>
      </c>
      <c r="E60" s="54">
        <f ca="1">IFERROR(__xludf.DUMMYFUNCTION("""COMPUTED_VALUE"""),30)</f>
        <v>30</v>
      </c>
      <c r="F60" s="54">
        <f ca="1">IFERROR(__xludf.DUMMYFUNCTION("""COMPUTED_VALUE"""),26)</f>
        <v>26</v>
      </c>
      <c r="G60" s="51">
        <f t="shared" ca="1" si="0"/>
        <v>0.8666666666666667</v>
      </c>
      <c r="H60" s="54">
        <f ca="1">IFERROR(__xludf.DUMMYFUNCTION("""COMPUTED_VALUE"""),26)</f>
        <v>26</v>
      </c>
      <c r="I60" s="51">
        <f t="shared" ca="1" si="1"/>
        <v>0.8666666666666667</v>
      </c>
      <c r="J60" s="54">
        <f ca="1">IFERROR(__xludf.DUMMYFUNCTION("""COMPUTED_VALUE"""),26)</f>
        <v>26</v>
      </c>
      <c r="K60" s="51">
        <f t="shared" ca="1" si="2"/>
        <v>0.8666666666666667</v>
      </c>
      <c r="L60" s="54">
        <f ca="1">IFERROR(__xludf.DUMMYFUNCTION("""COMPUTED_VALUE"""),26)</f>
        <v>26</v>
      </c>
      <c r="M60" s="51">
        <f t="shared" ca="1" si="3"/>
        <v>0.8666666666666667</v>
      </c>
      <c r="N60" s="54">
        <f ca="1">IFERROR(__xludf.DUMMYFUNCTION("""COMPUTED_VALUE"""),396)</f>
        <v>396</v>
      </c>
      <c r="O60" s="54">
        <f ca="1">IFERROR(__xludf.DUMMYFUNCTION("""COMPUTED_VALUE"""),349)</f>
        <v>349</v>
      </c>
      <c r="P60" s="51">
        <f t="shared" ca="1" si="4"/>
        <v>0.88131313131313127</v>
      </c>
      <c r="Q60" s="54">
        <f ca="1">IFERROR(__xludf.DUMMYFUNCTION("""COMPUTED_VALUE"""),174)</f>
        <v>174</v>
      </c>
      <c r="R60" s="51">
        <f t="shared" ca="1" si="5"/>
        <v>0.43939393939393939</v>
      </c>
      <c r="S60" s="54">
        <f ca="1">IFERROR(__xludf.DUMMYFUNCTION("""COMPUTED_VALUE"""),47)</f>
        <v>47</v>
      </c>
      <c r="T60" s="54">
        <f ca="1">IFERROR(__xludf.DUMMYFUNCTION("""COMPUTED_VALUE"""),396)</f>
        <v>396</v>
      </c>
      <c r="U60" s="51">
        <f t="shared" ca="1" si="6"/>
        <v>8.4255319148936163</v>
      </c>
      <c r="V60" s="54">
        <f ca="1">IFERROR(__xludf.DUMMYFUNCTION("""COMPUTED_VALUE"""),349)</f>
        <v>349</v>
      </c>
      <c r="W60" s="51">
        <f t="shared" ca="1" si="7"/>
        <v>7.4255319148936172</v>
      </c>
      <c r="X60" s="54">
        <f ca="1">IFERROR(__xludf.DUMMYFUNCTION("""COMPUTED_VALUE"""),174)</f>
        <v>174</v>
      </c>
      <c r="Y60" s="51">
        <f t="shared" ca="1" si="8"/>
        <v>3.7021276595744679</v>
      </c>
      <c r="Z60" s="2"/>
      <c r="AA60" s="2"/>
      <c r="AB60" s="2"/>
      <c r="AC60" s="2"/>
      <c r="AD60" s="2"/>
      <c r="AE60" s="2"/>
    </row>
    <row r="61" spans="1:31" ht="12.75" x14ac:dyDescent="0.2">
      <c r="A61" s="53">
        <f ca="1">IFERROR(__xludf.DUMMYFUNCTION("""COMPUTED_VALUE"""),5)</f>
        <v>5</v>
      </c>
      <c r="B61" s="53" t="str">
        <f ca="1">IFERROR(__xludf.DUMMYFUNCTION("""COMPUTED_VALUE"""),"TH Bình Mỹ")</f>
        <v>TH Bình Mỹ</v>
      </c>
      <c r="C61" s="53" t="str">
        <f ca="1">IFERROR(__xludf.DUMMYFUNCTION("""COMPUTED_VALUE"""),"TH")</f>
        <v>TH</v>
      </c>
      <c r="D61" s="53" t="str">
        <f ca="1">IFERROR(__xludf.DUMMYFUNCTION("""COMPUTED_VALUE"""),"CỦ CHI")</f>
        <v>CỦ CHI</v>
      </c>
      <c r="E61" s="54">
        <f ca="1">IFERROR(__xludf.DUMMYFUNCTION("""COMPUTED_VALUE"""),37)</f>
        <v>37</v>
      </c>
      <c r="F61" s="54">
        <f ca="1">IFERROR(__xludf.DUMMYFUNCTION("""COMPUTED_VALUE"""),35)</f>
        <v>35</v>
      </c>
      <c r="G61" s="51">
        <f t="shared" ca="1" si="0"/>
        <v>0.94594594594594594</v>
      </c>
      <c r="H61" s="54">
        <f ca="1">IFERROR(__xludf.DUMMYFUNCTION("""COMPUTED_VALUE"""),18)</f>
        <v>18</v>
      </c>
      <c r="I61" s="51">
        <f t="shared" ca="1" si="1"/>
        <v>0.48648648648648651</v>
      </c>
      <c r="J61" s="54">
        <f ca="1">IFERROR(__xludf.DUMMYFUNCTION("""COMPUTED_VALUE"""),35)</f>
        <v>35</v>
      </c>
      <c r="K61" s="51">
        <f t="shared" ca="1" si="2"/>
        <v>0.94594594594594594</v>
      </c>
      <c r="L61" s="54">
        <f ca="1">IFERROR(__xludf.DUMMYFUNCTION("""COMPUTED_VALUE"""),18)</f>
        <v>18</v>
      </c>
      <c r="M61" s="51">
        <f t="shared" ca="1" si="3"/>
        <v>0.48648648648648651</v>
      </c>
      <c r="N61" s="54">
        <f ca="1">IFERROR(__xludf.DUMMYFUNCTION("""COMPUTED_VALUE"""),725)</f>
        <v>725</v>
      </c>
      <c r="O61" s="54">
        <f ca="1">IFERROR(__xludf.DUMMYFUNCTION("""COMPUTED_VALUE"""),462)</f>
        <v>462</v>
      </c>
      <c r="P61" s="51">
        <f t="shared" ca="1" si="4"/>
        <v>0.63724137931034486</v>
      </c>
      <c r="Q61" s="54">
        <f ca="1">IFERROR(__xludf.DUMMYFUNCTION("""COMPUTED_VALUE"""),145)</f>
        <v>145</v>
      </c>
      <c r="R61" s="51">
        <f t="shared" ca="1" si="5"/>
        <v>0.2</v>
      </c>
      <c r="S61" s="54">
        <f ca="1">IFERROR(__xludf.DUMMYFUNCTION("""COMPUTED_VALUE"""),263)</f>
        <v>263</v>
      </c>
      <c r="T61" s="53">
        <f ca="1">IFERROR(__xludf.DUMMYFUNCTION("""COMPUTED_VALUE"""),725)</f>
        <v>725</v>
      </c>
      <c r="U61" s="51">
        <f t="shared" ca="1" si="6"/>
        <v>2.7566539923954374</v>
      </c>
      <c r="V61" s="54">
        <f ca="1">IFERROR(__xludf.DUMMYFUNCTION("""COMPUTED_VALUE"""),383)</f>
        <v>383</v>
      </c>
      <c r="W61" s="51">
        <f t="shared" ca="1" si="7"/>
        <v>1.456273764258555</v>
      </c>
      <c r="X61" s="54">
        <f ca="1">IFERROR(__xludf.DUMMYFUNCTION("""COMPUTED_VALUE"""),120)</f>
        <v>120</v>
      </c>
      <c r="Y61" s="51">
        <f t="shared" ca="1" si="8"/>
        <v>0.45627376425855515</v>
      </c>
      <c r="Z61" s="2"/>
      <c r="AA61" s="2"/>
      <c r="AB61" s="2"/>
      <c r="AC61" s="2"/>
      <c r="AD61" s="2"/>
      <c r="AE61" s="2"/>
    </row>
    <row r="62" spans="1:31" ht="12.75" x14ac:dyDescent="0.2">
      <c r="A62" s="53">
        <f ca="1">IFERROR(__xludf.DUMMYFUNCTION("""COMPUTED_VALUE"""),6)</f>
        <v>6</v>
      </c>
      <c r="B62" s="53" t="str">
        <f ca="1">IFERROR(__xludf.DUMMYFUNCTION("""COMPUTED_VALUE"""),"TH Bình Mỹ 2")</f>
        <v>TH Bình Mỹ 2</v>
      </c>
      <c r="C62" s="53" t="str">
        <f ca="1">IFERROR(__xludf.DUMMYFUNCTION("""COMPUTED_VALUE"""),"TH")</f>
        <v>TH</v>
      </c>
      <c r="D62" s="53" t="str">
        <f ca="1">IFERROR(__xludf.DUMMYFUNCTION("""COMPUTED_VALUE"""),"CỦ CHI")</f>
        <v>CỦ CHI</v>
      </c>
      <c r="E62" s="54">
        <f ca="1">IFERROR(__xludf.DUMMYFUNCTION("""COMPUTED_VALUE"""),52)</f>
        <v>52</v>
      </c>
      <c r="F62" s="54">
        <f ca="1">IFERROR(__xludf.DUMMYFUNCTION("""COMPUTED_VALUE"""),50)</f>
        <v>50</v>
      </c>
      <c r="G62" s="51">
        <f t="shared" ca="1" si="0"/>
        <v>0.96153846153846156</v>
      </c>
      <c r="H62" s="54">
        <f ca="1">IFERROR(__xludf.DUMMYFUNCTION("""COMPUTED_VALUE"""),39)</f>
        <v>39</v>
      </c>
      <c r="I62" s="51">
        <f t="shared" ca="1" si="1"/>
        <v>0.75</v>
      </c>
      <c r="J62" s="54">
        <f ca="1">IFERROR(__xludf.DUMMYFUNCTION("""COMPUTED_VALUE"""),50)</f>
        <v>50</v>
      </c>
      <c r="K62" s="51">
        <f t="shared" ca="1" si="2"/>
        <v>0.96153846153846156</v>
      </c>
      <c r="L62" s="54">
        <f ca="1">IFERROR(__xludf.DUMMYFUNCTION("""COMPUTED_VALUE"""),39)</f>
        <v>39</v>
      </c>
      <c r="M62" s="51">
        <f t="shared" ca="1" si="3"/>
        <v>0.75</v>
      </c>
      <c r="N62" s="54">
        <f ca="1">IFERROR(__xludf.DUMMYFUNCTION("""COMPUTED_VALUE"""),1434)</f>
        <v>1434</v>
      </c>
      <c r="O62" s="54">
        <f ca="1">IFERROR(__xludf.DUMMYFUNCTION("""COMPUTED_VALUE"""),1003)</f>
        <v>1003</v>
      </c>
      <c r="P62" s="51">
        <f t="shared" ca="1" si="4"/>
        <v>0.69944211994421202</v>
      </c>
      <c r="Q62" s="54">
        <f ca="1">IFERROR(__xludf.DUMMYFUNCTION("""COMPUTED_VALUE"""),250)</f>
        <v>250</v>
      </c>
      <c r="R62" s="51">
        <f t="shared" ca="1" si="5"/>
        <v>0.17433751743375175</v>
      </c>
      <c r="S62" s="54">
        <f ca="1">IFERROR(__xludf.DUMMYFUNCTION("""COMPUTED_VALUE"""),192)</f>
        <v>192</v>
      </c>
      <c r="T62" s="53">
        <f ca="1">IFERROR(__xludf.DUMMYFUNCTION("""COMPUTED_VALUE"""),1434)</f>
        <v>1434</v>
      </c>
      <c r="U62" s="51">
        <f t="shared" ca="1" si="6"/>
        <v>7.46875</v>
      </c>
      <c r="V62" s="54">
        <f ca="1">IFERROR(__xludf.DUMMYFUNCTION("""COMPUTED_VALUE"""),881)</f>
        <v>881</v>
      </c>
      <c r="W62" s="51">
        <f t="shared" ca="1" si="7"/>
        <v>4.588541666666667</v>
      </c>
      <c r="X62" s="54">
        <f ca="1">IFERROR(__xludf.DUMMYFUNCTION("""COMPUTED_VALUE"""),162)</f>
        <v>162</v>
      </c>
      <c r="Y62" s="51">
        <f t="shared" ca="1" si="8"/>
        <v>0.84375</v>
      </c>
      <c r="Z62" s="2"/>
      <c r="AA62" s="2"/>
      <c r="AB62" s="2"/>
      <c r="AC62" s="2"/>
      <c r="AD62" s="2"/>
      <c r="AE62" s="2"/>
    </row>
    <row r="63" spans="1:31" ht="12.75" x14ac:dyDescent="0.2">
      <c r="A63" s="53">
        <f ca="1">IFERROR(__xludf.DUMMYFUNCTION("""COMPUTED_VALUE"""),7)</f>
        <v>7</v>
      </c>
      <c r="B63" s="53" t="str">
        <f ca="1">IFERROR(__xludf.DUMMYFUNCTION("""COMPUTED_VALUE"""),"TH Hòa Phú")</f>
        <v>TH Hòa Phú</v>
      </c>
      <c r="C63" s="53" t="str">
        <f ca="1">IFERROR(__xludf.DUMMYFUNCTION("""COMPUTED_VALUE"""),"TH")</f>
        <v>TH</v>
      </c>
      <c r="D63" s="53" t="str">
        <f ca="1">IFERROR(__xludf.DUMMYFUNCTION("""COMPUTED_VALUE"""),"CỦ CHI")</f>
        <v>CỦ CHI</v>
      </c>
      <c r="E63" s="54">
        <f ca="1">IFERROR(__xludf.DUMMYFUNCTION("""COMPUTED_VALUE"""),57)</f>
        <v>57</v>
      </c>
      <c r="F63" s="54">
        <f ca="1">IFERROR(__xludf.DUMMYFUNCTION("""COMPUTED_VALUE"""),57)</f>
        <v>57</v>
      </c>
      <c r="G63" s="51">
        <f t="shared" ca="1" si="0"/>
        <v>1</v>
      </c>
      <c r="H63" s="54">
        <f ca="1">IFERROR(__xludf.DUMMYFUNCTION("""COMPUTED_VALUE"""),47)</f>
        <v>47</v>
      </c>
      <c r="I63" s="51">
        <f t="shared" ca="1" si="1"/>
        <v>0.82456140350877194</v>
      </c>
      <c r="J63" s="54">
        <f ca="1">IFERROR(__xludf.DUMMYFUNCTION("""COMPUTED_VALUE"""),57)</f>
        <v>57</v>
      </c>
      <c r="K63" s="51">
        <f t="shared" ca="1" si="2"/>
        <v>1</v>
      </c>
      <c r="L63" s="54">
        <f ca="1">IFERROR(__xludf.DUMMYFUNCTION("""COMPUTED_VALUE"""),47)</f>
        <v>47</v>
      </c>
      <c r="M63" s="51">
        <f t="shared" ca="1" si="3"/>
        <v>0.82456140350877194</v>
      </c>
      <c r="N63" s="54">
        <f ca="1">IFERROR(__xludf.DUMMYFUNCTION("""COMPUTED_VALUE"""),1418)</f>
        <v>1418</v>
      </c>
      <c r="O63" s="54">
        <f ca="1">IFERROR(__xludf.DUMMYFUNCTION("""COMPUTED_VALUE"""),1072)</f>
        <v>1072</v>
      </c>
      <c r="P63" s="51">
        <f t="shared" ca="1" si="4"/>
        <v>0.75599435825105787</v>
      </c>
      <c r="Q63" s="54">
        <f ca="1">IFERROR(__xludf.DUMMYFUNCTION("""COMPUTED_VALUE"""),240)</f>
        <v>240</v>
      </c>
      <c r="R63" s="51">
        <f t="shared" ca="1" si="5"/>
        <v>0.16925246826516219</v>
      </c>
      <c r="S63" s="54">
        <f ca="1">IFERROR(__xludf.DUMMYFUNCTION("""COMPUTED_VALUE"""),346)</f>
        <v>346</v>
      </c>
      <c r="T63" s="54">
        <f ca="1">IFERROR(__xludf.DUMMYFUNCTION("""COMPUTED_VALUE"""),1418)</f>
        <v>1418</v>
      </c>
      <c r="U63" s="51">
        <f t="shared" ca="1" si="6"/>
        <v>4.098265895953757</v>
      </c>
      <c r="V63" s="54">
        <f ca="1">IFERROR(__xludf.DUMMYFUNCTION("""COMPUTED_VALUE"""),972)</f>
        <v>972</v>
      </c>
      <c r="W63" s="51">
        <f t="shared" ca="1" si="7"/>
        <v>2.8092485549132946</v>
      </c>
      <c r="X63" s="54">
        <f ca="1">IFERROR(__xludf.DUMMYFUNCTION("""COMPUTED_VALUE"""),129)</f>
        <v>129</v>
      </c>
      <c r="Y63" s="51">
        <f t="shared" ca="1" si="8"/>
        <v>0.37283236994219654</v>
      </c>
      <c r="Z63" s="2"/>
      <c r="AA63" s="2"/>
      <c r="AB63" s="2"/>
      <c r="AC63" s="2"/>
      <c r="AD63" s="2"/>
      <c r="AE63" s="2"/>
    </row>
    <row r="64" spans="1:31" ht="12.75" x14ac:dyDescent="0.2">
      <c r="A64" s="53">
        <f ca="1">IFERROR(__xludf.DUMMYFUNCTION("""COMPUTED_VALUE"""),8)</f>
        <v>8</v>
      </c>
      <c r="B64" s="53" t="str">
        <f ca="1">IFERROR(__xludf.DUMMYFUNCTION("""COMPUTED_VALUE"""),"TH Nhuận Đức")</f>
        <v>TH Nhuận Đức</v>
      </c>
      <c r="C64" s="53" t="str">
        <f ca="1">IFERROR(__xludf.DUMMYFUNCTION("""COMPUTED_VALUE"""),"TH")</f>
        <v>TH</v>
      </c>
      <c r="D64" s="53" t="str">
        <f ca="1">IFERROR(__xludf.DUMMYFUNCTION("""COMPUTED_VALUE"""),"CỦ CHI")</f>
        <v>CỦ CHI</v>
      </c>
      <c r="E64" s="54">
        <f ca="1">IFERROR(__xludf.DUMMYFUNCTION("""COMPUTED_VALUE"""),32)</f>
        <v>32</v>
      </c>
      <c r="F64" s="54">
        <f ca="1">IFERROR(__xludf.DUMMYFUNCTION("""COMPUTED_VALUE"""),32)</f>
        <v>32</v>
      </c>
      <c r="G64" s="51">
        <f t="shared" ca="1" si="0"/>
        <v>1</v>
      </c>
      <c r="H64" s="54">
        <f ca="1">IFERROR(__xludf.DUMMYFUNCTION("""COMPUTED_VALUE"""),28)</f>
        <v>28</v>
      </c>
      <c r="I64" s="51">
        <f t="shared" ca="1" si="1"/>
        <v>0.875</v>
      </c>
      <c r="J64" s="54">
        <f ca="1">IFERROR(__xludf.DUMMYFUNCTION("""COMPUTED_VALUE"""),32)</f>
        <v>32</v>
      </c>
      <c r="K64" s="51">
        <f t="shared" ca="1" si="2"/>
        <v>1</v>
      </c>
      <c r="L64" s="54">
        <f ca="1">IFERROR(__xludf.DUMMYFUNCTION("""COMPUTED_VALUE"""),28)</f>
        <v>28</v>
      </c>
      <c r="M64" s="51">
        <f t="shared" ca="1" si="3"/>
        <v>0.875</v>
      </c>
      <c r="N64" s="54">
        <f ca="1">IFERROR(__xludf.DUMMYFUNCTION("""COMPUTED_VALUE"""),456)</f>
        <v>456</v>
      </c>
      <c r="O64" s="54">
        <f ca="1">IFERROR(__xludf.DUMMYFUNCTION("""COMPUTED_VALUE"""),384)</f>
        <v>384</v>
      </c>
      <c r="P64" s="51">
        <f t="shared" ca="1" si="4"/>
        <v>0.84210526315789469</v>
      </c>
      <c r="Q64" s="54">
        <f ca="1">IFERROR(__xludf.DUMMYFUNCTION("""COMPUTED_VALUE"""),150)</f>
        <v>150</v>
      </c>
      <c r="R64" s="51">
        <f t="shared" ca="1" si="5"/>
        <v>0.32894736842105265</v>
      </c>
      <c r="S64" s="54">
        <f ca="1">IFERROR(__xludf.DUMMYFUNCTION("""COMPUTED_VALUE"""),72)</f>
        <v>72</v>
      </c>
      <c r="T64" s="53">
        <f ca="1">IFERROR(__xludf.DUMMYFUNCTION("""COMPUTED_VALUE"""),456)</f>
        <v>456</v>
      </c>
      <c r="U64" s="51">
        <f t="shared" ca="1" si="6"/>
        <v>6.333333333333333</v>
      </c>
      <c r="V64" s="54">
        <f ca="1">IFERROR(__xludf.DUMMYFUNCTION("""COMPUTED_VALUE"""),348)</f>
        <v>348</v>
      </c>
      <c r="W64" s="51">
        <f t="shared" ca="1" si="7"/>
        <v>4.833333333333333</v>
      </c>
      <c r="X64" s="54">
        <f ca="1">IFERROR(__xludf.DUMMYFUNCTION("""COMPUTED_VALUE"""),88)</f>
        <v>88</v>
      </c>
      <c r="Y64" s="51">
        <f t="shared" ca="1" si="8"/>
        <v>1.2222222222222223</v>
      </c>
      <c r="Z64" s="2"/>
      <c r="AA64" s="2"/>
      <c r="AB64" s="2"/>
      <c r="AC64" s="2"/>
      <c r="AD64" s="2"/>
      <c r="AE64" s="2"/>
    </row>
    <row r="65" spans="1:31" ht="12.75" x14ac:dyDescent="0.2">
      <c r="A65" s="53">
        <f ca="1">IFERROR(__xludf.DUMMYFUNCTION("""COMPUTED_VALUE"""),9)</f>
        <v>9</v>
      </c>
      <c r="B65" s="53" t="str">
        <f ca="1">IFERROR(__xludf.DUMMYFUNCTION("""COMPUTED_VALUE"""),"TH Nhuận Đức 2")</f>
        <v>TH Nhuận Đức 2</v>
      </c>
      <c r="C65" s="53" t="str">
        <f ca="1">IFERROR(__xludf.DUMMYFUNCTION("""COMPUTED_VALUE"""),"TH")</f>
        <v>TH</v>
      </c>
      <c r="D65" s="53" t="str">
        <f ca="1">IFERROR(__xludf.DUMMYFUNCTION("""COMPUTED_VALUE"""),"CỦ CHI")</f>
        <v>CỦ CHI</v>
      </c>
      <c r="E65" s="53">
        <f ca="1">IFERROR(__xludf.DUMMYFUNCTION("""COMPUTED_VALUE"""),26)</f>
        <v>26</v>
      </c>
      <c r="F65" s="53">
        <f ca="1">IFERROR(__xludf.DUMMYFUNCTION("""COMPUTED_VALUE"""),24)</f>
        <v>24</v>
      </c>
      <c r="G65" s="51">
        <f t="shared" ca="1" si="0"/>
        <v>0.92307692307692313</v>
      </c>
      <c r="H65" s="53">
        <f ca="1">IFERROR(__xludf.DUMMYFUNCTION("""COMPUTED_VALUE"""),16)</f>
        <v>16</v>
      </c>
      <c r="I65" s="51">
        <f t="shared" ca="1" si="1"/>
        <v>0.61538461538461542</v>
      </c>
      <c r="J65" s="53">
        <f ca="1">IFERROR(__xludf.DUMMYFUNCTION("""COMPUTED_VALUE"""),24)</f>
        <v>24</v>
      </c>
      <c r="K65" s="51">
        <f t="shared" ca="1" si="2"/>
        <v>0.92307692307692313</v>
      </c>
      <c r="L65" s="53">
        <f ca="1">IFERROR(__xludf.DUMMYFUNCTION("""COMPUTED_VALUE"""),16)</f>
        <v>16</v>
      </c>
      <c r="M65" s="51">
        <f t="shared" ca="1" si="3"/>
        <v>0.61538461538461542</v>
      </c>
      <c r="N65" s="54">
        <f ca="1">IFERROR(__xludf.DUMMYFUNCTION("""COMPUTED_VALUE"""),322)</f>
        <v>322</v>
      </c>
      <c r="O65" s="54">
        <f ca="1">IFERROR(__xludf.DUMMYFUNCTION("""COMPUTED_VALUE"""),291)</f>
        <v>291</v>
      </c>
      <c r="P65" s="51">
        <f t="shared" ca="1" si="4"/>
        <v>0.90372670807453415</v>
      </c>
      <c r="Q65" s="54">
        <f ca="1">IFERROR(__xludf.DUMMYFUNCTION("""COMPUTED_VALUE"""),199)</f>
        <v>199</v>
      </c>
      <c r="R65" s="51">
        <f t="shared" ca="1" si="5"/>
        <v>0.61801242236024845</v>
      </c>
      <c r="S65" s="54">
        <f ca="1">IFERROR(__xludf.DUMMYFUNCTION("""COMPUTED_VALUE"""),31)</f>
        <v>31</v>
      </c>
      <c r="T65" s="53">
        <f ca="1">IFERROR(__xludf.DUMMYFUNCTION("""COMPUTED_VALUE"""),322)</f>
        <v>322</v>
      </c>
      <c r="U65" s="51">
        <f t="shared" ca="1" si="6"/>
        <v>10.387096774193548</v>
      </c>
      <c r="V65" s="54">
        <f ca="1">IFERROR(__xludf.DUMMYFUNCTION("""COMPUTED_VALUE"""),275)</f>
        <v>275</v>
      </c>
      <c r="W65" s="51">
        <f t="shared" ca="1" si="7"/>
        <v>8.870967741935484</v>
      </c>
      <c r="X65" s="54">
        <f ca="1">IFERROR(__xludf.DUMMYFUNCTION("""COMPUTED_VALUE"""),116)</f>
        <v>116</v>
      </c>
      <c r="Y65" s="51">
        <f t="shared" ca="1" si="8"/>
        <v>3.7419354838709675</v>
      </c>
      <c r="Z65" s="2"/>
      <c r="AA65" s="2"/>
      <c r="AB65" s="2"/>
      <c r="AC65" s="2"/>
      <c r="AD65" s="2"/>
      <c r="AE65" s="2"/>
    </row>
    <row r="66" spans="1:31" ht="12.75" x14ac:dyDescent="0.2">
      <c r="A66" s="53">
        <f ca="1">IFERROR(__xludf.DUMMYFUNCTION("""COMPUTED_VALUE"""),10)</f>
        <v>10</v>
      </c>
      <c r="B66" s="53"/>
      <c r="C66" s="53"/>
      <c r="D66" s="53" t="str">
        <f ca="1">IFERROR(__xludf.DUMMYFUNCTION("""COMPUTED_VALUE"""),"CỦ CHI")</f>
        <v>CỦ CHI</v>
      </c>
      <c r="E66" s="54">
        <f ca="1">IFERROR(__xludf.DUMMYFUNCTION("""COMPUTED_VALUE"""),48)</f>
        <v>48</v>
      </c>
      <c r="F66" s="54">
        <f ca="1">IFERROR(__xludf.DUMMYFUNCTION("""COMPUTED_VALUE"""),48)</f>
        <v>48</v>
      </c>
      <c r="G66" s="51">
        <f t="shared" ca="1" si="0"/>
        <v>1</v>
      </c>
      <c r="H66" s="54">
        <f ca="1">IFERROR(__xludf.DUMMYFUNCTION("""COMPUTED_VALUE"""),41)</f>
        <v>41</v>
      </c>
      <c r="I66" s="51">
        <f t="shared" ca="1" si="1"/>
        <v>0.85416666666666663</v>
      </c>
      <c r="J66" s="54">
        <f ca="1">IFERROR(__xludf.DUMMYFUNCTION("""COMPUTED_VALUE"""),48)</f>
        <v>48</v>
      </c>
      <c r="K66" s="51">
        <f t="shared" ca="1" si="2"/>
        <v>1</v>
      </c>
      <c r="L66" s="54">
        <f ca="1">IFERROR(__xludf.DUMMYFUNCTION("""COMPUTED_VALUE"""),41)</f>
        <v>41</v>
      </c>
      <c r="M66" s="51">
        <f t="shared" ca="1" si="3"/>
        <v>0.85416666666666663</v>
      </c>
      <c r="N66" s="54">
        <f ca="1">IFERROR(__xludf.DUMMYFUNCTION("""COMPUTED_VALUE"""),1088)</f>
        <v>1088</v>
      </c>
      <c r="O66" s="54">
        <f ca="1">IFERROR(__xludf.DUMMYFUNCTION("""COMPUTED_VALUE"""),723)</f>
        <v>723</v>
      </c>
      <c r="P66" s="51">
        <f t="shared" ca="1" si="4"/>
        <v>0.66452205882352944</v>
      </c>
      <c r="Q66" s="54">
        <f ca="1">IFERROR(__xludf.DUMMYFUNCTION("""COMPUTED_VALUE"""),400)</f>
        <v>400</v>
      </c>
      <c r="R66" s="51">
        <f t="shared" ca="1" si="5"/>
        <v>0.36764705882352944</v>
      </c>
      <c r="S66" s="54">
        <f ca="1">IFERROR(__xludf.DUMMYFUNCTION("""COMPUTED_VALUE"""),306)</f>
        <v>306</v>
      </c>
      <c r="T66" s="53">
        <f ca="1">IFERROR(__xludf.DUMMYFUNCTION("""COMPUTED_VALUE"""),1085)</f>
        <v>1085</v>
      </c>
      <c r="U66" s="51">
        <f t="shared" ca="1" si="6"/>
        <v>3.5457516339869279</v>
      </c>
      <c r="V66" s="54">
        <f ca="1">IFERROR(__xludf.DUMMYFUNCTION("""COMPUTED_VALUE"""),723)</f>
        <v>723</v>
      </c>
      <c r="W66" s="51">
        <f t="shared" ca="1" si="7"/>
        <v>2.3627450980392157</v>
      </c>
      <c r="X66" s="54">
        <f ca="1">IFERROR(__xludf.DUMMYFUNCTION("""COMPUTED_VALUE"""),400)</f>
        <v>400</v>
      </c>
      <c r="Y66" s="51">
        <f t="shared" ca="1" si="8"/>
        <v>1.3071895424836601</v>
      </c>
      <c r="Z66" s="2"/>
      <c r="AA66" s="2"/>
      <c r="AB66" s="2"/>
      <c r="AC66" s="2"/>
      <c r="AD66" s="2"/>
      <c r="AE66" s="2"/>
    </row>
    <row r="67" spans="1:31" ht="12.75" x14ac:dyDescent="0.2">
      <c r="A67" s="53">
        <f ca="1">IFERROR(__xludf.DUMMYFUNCTION("""COMPUTED_VALUE"""),11)</f>
        <v>11</v>
      </c>
      <c r="B67" s="53" t="str">
        <f ca="1">IFERROR(__xludf.DUMMYFUNCTION("""COMPUTED_VALUE"""),"TH Phú Hòa Đông")</f>
        <v>TH Phú Hòa Đông</v>
      </c>
      <c r="C67" s="53" t="str">
        <f ca="1">IFERROR(__xludf.DUMMYFUNCTION("""COMPUTED_VALUE"""),"TH")</f>
        <v>TH</v>
      </c>
      <c r="D67" s="53" t="str">
        <f ca="1">IFERROR(__xludf.DUMMYFUNCTION("""COMPUTED_VALUE"""),"CỦ CHI")</f>
        <v>CỦ CHI</v>
      </c>
      <c r="E67" s="54">
        <f ca="1">IFERROR(__xludf.DUMMYFUNCTION("""COMPUTED_VALUE"""),52)</f>
        <v>52</v>
      </c>
      <c r="F67" s="54">
        <f ca="1">IFERROR(__xludf.DUMMYFUNCTION("""COMPUTED_VALUE"""),51)</f>
        <v>51</v>
      </c>
      <c r="G67" s="51">
        <f t="shared" ca="1" si="0"/>
        <v>0.98076923076923073</v>
      </c>
      <c r="H67" s="54">
        <f ca="1">IFERROR(__xludf.DUMMYFUNCTION("""COMPUTED_VALUE"""),33)</f>
        <v>33</v>
      </c>
      <c r="I67" s="51">
        <f t="shared" ca="1" si="1"/>
        <v>0.63461538461538458</v>
      </c>
      <c r="J67" s="54">
        <f ca="1">IFERROR(__xludf.DUMMYFUNCTION("""COMPUTED_VALUE"""),51)</f>
        <v>51</v>
      </c>
      <c r="K67" s="51">
        <f t="shared" ca="1" si="2"/>
        <v>0.98076923076923073</v>
      </c>
      <c r="L67" s="54">
        <f ca="1">IFERROR(__xludf.DUMMYFUNCTION("""COMPUTED_VALUE"""),33)</f>
        <v>33</v>
      </c>
      <c r="M67" s="51">
        <f t="shared" ca="1" si="3"/>
        <v>0.63461538461538458</v>
      </c>
      <c r="N67" s="54">
        <f ca="1">IFERROR(__xludf.DUMMYFUNCTION("""COMPUTED_VALUE"""),1291)</f>
        <v>1291</v>
      </c>
      <c r="O67" s="54">
        <f ca="1">IFERROR(__xludf.DUMMYFUNCTION("""COMPUTED_VALUE"""),895)</f>
        <v>895</v>
      </c>
      <c r="P67" s="51">
        <f t="shared" ca="1" si="4"/>
        <v>0.69326103795507354</v>
      </c>
      <c r="Q67" s="54">
        <f ca="1">IFERROR(__xludf.DUMMYFUNCTION("""COMPUTED_VALUE"""),418)</f>
        <v>418</v>
      </c>
      <c r="R67" s="51">
        <f t="shared" ca="1" si="5"/>
        <v>0.32378001549186675</v>
      </c>
      <c r="S67" s="54">
        <f ca="1">IFERROR(__xludf.DUMMYFUNCTION("""COMPUTED_VALUE"""),308)</f>
        <v>308</v>
      </c>
      <c r="T67" s="54">
        <f ca="1">IFERROR(__xludf.DUMMYFUNCTION("""COMPUTED_VALUE"""),1291)</f>
        <v>1291</v>
      </c>
      <c r="U67" s="51">
        <f t="shared" ca="1" si="6"/>
        <v>4.1915584415584419</v>
      </c>
      <c r="V67" s="54">
        <f ca="1">IFERROR(__xludf.DUMMYFUNCTION("""COMPUTED_VALUE"""),895)</f>
        <v>895</v>
      </c>
      <c r="W67" s="51">
        <f t="shared" ca="1" si="7"/>
        <v>2.9058441558441559</v>
      </c>
      <c r="X67" s="54">
        <f ca="1">IFERROR(__xludf.DUMMYFUNCTION("""COMPUTED_VALUE"""),418)</f>
        <v>418</v>
      </c>
      <c r="Y67" s="51">
        <f t="shared" ca="1" si="8"/>
        <v>1.3571428571428572</v>
      </c>
      <c r="Z67" s="2"/>
      <c r="AA67" s="2"/>
      <c r="AB67" s="2"/>
      <c r="AC67" s="2"/>
      <c r="AD67" s="2"/>
      <c r="AE67" s="2"/>
    </row>
    <row r="68" spans="1:31" ht="12.75" x14ac:dyDescent="0.2">
      <c r="A68" s="53">
        <f ca="1">IFERROR(__xludf.DUMMYFUNCTION("""COMPUTED_VALUE"""),12)</f>
        <v>12</v>
      </c>
      <c r="B68" s="53" t="str">
        <f ca="1">IFERROR(__xludf.DUMMYFUNCTION("""COMPUTED_VALUE"""),"TH Phú Hòa Đông 2")</f>
        <v>TH Phú Hòa Đông 2</v>
      </c>
      <c r="C68" s="53" t="str">
        <f ca="1">IFERROR(__xludf.DUMMYFUNCTION("""COMPUTED_VALUE"""),"TH")</f>
        <v>TH</v>
      </c>
      <c r="D68" s="53" t="str">
        <f ca="1">IFERROR(__xludf.DUMMYFUNCTION("""COMPUTED_VALUE"""),"CỦ CHI")</f>
        <v>CỦ CHI</v>
      </c>
      <c r="E68" s="54">
        <f ca="1">IFERROR(__xludf.DUMMYFUNCTION("""COMPUTED_VALUE"""),44)</f>
        <v>44</v>
      </c>
      <c r="F68" s="54">
        <f ca="1">IFERROR(__xludf.DUMMYFUNCTION("""COMPUTED_VALUE"""),43)</f>
        <v>43</v>
      </c>
      <c r="G68" s="51">
        <f t="shared" ca="1" si="0"/>
        <v>0.97727272727272729</v>
      </c>
      <c r="H68" s="54">
        <f ca="1">IFERROR(__xludf.DUMMYFUNCTION("""COMPUTED_VALUE"""),30)</f>
        <v>30</v>
      </c>
      <c r="I68" s="51">
        <f t="shared" ca="1" si="1"/>
        <v>0.68181818181818177</v>
      </c>
      <c r="J68" s="54">
        <f ca="1">IFERROR(__xludf.DUMMYFUNCTION("""COMPUTED_VALUE"""),43)</f>
        <v>43</v>
      </c>
      <c r="K68" s="51">
        <f t="shared" ca="1" si="2"/>
        <v>0.97727272727272729</v>
      </c>
      <c r="L68" s="54">
        <f ca="1">IFERROR(__xludf.DUMMYFUNCTION("""COMPUTED_VALUE"""),30)</f>
        <v>30</v>
      </c>
      <c r="M68" s="51">
        <f t="shared" ca="1" si="3"/>
        <v>0.68181818181818177</v>
      </c>
      <c r="N68" s="54">
        <f ca="1">IFERROR(__xludf.DUMMYFUNCTION("""COMPUTED_VALUE"""),737)</f>
        <v>737</v>
      </c>
      <c r="O68" s="54">
        <f ca="1">IFERROR(__xludf.DUMMYFUNCTION("""COMPUTED_VALUE"""),600)</f>
        <v>600</v>
      </c>
      <c r="P68" s="51">
        <f t="shared" ca="1" si="4"/>
        <v>0.81411126187245586</v>
      </c>
      <c r="Q68" s="54">
        <f ca="1">IFERROR(__xludf.DUMMYFUNCTION("""COMPUTED_VALUE"""),255)</f>
        <v>255</v>
      </c>
      <c r="R68" s="51">
        <f t="shared" ca="1" si="5"/>
        <v>0.34599728629579374</v>
      </c>
      <c r="S68" s="54">
        <f ca="1">IFERROR(__xludf.DUMMYFUNCTION("""COMPUTED_VALUE"""),137)</f>
        <v>137</v>
      </c>
      <c r="T68" s="53">
        <f ca="1">IFERROR(__xludf.DUMMYFUNCTION("""COMPUTED_VALUE"""),737)</f>
        <v>737</v>
      </c>
      <c r="U68" s="51">
        <f t="shared" ca="1" si="6"/>
        <v>5.3795620437956204</v>
      </c>
      <c r="V68" s="54">
        <f ca="1">IFERROR(__xludf.DUMMYFUNCTION("""COMPUTED_VALUE"""),576)</f>
        <v>576</v>
      </c>
      <c r="W68" s="51">
        <f t="shared" ca="1" si="7"/>
        <v>4.2043795620437958</v>
      </c>
      <c r="X68" s="54">
        <f ca="1">IFERROR(__xludf.DUMMYFUNCTION("""COMPUTED_VALUE"""),163)</f>
        <v>163</v>
      </c>
      <c r="Y68" s="51">
        <f t="shared" ca="1" si="8"/>
        <v>1.1897810218978102</v>
      </c>
      <c r="Z68" s="2"/>
      <c r="AA68" s="2"/>
      <c r="AB68" s="2"/>
      <c r="AC68" s="2"/>
      <c r="AD68" s="2"/>
      <c r="AE68" s="2"/>
    </row>
    <row r="69" spans="1:31" ht="12.75" x14ac:dyDescent="0.2">
      <c r="A69" s="53">
        <f ca="1">IFERROR(__xludf.DUMMYFUNCTION("""COMPUTED_VALUE"""),13)</f>
        <v>13</v>
      </c>
      <c r="B69" s="53" t="str">
        <f ca="1">IFERROR(__xludf.DUMMYFUNCTION("""COMPUTED_VALUE"""),"TH Phú Mỹ Hưng")</f>
        <v>TH Phú Mỹ Hưng</v>
      </c>
      <c r="C69" s="53" t="str">
        <f ca="1">IFERROR(__xludf.DUMMYFUNCTION("""COMPUTED_VALUE"""),"TH")</f>
        <v>TH</v>
      </c>
      <c r="D69" s="53" t="str">
        <f ca="1">IFERROR(__xludf.DUMMYFUNCTION("""COMPUTED_VALUE"""),"CỦ CHI")</f>
        <v>CỦ CHI</v>
      </c>
      <c r="E69" s="54">
        <f ca="1">IFERROR(__xludf.DUMMYFUNCTION("""COMPUTED_VALUE"""),37)</f>
        <v>37</v>
      </c>
      <c r="F69" s="54">
        <f ca="1">IFERROR(__xludf.DUMMYFUNCTION("""COMPUTED_VALUE"""),37)</f>
        <v>37</v>
      </c>
      <c r="G69" s="51">
        <f t="shared" ca="1" si="0"/>
        <v>1</v>
      </c>
      <c r="H69" s="54">
        <f ca="1">IFERROR(__xludf.DUMMYFUNCTION("""COMPUTED_VALUE"""),36)</f>
        <v>36</v>
      </c>
      <c r="I69" s="51">
        <f t="shared" ca="1" si="1"/>
        <v>0.97297297297297303</v>
      </c>
      <c r="J69" s="54">
        <f ca="1">IFERROR(__xludf.DUMMYFUNCTION("""COMPUTED_VALUE"""),37)</f>
        <v>37</v>
      </c>
      <c r="K69" s="51">
        <f t="shared" ca="1" si="2"/>
        <v>1</v>
      </c>
      <c r="L69" s="54">
        <f ca="1">IFERROR(__xludf.DUMMYFUNCTION("""COMPUTED_VALUE"""),36)</f>
        <v>36</v>
      </c>
      <c r="M69" s="51">
        <f t="shared" ca="1" si="3"/>
        <v>0.97297297297297303</v>
      </c>
      <c r="N69" s="54">
        <f ca="1">IFERROR(__xludf.DUMMYFUNCTION("""COMPUTED_VALUE"""),579)</f>
        <v>579</v>
      </c>
      <c r="O69" s="54">
        <f ca="1">IFERROR(__xludf.DUMMYFUNCTION("""COMPUTED_VALUE"""),539)</f>
        <v>539</v>
      </c>
      <c r="P69" s="51">
        <f t="shared" ca="1" si="4"/>
        <v>0.93091537132987912</v>
      </c>
      <c r="Q69" s="54">
        <f ca="1">IFERROR(__xludf.DUMMYFUNCTION("""COMPUTED_VALUE"""),153)</f>
        <v>153</v>
      </c>
      <c r="R69" s="51">
        <f t="shared" ca="1" si="5"/>
        <v>0.26424870466321243</v>
      </c>
      <c r="S69" s="54">
        <f ca="1">IFERROR(__xludf.DUMMYFUNCTION("""COMPUTED_VALUE"""),40)</f>
        <v>40</v>
      </c>
      <c r="T69" s="54">
        <f ca="1">IFERROR(__xludf.DUMMYFUNCTION("""COMPUTED_VALUE"""),579)</f>
        <v>579</v>
      </c>
      <c r="U69" s="51">
        <f t="shared" ca="1" si="6"/>
        <v>14.475</v>
      </c>
      <c r="V69" s="54">
        <f ca="1">IFERROR(__xludf.DUMMYFUNCTION("""COMPUTED_VALUE"""),532)</f>
        <v>532</v>
      </c>
      <c r="W69" s="51">
        <f t="shared" ca="1" si="7"/>
        <v>13.3</v>
      </c>
      <c r="X69" s="54">
        <f ca="1">IFERROR(__xludf.DUMMYFUNCTION("""COMPUTED_VALUE"""),125)</f>
        <v>125</v>
      </c>
      <c r="Y69" s="51">
        <f t="shared" ca="1" si="8"/>
        <v>3.125</v>
      </c>
      <c r="Z69" s="2"/>
      <c r="AA69" s="2"/>
      <c r="AB69" s="2"/>
      <c r="AC69" s="2"/>
      <c r="AD69" s="2"/>
      <c r="AE69" s="2"/>
    </row>
    <row r="70" spans="1:31" ht="12.75" x14ac:dyDescent="0.2">
      <c r="A70" s="53">
        <f ca="1">IFERROR(__xludf.DUMMYFUNCTION("""COMPUTED_VALUE"""),14)</f>
        <v>14</v>
      </c>
      <c r="B70" s="53" t="str">
        <f ca="1">IFERROR(__xludf.DUMMYFUNCTION("""COMPUTED_VALUE"""),"TH Phước Hiệp")</f>
        <v>TH Phước Hiệp</v>
      </c>
      <c r="C70" s="53" t="str">
        <f ca="1">IFERROR(__xludf.DUMMYFUNCTION("""COMPUTED_VALUE"""),"TH")</f>
        <v>TH</v>
      </c>
      <c r="D70" s="53" t="str">
        <f ca="1">IFERROR(__xludf.DUMMYFUNCTION("""COMPUTED_VALUE"""),"CỦ CHI")</f>
        <v>CỦ CHI</v>
      </c>
      <c r="E70" s="54">
        <f ca="1">IFERROR(__xludf.DUMMYFUNCTION("""COMPUTED_VALUE"""),51)</f>
        <v>51</v>
      </c>
      <c r="F70" s="54">
        <f ca="1">IFERROR(__xludf.DUMMYFUNCTION("""COMPUTED_VALUE"""),51)</f>
        <v>51</v>
      </c>
      <c r="G70" s="51">
        <f t="shared" ref="G70:G78" ca="1" si="9">IFERROR(F70/E70,"")</f>
        <v>1</v>
      </c>
      <c r="H70" s="54">
        <f ca="1">IFERROR(__xludf.DUMMYFUNCTION("""COMPUTED_VALUE"""),42)</f>
        <v>42</v>
      </c>
      <c r="I70" s="51">
        <f t="shared" ref="I70:I78" ca="1" si="10">IFERROR(H70/E70,"")</f>
        <v>0.82352941176470584</v>
      </c>
      <c r="J70" s="54">
        <f ca="1">IFERROR(__xludf.DUMMYFUNCTION("""COMPUTED_VALUE"""),51)</f>
        <v>51</v>
      </c>
      <c r="K70" s="51">
        <f t="shared" ref="K70:K78" ca="1" si="11">IFERROR(J70/E70,"")</f>
        <v>1</v>
      </c>
      <c r="L70" s="54">
        <f ca="1">IFERROR(__xludf.DUMMYFUNCTION("""COMPUTED_VALUE"""),42)</f>
        <v>42</v>
      </c>
      <c r="M70" s="51">
        <f t="shared" ref="M70:M78" ca="1" si="12">IFERROR(L70/E70,"")</f>
        <v>0.82352941176470584</v>
      </c>
      <c r="N70" s="54">
        <f ca="1">IFERROR(__xludf.DUMMYFUNCTION("""COMPUTED_VALUE"""),984)</f>
        <v>984</v>
      </c>
      <c r="O70" s="54">
        <f ca="1">IFERROR(__xludf.DUMMYFUNCTION("""COMPUTED_VALUE"""),903)</f>
        <v>903</v>
      </c>
      <c r="P70" s="51">
        <f t="shared" ref="P70:P78" ca="1" si="13">IFERROR(O70/N70,"")</f>
        <v>0.91768292682926833</v>
      </c>
      <c r="Q70" s="54">
        <f ca="1">IFERROR(__xludf.DUMMYFUNCTION("""COMPUTED_VALUE"""),326)</f>
        <v>326</v>
      </c>
      <c r="R70" s="51">
        <f t="shared" ref="R70:R78" ca="1" si="14">IFERROR(Q70/N70,"")</f>
        <v>0.33130081300813008</v>
      </c>
      <c r="S70" s="53">
        <f ca="1">IFERROR(__xludf.DUMMYFUNCTION("""COMPUTED_VALUE"""),81)</f>
        <v>81</v>
      </c>
      <c r="T70" s="53">
        <f ca="1">IFERROR(__xludf.DUMMYFUNCTION("""COMPUTED_VALUE"""),984)</f>
        <v>984</v>
      </c>
      <c r="U70" s="51">
        <f t="shared" ref="U70:U78" ca="1" si="15">IFERROR(T70/S70,"")</f>
        <v>12.148148148148149</v>
      </c>
      <c r="V70" s="53">
        <f ca="1">IFERROR(__xludf.DUMMYFUNCTION("""COMPUTED_VALUE"""),903)</f>
        <v>903</v>
      </c>
      <c r="W70" s="51">
        <f t="shared" ref="W70:W78" ca="1" si="16">IFERROR(V70/S70,"")</f>
        <v>11.148148148148149</v>
      </c>
      <c r="X70" s="53">
        <f ca="1">IFERROR(__xludf.DUMMYFUNCTION("""COMPUTED_VALUE"""),326)</f>
        <v>326</v>
      </c>
      <c r="Y70" s="51">
        <f t="shared" ref="Y70:Y78" ca="1" si="17">IFERROR(X70/S70,"")</f>
        <v>4.0246913580246915</v>
      </c>
      <c r="Z70" s="2"/>
      <c r="AA70" s="2"/>
      <c r="AB70" s="2"/>
      <c r="AC70" s="2"/>
      <c r="AD70" s="2"/>
      <c r="AE70" s="2"/>
    </row>
    <row r="71" spans="1:31" ht="12.75" x14ac:dyDescent="0.2">
      <c r="A71" s="53">
        <f ca="1">IFERROR(__xludf.DUMMYFUNCTION("""COMPUTED_VALUE"""),15)</f>
        <v>15</v>
      </c>
      <c r="B71" s="53" t="str">
        <f ca="1">IFERROR(__xludf.DUMMYFUNCTION("""COMPUTED_VALUE"""),"TH Phước Thạnh")</f>
        <v>TH Phước Thạnh</v>
      </c>
      <c r="C71" s="53" t="str">
        <f ca="1">IFERROR(__xludf.DUMMYFUNCTION("""COMPUTED_VALUE"""),"TH")</f>
        <v>TH</v>
      </c>
      <c r="D71" s="53" t="str">
        <f ca="1">IFERROR(__xludf.DUMMYFUNCTION("""COMPUTED_VALUE"""),"CỦ CHI")</f>
        <v>CỦ CHI</v>
      </c>
      <c r="E71" s="54">
        <f ca="1">IFERROR(__xludf.DUMMYFUNCTION("""COMPUTED_VALUE"""),50)</f>
        <v>50</v>
      </c>
      <c r="F71" s="54">
        <f ca="1">IFERROR(__xludf.DUMMYFUNCTION("""COMPUTED_VALUE"""),50)</f>
        <v>50</v>
      </c>
      <c r="G71" s="51">
        <f t="shared" ca="1" si="9"/>
        <v>1</v>
      </c>
      <c r="H71" s="54">
        <f ca="1">IFERROR(__xludf.DUMMYFUNCTION("""COMPUTED_VALUE"""),40)</f>
        <v>40</v>
      </c>
      <c r="I71" s="51">
        <f t="shared" ca="1" si="10"/>
        <v>0.8</v>
      </c>
      <c r="J71" s="54">
        <f ca="1">IFERROR(__xludf.DUMMYFUNCTION("""COMPUTED_VALUE"""),50)</f>
        <v>50</v>
      </c>
      <c r="K71" s="51">
        <f t="shared" ca="1" si="11"/>
        <v>1</v>
      </c>
      <c r="L71" s="54">
        <f ca="1">IFERROR(__xludf.DUMMYFUNCTION("""COMPUTED_VALUE"""),40)</f>
        <v>40</v>
      </c>
      <c r="M71" s="51">
        <f t="shared" ca="1" si="12"/>
        <v>0.8</v>
      </c>
      <c r="N71" s="54">
        <f ca="1">IFERROR(__xludf.DUMMYFUNCTION("""COMPUTED_VALUE"""),997)</f>
        <v>997</v>
      </c>
      <c r="O71" s="54">
        <f ca="1">IFERROR(__xludf.DUMMYFUNCTION("""COMPUTED_VALUE"""),860)</f>
        <v>860</v>
      </c>
      <c r="P71" s="51">
        <f t="shared" ca="1" si="13"/>
        <v>0.86258776328986964</v>
      </c>
      <c r="Q71" s="54">
        <f ca="1">IFERROR(__xludf.DUMMYFUNCTION("""COMPUTED_VALUE"""),681)</f>
        <v>681</v>
      </c>
      <c r="R71" s="51">
        <f t="shared" ca="1" si="14"/>
        <v>0.68304914744232703</v>
      </c>
      <c r="S71" s="54">
        <f ca="1">IFERROR(__xludf.DUMMYFUNCTION("""COMPUTED_VALUE"""),137)</f>
        <v>137</v>
      </c>
      <c r="T71" s="53">
        <f ca="1">IFERROR(__xludf.DUMMYFUNCTION("""COMPUTED_VALUE"""),997)</f>
        <v>997</v>
      </c>
      <c r="U71" s="51">
        <f t="shared" ca="1" si="15"/>
        <v>7.2773722627737225</v>
      </c>
      <c r="V71" s="54">
        <f ca="1">IFERROR(__xludf.DUMMYFUNCTION("""COMPUTED_VALUE"""),857)</f>
        <v>857</v>
      </c>
      <c r="W71" s="51">
        <f t="shared" ca="1" si="16"/>
        <v>6.2554744525547443</v>
      </c>
      <c r="X71" s="54">
        <f ca="1">IFERROR(__xludf.DUMMYFUNCTION("""COMPUTED_VALUE"""),683)</f>
        <v>683</v>
      </c>
      <c r="Y71" s="51">
        <f t="shared" ca="1" si="17"/>
        <v>4.9854014598540148</v>
      </c>
      <c r="Z71" s="2"/>
      <c r="AA71" s="2"/>
      <c r="AB71" s="2"/>
      <c r="AC71" s="2"/>
      <c r="AD71" s="2"/>
      <c r="AE71" s="2"/>
    </row>
    <row r="72" spans="1:31" ht="12.75" x14ac:dyDescent="0.2">
      <c r="A72" s="53">
        <f ca="1">IFERROR(__xludf.DUMMYFUNCTION("""COMPUTED_VALUE"""),16)</f>
        <v>16</v>
      </c>
      <c r="B72" s="53" t="str">
        <f ca="1">IFERROR(__xludf.DUMMYFUNCTION("""COMPUTED_VALUE"""),"TH An Phước")</f>
        <v>TH An Phước</v>
      </c>
      <c r="C72" s="53" t="str">
        <f ca="1">IFERROR(__xludf.DUMMYFUNCTION("""COMPUTED_VALUE"""),"TH")</f>
        <v>TH</v>
      </c>
      <c r="D72" s="53" t="str">
        <f ca="1">IFERROR(__xludf.DUMMYFUNCTION("""COMPUTED_VALUE"""),"CỦ CHI")</f>
        <v>CỦ CHI</v>
      </c>
      <c r="E72" s="54">
        <f ca="1">IFERROR(__xludf.DUMMYFUNCTION("""COMPUTED_VALUE"""),26)</f>
        <v>26</v>
      </c>
      <c r="F72" s="54">
        <f ca="1">IFERROR(__xludf.DUMMYFUNCTION("""COMPUTED_VALUE"""),26)</f>
        <v>26</v>
      </c>
      <c r="G72" s="51">
        <f t="shared" ca="1" si="9"/>
        <v>1</v>
      </c>
      <c r="H72" s="54">
        <f ca="1">IFERROR(__xludf.DUMMYFUNCTION("""COMPUTED_VALUE"""),20)</f>
        <v>20</v>
      </c>
      <c r="I72" s="51">
        <f t="shared" ca="1" si="10"/>
        <v>0.76923076923076927</v>
      </c>
      <c r="J72" s="54">
        <f ca="1">IFERROR(__xludf.DUMMYFUNCTION("""COMPUTED_VALUE"""),26)</f>
        <v>26</v>
      </c>
      <c r="K72" s="51">
        <f t="shared" ca="1" si="11"/>
        <v>1</v>
      </c>
      <c r="L72" s="54">
        <f ca="1">IFERROR(__xludf.DUMMYFUNCTION("""COMPUTED_VALUE"""),20)</f>
        <v>20</v>
      </c>
      <c r="M72" s="51">
        <f t="shared" ca="1" si="12"/>
        <v>0.76923076923076927</v>
      </c>
      <c r="N72" s="54">
        <f ca="1">IFERROR(__xludf.DUMMYFUNCTION("""COMPUTED_VALUE"""),580)</f>
        <v>580</v>
      </c>
      <c r="O72" s="54">
        <f ca="1">IFERROR(__xludf.DUMMYFUNCTION("""COMPUTED_VALUE"""),532)</f>
        <v>532</v>
      </c>
      <c r="P72" s="51">
        <f t="shared" ca="1" si="13"/>
        <v>0.91724137931034477</v>
      </c>
      <c r="Q72" s="54">
        <f ca="1">IFERROR(__xludf.DUMMYFUNCTION("""COMPUTED_VALUE"""),288)</f>
        <v>288</v>
      </c>
      <c r="R72" s="51">
        <f t="shared" ca="1" si="14"/>
        <v>0.49655172413793103</v>
      </c>
      <c r="S72" s="54">
        <f ca="1">IFERROR(__xludf.DUMMYFUNCTION("""COMPUTED_VALUE"""),48)</f>
        <v>48</v>
      </c>
      <c r="T72" s="53">
        <f ca="1">IFERROR(__xludf.DUMMYFUNCTION("""COMPUTED_VALUE"""),580)</f>
        <v>580</v>
      </c>
      <c r="U72" s="51">
        <f t="shared" ca="1" si="15"/>
        <v>12.083333333333334</v>
      </c>
      <c r="V72" s="54">
        <f ca="1">IFERROR(__xludf.DUMMYFUNCTION("""COMPUTED_VALUE"""),532)</f>
        <v>532</v>
      </c>
      <c r="W72" s="51">
        <f t="shared" ca="1" si="16"/>
        <v>11.083333333333334</v>
      </c>
      <c r="X72" s="54">
        <f ca="1">IFERROR(__xludf.DUMMYFUNCTION("""COMPUTED_VALUE"""),283)</f>
        <v>283</v>
      </c>
      <c r="Y72" s="51">
        <f t="shared" ca="1" si="17"/>
        <v>5.895833333333333</v>
      </c>
      <c r="Z72" s="2"/>
      <c r="AA72" s="2"/>
      <c r="AB72" s="2"/>
      <c r="AC72" s="2"/>
      <c r="AD72" s="2"/>
      <c r="AE72" s="2"/>
    </row>
    <row r="73" spans="1:31" ht="12.75" x14ac:dyDescent="0.2">
      <c r="A73" s="53">
        <f ca="1">IFERROR(__xludf.DUMMYFUNCTION("""COMPUTED_VALUE"""),17)</f>
        <v>17</v>
      </c>
      <c r="B73" s="53" t="str">
        <f ca="1">IFERROR(__xludf.DUMMYFUNCTION("""COMPUTED_VALUE"""),"TH Phước Vĩnh An")</f>
        <v>TH Phước Vĩnh An</v>
      </c>
      <c r="C73" s="53" t="str">
        <f ca="1">IFERROR(__xludf.DUMMYFUNCTION("""COMPUTED_VALUE"""),"TH")</f>
        <v>TH</v>
      </c>
      <c r="D73" s="53" t="str">
        <f ca="1">IFERROR(__xludf.DUMMYFUNCTION("""COMPUTED_VALUE"""),"CỦ CHI")</f>
        <v>CỦ CHI</v>
      </c>
      <c r="E73" s="54">
        <f ca="1">IFERROR(__xludf.DUMMYFUNCTION("""COMPUTED_VALUE"""),28)</f>
        <v>28</v>
      </c>
      <c r="F73" s="54">
        <f ca="1">IFERROR(__xludf.DUMMYFUNCTION("""COMPUTED_VALUE"""),27)</f>
        <v>27</v>
      </c>
      <c r="G73" s="51">
        <f t="shared" ca="1" si="9"/>
        <v>0.9642857142857143</v>
      </c>
      <c r="H73" s="54">
        <f ca="1">IFERROR(__xludf.DUMMYFUNCTION("""COMPUTED_VALUE"""),18)</f>
        <v>18</v>
      </c>
      <c r="I73" s="51">
        <f t="shared" ca="1" si="10"/>
        <v>0.6428571428571429</v>
      </c>
      <c r="J73" s="54">
        <f ca="1">IFERROR(__xludf.DUMMYFUNCTION("""COMPUTED_VALUE"""),27)</f>
        <v>27</v>
      </c>
      <c r="K73" s="51">
        <f t="shared" ca="1" si="11"/>
        <v>0.9642857142857143</v>
      </c>
      <c r="L73" s="54">
        <f ca="1">IFERROR(__xludf.DUMMYFUNCTION("""COMPUTED_VALUE"""),18)</f>
        <v>18</v>
      </c>
      <c r="M73" s="51">
        <f t="shared" ca="1" si="12"/>
        <v>0.6428571428571429</v>
      </c>
      <c r="N73" s="54">
        <f ca="1">IFERROR(__xludf.DUMMYFUNCTION("""COMPUTED_VALUE"""),697)</f>
        <v>697</v>
      </c>
      <c r="O73" s="54">
        <f ca="1">IFERROR(__xludf.DUMMYFUNCTION("""COMPUTED_VALUE"""),613)</f>
        <v>613</v>
      </c>
      <c r="P73" s="51">
        <f t="shared" ca="1" si="13"/>
        <v>0.87948350071736014</v>
      </c>
      <c r="Q73" s="54">
        <f ca="1">IFERROR(__xludf.DUMMYFUNCTION("""COMPUTED_VALUE"""),415)</f>
        <v>415</v>
      </c>
      <c r="R73" s="51">
        <f t="shared" ca="1" si="14"/>
        <v>0.59540889526542329</v>
      </c>
      <c r="S73" s="54">
        <f ca="1">IFERROR(__xludf.DUMMYFUNCTION("""COMPUTED_VALUE"""),84)</f>
        <v>84</v>
      </c>
      <c r="T73" s="53">
        <f ca="1">IFERROR(__xludf.DUMMYFUNCTION("""COMPUTED_VALUE"""),697)</f>
        <v>697</v>
      </c>
      <c r="U73" s="51">
        <f t="shared" ca="1" si="15"/>
        <v>8.2976190476190474</v>
      </c>
      <c r="V73" s="54">
        <f ca="1">IFERROR(__xludf.DUMMYFUNCTION("""COMPUTED_VALUE"""),555)</f>
        <v>555</v>
      </c>
      <c r="W73" s="51">
        <f t="shared" ca="1" si="16"/>
        <v>6.6071428571428568</v>
      </c>
      <c r="X73" s="54">
        <f ca="1">IFERROR(__xludf.DUMMYFUNCTION("""COMPUTED_VALUE"""),334)</f>
        <v>334</v>
      </c>
      <c r="Y73" s="51">
        <f t="shared" ca="1" si="17"/>
        <v>3.9761904761904763</v>
      </c>
      <c r="Z73" s="2"/>
      <c r="AA73" s="2"/>
      <c r="AB73" s="2"/>
      <c r="AC73" s="2"/>
      <c r="AD73" s="2"/>
      <c r="AE73" s="2"/>
    </row>
    <row r="74" spans="1:31" ht="12.75" x14ac:dyDescent="0.2">
      <c r="A74" s="53">
        <f ca="1">IFERROR(__xludf.DUMMYFUNCTION("""COMPUTED_VALUE"""),18)</f>
        <v>18</v>
      </c>
      <c r="B74" s="53"/>
      <c r="C74" s="53"/>
      <c r="D74" s="53" t="str">
        <f ca="1">IFERROR(__xludf.DUMMYFUNCTION("""COMPUTED_VALUE"""),"CỦ CHI")</f>
        <v>CỦ CHI</v>
      </c>
      <c r="E74" s="54">
        <f ca="1">IFERROR(__xludf.DUMMYFUNCTION("""COMPUTED_VALUE"""),35)</f>
        <v>35</v>
      </c>
      <c r="F74" s="54">
        <f ca="1">IFERROR(__xludf.DUMMYFUNCTION("""COMPUTED_VALUE"""),35)</f>
        <v>35</v>
      </c>
      <c r="G74" s="51">
        <f t="shared" ca="1" si="9"/>
        <v>1</v>
      </c>
      <c r="H74" s="54">
        <f ca="1">IFERROR(__xludf.DUMMYFUNCTION("""COMPUTED_VALUE"""),30)</f>
        <v>30</v>
      </c>
      <c r="I74" s="51">
        <f t="shared" ca="1" si="10"/>
        <v>0.8571428571428571</v>
      </c>
      <c r="J74" s="54">
        <f ca="1">IFERROR(__xludf.DUMMYFUNCTION("""COMPUTED_VALUE"""),35)</f>
        <v>35</v>
      </c>
      <c r="K74" s="51">
        <f t="shared" ca="1" si="11"/>
        <v>1</v>
      </c>
      <c r="L74" s="54">
        <f ca="1">IFERROR(__xludf.DUMMYFUNCTION("""COMPUTED_VALUE"""),30)</f>
        <v>30</v>
      </c>
      <c r="M74" s="51">
        <f t="shared" ca="1" si="12"/>
        <v>0.8571428571428571</v>
      </c>
      <c r="N74" s="54">
        <f ca="1">IFERROR(__xludf.DUMMYFUNCTION("""COMPUTED_VALUE"""),881)</f>
        <v>881</v>
      </c>
      <c r="O74" s="54">
        <f ca="1">IFERROR(__xludf.DUMMYFUNCTION("""COMPUTED_VALUE"""),723)</f>
        <v>723</v>
      </c>
      <c r="P74" s="51">
        <f t="shared" ca="1" si="13"/>
        <v>0.82065834279228145</v>
      </c>
      <c r="Q74" s="54">
        <f ca="1">IFERROR(__xludf.DUMMYFUNCTION("""COMPUTED_VALUE"""),512)</f>
        <v>512</v>
      </c>
      <c r="R74" s="51">
        <f t="shared" ca="1" si="14"/>
        <v>0.58115777525539158</v>
      </c>
      <c r="S74" s="54">
        <f ca="1">IFERROR(__xludf.DUMMYFUNCTION("""COMPUTED_VALUE"""),40)</f>
        <v>40</v>
      </c>
      <c r="T74" s="53">
        <f ca="1">IFERROR(__xludf.DUMMYFUNCTION("""COMPUTED_VALUE"""),881)</f>
        <v>881</v>
      </c>
      <c r="U74" s="51">
        <f t="shared" ca="1" si="15"/>
        <v>22.024999999999999</v>
      </c>
      <c r="V74" s="54">
        <f ca="1">IFERROR(__xludf.DUMMYFUNCTION("""COMPUTED_VALUE"""),683)</f>
        <v>683</v>
      </c>
      <c r="W74" s="51">
        <f t="shared" ca="1" si="16"/>
        <v>17.074999999999999</v>
      </c>
      <c r="X74" s="54">
        <f ca="1">IFERROR(__xludf.DUMMYFUNCTION("""COMPUTED_VALUE"""),421)</f>
        <v>421</v>
      </c>
      <c r="Y74" s="51">
        <f t="shared" ca="1" si="17"/>
        <v>10.525</v>
      </c>
      <c r="Z74" s="2"/>
      <c r="AA74" s="2"/>
      <c r="AB74" s="2"/>
      <c r="AC74" s="2"/>
      <c r="AD74" s="2"/>
      <c r="AE74" s="2"/>
    </row>
    <row r="75" spans="1:31" ht="12.75" x14ac:dyDescent="0.2">
      <c r="A75" s="53">
        <f ca="1">IFERROR(__xludf.DUMMYFUNCTION("""COMPUTED_VALUE"""),19)</f>
        <v>19</v>
      </c>
      <c r="B75" s="53" t="str">
        <f ca="1">IFERROR(__xludf.DUMMYFUNCTION("""COMPUTED_VALUE"""),"TH Lê Thị Pha")</f>
        <v>TH Lê Thị Pha</v>
      </c>
      <c r="C75" s="53" t="str">
        <f ca="1">IFERROR(__xludf.DUMMYFUNCTION("""COMPUTED_VALUE"""),"TH")</f>
        <v>TH</v>
      </c>
      <c r="D75" s="53" t="str">
        <f ca="1">IFERROR(__xludf.DUMMYFUNCTION("""COMPUTED_VALUE"""),"CỦ CHI")</f>
        <v>CỦ CHI</v>
      </c>
      <c r="E75" s="54">
        <f ca="1">IFERROR(__xludf.DUMMYFUNCTION("""COMPUTED_VALUE"""),35)</f>
        <v>35</v>
      </c>
      <c r="F75" s="54">
        <f ca="1">IFERROR(__xludf.DUMMYFUNCTION("""COMPUTED_VALUE"""),34)</f>
        <v>34</v>
      </c>
      <c r="G75" s="51">
        <f t="shared" ca="1" si="9"/>
        <v>0.97142857142857142</v>
      </c>
      <c r="H75" s="54">
        <f ca="1">IFERROR(__xludf.DUMMYFUNCTION("""COMPUTED_VALUE"""),25)</f>
        <v>25</v>
      </c>
      <c r="I75" s="51">
        <f t="shared" ca="1" si="10"/>
        <v>0.7142857142857143</v>
      </c>
      <c r="J75" s="54">
        <f ca="1">IFERROR(__xludf.DUMMYFUNCTION("""COMPUTED_VALUE"""),34)</f>
        <v>34</v>
      </c>
      <c r="K75" s="51">
        <f t="shared" ca="1" si="11"/>
        <v>0.97142857142857142</v>
      </c>
      <c r="L75" s="54">
        <f ca="1">IFERROR(__xludf.DUMMYFUNCTION("""COMPUTED_VALUE"""),25)</f>
        <v>25</v>
      </c>
      <c r="M75" s="51">
        <f t="shared" ca="1" si="12"/>
        <v>0.7142857142857143</v>
      </c>
      <c r="N75" s="54">
        <f ca="1">IFERROR(__xludf.DUMMYFUNCTION("""COMPUTED_VALUE"""),577)</f>
        <v>577</v>
      </c>
      <c r="O75" s="54">
        <f ca="1">IFERROR(__xludf.DUMMYFUNCTION("""COMPUTED_VALUE"""),477)</f>
        <v>477</v>
      </c>
      <c r="P75" s="51">
        <f t="shared" ca="1" si="13"/>
        <v>0.82668977469670712</v>
      </c>
      <c r="Q75" s="54">
        <f ca="1">IFERROR(__xludf.DUMMYFUNCTION("""COMPUTED_VALUE"""),319)</f>
        <v>319</v>
      </c>
      <c r="R75" s="51">
        <f t="shared" ca="1" si="14"/>
        <v>0.55285961871750433</v>
      </c>
      <c r="S75" s="54">
        <f ca="1">IFERROR(__xludf.DUMMYFUNCTION("""COMPUTED_VALUE"""),35)</f>
        <v>35</v>
      </c>
      <c r="T75" s="53">
        <f ca="1">IFERROR(__xludf.DUMMYFUNCTION("""COMPUTED_VALUE"""),577)</f>
        <v>577</v>
      </c>
      <c r="U75" s="51">
        <f t="shared" ca="1" si="15"/>
        <v>16.485714285714284</v>
      </c>
      <c r="V75" s="54">
        <f ca="1">IFERROR(__xludf.DUMMYFUNCTION("""COMPUTED_VALUE"""),442)</f>
        <v>442</v>
      </c>
      <c r="W75" s="51">
        <f t="shared" ca="1" si="16"/>
        <v>12.628571428571428</v>
      </c>
      <c r="X75" s="54">
        <f ca="1">IFERROR(__xludf.DUMMYFUNCTION("""COMPUTED_VALUE"""),303)</f>
        <v>303</v>
      </c>
      <c r="Y75" s="51">
        <f t="shared" ca="1" si="17"/>
        <v>8.6571428571428566</v>
      </c>
      <c r="Z75" s="2"/>
      <c r="AA75" s="2"/>
      <c r="AB75" s="2"/>
      <c r="AC75" s="2"/>
      <c r="AD75" s="2"/>
      <c r="AE75" s="2"/>
    </row>
    <row r="76" spans="1:31" ht="12.75" x14ac:dyDescent="0.2">
      <c r="A76" s="53">
        <f ca="1">IFERROR(__xludf.DUMMYFUNCTION("""COMPUTED_VALUE"""),20)</f>
        <v>20</v>
      </c>
      <c r="B76" s="53"/>
      <c r="C76" s="53"/>
      <c r="D76" s="53" t="str">
        <f ca="1">IFERROR(__xludf.DUMMYFUNCTION("""COMPUTED_VALUE"""),"CỦ CHI")</f>
        <v>CỦ CHI</v>
      </c>
      <c r="E76" s="54">
        <f ca="1">IFERROR(__xludf.DUMMYFUNCTION("""COMPUTED_VALUE"""),35)</f>
        <v>35</v>
      </c>
      <c r="F76" s="54">
        <f ca="1">IFERROR(__xludf.DUMMYFUNCTION("""COMPUTED_VALUE"""),35)</f>
        <v>35</v>
      </c>
      <c r="G76" s="51">
        <f t="shared" ca="1" si="9"/>
        <v>1</v>
      </c>
      <c r="H76" s="54">
        <f ca="1">IFERROR(__xludf.DUMMYFUNCTION("""COMPUTED_VALUE"""),18)</f>
        <v>18</v>
      </c>
      <c r="I76" s="51">
        <f t="shared" ca="1" si="10"/>
        <v>0.51428571428571423</v>
      </c>
      <c r="J76" s="54">
        <f ca="1">IFERROR(__xludf.DUMMYFUNCTION("""COMPUTED_VALUE"""),35)</f>
        <v>35</v>
      </c>
      <c r="K76" s="51">
        <f t="shared" ca="1" si="11"/>
        <v>1</v>
      </c>
      <c r="L76" s="54">
        <f ca="1">IFERROR(__xludf.DUMMYFUNCTION("""COMPUTED_VALUE"""),18)</f>
        <v>18</v>
      </c>
      <c r="M76" s="51">
        <f t="shared" ca="1" si="12"/>
        <v>0.51428571428571423</v>
      </c>
      <c r="N76" s="54">
        <f ca="1">IFERROR(__xludf.DUMMYFUNCTION("""COMPUTED_VALUE"""),795)</f>
        <v>795</v>
      </c>
      <c r="O76" s="53"/>
      <c r="P76" s="51">
        <f t="shared" ca="1" si="13"/>
        <v>0</v>
      </c>
      <c r="Q76" s="53"/>
      <c r="R76" s="51">
        <f t="shared" ca="1" si="14"/>
        <v>0</v>
      </c>
      <c r="S76" s="54">
        <f ca="1">IFERROR(__xludf.DUMMYFUNCTION("""COMPUTED_VALUE"""),115)</f>
        <v>115</v>
      </c>
      <c r="T76" s="53">
        <f ca="1">IFERROR(__xludf.DUMMYFUNCTION("""COMPUTED_VALUE"""),795)</f>
        <v>795</v>
      </c>
      <c r="U76" s="51">
        <f t="shared" ca="1" si="15"/>
        <v>6.9130434782608692</v>
      </c>
      <c r="V76" s="54">
        <f ca="1">IFERROR(__xludf.DUMMYFUNCTION("""COMPUTED_VALUE"""),650)</f>
        <v>650</v>
      </c>
      <c r="W76" s="51">
        <f t="shared" ca="1" si="16"/>
        <v>5.6521739130434785</v>
      </c>
      <c r="X76" s="54">
        <f ca="1">IFERROR(__xludf.DUMMYFUNCTION("""COMPUTED_VALUE"""),454)</f>
        <v>454</v>
      </c>
      <c r="Y76" s="51">
        <f t="shared" ca="1" si="17"/>
        <v>3.9478260869565216</v>
      </c>
      <c r="Z76" s="2"/>
      <c r="AA76" s="2"/>
      <c r="AB76" s="2"/>
      <c r="AC76" s="2"/>
      <c r="AD76" s="2"/>
      <c r="AE76" s="2"/>
    </row>
    <row r="77" spans="1:31" ht="12.75" x14ac:dyDescent="0.2">
      <c r="A77" s="53">
        <f ca="1">IFERROR(__xludf.DUMMYFUNCTION("""COMPUTED_VALUE"""),21)</f>
        <v>21</v>
      </c>
      <c r="B77" s="53" t="str">
        <f ca="1">IFERROR(__xludf.DUMMYFUNCTION("""COMPUTED_VALUE"""),"TH Liên Minh Công Nông")</f>
        <v>TH Liên Minh Công Nông</v>
      </c>
      <c r="C77" s="53" t="str">
        <f ca="1">IFERROR(__xludf.DUMMYFUNCTION("""COMPUTED_VALUE"""),"TH")</f>
        <v>TH</v>
      </c>
      <c r="D77" s="53" t="str">
        <f ca="1">IFERROR(__xludf.DUMMYFUNCTION("""COMPUTED_VALUE"""),"CỦ CHI")</f>
        <v>CỦ CHI</v>
      </c>
      <c r="E77" s="54">
        <f ca="1">IFERROR(__xludf.DUMMYFUNCTION("""COMPUTED_VALUE"""),40)</f>
        <v>40</v>
      </c>
      <c r="F77" s="54">
        <f ca="1">IFERROR(__xludf.DUMMYFUNCTION("""COMPUTED_VALUE"""),39)</f>
        <v>39</v>
      </c>
      <c r="G77" s="51">
        <f t="shared" ca="1" si="9"/>
        <v>0.97499999999999998</v>
      </c>
      <c r="H77" s="54">
        <f ca="1">IFERROR(__xludf.DUMMYFUNCTION("""COMPUTED_VALUE"""),27)</f>
        <v>27</v>
      </c>
      <c r="I77" s="51">
        <f t="shared" ca="1" si="10"/>
        <v>0.67500000000000004</v>
      </c>
      <c r="J77" s="54">
        <f ca="1">IFERROR(__xludf.DUMMYFUNCTION("""COMPUTED_VALUE"""),39)</f>
        <v>39</v>
      </c>
      <c r="K77" s="51">
        <f t="shared" ca="1" si="11"/>
        <v>0.97499999999999998</v>
      </c>
      <c r="L77" s="54">
        <f ca="1">IFERROR(__xludf.DUMMYFUNCTION("""COMPUTED_VALUE"""),27)</f>
        <v>27</v>
      </c>
      <c r="M77" s="51">
        <f t="shared" ca="1" si="12"/>
        <v>0.67500000000000004</v>
      </c>
      <c r="N77" s="54">
        <f ca="1">IFERROR(__xludf.DUMMYFUNCTION("""COMPUTED_VALUE"""),877)</f>
        <v>877</v>
      </c>
      <c r="O77" s="54">
        <f ca="1">IFERROR(__xludf.DUMMYFUNCTION("""COMPUTED_VALUE"""),730)</f>
        <v>730</v>
      </c>
      <c r="P77" s="51">
        <f t="shared" ca="1" si="13"/>
        <v>0.83238312428734318</v>
      </c>
      <c r="Q77" s="54">
        <f ca="1">IFERROR(__xludf.DUMMYFUNCTION("""COMPUTED_VALUE"""),487)</f>
        <v>487</v>
      </c>
      <c r="R77" s="51">
        <f t="shared" ca="1" si="14"/>
        <v>0.55530216647662489</v>
      </c>
      <c r="S77" s="54">
        <f ca="1">IFERROR(__xludf.DUMMYFUNCTION("""COMPUTED_VALUE"""),54)</f>
        <v>54</v>
      </c>
      <c r="T77" s="53">
        <f ca="1">IFERROR(__xludf.DUMMYFUNCTION("""COMPUTED_VALUE"""),879)</f>
        <v>879</v>
      </c>
      <c r="U77" s="51">
        <f t="shared" ca="1" si="15"/>
        <v>16.277777777777779</v>
      </c>
      <c r="V77" s="54">
        <f ca="1">IFERROR(__xludf.DUMMYFUNCTION("""COMPUTED_VALUE"""),731)</f>
        <v>731</v>
      </c>
      <c r="W77" s="51">
        <f t="shared" ca="1" si="16"/>
        <v>13.537037037037036</v>
      </c>
      <c r="X77" s="54">
        <f ca="1">IFERROR(__xludf.DUMMYFUNCTION("""COMPUTED_VALUE"""),488)</f>
        <v>488</v>
      </c>
      <c r="Y77" s="51">
        <f t="shared" ca="1" si="17"/>
        <v>9.0370370370370363</v>
      </c>
      <c r="Z77" s="2"/>
      <c r="AA77" s="2"/>
      <c r="AB77" s="2"/>
      <c r="AC77" s="2"/>
      <c r="AD77" s="2"/>
      <c r="AE77" s="2"/>
    </row>
    <row r="78" spans="1:31" ht="12.75" x14ac:dyDescent="0.2">
      <c r="A78" s="53">
        <f ca="1">IFERROR(__xludf.DUMMYFUNCTION("""COMPUTED_VALUE"""),22)</f>
        <v>22</v>
      </c>
      <c r="B78" s="53" t="str">
        <f ca="1">IFERROR(__xludf.DUMMYFUNCTION("""COMPUTED_VALUE"""),"TH Tân Phú")</f>
        <v>TH Tân Phú</v>
      </c>
      <c r="C78" s="53" t="str">
        <f ca="1">IFERROR(__xludf.DUMMYFUNCTION("""COMPUTED_VALUE"""),"TH")</f>
        <v>TH</v>
      </c>
      <c r="D78" s="53" t="str">
        <f ca="1">IFERROR(__xludf.DUMMYFUNCTION("""COMPUTED_VALUE"""),"CỦ CHI")</f>
        <v>CỦ CHI</v>
      </c>
      <c r="E78" s="54">
        <f ca="1">IFERROR(__xludf.DUMMYFUNCTION("""COMPUTED_VALUE"""),58)</f>
        <v>58</v>
      </c>
      <c r="F78" s="54">
        <f ca="1">IFERROR(__xludf.DUMMYFUNCTION("""COMPUTED_VALUE"""),57)</f>
        <v>57</v>
      </c>
      <c r="G78" s="51">
        <f t="shared" ca="1" si="9"/>
        <v>0.98275862068965514</v>
      </c>
      <c r="H78" s="54">
        <f ca="1">IFERROR(__xludf.DUMMYFUNCTION("""COMPUTED_VALUE"""),20)</f>
        <v>20</v>
      </c>
      <c r="I78" s="51">
        <f t="shared" ca="1" si="10"/>
        <v>0.34482758620689657</v>
      </c>
      <c r="J78" s="54">
        <f ca="1">IFERROR(__xludf.DUMMYFUNCTION("""COMPUTED_VALUE"""),57)</f>
        <v>57</v>
      </c>
      <c r="K78" s="51">
        <f t="shared" ca="1" si="11"/>
        <v>0.98275862068965514</v>
      </c>
      <c r="L78" s="54">
        <f ca="1">IFERROR(__xludf.DUMMYFUNCTION("""COMPUTED_VALUE"""),20)</f>
        <v>20</v>
      </c>
      <c r="M78" s="51">
        <f t="shared" ca="1" si="12"/>
        <v>0.34482758620689657</v>
      </c>
      <c r="N78" s="54">
        <f ca="1">IFERROR(__xludf.DUMMYFUNCTION("""COMPUTED_VALUE"""),1488)</f>
        <v>1488</v>
      </c>
      <c r="O78" s="54">
        <f ca="1">IFERROR(__xludf.DUMMYFUNCTION("""COMPUTED_VALUE"""),927)</f>
        <v>927</v>
      </c>
      <c r="P78" s="51">
        <f t="shared" ca="1" si="13"/>
        <v>0.62298387096774188</v>
      </c>
      <c r="Q78" s="54">
        <f ca="1">IFERROR(__xludf.DUMMYFUNCTION("""COMPUTED_VALUE"""),537)</f>
        <v>537</v>
      </c>
      <c r="R78" s="51">
        <f t="shared" ca="1" si="14"/>
        <v>0.36088709677419356</v>
      </c>
      <c r="S78" s="54">
        <f ca="1">IFERROR(__xludf.DUMMYFUNCTION("""COMPUTED_VALUE"""),561)</f>
        <v>561</v>
      </c>
      <c r="T78" s="53">
        <f ca="1">IFERROR(__xludf.DUMMYFUNCTION("""COMPUTED_VALUE"""),1488)</f>
        <v>1488</v>
      </c>
      <c r="U78" s="51">
        <f t="shared" ca="1" si="15"/>
        <v>2.6524064171122994</v>
      </c>
      <c r="V78" s="54">
        <f ca="1">IFERROR(__xludf.DUMMYFUNCTION("""COMPUTED_VALUE"""),927)</f>
        <v>927</v>
      </c>
      <c r="W78" s="51">
        <f t="shared" ca="1" si="16"/>
        <v>1.6524064171122994</v>
      </c>
      <c r="X78" s="54">
        <f ca="1">IFERROR(__xludf.DUMMYFUNCTION("""COMPUTED_VALUE"""),537)</f>
        <v>537</v>
      </c>
      <c r="Y78" s="51">
        <f t="shared" ca="1" si="17"/>
        <v>0.95721925133689845</v>
      </c>
      <c r="Z78" s="2"/>
      <c r="AA78" s="2"/>
      <c r="AB78" s="2"/>
      <c r="AC78" s="2"/>
      <c r="AD78" s="2"/>
      <c r="AE78" s="2"/>
    </row>
    <row r="79" spans="1:31" ht="12.75" x14ac:dyDescent="0.2">
      <c r="A79" s="53">
        <f ca="1">IFERROR(__xludf.DUMMYFUNCTION("""COMPUTED_VALUE"""),23)</f>
        <v>23</v>
      </c>
      <c r="B79" s="53" t="str">
        <f ca="1">IFERROR(__xludf.DUMMYFUNCTION("""COMPUTED_VALUE"""),"TH Tân Phú Trung")</f>
        <v>TH Tân Phú Trung</v>
      </c>
      <c r="C79" s="53" t="str">
        <f ca="1">IFERROR(__xludf.DUMMYFUNCTION("""COMPUTED_VALUE"""),"TH")</f>
        <v>TH</v>
      </c>
      <c r="D79" s="53" t="str">
        <f ca="1">IFERROR(__xludf.DUMMYFUNCTION("""COMPUTED_VALUE"""),"CỦ CHI")</f>
        <v>CỦ CHI</v>
      </c>
      <c r="E79" s="54">
        <f ca="1">IFERROR(__xludf.DUMMYFUNCTION("""COMPUTED_VALUE"""),66)</f>
        <v>66</v>
      </c>
      <c r="F79" s="54">
        <f ca="1">IFERROR(__xludf.DUMMYFUNCTION("""COMPUTED_VALUE"""),65)</f>
        <v>65</v>
      </c>
      <c r="G79" s="54"/>
      <c r="H79" s="54">
        <f ca="1">IFERROR(__xludf.DUMMYFUNCTION("""COMPUTED_VALUE"""),32)</f>
        <v>32</v>
      </c>
      <c r="I79" s="54"/>
      <c r="J79" s="54">
        <f ca="1">IFERROR(__xludf.DUMMYFUNCTION("""COMPUTED_VALUE"""),65)</f>
        <v>65</v>
      </c>
      <c r="K79" s="54"/>
      <c r="L79" s="54">
        <f ca="1">IFERROR(__xludf.DUMMYFUNCTION("""COMPUTED_VALUE"""),32)</f>
        <v>32</v>
      </c>
      <c r="M79" s="54"/>
      <c r="N79" s="54">
        <f ca="1">IFERROR(__xludf.DUMMYFUNCTION("""COMPUTED_VALUE"""),1748)</f>
        <v>1748</v>
      </c>
      <c r="O79" s="54">
        <f ca="1">IFERROR(__xludf.DUMMYFUNCTION("""COMPUTED_VALUE"""),1126)</f>
        <v>1126</v>
      </c>
      <c r="P79" s="54"/>
      <c r="Q79" s="54">
        <f ca="1">IFERROR(__xludf.DUMMYFUNCTION("""COMPUTED_VALUE"""),633)</f>
        <v>633</v>
      </c>
      <c r="R79" s="54"/>
      <c r="S79" s="53">
        <f ca="1">IFERROR(__xludf.DUMMYFUNCTION("""COMPUTED_VALUE"""),585)</f>
        <v>585</v>
      </c>
      <c r="T79" s="53">
        <f ca="1">IFERROR(__xludf.DUMMYFUNCTION("""COMPUTED_VALUE"""),1748)</f>
        <v>1748</v>
      </c>
      <c r="U79" s="53"/>
      <c r="V79" s="53">
        <f ca="1">IFERROR(__xludf.DUMMYFUNCTION("""COMPUTED_VALUE"""),1162)</f>
        <v>1162</v>
      </c>
      <c r="W79" s="53"/>
      <c r="X79" s="53">
        <f ca="1">IFERROR(__xludf.DUMMYFUNCTION("""COMPUTED_VALUE"""),633)</f>
        <v>633</v>
      </c>
      <c r="Y79" s="53"/>
      <c r="Z79" s="2"/>
      <c r="AA79" s="2"/>
      <c r="AB79" s="2"/>
      <c r="AC79" s="2"/>
      <c r="AD79" s="2"/>
      <c r="AE79" s="2"/>
    </row>
    <row r="80" spans="1:31" ht="12.75" x14ac:dyDescent="0.2">
      <c r="A80" s="53">
        <f ca="1">IFERROR(__xludf.DUMMYFUNCTION("""COMPUTED_VALUE"""),24)</f>
        <v>24</v>
      </c>
      <c r="B80" s="53" t="str">
        <f ca="1">IFERROR(__xludf.DUMMYFUNCTION("""COMPUTED_VALUE"""),"TH Nguyễn Thị Lắng")</f>
        <v>TH Nguyễn Thị Lắng</v>
      </c>
      <c r="C80" s="53" t="str">
        <f ca="1">IFERROR(__xludf.DUMMYFUNCTION("""COMPUTED_VALUE"""),"TH")</f>
        <v>TH</v>
      </c>
      <c r="D80" s="53" t="str">
        <f ca="1">IFERROR(__xludf.DUMMYFUNCTION("""COMPUTED_VALUE"""),"CỦ CHI")</f>
        <v>CỦ CHI</v>
      </c>
      <c r="E80" s="54">
        <f ca="1">IFERROR(__xludf.DUMMYFUNCTION("""COMPUTED_VALUE"""),40)</f>
        <v>40</v>
      </c>
      <c r="F80" s="54">
        <f ca="1">IFERROR(__xludf.DUMMYFUNCTION("""COMPUTED_VALUE"""),7)</f>
        <v>7</v>
      </c>
      <c r="G80" s="54"/>
      <c r="H80" s="54">
        <f ca="1">IFERROR(__xludf.DUMMYFUNCTION("""COMPUTED_VALUE"""),33)</f>
        <v>33</v>
      </c>
      <c r="I80" s="54"/>
      <c r="J80" s="54">
        <f ca="1">IFERROR(__xludf.DUMMYFUNCTION("""COMPUTED_VALUE"""),7)</f>
        <v>7</v>
      </c>
      <c r="K80" s="54"/>
      <c r="L80" s="54">
        <f ca="1">IFERROR(__xludf.DUMMYFUNCTION("""COMPUTED_VALUE"""),33)</f>
        <v>33</v>
      </c>
      <c r="M80" s="54"/>
      <c r="N80" s="54">
        <f ca="1">IFERROR(__xludf.DUMMYFUNCTION("""COMPUTED_VALUE"""),1072)</f>
        <v>1072</v>
      </c>
      <c r="O80" s="54">
        <f ca="1">IFERROR(__xludf.DUMMYFUNCTION("""COMPUTED_VALUE"""),606)</f>
        <v>606</v>
      </c>
      <c r="P80" s="54"/>
      <c r="Q80" s="54">
        <f ca="1">IFERROR(__xludf.DUMMYFUNCTION("""COMPUTED_VALUE"""),306)</f>
        <v>306</v>
      </c>
      <c r="R80" s="54"/>
      <c r="S80" s="54">
        <f ca="1">IFERROR(__xludf.DUMMYFUNCTION("""COMPUTED_VALUE"""),441)</f>
        <v>441</v>
      </c>
      <c r="T80" s="53">
        <f ca="1">IFERROR(__xludf.DUMMYFUNCTION("""COMPUTED_VALUE"""),1072)</f>
        <v>1072</v>
      </c>
      <c r="U80" s="53"/>
      <c r="V80" s="54">
        <f ca="1">IFERROR(__xludf.DUMMYFUNCTION("""COMPUTED_VALUE"""),606)</f>
        <v>606</v>
      </c>
      <c r="W80" s="54"/>
      <c r="X80" s="54">
        <f ca="1">IFERROR(__xludf.DUMMYFUNCTION("""COMPUTED_VALUE"""),306)</f>
        <v>306</v>
      </c>
      <c r="Y80" s="54"/>
      <c r="Z80" s="2"/>
      <c r="AA80" s="2"/>
      <c r="AB80" s="2"/>
      <c r="AC80" s="2"/>
      <c r="AD80" s="2"/>
      <c r="AE80" s="2"/>
    </row>
    <row r="81" spans="1:31" ht="12.75" x14ac:dyDescent="0.2">
      <c r="A81" s="53">
        <f ca="1">IFERROR(__xludf.DUMMYFUNCTION("""COMPUTED_VALUE"""),25)</f>
        <v>25</v>
      </c>
      <c r="B81" s="53" t="str">
        <f ca="1">IFERROR(__xludf.DUMMYFUNCTION("""COMPUTED_VALUE"""),"TH Tân Thạnh Đông")</f>
        <v>TH Tân Thạnh Đông</v>
      </c>
      <c r="C81" s="53" t="str">
        <f ca="1">IFERROR(__xludf.DUMMYFUNCTION("""COMPUTED_VALUE"""),"TH")</f>
        <v>TH</v>
      </c>
      <c r="D81" s="53" t="str">
        <f ca="1">IFERROR(__xludf.DUMMYFUNCTION("""COMPUTED_VALUE"""),"CỦ CHI")</f>
        <v>CỦ CHI</v>
      </c>
      <c r="E81" s="54">
        <f ca="1">IFERROR(__xludf.DUMMYFUNCTION("""COMPUTED_VALUE"""),55)</f>
        <v>55</v>
      </c>
      <c r="F81" s="54">
        <f ca="1">IFERROR(__xludf.DUMMYFUNCTION("""COMPUTED_VALUE"""),55)</f>
        <v>55</v>
      </c>
      <c r="G81" s="54"/>
      <c r="H81" s="54">
        <f ca="1">IFERROR(__xludf.DUMMYFUNCTION("""COMPUTED_VALUE"""),39)</f>
        <v>39</v>
      </c>
      <c r="I81" s="54"/>
      <c r="J81" s="54">
        <f ca="1">IFERROR(__xludf.DUMMYFUNCTION("""COMPUTED_VALUE"""),55)</f>
        <v>55</v>
      </c>
      <c r="K81" s="54"/>
      <c r="L81" s="54">
        <f ca="1">IFERROR(__xludf.DUMMYFUNCTION("""COMPUTED_VALUE"""),39)</f>
        <v>39</v>
      </c>
      <c r="M81" s="54"/>
      <c r="N81" s="54">
        <f ca="1">IFERROR(__xludf.DUMMYFUNCTION("""COMPUTED_VALUE"""),1146)</f>
        <v>1146</v>
      </c>
      <c r="O81" s="54">
        <f ca="1">IFERROR(__xludf.DUMMYFUNCTION("""COMPUTED_VALUE"""),909)</f>
        <v>909</v>
      </c>
      <c r="P81" s="54"/>
      <c r="Q81" s="54">
        <f ca="1">IFERROR(__xludf.DUMMYFUNCTION("""COMPUTED_VALUE"""),463)</f>
        <v>463</v>
      </c>
      <c r="R81" s="54"/>
      <c r="S81" s="54">
        <f ca="1">IFERROR(__xludf.DUMMYFUNCTION("""COMPUTED_VALUE"""),137)</f>
        <v>137</v>
      </c>
      <c r="T81" s="54">
        <f ca="1">IFERROR(__xludf.DUMMYFUNCTION("""COMPUTED_VALUE"""),1146)</f>
        <v>1146</v>
      </c>
      <c r="U81" s="54"/>
      <c r="V81" s="54">
        <f ca="1">IFERROR(__xludf.DUMMYFUNCTION("""COMPUTED_VALUE"""),769)</f>
        <v>769</v>
      </c>
      <c r="W81" s="54"/>
      <c r="X81" s="54">
        <f ca="1">IFERROR(__xludf.DUMMYFUNCTION("""COMPUTED_VALUE"""),375)</f>
        <v>375</v>
      </c>
      <c r="Y81" s="54"/>
      <c r="Z81" s="2"/>
      <c r="AA81" s="2"/>
      <c r="AB81" s="2"/>
      <c r="AC81" s="2"/>
      <c r="AD81" s="2"/>
      <c r="AE81" s="2"/>
    </row>
    <row r="82" spans="1:31" ht="12.75" x14ac:dyDescent="0.2">
      <c r="A82" s="53">
        <f ca="1">IFERROR(__xludf.DUMMYFUNCTION("""COMPUTED_VALUE"""),26)</f>
        <v>26</v>
      </c>
      <c r="B82" s="53" t="str">
        <f ca="1">IFERROR(__xludf.DUMMYFUNCTION("""COMPUTED_VALUE"""),"TH Tân Thạnh Đông 2")</f>
        <v>TH Tân Thạnh Đông 2</v>
      </c>
      <c r="C82" s="53" t="str">
        <f ca="1">IFERROR(__xludf.DUMMYFUNCTION("""COMPUTED_VALUE"""),"TH")</f>
        <v>TH</v>
      </c>
      <c r="D82" s="53" t="str">
        <f ca="1">IFERROR(__xludf.DUMMYFUNCTION("""COMPUTED_VALUE"""),"CỦ CHI")</f>
        <v>CỦ CHI</v>
      </c>
      <c r="E82" s="54">
        <f ca="1">IFERROR(__xludf.DUMMYFUNCTION("""COMPUTED_VALUE"""),59)</f>
        <v>59</v>
      </c>
      <c r="F82" s="54">
        <f ca="1">IFERROR(__xludf.DUMMYFUNCTION("""COMPUTED_VALUE"""),58)</f>
        <v>58</v>
      </c>
      <c r="G82" s="54"/>
      <c r="H82" s="54">
        <f ca="1">IFERROR(__xludf.DUMMYFUNCTION("""COMPUTED_VALUE"""),32)</f>
        <v>32</v>
      </c>
      <c r="I82" s="54"/>
      <c r="J82" s="54">
        <f ca="1">IFERROR(__xludf.DUMMYFUNCTION("""COMPUTED_VALUE"""),58)</f>
        <v>58</v>
      </c>
      <c r="K82" s="54"/>
      <c r="L82" s="54">
        <f ca="1">IFERROR(__xludf.DUMMYFUNCTION("""COMPUTED_VALUE"""),32)</f>
        <v>32</v>
      </c>
      <c r="M82" s="54"/>
      <c r="N82" s="54">
        <f ca="1">IFERROR(__xludf.DUMMYFUNCTION("""COMPUTED_VALUE"""),1415)</f>
        <v>1415</v>
      </c>
      <c r="O82" s="54">
        <f ca="1">IFERROR(__xludf.DUMMYFUNCTION("""COMPUTED_VALUE"""),1038)</f>
        <v>1038</v>
      </c>
      <c r="P82" s="54"/>
      <c r="Q82" s="54">
        <f ca="1">IFERROR(__xludf.DUMMYFUNCTION("""COMPUTED_VALUE"""),583)</f>
        <v>583</v>
      </c>
      <c r="R82" s="54"/>
      <c r="S82" s="54">
        <f ca="1">IFERROR(__xludf.DUMMYFUNCTION("""COMPUTED_VALUE"""),377)</f>
        <v>377</v>
      </c>
      <c r="T82" s="53">
        <f ca="1">IFERROR(__xludf.DUMMYFUNCTION("""COMPUTED_VALUE"""),1415)</f>
        <v>1415</v>
      </c>
      <c r="U82" s="53"/>
      <c r="V82" s="54">
        <f ca="1">IFERROR(__xludf.DUMMYFUNCTION("""COMPUTED_VALUE"""),1038)</f>
        <v>1038</v>
      </c>
      <c r="W82" s="54"/>
      <c r="X82" s="54">
        <f ca="1">IFERROR(__xludf.DUMMYFUNCTION("""COMPUTED_VALUE"""),583)</f>
        <v>583</v>
      </c>
      <c r="Y82" s="54"/>
      <c r="Z82" s="2"/>
      <c r="AA82" s="2"/>
      <c r="AB82" s="2"/>
      <c r="AC82" s="2"/>
      <c r="AD82" s="2"/>
      <c r="AE82" s="2"/>
    </row>
    <row r="83" spans="1:31" ht="12.75" x14ac:dyDescent="0.2">
      <c r="A83" s="53">
        <f ca="1">IFERROR(__xludf.DUMMYFUNCTION("""COMPUTED_VALUE"""),27)</f>
        <v>27</v>
      </c>
      <c r="B83" s="53" t="str">
        <f ca="1">IFERROR(__xludf.DUMMYFUNCTION("""COMPUTED_VALUE"""),"TH Tân Thạnh Đông 3")</f>
        <v>TH Tân Thạnh Đông 3</v>
      </c>
      <c r="C83" s="53" t="str">
        <f ca="1">IFERROR(__xludf.DUMMYFUNCTION("""COMPUTED_VALUE"""),"TH")</f>
        <v>TH</v>
      </c>
      <c r="D83" s="53" t="str">
        <f ca="1">IFERROR(__xludf.DUMMYFUNCTION("""COMPUTED_VALUE"""),"CỦ CHI")</f>
        <v>CỦ CHI</v>
      </c>
      <c r="E83" s="54">
        <f ca="1">IFERROR(__xludf.DUMMYFUNCTION("""COMPUTED_VALUE"""),39)</f>
        <v>39</v>
      </c>
      <c r="F83" s="54">
        <f ca="1">IFERROR(__xludf.DUMMYFUNCTION("""COMPUTED_VALUE"""),34)</f>
        <v>34</v>
      </c>
      <c r="G83" s="54"/>
      <c r="H83" s="54">
        <f ca="1">IFERROR(__xludf.DUMMYFUNCTION("""COMPUTED_VALUE"""),18)</f>
        <v>18</v>
      </c>
      <c r="I83" s="54"/>
      <c r="J83" s="54">
        <f ca="1">IFERROR(__xludf.DUMMYFUNCTION("""COMPUTED_VALUE"""),34)</f>
        <v>34</v>
      </c>
      <c r="K83" s="54"/>
      <c r="L83" s="54">
        <f ca="1">IFERROR(__xludf.DUMMYFUNCTION("""COMPUTED_VALUE"""),18)</f>
        <v>18</v>
      </c>
      <c r="M83" s="54"/>
      <c r="N83" s="54">
        <f ca="1">IFERROR(__xludf.DUMMYFUNCTION("""COMPUTED_VALUE"""),957)</f>
        <v>957</v>
      </c>
      <c r="O83" s="54">
        <f ca="1">IFERROR(__xludf.DUMMYFUNCTION("""COMPUTED_VALUE"""),702)</f>
        <v>702</v>
      </c>
      <c r="P83" s="54"/>
      <c r="Q83" s="54">
        <f ca="1">IFERROR(__xludf.DUMMYFUNCTION("""COMPUTED_VALUE"""),147)</f>
        <v>147</v>
      </c>
      <c r="R83" s="54"/>
      <c r="S83" s="54">
        <f ca="1">IFERROR(__xludf.DUMMYFUNCTION("""COMPUTED_VALUE"""),255)</f>
        <v>255</v>
      </c>
      <c r="T83" s="53">
        <f ca="1">IFERROR(__xludf.DUMMYFUNCTION("""COMPUTED_VALUE"""),957)</f>
        <v>957</v>
      </c>
      <c r="U83" s="53"/>
      <c r="V83" s="54">
        <f ca="1">IFERROR(__xludf.DUMMYFUNCTION("""COMPUTED_VALUE"""),702)</f>
        <v>702</v>
      </c>
      <c r="W83" s="54"/>
      <c r="X83" s="54">
        <f ca="1">IFERROR(__xludf.DUMMYFUNCTION("""COMPUTED_VALUE"""),147)</f>
        <v>147</v>
      </c>
      <c r="Y83" s="54"/>
      <c r="Z83" s="2"/>
      <c r="AA83" s="2"/>
      <c r="AB83" s="2"/>
      <c r="AC83" s="2"/>
      <c r="AD83" s="2"/>
      <c r="AE83" s="2"/>
    </row>
    <row r="84" spans="1:31" ht="12.75" x14ac:dyDescent="0.2">
      <c r="A84" s="53">
        <f ca="1">IFERROR(__xludf.DUMMYFUNCTION("""COMPUTED_VALUE"""),28)</f>
        <v>28</v>
      </c>
      <c r="B84" s="53" t="str">
        <f ca="1">IFERROR(__xludf.DUMMYFUNCTION("""COMPUTED_VALUE"""),"TH-THCS Tân Trung")</f>
        <v>TH-THCS Tân Trung</v>
      </c>
      <c r="C84" s="53" t="str">
        <f ca="1">IFERROR(__xludf.DUMMYFUNCTION("""COMPUTED_VALUE"""),"TH")</f>
        <v>TH</v>
      </c>
      <c r="D84" s="53" t="str">
        <f ca="1">IFERROR(__xludf.DUMMYFUNCTION("""COMPUTED_VALUE"""),"CỦ CHI")</f>
        <v>CỦ CHI</v>
      </c>
      <c r="E84" s="54">
        <f ca="1">IFERROR(__xludf.DUMMYFUNCTION("""COMPUTED_VALUE"""),30)</f>
        <v>30</v>
      </c>
      <c r="F84" s="54">
        <f ca="1">IFERROR(__xludf.DUMMYFUNCTION("""COMPUTED_VALUE"""),30)</f>
        <v>30</v>
      </c>
      <c r="G84" s="54"/>
      <c r="H84" s="54">
        <f ca="1">IFERROR(__xludf.DUMMYFUNCTION("""COMPUTED_VALUE"""),21)</f>
        <v>21</v>
      </c>
      <c r="I84" s="54"/>
      <c r="J84" s="54">
        <f ca="1">IFERROR(__xludf.DUMMYFUNCTION("""COMPUTED_VALUE"""),30)</f>
        <v>30</v>
      </c>
      <c r="K84" s="54"/>
      <c r="L84" s="54">
        <f ca="1">IFERROR(__xludf.DUMMYFUNCTION("""COMPUTED_VALUE"""),21)</f>
        <v>21</v>
      </c>
      <c r="M84" s="54"/>
      <c r="N84" s="54">
        <f ca="1">IFERROR(__xludf.DUMMYFUNCTION("""COMPUTED_VALUE"""),1203)</f>
        <v>1203</v>
      </c>
      <c r="O84" s="54">
        <f ca="1">IFERROR(__xludf.DUMMYFUNCTION("""COMPUTED_VALUE"""),1025)</f>
        <v>1025</v>
      </c>
      <c r="P84" s="54"/>
      <c r="Q84" s="54">
        <f ca="1">IFERROR(__xludf.DUMMYFUNCTION("""COMPUTED_VALUE"""),405)</f>
        <v>405</v>
      </c>
      <c r="R84" s="54"/>
      <c r="S84" s="54">
        <f ca="1">IFERROR(__xludf.DUMMYFUNCTION("""COMPUTED_VALUE"""),40)</f>
        <v>40</v>
      </c>
      <c r="T84" s="53">
        <f ca="1">IFERROR(__xludf.DUMMYFUNCTION("""COMPUTED_VALUE"""),1205)</f>
        <v>1205</v>
      </c>
      <c r="U84" s="53"/>
      <c r="V84" s="54">
        <f ca="1">IFERROR(__xludf.DUMMYFUNCTION("""COMPUTED_VALUE"""),1025)</f>
        <v>1025</v>
      </c>
      <c r="W84" s="54"/>
      <c r="X84" s="53"/>
      <c r="Y84" s="53"/>
      <c r="Z84" s="2"/>
      <c r="AA84" s="2"/>
      <c r="AB84" s="2"/>
      <c r="AC84" s="2"/>
      <c r="AD84" s="2"/>
      <c r="AE84" s="2"/>
    </row>
    <row r="85" spans="1:31" ht="12.75" x14ac:dyDescent="0.2">
      <c r="A85" s="53">
        <f ca="1">IFERROR(__xludf.DUMMYFUNCTION("""COMPUTED_VALUE"""),29)</f>
        <v>29</v>
      </c>
      <c r="B85" s="53" t="str">
        <f ca="1">IFERROR(__xludf.DUMMYFUNCTION("""COMPUTED_VALUE"""),"TH Tân Thạnh Tây")</f>
        <v>TH Tân Thạnh Tây</v>
      </c>
      <c r="C85" s="53" t="str">
        <f ca="1">IFERROR(__xludf.DUMMYFUNCTION("""COMPUTED_VALUE"""),"TH")</f>
        <v>TH</v>
      </c>
      <c r="D85" s="53" t="str">
        <f ca="1">IFERROR(__xludf.DUMMYFUNCTION("""COMPUTED_VALUE"""),"CỦ CHI")</f>
        <v>CỦ CHI</v>
      </c>
      <c r="E85" s="54">
        <f ca="1">IFERROR(__xludf.DUMMYFUNCTION("""COMPUTED_VALUE"""),51)</f>
        <v>51</v>
      </c>
      <c r="F85" s="54">
        <f ca="1">IFERROR(__xludf.DUMMYFUNCTION("""COMPUTED_VALUE"""),51)</f>
        <v>51</v>
      </c>
      <c r="G85" s="54"/>
      <c r="H85" s="54">
        <f ca="1">IFERROR(__xludf.DUMMYFUNCTION("""COMPUTED_VALUE"""),49)</f>
        <v>49</v>
      </c>
      <c r="I85" s="54"/>
      <c r="J85" s="54">
        <f ca="1">IFERROR(__xludf.DUMMYFUNCTION("""COMPUTED_VALUE"""),51)</f>
        <v>51</v>
      </c>
      <c r="K85" s="54"/>
      <c r="L85" s="54">
        <f ca="1">IFERROR(__xludf.DUMMYFUNCTION("""COMPUTED_VALUE"""),49)</f>
        <v>49</v>
      </c>
      <c r="M85" s="54"/>
      <c r="N85" s="54">
        <f ca="1">IFERROR(__xludf.DUMMYFUNCTION("""COMPUTED_VALUE"""),970)</f>
        <v>970</v>
      </c>
      <c r="O85" s="54">
        <f ca="1">IFERROR(__xludf.DUMMYFUNCTION("""COMPUTED_VALUE"""),712)</f>
        <v>712</v>
      </c>
      <c r="P85" s="54"/>
      <c r="Q85" s="54">
        <f ca="1">IFERROR(__xludf.DUMMYFUNCTION("""COMPUTED_VALUE"""),326)</f>
        <v>326</v>
      </c>
      <c r="R85" s="54"/>
      <c r="S85" s="54">
        <f ca="1">IFERROR(__xludf.DUMMYFUNCTION("""COMPUTED_VALUE"""),258)</f>
        <v>258</v>
      </c>
      <c r="T85" s="54">
        <f ca="1">IFERROR(__xludf.DUMMYFUNCTION("""COMPUTED_VALUE"""),970)</f>
        <v>970</v>
      </c>
      <c r="U85" s="54"/>
      <c r="V85" s="54">
        <f ca="1">IFERROR(__xludf.DUMMYFUNCTION("""COMPUTED_VALUE"""),712)</f>
        <v>712</v>
      </c>
      <c r="W85" s="54"/>
      <c r="X85" s="54">
        <f ca="1">IFERROR(__xludf.DUMMYFUNCTION("""COMPUTED_VALUE"""),326)</f>
        <v>326</v>
      </c>
      <c r="Y85" s="54"/>
      <c r="Z85" s="2"/>
      <c r="AA85" s="2"/>
      <c r="AB85" s="2"/>
      <c r="AC85" s="2"/>
      <c r="AD85" s="2"/>
      <c r="AE85" s="2"/>
    </row>
    <row r="86" spans="1:31" ht="12.75" x14ac:dyDescent="0.2">
      <c r="A86" s="53">
        <f ca="1">IFERROR(__xludf.DUMMYFUNCTION("""COMPUTED_VALUE"""),30)</f>
        <v>30</v>
      </c>
      <c r="B86" s="53" t="str">
        <f ca="1">IFERROR(__xludf.DUMMYFUNCTION("""COMPUTED_VALUE"""),"TH Tân Thông Hội")</f>
        <v>TH Tân Thông Hội</v>
      </c>
      <c r="C86" s="53" t="str">
        <f ca="1">IFERROR(__xludf.DUMMYFUNCTION("""COMPUTED_VALUE"""),"TH")</f>
        <v>TH</v>
      </c>
      <c r="D86" s="53" t="str">
        <f ca="1">IFERROR(__xludf.DUMMYFUNCTION("""COMPUTED_VALUE"""),"CỦ CHI")</f>
        <v>CỦ CHI</v>
      </c>
      <c r="E86" s="54">
        <f ca="1">IFERROR(__xludf.DUMMYFUNCTION("""COMPUTED_VALUE"""),28)</f>
        <v>28</v>
      </c>
      <c r="F86" s="54">
        <f ca="1">IFERROR(__xludf.DUMMYFUNCTION("""COMPUTED_VALUE"""),28)</f>
        <v>28</v>
      </c>
      <c r="G86" s="54"/>
      <c r="H86" s="54">
        <f ca="1">IFERROR(__xludf.DUMMYFUNCTION("""COMPUTED_VALUE"""),22)</f>
        <v>22</v>
      </c>
      <c r="I86" s="54"/>
      <c r="J86" s="54">
        <f ca="1">IFERROR(__xludf.DUMMYFUNCTION("""COMPUTED_VALUE"""),28)</f>
        <v>28</v>
      </c>
      <c r="K86" s="54"/>
      <c r="L86" s="54">
        <f ca="1">IFERROR(__xludf.DUMMYFUNCTION("""COMPUTED_VALUE"""),22)</f>
        <v>22</v>
      </c>
      <c r="M86" s="54"/>
      <c r="N86" s="54">
        <f ca="1">IFERROR(__xludf.DUMMYFUNCTION("""COMPUTED_VALUE"""),593)</f>
        <v>593</v>
      </c>
      <c r="O86" s="54">
        <f ca="1">IFERROR(__xludf.DUMMYFUNCTION("""COMPUTED_VALUE"""),434)</f>
        <v>434</v>
      </c>
      <c r="P86" s="54"/>
      <c r="Q86" s="54">
        <f ca="1">IFERROR(__xludf.DUMMYFUNCTION("""COMPUTED_VALUE"""),229)</f>
        <v>229</v>
      </c>
      <c r="R86" s="54"/>
      <c r="S86" s="54">
        <f ca="1">IFERROR(__xludf.DUMMYFUNCTION("""COMPUTED_VALUE"""),159)</f>
        <v>159</v>
      </c>
      <c r="T86" s="53">
        <f ca="1">IFERROR(__xludf.DUMMYFUNCTION("""COMPUTED_VALUE"""),593)</f>
        <v>593</v>
      </c>
      <c r="U86" s="53"/>
      <c r="V86" s="54">
        <f ca="1">IFERROR(__xludf.DUMMYFUNCTION("""COMPUTED_VALUE"""),432)</f>
        <v>432</v>
      </c>
      <c r="W86" s="54"/>
      <c r="X86" s="54">
        <f ca="1">IFERROR(__xludf.DUMMYFUNCTION("""COMPUTED_VALUE"""),214)</f>
        <v>214</v>
      </c>
      <c r="Y86" s="54"/>
      <c r="Z86" s="2"/>
      <c r="AA86" s="2"/>
      <c r="AB86" s="2"/>
      <c r="AC86" s="2"/>
      <c r="AD86" s="2"/>
      <c r="AE86" s="2"/>
    </row>
    <row r="87" spans="1:31" ht="12.75" x14ac:dyDescent="0.2">
      <c r="A87" s="53">
        <f ca="1">IFERROR(__xludf.DUMMYFUNCTION("""COMPUTED_VALUE"""),31)</f>
        <v>31</v>
      </c>
      <c r="B87" s="53" t="str">
        <f ca="1">IFERROR(__xludf.DUMMYFUNCTION("""COMPUTED_VALUE"""),"TH Tân Tiến")</f>
        <v>TH Tân Tiến</v>
      </c>
      <c r="C87" s="53" t="str">
        <f ca="1">IFERROR(__xludf.DUMMYFUNCTION("""COMPUTED_VALUE"""),"TH")</f>
        <v>TH</v>
      </c>
      <c r="D87" s="53" t="str">
        <f ca="1">IFERROR(__xludf.DUMMYFUNCTION("""COMPUTED_VALUE"""),"CỦ CHI")</f>
        <v>CỦ CHI</v>
      </c>
      <c r="E87" s="54">
        <f ca="1">IFERROR(__xludf.DUMMYFUNCTION("""COMPUTED_VALUE"""),60)</f>
        <v>60</v>
      </c>
      <c r="F87" s="54">
        <f ca="1">IFERROR(__xludf.DUMMYFUNCTION("""COMPUTED_VALUE"""),59)</f>
        <v>59</v>
      </c>
      <c r="G87" s="54"/>
      <c r="H87" s="54">
        <f ca="1">IFERROR(__xludf.DUMMYFUNCTION("""COMPUTED_VALUE"""),44)</f>
        <v>44</v>
      </c>
      <c r="I87" s="54"/>
      <c r="J87" s="54">
        <f ca="1">IFERROR(__xludf.DUMMYFUNCTION("""COMPUTED_VALUE"""),59)</f>
        <v>59</v>
      </c>
      <c r="K87" s="54"/>
      <c r="L87" s="54">
        <f ca="1">IFERROR(__xludf.DUMMYFUNCTION("""COMPUTED_VALUE"""),44)</f>
        <v>44</v>
      </c>
      <c r="M87" s="54"/>
      <c r="N87" s="54">
        <f ca="1">IFERROR(__xludf.DUMMYFUNCTION("""COMPUTED_VALUE"""),1431)</f>
        <v>1431</v>
      </c>
      <c r="O87" s="54">
        <f ca="1">IFERROR(__xludf.DUMMYFUNCTION("""COMPUTED_VALUE"""),1167)</f>
        <v>1167</v>
      </c>
      <c r="P87" s="54"/>
      <c r="Q87" s="54">
        <f ca="1">IFERROR(__xludf.DUMMYFUNCTION("""COMPUTED_VALUE"""),669)</f>
        <v>669</v>
      </c>
      <c r="R87" s="54"/>
      <c r="S87" s="54">
        <f ca="1">IFERROR(__xludf.DUMMYFUNCTION("""COMPUTED_VALUE"""),265)</f>
        <v>265</v>
      </c>
      <c r="T87" s="54">
        <f ca="1">IFERROR(__xludf.DUMMYFUNCTION("""COMPUTED_VALUE"""),1431)</f>
        <v>1431</v>
      </c>
      <c r="U87" s="54"/>
      <c r="V87" s="54">
        <f ca="1">IFERROR(__xludf.DUMMYFUNCTION("""COMPUTED_VALUE"""),1167)</f>
        <v>1167</v>
      </c>
      <c r="W87" s="54"/>
      <c r="X87" s="54">
        <f ca="1">IFERROR(__xludf.DUMMYFUNCTION("""COMPUTED_VALUE"""),669)</f>
        <v>669</v>
      </c>
      <c r="Y87" s="54"/>
      <c r="Z87" s="2"/>
      <c r="AA87" s="2"/>
      <c r="AB87" s="2"/>
      <c r="AC87" s="2"/>
      <c r="AD87" s="2"/>
      <c r="AE87" s="2"/>
    </row>
    <row r="88" spans="1:31" ht="12.75" x14ac:dyDescent="0.2">
      <c r="A88" s="53">
        <f ca="1">IFERROR(__xludf.DUMMYFUNCTION("""COMPUTED_VALUE"""),32)</f>
        <v>32</v>
      </c>
      <c r="B88" s="53" t="str">
        <f ca="1">IFERROR(__xludf.DUMMYFUNCTION("""COMPUTED_VALUE"""),"TH Tân Thông")</f>
        <v>TH Tân Thông</v>
      </c>
      <c r="C88" s="53" t="str">
        <f ca="1">IFERROR(__xludf.DUMMYFUNCTION("""COMPUTED_VALUE"""),"TH")</f>
        <v>TH</v>
      </c>
      <c r="D88" s="53" t="str">
        <f ca="1">IFERROR(__xludf.DUMMYFUNCTION("""COMPUTED_VALUE"""),"CỦ CHI")</f>
        <v>CỦ CHI</v>
      </c>
      <c r="E88" s="54">
        <f ca="1">IFERROR(__xludf.DUMMYFUNCTION("""COMPUTED_VALUE"""),56)</f>
        <v>56</v>
      </c>
      <c r="F88" s="54">
        <f ca="1">IFERROR(__xludf.DUMMYFUNCTION("""COMPUTED_VALUE"""),56)</f>
        <v>56</v>
      </c>
      <c r="G88" s="54"/>
      <c r="H88" s="54">
        <f ca="1">IFERROR(__xludf.DUMMYFUNCTION("""COMPUTED_VALUE"""),49)</f>
        <v>49</v>
      </c>
      <c r="I88" s="54"/>
      <c r="J88" s="54">
        <f ca="1">IFERROR(__xludf.DUMMYFUNCTION("""COMPUTED_VALUE"""),56)</f>
        <v>56</v>
      </c>
      <c r="K88" s="54"/>
      <c r="L88" s="54">
        <f ca="1">IFERROR(__xludf.DUMMYFUNCTION("""COMPUTED_VALUE"""),49)</f>
        <v>49</v>
      </c>
      <c r="M88" s="54"/>
      <c r="N88" s="54">
        <f ca="1">IFERROR(__xludf.DUMMYFUNCTION("""COMPUTED_VALUE"""),1518)</f>
        <v>1518</v>
      </c>
      <c r="O88" s="54">
        <f ca="1">IFERROR(__xludf.DUMMYFUNCTION("""COMPUTED_VALUE"""),1227)</f>
        <v>1227</v>
      </c>
      <c r="P88" s="54"/>
      <c r="Q88" s="54">
        <f ca="1">IFERROR(__xludf.DUMMYFUNCTION("""COMPUTED_VALUE"""),621)</f>
        <v>621</v>
      </c>
      <c r="R88" s="54"/>
      <c r="S88" s="53">
        <f ca="1">IFERROR(__xludf.DUMMYFUNCTION("""COMPUTED_VALUE"""),291)</f>
        <v>291</v>
      </c>
      <c r="T88" s="53">
        <f ca="1">IFERROR(__xludf.DUMMYFUNCTION("""COMPUTED_VALUE"""),1518)</f>
        <v>1518</v>
      </c>
      <c r="U88" s="53"/>
      <c r="V88" s="53">
        <f ca="1">IFERROR(__xludf.DUMMYFUNCTION("""COMPUTED_VALUE"""),1227)</f>
        <v>1227</v>
      </c>
      <c r="W88" s="53"/>
      <c r="X88" s="53">
        <f ca="1">IFERROR(__xludf.DUMMYFUNCTION("""COMPUTED_VALUE"""),621)</f>
        <v>621</v>
      </c>
      <c r="Y88" s="53"/>
      <c r="Z88" s="2"/>
      <c r="AA88" s="2"/>
      <c r="AB88" s="2"/>
      <c r="AC88" s="2"/>
      <c r="AD88" s="2"/>
      <c r="AE88" s="2"/>
    </row>
    <row r="89" spans="1:31" ht="12.75" x14ac:dyDescent="0.2">
      <c r="A89" s="53">
        <f ca="1">IFERROR(__xludf.DUMMYFUNCTION("""COMPUTED_VALUE"""),33)</f>
        <v>33</v>
      </c>
      <c r="B89" s="53" t="str">
        <f ca="1">IFERROR(__xludf.DUMMYFUNCTION("""COMPUTED_VALUE"""),"TH Thái Mỹ")</f>
        <v>TH Thái Mỹ</v>
      </c>
      <c r="C89" s="53" t="str">
        <f ca="1">IFERROR(__xludf.DUMMYFUNCTION("""COMPUTED_VALUE"""),"TH")</f>
        <v>TH</v>
      </c>
      <c r="D89" s="53" t="str">
        <f ca="1">IFERROR(__xludf.DUMMYFUNCTION("""COMPUTED_VALUE"""),"CỦ CHI")</f>
        <v>CỦ CHI</v>
      </c>
      <c r="E89" s="54">
        <f ca="1">IFERROR(__xludf.DUMMYFUNCTION("""COMPUTED_VALUE"""),55)</f>
        <v>55</v>
      </c>
      <c r="F89" s="54">
        <f ca="1">IFERROR(__xludf.DUMMYFUNCTION("""COMPUTED_VALUE"""),55)</f>
        <v>55</v>
      </c>
      <c r="G89" s="54"/>
      <c r="H89" s="54">
        <f ca="1">IFERROR(__xludf.DUMMYFUNCTION("""COMPUTED_VALUE"""),50)</f>
        <v>50</v>
      </c>
      <c r="I89" s="54"/>
      <c r="J89" s="54">
        <f ca="1">IFERROR(__xludf.DUMMYFUNCTION("""COMPUTED_VALUE"""),55)</f>
        <v>55</v>
      </c>
      <c r="K89" s="54"/>
      <c r="L89" s="54">
        <f ca="1">IFERROR(__xludf.DUMMYFUNCTION("""COMPUTED_VALUE"""),50)</f>
        <v>50</v>
      </c>
      <c r="M89" s="54"/>
      <c r="N89" s="54">
        <f ca="1">IFERROR(__xludf.DUMMYFUNCTION("""COMPUTED_VALUE"""),1195)</f>
        <v>1195</v>
      </c>
      <c r="O89" s="54">
        <f ca="1">IFERROR(__xludf.DUMMYFUNCTION("""COMPUTED_VALUE"""),958)</f>
        <v>958</v>
      </c>
      <c r="P89" s="54"/>
      <c r="Q89" s="54">
        <f ca="1">IFERROR(__xludf.DUMMYFUNCTION("""COMPUTED_VALUE"""),514)</f>
        <v>514</v>
      </c>
      <c r="R89" s="54"/>
      <c r="S89" s="54">
        <f ca="1">IFERROR(__xludf.DUMMYFUNCTION("""COMPUTED_VALUE"""),116)</f>
        <v>116</v>
      </c>
      <c r="T89" s="53">
        <f ca="1">IFERROR(__xludf.DUMMYFUNCTION("""COMPUTED_VALUE"""),1195)</f>
        <v>1195</v>
      </c>
      <c r="U89" s="53"/>
      <c r="V89" s="54">
        <f ca="1">IFERROR(__xludf.DUMMYFUNCTION("""COMPUTED_VALUE"""),958)</f>
        <v>958</v>
      </c>
      <c r="W89" s="54"/>
      <c r="X89" s="54">
        <f ca="1">IFERROR(__xludf.DUMMYFUNCTION("""COMPUTED_VALUE"""),514)</f>
        <v>514</v>
      </c>
      <c r="Y89" s="54"/>
      <c r="Z89" s="2"/>
      <c r="AA89" s="2"/>
      <c r="AB89" s="2"/>
      <c r="AC89" s="2"/>
      <c r="AD89" s="2"/>
      <c r="AE89" s="2"/>
    </row>
    <row r="90" spans="1:31" ht="12.75" x14ac:dyDescent="0.2">
      <c r="A90" s="53">
        <f ca="1">IFERROR(__xludf.DUMMYFUNCTION("""COMPUTED_VALUE"""),34)</f>
        <v>34</v>
      </c>
      <c r="B90" s="53" t="str">
        <f ca="1">IFERROR(__xludf.DUMMYFUNCTION("""COMPUTED_VALUE"""),"TH Thị Trấn Củ Chi")</f>
        <v>TH Thị Trấn Củ Chi</v>
      </c>
      <c r="C90" s="53" t="str">
        <f ca="1">IFERROR(__xludf.DUMMYFUNCTION("""COMPUTED_VALUE"""),"TH")</f>
        <v>TH</v>
      </c>
      <c r="D90" s="53" t="str">
        <f ca="1">IFERROR(__xludf.DUMMYFUNCTION("""COMPUTED_VALUE"""),"CỦ CHI")</f>
        <v>CỦ CHI</v>
      </c>
      <c r="E90" s="54">
        <f ca="1">IFERROR(__xludf.DUMMYFUNCTION("""COMPUTED_VALUE"""),63)</f>
        <v>63</v>
      </c>
      <c r="F90" s="54">
        <f ca="1">IFERROR(__xludf.DUMMYFUNCTION("""COMPUTED_VALUE"""),62)</f>
        <v>62</v>
      </c>
      <c r="G90" s="54"/>
      <c r="H90" s="54">
        <f ca="1">IFERROR(__xludf.DUMMYFUNCTION("""COMPUTED_VALUE"""),45)</f>
        <v>45</v>
      </c>
      <c r="I90" s="54"/>
      <c r="J90" s="54">
        <f ca="1">IFERROR(__xludf.DUMMYFUNCTION("""COMPUTED_VALUE"""),62)</f>
        <v>62</v>
      </c>
      <c r="K90" s="54"/>
      <c r="L90" s="54">
        <f ca="1">IFERROR(__xludf.DUMMYFUNCTION("""COMPUTED_VALUE"""),45)</f>
        <v>45</v>
      </c>
      <c r="M90" s="54"/>
      <c r="N90" s="54">
        <f ca="1">IFERROR(__xludf.DUMMYFUNCTION("""COMPUTED_VALUE"""),1221)</f>
        <v>1221</v>
      </c>
      <c r="O90" s="54">
        <f ca="1">IFERROR(__xludf.DUMMYFUNCTION("""COMPUTED_VALUE"""),979)</f>
        <v>979</v>
      </c>
      <c r="P90" s="54"/>
      <c r="Q90" s="54">
        <f ca="1">IFERROR(__xludf.DUMMYFUNCTION("""COMPUTED_VALUE"""),721)</f>
        <v>721</v>
      </c>
      <c r="R90" s="54"/>
      <c r="S90" s="54">
        <f ca="1">IFERROR(__xludf.DUMMYFUNCTION("""COMPUTED_VALUE"""),242)</f>
        <v>242</v>
      </c>
      <c r="T90" s="54">
        <f ca="1">IFERROR(__xludf.DUMMYFUNCTION("""COMPUTED_VALUE"""),1221)</f>
        <v>1221</v>
      </c>
      <c r="U90" s="54"/>
      <c r="V90" s="54">
        <f ca="1">IFERROR(__xludf.DUMMYFUNCTION("""COMPUTED_VALUE"""),979)</f>
        <v>979</v>
      </c>
      <c r="W90" s="54"/>
      <c r="X90" s="54">
        <f ca="1">IFERROR(__xludf.DUMMYFUNCTION("""COMPUTED_VALUE"""),721)</f>
        <v>721</v>
      </c>
      <c r="Y90" s="54"/>
      <c r="Z90" s="2"/>
      <c r="AA90" s="2"/>
      <c r="AB90" s="2"/>
      <c r="AC90" s="2"/>
      <c r="AD90" s="2"/>
      <c r="AE90" s="2"/>
    </row>
    <row r="91" spans="1:31" ht="12.75" x14ac:dyDescent="0.2">
      <c r="A91" s="53">
        <f ca="1">IFERROR(__xludf.DUMMYFUNCTION("""COMPUTED_VALUE"""),35)</f>
        <v>35</v>
      </c>
      <c r="B91" s="53" t="str">
        <f ca="1">IFERROR(__xludf.DUMMYFUNCTION("""COMPUTED_VALUE"""),"TH Tân Thành")</f>
        <v>TH Tân Thành</v>
      </c>
      <c r="C91" s="53" t="str">
        <f ca="1">IFERROR(__xludf.DUMMYFUNCTION("""COMPUTED_VALUE"""),"TH")</f>
        <v>TH</v>
      </c>
      <c r="D91" s="53" t="str">
        <f ca="1">IFERROR(__xludf.DUMMYFUNCTION("""COMPUTED_VALUE"""),"CỦ CHI")</f>
        <v>CỦ CHI</v>
      </c>
      <c r="E91" s="54">
        <f ca="1">IFERROR(__xludf.DUMMYFUNCTION("""COMPUTED_VALUE"""),53)</f>
        <v>53</v>
      </c>
      <c r="F91" s="54">
        <f ca="1">IFERROR(__xludf.DUMMYFUNCTION("""COMPUTED_VALUE"""),53)</f>
        <v>53</v>
      </c>
      <c r="G91" s="54"/>
      <c r="H91" s="54">
        <f ca="1">IFERROR(__xludf.DUMMYFUNCTION("""COMPUTED_VALUE"""),47)</f>
        <v>47</v>
      </c>
      <c r="I91" s="54"/>
      <c r="J91" s="54">
        <f ca="1">IFERROR(__xludf.DUMMYFUNCTION("""COMPUTED_VALUE"""),53)</f>
        <v>53</v>
      </c>
      <c r="K91" s="54"/>
      <c r="L91" s="54">
        <f ca="1">IFERROR(__xludf.DUMMYFUNCTION("""COMPUTED_VALUE"""),47)</f>
        <v>47</v>
      </c>
      <c r="M91" s="54"/>
      <c r="N91" s="54">
        <f ca="1">IFERROR(__xludf.DUMMYFUNCTION("""COMPUTED_VALUE"""),1254)</f>
        <v>1254</v>
      </c>
      <c r="O91" s="54">
        <f ca="1">IFERROR(__xludf.DUMMYFUNCTION("""COMPUTED_VALUE"""),987)</f>
        <v>987</v>
      </c>
      <c r="P91" s="54"/>
      <c r="Q91" s="54">
        <f ca="1">IFERROR(__xludf.DUMMYFUNCTION("""COMPUTED_VALUE"""),642)</f>
        <v>642</v>
      </c>
      <c r="R91" s="54"/>
      <c r="S91" s="54">
        <f ca="1">IFERROR(__xludf.DUMMYFUNCTION("""COMPUTED_VALUE"""),267)</f>
        <v>267</v>
      </c>
      <c r="T91" s="54">
        <f ca="1">IFERROR(__xludf.DUMMYFUNCTION("""COMPUTED_VALUE"""),1254)</f>
        <v>1254</v>
      </c>
      <c r="U91" s="54"/>
      <c r="V91" s="54">
        <f ca="1">IFERROR(__xludf.DUMMYFUNCTION("""COMPUTED_VALUE"""),987)</f>
        <v>987</v>
      </c>
      <c r="W91" s="54"/>
      <c r="X91" s="54">
        <f ca="1">IFERROR(__xludf.DUMMYFUNCTION("""COMPUTED_VALUE"""),642)</f>
        <v>642</v>
      </c>
      <c r="Y91" s="54"/>
      <c r="Z91" s="2"/>
      <c r="AA91" s="2"/>
      <c r="AB91" s="2"/>
      <c r="AC91" s="2"/>
      <c r="AD91" s="2"/>
      <c r="AE91" s="2"/>
    </row>
    <row r="92" spans="1:31" ht="12.75" x14ac:dyDescent="0.2">
      <c r="A92" s="53">
        <f ca="1">IFERROR(__xludf.DUMMYFUNCTION("""COMPUTED_VALUE"""),36)</f>
        <v>36</v>
      </c>
      <c r="B92" s="53" t="str">
        <f ca="1">IFERROR(__xludf.DUMMYFUNCTION("""COMPUTED_VALUE"""),"TH Thị Trấn Củ Chi 2")</f>
        <v>TH Thị Trấn Củ Chi 2</v>
      </c>
      <c r="C92" s="53" t="str">
        <f ca="1">IFERROR(__xludf.DUMMYFUNCTION("""COMPUTED_VALUE"""),"TH")</f>
        <v>TH</v>
      </c>
      <c r="D92" s="53" t="str">
        <f ca="1">IFERROR(__xludf.DUMMYFUNCTION("""COMPUTED_VALUE"""),"CỦ CHI")</f>
        <v>CỦ CHI</v>
      </c>
      <c r="E92" s="54">
        <f ca="1">IFERROR(__xludf.DUMMYFUNCTION("""COMPUTED_VALUE"""),33)</f>
        <v>33</v>
      </c>
      <c r="F92" s="54">
        <f ca="1">IFERROR(__xludf.DUMMYFUNCTION("""COMPUTED_VALUE"""),32)</f>
        <v>32</v>
      </c>
      <c r="G92" s="54"/>
      <c r="H92" s="54">
        <f ca="1">IFERROR(__xludf.DUMMYFUNCTION("""COMPUTED_VALUE"""),24)</f>
        <v>24</v>
      </c>
      <c r="I92" s="54"/>
      <c r="J92" s="54">
        <f ca="1">IFERROR(__xludf.DUMMYFUNCTION("""COMPUTED_VALUE"""),32)</f>
        <v>32</v>
      </c>
      <c r="K92" s="54"/>
      <c r="L92" s="54">
        <f ca="1">IFERROR(__xludf.DUMMYFUNCTION("""COMPUTED_VALUE"""),24)</f>
        <v>24</v>
      </c>
      <c r="M92" s="54"/>
      <c r="N92" s="54">
        <f ca="1">IFERROR(__xludf.DUMMYFUNCTION("""COMPUTED_VALUE"""),655)</f>
        <v>655</v>
      </c>
      <c r="O92" s="54">
        <f ca="1">IFERROR(__xludf.DUMMYFUNCTION("""COMPUTED_VALUE"""),461)</f>
        <v>461</v>
      </c>
      <c r="P92" s="54"/>
      <c r="Q92" s="54">
        <f ca="1">IFERROR(__xludf.DUMMYFUNCTION("""COMPUTED_VALUE"""),263)</f>
        <v>263</v>
      </c>
      <c r="R92" s="54"/>
      <c r="S92" s="53">
        <f ca="1">IFERROR(__xludf.DUMMYFUNCTION("""COMPUTED_VALUE"""),137)</f>
        <v>137</v>
      </c>
      <c r="T92" s="53">
        <f ca="1">IFERROR(__xludf.DUMMYFUNCTION("""COMPUTED_VALUE"""),655)</f>
        <v>655</v>
      </c>
      <c r="U92" s="53"/>
      <c r="V92" s="53">
        <f ca="1">IFERROR(__xludf.DUMMYFUNCTION("""COMPUTED_VALUE"""),461)</f>
        <v>461</v>
      </c>
      <c r="W92" s="53"/>
      <c r="X92" s="53">
        <f ca="1">IFERROR(__xludf.DUMMYFUNCTION("""COMPUTED_VALUE"""),263)</f>
        <v>263</v>
      </c>
      <c r="Y92" s="53"/>
      <c r="Z92" s="2"/>
      <c r="AA92" s="2"/>
      <c r="AB92" s="2"/>
      <c r="AC92" s="2"/>
      <c r="AD92" s="2"/>
      <c r="AE92" s="2"/>
    </row>
    <row r="93" spans="1:31" ht="12.75" x14ac:dyDescent="0.2">
      <c r="A93" s="53">
        <f ca="1">IFERROR(__xludf.DUMMYFUNCTION("""COMPUTED_VALUE"""),37)</f>
        <v>37</v>
      </c>
      <c r="B93" s="53" t="str">
        <f ca="1">IFERROR(__xludf.DUMMYFUNCTION("""COMPUTED_VALUE"""),"TH Trung An")</f>
        <v>TH Trung An</v>
      </c>
      <c r="C93" s="53" t="str">
        <f ca="1">IFERROR(__xludf.DUMMYFUNCTION("""COMPUTED_VALUE"""),"TH")</f>
        <v>TH</v>
      </c>
      <c r="D93" s="53" t="str">
        <f ca="1">IFERROR(__xludf.DUMMYFUNCTION("""COMPUTED_VALUE"""),"CỦ CHI")</f>
        <v>CỦ CHI</v>
      </c>
      <c r="E93" s="54">
        <f ca="1">IFERROR(__xludf.DUMMYFUNCTION("""COMPUTED_VALUE"""),51)</f>
        <v>51</v>
      </c>
      <c r="F93" s="54">
        <f ca="1">IFERROR(__xludf.DUMMYFUNCTION("""COMPUTED_VALUE"""),50)</f>
        <v>50</v>
      </c>
      <c r="G93" s="54"/>
      <c r="H93" s="54">
        <f ca="1">IFERROR(__xludf.DUMMYFUNCTION("""COMPUTED_VALUE"""),33)</f>
        <v>33</v>
      </c>
      <c r="I93" s="54"/>
      <c r="J93" s="54">
        <f ca="1">IFERROR(__xludf.DUMMYFUNCTION("""COMPUTED_VALUE"""),50)</f>
        <v>50</v>
      </c>
      <c r="K93" s="54"/>
      <c r="L93" s="54">
        <f ca="1">IFERROR(__xludf.DUMMYFUNCTION("""COMPUTED_VALUE"""),33)</f>
        <v>33</v>
      </c>
      <c r="M93" s="54"/>
      <c r="N93" s="54">
        <f ca="1">IFERROR(__xludf.DUMMYFUNCTION("""COMPUTED_VALUE"""),1302)</f>
        <v>1302</v>
      </c>
      <c r="O93" s="54">
        <f ca="1">IFERROR(__xludf.DUMMYFUNCTION("""COMPUTED_VALUE"""),1012)</f>
        <v>1012</v>
      </c>
      <c r="P93" s="54"/>
      <c r="Q93" s="53">
        <f ca="1">IFERROR(__xludf.DUMMYFUNCTION("""COMPUTED_VALUE"""),382)</f>
        <v>382</v>
      </c>
      <c r="R93" s="53"/>
      <c r="S93" s="53">
        <f ca="1">IFERROR(__xludf.DUMMYFUNCTION("""COMPUTED_VALUE"""),290)</f>
        <v>290</v>
      </c>
      <c r="T93" s="53">
        <f ca="1">IFERROR(__xludf.DUMMYFUNCTION("""COMPUTED_VALUE"""),1302)</f>
        <v>1302</v>
      </c>
      <c r="U93" s="53"/>
      <c r="V93" s="53">
        <f ca="1">IFERROR(__xludf.DUMMYFUNCTION("""COMPUTED_VALUE"""),900)</f>
        <v>900</v>
      </c>
      <c r="W93" s="53"/>
      <c r="X93" s="53">
        <f ca="1">IFERROR(__xludf.DUMMYFUNCTION("""COMPUTED_VALUE"""),329)</f>
        <v>329</v>
      </c>
      <c r="Y93" s="53"/>
      <c r="Z93" s="2"/>
      <c r="AA93" s="2"/>
      <c r="AB93" s="2"/>
      <c r="AC93" s="2"/>
      <c r="AD93" s="2"/>
      <c r="AE93" s="2"/>
    </row>
    <row r="94" spans="1:31" ht="12.75" x14ac:dyDescent="0.2">
      <c r="A94" s="53">
        <f ca="1">IFERROR(__xludf.DUMMYFUNCTION("""COMPUTED_VALUE"""),38)</f>
        <v>38</v>
      </c>
      <c r="B94" s="53" t="str">
        <f ca="1">IFERROR(__xludf.DUMMYFUNCTION("""COMPUTED_VALUE"""),"TH Lê Văn Thế")</f>
        <v>TH Lê Văn Thế</v>
      </c>
      <c r="C94" s="53" t="str">
        <f ca="1">IFERROR(__xludf.DUMMYFUNCTION("""COMPUTED_VALUE"""),"TH")</f>
        <v>TH</v>
      </c>
      <c r="D94" s="53" t="str">
        <f ca="1">IFERROR(__xludf.DUMMYFUNCTION("""COMPUTED_VALUE"""),"CỦ CHI")</f>
        <v>CỦ CHI</v>
      </c>
      <c r="E94" s="54">
        <f ca="1">IFERROR(__xludf.DUMMYFUNCTION("""COMPUTED_VALUE"""),50)</f>
        <v>50</v>
      </c>
      <c r="F94" s="54">
        <f ca="1">IFERROR(__xludf.DUMMYFUNCTION("""COMPUTED_VALUE"""),50)</f>
        <v>50</v>
      </c>
      <c r="G94" s="54"/>
      <c r="H94" s="54">
        <f ca="1">IFERROR(__xludf.DUMMYFUNCTION("""COMPUTED_VALUE"""),49)</f>
        <v>49</v>
      </c>
      <c r="I94" s="54"/>
      <c r="J94" s="54">
        <f ca="1">IFERROR(__xludf.DUMMYFUNCTION("""COMPUTED_VALUE"""),50)</f>
        <v>50</v>
      </c>
      <c r="K94" s="54"/>
      <c r="L94" s="54">
        <f ca="1">IFERROR(__xludf.DUMMYFUNCTION("""COMPUTED_VALUE"""),49)</f>
        <v>49</v>
      </c>
      <c r="M94" s="54"/>
      <c r="N94" s="54">
        <f ca="1">IFERROR(__xludf.DUMMYFUNCTION("""COMPUTED_VALUE"""),848)</f>
        <v>848</v>
      </c>
      <c r="O94" s="54">
        <f ca="1">IFERROR(__xludf.DUMMYFUNCTION("""COMPUTED_VALUE"""),787)</f>
        <v>787</v>
      </c>
      <c r="P94" s="54"/>
      <c r="Q94" s="53">
        <f ca="1">IFERROR(__xludf.DUMMYFUNCTION("""COMPUTED_VALUE"""),531)</f>
        <v>531</v>
      </c>
      <c r="R94" s="53"/>
      <c r="S94" s="53">
        <f ca="1">IFERROR(__xludf.DUMMYFUNCTION("""COMPUTED_VALUE"""),7)</f>
        <v>7</v>
      </c>
      <c r="T94" s="53">
        <f ca="1">IFERROR(__xludf.DUMMYFUNCTION("""COMPUTED_VALUE"""),848)</f>
        <v>848</v>
      </c>
      <c r="U94" s="53"/>
      <c r="V94" s="53">
        <f ca="1">IFERROR(__xludf.DUMMYFUNCTION("""COMPUTED_VALUE"""),787)</f>
        <v>787</v>
      </c>
      <c r="W94" s="53"/>
      <c r="X94" s="53">
        <f ca="1">IFERROR(__xludf.DUMMYFUNCTION("""COMPUTED_VALUE"""),521)</f>
        <v>521</v>
      </c>
      <c r="Y94" s="53"/>
      <c r="Z94" s="2"/>
      <c r="AA94" s="2"/>
      <c r="AB94" s="2"/>
      <c r="AC94" s="2"/>
      <c r="AD94" s="2"/>
      <c r="AE94" s="2"/>
    </row>
    <row r="95" spans="1:31" ht="12.75" x14ac:dyDescent="0.2">
      <c r="A95" s="53">
        <f ca="1">IFERROR(__xludf.DUMMYFUNCTION("""COMPUTED_VALUE"""),39)</f>
        <v>39</v>
      </c>
      <c r="B95" s="53" t="str">
        <f ca="1">IFERROR(__xludf.DUMMYFUNCTION("""COMPUTED_VALUE"""),"TH Trung Lập Hạ")</f>
        <v>TH Trung Lập Hạ</v>
      </c>
      <c r="C95" s="53" t="str">
        <f ca="1">IFERROR(__xludf.DUMMYFUNCTION("""COMPUTED_VALUE"""),"TH")</f>
        <v>TH</v>
      </c>
      <c r="D95" s="53" t="str">
        <f ca="1">IFERROR(__xludf.DUMMYFUNCTION("""COMPUTED_VALUE"""),"CỦ CHI")</f>
        <v>CỦ CHI</v>
      </c>
      <c r="E95" s="54">
        <f ca="1">IFERROR(__xludf.DUMMYFUNCTION("""COMPUTED_VALUE"""),33)</f>
        <v>33</v>
      </c>
      <c r="F95" s="54">
        <f ca="1">IFERROR(__xludf.DUMMYFUNCTION("""COMPUTED_VALUE"""),31)</f>
        <v>31</v>
      </c>
      <c r="G95" s="54"/>
      <c r="H95" s="54">
        <f ca="1">IFERROR(__xludf.DUMMYFUNCTION("""COMPUTED_VALUE"""),28)</f>
        <v>28</v>
      </c>
      <c r="I95" s="54"/>
      <c r="J95" s="54">
        <f ca="1">IFERROR(__xludf.DUMMYFUNCTION("""COMPUTED_VALUE"""),31)</f>
        <v>31</v>
      </c>
      <c r="K95" s="54"/>
      <c r="L95" s="54">
        <f ca="1">IFERROR(__xludf.DUMMYFUNCTION("""COMPUTED_VALUE"""),28)</f>
        <v>28</v>
      </c>
      <c r="M95" s="54"/>
      <c r="N95" s="54">
        <f ca="1">IFERROR(__xludf.DUMMYFUNCTION("""COMPUTED_VALUE"""),829)</f>
        <v>829</v>
      </c>
      <c r="O95" s="54">
        <f ca="1">IFERROR(__xludf.DUMMYFUNCTION("""COMPUTED_VALUE"""),736)</f>
        <v>736</v>
      </c>
      <c r="P95" s="54"/>
      <c r="Q95" s="54">
        <f ca="1">IFERROR(__xludf.DUMMYFUNCTION("""COMPUTED_VALUE"""),537)</f>
        <v>537</v>
      </c>
      <c r="R95" s="54"/>
      <c r="S95" s="54">
        <f ca="1">IFERROR(__xludf.DUMMYFUNCTION("""COMPUTED_VALUE"""),93)</f>
        <v>93</v>
      </c>
      <c r="T95" s="53">
        <f ca="1">IFERROR(__xludf.DUMMYFUNCTION("""COMPUTED_VALUE"""),829)</f>
        <v>829</v>
      </c>
      <c r="U95" s="53"/>
      <c r="V95" s="54">
        <f ca="1">IFERROR(__xludf.DUMMYFUNCTION("""COMPUTED_VALUE"""),728)</f>
        <v>728</v>
      </c>
      <c r="W95" s="54"/>
      <c r="X95" s="54">
        <f ca="1">IFERROR(__xludf.DUMMYFUNCTION("""COMPUTED_VALUE"""),528)</f>
        <v>528</v>
      </c>
      <c r="Y95" s="54"/>
      <c r="Z95" s="2"/>
      <c r="AA95" s="2"/>
      <c r="AB95" s="2"/>
      <c r="AC95" s="2"/>
      <c r="AD95" s="2"/>
      <c r="AE95" s="2"/>
    </row>
    <row r="96" spans="1:31" ht="12.75" x14ac:dyDescent="0.2">
      <c r="A96" s="53">
        <f ca="1">IFERROR(__xludf.DUMMYFUNCTION("""COMPUTED_VALUE"""),40)</f>
        <v>40</v>
      </c>
      <c r="B96" s="53" t="str">
        <f ca="1">IFERROR(__xludf.DUMMYFUNCTION("""COMPUTED_VALUE"""),"TH Trung Lập Thượng")</f>
        <v>TH Trung Lập Thượng</v>
      </c>
      <c r="C96" s="53" t="str">
        <f ca="1">IFERROR(__xludf.DUMMYFUNCTION("""COMPUTED_VALUE"""),"TH")</f>
        <v>TH</v>
      </c>
      <c r="D96" s="53" t="str">
        <f ca="1">IFERROR(__xludf.DUMMYFUNCTION("""COMPUTED_VALUE"""),"CỦ CHI")</f>
        <v>CỦ CHI</v>
      </c>
      <c r="E96" s="54">
        <f ca="1">IFERROR(__xludf.DUMMYFUNCTION("""COMPUTED_VALUE"""),28)</f>
        <v>28</v>
      </c>
      <c r="F96" s="54">
        <f ca="1">IFERROR(__xludf.DUMMYFUNCTION("""COMPUTED_VALUE"""),27)</f>
        <v>27</v>
      </c>
      <c r="G96" s="54"/>
      <c r="H96" s="54">
        <f ca="1">IFERROR(__xludf.DUMMYFUNCTION("""COMPUTED_VALUE"""),18)</f>
        <v>18</v>
      </c>
      <c r="I96" s="54"/>
      <c r="J96" s="54">
        <f ca="1">IFERROR(__xludf.DUMMYFUNCTION("""COMPUTED_VALUE"""),27)</f>
        <v>27</v>
      </c>
      <c r="K96" s="54"/>
      <c r="L96" s="54">
        <f ca="1">IFERROR(__xludf.DUMMYFUNCTION("""COMPUTED_VALUE"""),18)</f>
        <v>18</v>
      </c>
      <c r="M96" s="54"/>
      <c r="N96" s="54">
        <f ca="1">IFERROR(__xludf.DUMMYFUNCTION("""COMPUTED_VALUE"""),484)</f>
        <v>484</v>
      </c>
      <c r="O96" s="54">
        <f ca="1">IFERROR(__xludf.DUMMYFUNCTION("""COMPUTED_VALUE"""),455)</f>
        <v>455</v>
      </c>
      <c r="P96" s="54"/>
      <c r="Q96" s="54">
        <f ca="1">IFERROR(__xludf.DUMMYFUNCTION("""COMPUTED_VALUE"""),370)</f>
        <v>370</v>
      </c>
      <c r="R96" s="54"/>
      <c r="S96" s="54">
        <f ca="1">IFERROR(__xludf.DUMMYFUNCTION("""COMPUTED_VALUE"""),29)</f>
        <v>29</v>
      </c>
      <c r="T96" s="54">
        <f ca="1">IFERROR(__xludf.DUMMYFUNCTION("""COMPUTED_VALUE"""),484)</f>
        <v>484</v>
      </c>
      <c r="U96" s="54"/>
      <c r="V96" s="54">
        <f ca="1">IFERROR(__xludf.DUMMYFUNCTION("""COMPUTED_VALUE"""),456)</f>
        <v>456</v>
      </c>
      <c r="W96" s="54"/>
      <c r="X96" s="54">
        <f ca="1">IFERROR(__xludf.DUMMYFUNCTION("""COMPUTED_VALUE"""),368)</f>
        <v>368</v>
      </c>
      <c r="Y96" s="54"/>
      <c r="Z96" s="2"/>
      <c r="AA96" s="2"/>
      <c r="AB96" s="2"/>
      <c r="AC96" s="2"/>
      <c r="AD96" s="2"/>
      <c r="AE96" s="2"/>
    </row>
    <row r="97" spans="1:31" ht="12.75" x14ac:dyDescent="0.2">
      <c r="A97" s="53" t="str">
        <f ca="1">IFERROR(__xludf.DUMMYFUNCTION("""COMPUTED_VALUE"""),"THCS")</f>
        <v>THCS</v>
      </c>
      <c r="B97" s="53"/>
      <c r="C97" s="53"/>
      <c r="D97" s="53" t="str">
        <f ca="1">IFERROR(__xludf.DUMMYFUNCTION("""COMPUTED_VALUE"""),"CỦ CHI")</f>
        <v>CỦ CHI</v>
      </c>
      <c r="E97" s="53"/>
      <c r="F97" s="53"/>
      <c r="G97" s="53"/>
      <c r="H97" s="53"/>
      <c r="I97" s="53"/>
      <c r="J97" s="53"/>
      <c r="K97" s="53"/>
      <c r="L97" s="53"/>
      <c r="M97" s="53"/>
      <c r="N97" s="53"/>
      <c r="O97" s="53"/>
      <c r="P97" s="53"/>
      <c r="Q97" s="53"/>
      <c r="R97" s="53"/>
      <c r="S97" s="53"/>
      <c r="T97" s="53"/>
      <c r="U97" s="53"/>
      <c r="V97" s="53"/>
      <c r="W97" s="53"/>
      <c r="X97" s="53"/>
      <c r="Y97" s="53"/>
      <c r="Z97" s="2"/>
      <c r="AA97" s="2"/>
      <c r="AB97" s="2"/>
      <c r="AC97" s="2"/>
      <c r="AD97" s="2"/>
      <c r="AE97" s="2"/>
    </row>
    <row r="98" spans="1:31" ht="12.75" x14ac:dyDescent="0.2">
      <c r="A98" s="53">
        <f ca="1">IFERROR(__xludf.DUMMYFUNCTION("""COMPUTED_VALUE"""),1)</f>
        <v>1</v>
      </c>
      <c r="B98" s="53" t="str">
        <f ca="1">IFERROR(__xludf.DUMMYFUNCTION("""COMPUTED_VALUE"""),"THCS An Nhơn Tây")</f>
        <v>THCS An Nhơn Tây</v>
      </c>
      <c r="C98" s="53" t="str">
        <f ca="1">IFERROR(__xludf.DUMMYFUNCTION("""COMPUTED_VALUE"""),"THCS")</f>
        <v>THCS</v>
      </c>
      <c r="D98" s="53" t="str">
        <f ca="1">IFERROR(__xludf.DUMMYFUNCTION("""COMPUTED_VALUE"""),"CỦ CHI")</f>
        <v>CỦ CHI</v>
      </c>
      <c r="E98" s="54">
        <f ca="1">IFERROR(__xludf.DUMMYFUNCTION("""COMPUTED_VALUE"""),58)</f>
        <v>58</v>
      </c>
      <c r="F98" s="54">
        <f ca="1">IFERROR(__xludf.DUMMYFUNCTION("""COMPUTED_VALUE"""),55)</f>
        <v>55</v>
      </c>
      <c r="G98" s="54"/>
      <c r="H98" s="54">
        <f ca="1">IFERROR(__xludf.DUMMYFUNCTION("""COMPUTED_VALUE"""),42)</f>
        <v>42</v>
      </c>
      <c r="I98" s="54"/>
      <c r="J98" s="54">
        <f ca="1">IFERROR(__xludf.DUMMYFUNCTION("""COMPUTED_VALUE"""),55)</f>
        <v>55</v>
      </c>
      <c r="K98" s="54"/>
      <c r="L98" s="54">
        <f ca="1">IFERROR(__xludf.DUMMYFUNCTION("""COMPUTED_VALUE"""),42)</f>
        <v>42</v>
      </c>
      <c r="M98" s="54"/>
      <c r="N98" s="54">
        <f ca="1">IFERROR(__xludf.DUMMYFUNCTION("""COMPUTED_VALUE"""),1153)</f>
        <v>1153</v>
      </c>
      <c r="O98" s="54">
        <f ca="1">IFERROR(__xludf.DUMMYFUNCTION("""COMPUTED_VALUE"""),1129)</f>
        <v>1129</v>
      </c>
      <c r="P98" s="54"/>
      <c r="Q98" s="54">
        <f ca="1">IFERROR(__xludf.DUMMYFUNCTION("""COMPUTED_VALUE"""),1136)</f>
        <v>1136</v>
      </c>
      <c r="R98" s="54"/>
      <c r="S98" s="54">
        <f ca="1">IFERROR(__xludf.DUMMYFUNCTION("""COMPUTED_VALUE"""),27)</f>
        <v>27</v>
      </c>
      <c r="T98" s="53">
        <f ca="1">IFERROR(__xludf.DUMMYFUNCTION("""COMPUTED_VALUE"""),133)</f>
        <v>133</v>
      </c>
      <c r="U98" s="53"/>
      <c r="V98" s="54">
        <f ca="1">IFERROR(__xludf.DUMMYFUNCTION("""COMPUTED_VALUE"""),127)</f>
        <v>127</v>
      </c>
      <c r="W98" s="54"/>
      <c r="X98" s="54">
        <f ca="1">IFERROR(__xludf.DUMMYFUNCTION("""COMPUTED_VALUE"""),124)</f>
        <v>124</v>
      </c>
      <c r="Y98" s="54"/>
      <c r="Z98" s="2"/>
      <c r="AA98" s="2"/>
      <c r="AB98" s="2"/>
      <c r="AC98" s="2"/>
      <c r="AD98" s="2"/>
      <c r="AE98" s="2"/>
    </row>
    <row r="99" spans="1:31" ht="12.75" x14ac:dyDescent="0.2">
      <c r="A99" s="53">
        <f ca="1">IFERROR(__xludf.DUMMYFUNCTION("""COMPUTED_VALUE"""),2)</f>
        <v>2</v>
      </c>
      <c r="B99" s="53" t="str">
        <f ca="1">IFERROR(__xludf.DUMMYFUNCTION("""COMPUTED_VALUE"""),"THCS An Phú")</f>
        <v>THCS An Phú</v>
      </c>
      <c r="C99" s="53" t="str">
        <f ca="1">IFERROR(__xludf.DUMMYFUNCTION("""COMPUTED_VALUE"""),"THCS")</f>
        <v>THCS</v>
      </c>
      <c r="D99" s="53" t="str">
        <f ca="1">IFERROR(__xludf.DUMMYFUNCTION("""COMPUTED_VALUE"""),"CỦ CHI")</f>
        <v>CỦ CHI</v>
      </c>
      <c r="E99" s="54">
        <f ca="1">IFERROR(__xludf.DUMMYFUNCTION("""COMPUTED_VALUE"""),38)</f>
        <v>38</v>
      </c>
      <c r="F99" s="54">
        <f ca="1">IFERROR(__xludf.DUMMYFUNCTION("""COMPUTED_VALUE"""),38)</f>
        <v>38</v>
      </c>
      <c r="G99" s="54"/>
      <c r="H99" s="54">
        <f ca="1">IFERROR(__xludf.DUMMYFUNCTION("""COMPUTED_VALUE"""),32)</f>
        <v>32</v>
      </c>
      <c r="I99" s="54"/>
      <c r="J99" s="54">
        <f ca="1">IFERROR(__xludf.DUMMYFUNCTION("""COMPUTED_VALUE"""),38)</f>
        <v>38</v>
      </c>
      <c r="K99" s="54"/>
      <c r="L99" s="54">
        <f ca="1">IFERROR(__xludf.DUMMYFUNCTION("""COMPUTED_VALUE"""),32)</f>
        <v>32</v>
      </c>
      <c r="M99" s="54"/>
      <c r="N99" s="54">
        <f ca="1">IFERROR(__xludf.DUMMYFUNCTION("""COMPUTED_VALUE"""),607)</f>
        <v>607</v>
      </c>
      <c r="O99" s="54">
        <f ca="1">IFERROR(__xludf.DUMMYFUNCTION("""COMPUTED_VALUE"""),554)</f>
        <v>554</v>
      </c>
      <c r="P99" s="54"/>
      <c r="Q99" s="54">
        <f ca="1">IFERROR(__xludf.DUMMYFUNCTION("""COMPUTED_VALUE"""),592)</f>
        <v>592</v>
      </c>
      <c r="R99" s="54"/>
      <c r="S99" s="53">
        <f ca="1">IFERROR(__xludf.DUMMYFUNCTION("""COMPUTED_VALUE"""),15)</f>
        <v>15</v>
      </c>
      <c r="T99" s="53">
        <f ca="1">IFERROR(__xludf.DUMMYFUNCTION("""COMPUTED_VALUE"""),55)</f>
        <v>55</v>
      </c>
      <c r="U99" s="53"/>
      <c r="V99" s="53">
        <f ca="1">IFERROR(__xludf.DUMMYFUNCTION("""COMPUTED_VALUE"""),21)</f>
        <v>21</v>
      </c>
      <c r="W99" s="53"/>
      <c r="X99" s="53">
        <f ca="1">IFERROR(__xludf.DUMMYFUNCTION("""COMPUTED_VALUE"""),29)</f>
        <v>29</v>
      </c>
      <c r="Y99" s="53"/>
      <c r="Z99" s="2"/>
      <c r="AA99" s="2"/>
      <c r="AB99" s="2"/>
      <c r="AC99" s="2"/>
      <c r="AD99" s="2"/>
      <c r="AE99" s="2"/>
    </row>
    <row r="100" spans="1:31" ht="12.75" x14ac:dyDescent="0.2">
      <c r="A100" s="53">
        <f ca="1">IFERROR(__xludf.DUMMYFUNCTION("""COMPUTED_VALUE"""),3)</f>
        <v>3</v>
      </c>
      <c r="B100" s="53" t="str">
        <f ca="1">IFERROR(__xludf.DUMMYFUNCTION("""COMPUTED_VALUE"""),"THCS Bình Hòa")</f>
        <v>THCS Bình Hòa</v>
      </c>
      <c r="C100" s="53" t="str">
        <f ca="1">IFERROR(__xludf.DUMMYFUNCTION("""COMPUTED_VALUE"""),"THCS")</f>
        <v>THCS</v>
      </c>
      <c r="D100" s="53" t="str">
        <f ca="1">IFERROR(__xludf.DUMMYFUNCTION("""COMPUTED_VALUE"""),"CỦ CHI")</f>
        <v>CỦ CHI</v>
      </c>
      <c r="E100" s="54">
        <f ca="1">IFERROR(__xludf.DUMMYFUNCTION("""COMPUTED_VALUE"""),65)</f>
        <v>65</v>
      </c>
      <c r="F100" s="54">
        <f ca="1">IFERROR(__xludf.DUMMYFUNCTION("""COMPUTED_VALUE"""),65)</f>
        <v>65</v>
      </c>
      <c r="G100" s="54"/>
      <c r="H100" s="54">
        <f ca="1">IFERROR(__xludf.DUMMYFUNCTION("""COMPUTED_VALUE"""),49)</f>
        <v>49</v>
      </c>
      <c r="I100" s="54"/>
      <c r="J100" s="54">
        <f ca="1">IFERROR(__xludf.DUMMYFUNCTION("""COMPUTED_VALUE"""),65)</f>
        <v>65</v>
      </c>
      <c r="K100" s="54"/>
      <c r="L100" s="54">
        <f ca="1">IFERROR(__xludf.DUMMYFUNCTION("""COMPUTED_VALUE"""),49)</f>
        <v>49</v>
      </c>
      <c r="M100" s="54"/>
      <c r="N100" s="54">
        <f ca="1">IFERROR(__xludf.DUMMYFUNCTION("""COMPUTED_VALUE"""),1231)</f>
        <v>1231</v>
      </c>
      <c r="O100" s="54">
        <f ca="1">IFERROR(__xludf.DUMMYFUNCTION("""COMPUTED_VALUE"""),1214)</f>
        <v>1214</v>
      </c>
      <c r="P100" s="54"/>
      <c r="Q100" s="54">
        <f ca="1">IFERROR(__xludf.DUMMYFUNCTION("""COMPUTED_VALUE"""),1135)</f>
        <v>1135</v>
      </c>
      <c r="R100" s="54"/>
      <c r="S100" s="54">
        <f ca="1">IFERROR(__xludf.DUMMYFUNCTION("""COMPUTED_VALUE"""),17)</f>
        <v>17</v>
      </c>
      <c r="T100" s="53">
        <f ca="1">IFERROR(__xludf.DUMMYFUNCTION("""COMPUTED_VALUE"""),214)</f>
        <v>214</v>
      </c>
      <c r="U100" s="53"/>
      <c r="V100" s="54">
        <f ca="1">IFERROR(__xludf.DUMMYFUNCTION("""COMPUTED_VALUE"""),200)</f>
        <v>200</v>
      </c>
      <c r="W100" s="54"/>
      <c r="X100" s="54">
        <f ca="1">IFERROR(__xludf.DUMMYFUNCTION("""COMPUTED_VALUE"""),160)</f>
        <v>160</v>
      </c>
      <c r="Y100" s="54"/>
      <c r="Z100" s="2"/>
      <c r="AA100" s="2"/>
      <c r="AB100" s="2"/>
      <c r="AC100" s="2"/>
      <c r="AD100" s="2"/>
      <c r="AE100" s="2"/>
    </row>
    <row r="101" spans="1:31" ht="12.75" x14ac:dyDescent="0.2">
      <c r="A101" s="53">
        <f ca="1">IFERROR(__xludf.DUMMYFUNCTION("""COMPUTED_VALUE"""),4)</f>
        <v>4</v>
      </c>
      <c r="B101" s="53" t="str">
        <f ca="1">IFERROR(__xludf.DUMMYFUNCTION("""COMPUTED_VALUE"""),"THCS Hòa Phú")</f>
        <v>THCS Hòa Phú</v>
      </c>
      <c r="C101" s="53" t="str">
        <f ca="1">IFERROR(__xludf.DUMMYFUNCTION("""COMPUTED_VALUE"""),"THCS")</f>
        <v>THCS</v>
      </c>
      <c r="D101" s="53" t="str">
        <f ca="1">IFERROR(__xludf.DUMMYFUNCTION("""COMPUTED_VALUE"""),"CỦ CHI")</f>
        <v>CỦ CHI</v>
      </c>
      <c r="E101" s="54">
        <f ca="1">IFERROR(__xludf.DUMMYFUNCTION("""COMPUTED_VALUE"""),58)</f>
        <v>58</v>
      </c>
      <c r="F101" s="54">
        <f ca="1">IFERROR(__xludf.DUMMYFUNCTION("""COMPUTED_VALUE"""),55)</f>
        <v>55</v>
      </c>
      <c r="G101" s="54"/>
      <c r="H101" s="54">
        <f ca="1">IFERROR(__xludf.DUMMYFUNCTION("""COMPUTED_VALUE"""),32)</f>
        <v>32</v>
      </c>
      <c r="I101" s="54"/>
      <c r="J101" s="54">
        <f ca="1">IFERROR(__xludf.DUMMYFUNCTION("""COMPUTED_VALUE"""),55)</f>
        <v>55</v>
      </c>
      <c r="K101" s="54"/>
      <c r="L101" s="54">
        <f ca="1">IFERROR(__xludf.DUMMYFUNCTION("""COMPUTED_VALUE"""),32)</f>
        <v>32</v>
      </c>
      <c r="M101" s="54"/>
      <c r="N101" s="54">
        <f ca="1">IFERROR(__xludf.DUMMYFUNCTION("""COMPUTED_VALUE"""),994)</f>
        <v>994</v>
      </c>
      <c r="O101" s="54">
        <f ca="1">IFERROR(__xludf.DUMMYFUNCTION("""COMPUTED_VALUE"""),958)</f>
        <v>958</v>
      </c>
      <c r="P101" s="54"/>
      <c r="Q101" s="54">
        <f ca="1">IFERROR(__xludf.DUMMYFUNCTION("""COMPUTED_VALUE"""),916)</f>
        <v>916</v>
      </c>
      <c r="R101" s="54"/>
      <c r="S101" s="54">
        <f ca="1">IFERROR(__xludf.DUMMYFUNCTION("""COMPUTED_VALUE"""),36)</f>
        <v>36</v>
      </c>
      <c r="T101" s="53">
        <f ca="1">IFERROR(__xludf.DUMMYFUNCTION("""COMPUTED_VALUE"""),81)</f>
        <v>81</v>
      </c>
      <c r="U101" s="53"/>
      <c r="V101" s="54">
        <f ca="1">IFERROR(__xludf.DUMMYFUNCTION("""COMPUTED_VALUE"""),58)</f>
        <v>58</v>
      </c>
      <c r="W101" s="54"/>
      <c r="X101" s="54">
        <f ca="1">IFERROR(__xludf.DUMMYFUNCTION("""COMPUTED_VALUE"""),48)</f>
        <v>48</v>
      </c>
      <c r="Y101" s="54"/>
      <c r="Z101" s="2"/>
      <c r="AA101" s="2"/>
      <c r="AB101" s="2"/>
      <c r="AC101" s="2"/>
      <c r="AD101" s="2"/>
      <c r="AE101" s="2"/>
    </row>
    <row r="102" spans="1:31" ht="12.75" x14ac:dyDescent="0.2">
      <c r="A102" s="53">
        <f ca="1">IFERROR(__xludf.DUMMYFUNCTION("""COMPUTED_VALUE"""),5)</f>
        <v>5</v>
      </c>
      <c r="B102" s="53" t="str">
        <f ca="1">IFERROR(__xludf.DUMMYFUNCTION("""COMPUTED_VALUE"""),"THCS Nguyễn Văn Xơ")</f>
        <v>THCS Nguyễn Văn Xơ</v>
      </c>
      <c r="C102" s="53" t="str">
        <f ca="1">IFERROR(__xludf.DUMMYFUNCTION("""COMPUTED_VALUE"""),"THCS")</f>
        <v>THCS</v>
      </c>
      <c r="D102" s="53" t="str">
        <f ca="1">IFERROR(__xludf.DUMMYFUNCTION("""COMPUTED_VALUE"""),"CỦ CHI")</f>
        <v>CỦ CHI</v>
      </c>
      <c r="E102" s="54">
        <f ca="1">IFERROR(__xludf.DUMMYFUNCTION("""COMPUTED_VALUE"""),48)</f>
        <v>48</v>
      </c>
      <c r="F102" s="54">
        <f ca="1">IFERROR(__xludf.DUMMYFUNCTION("""COMPUTED_VALUE"""),48)</f>
        <v>48</v>
      </c>
      <c r="G102" s="54"/>
      <c r="H102" s="54">
        <f ca="1">IFERROR(__xludf.DUMMYFUNCTION("""COMPUTED_VALUE"""),40)</f>
        <v>40</v>
      </c>
      <c r="I102" s="54"/>
      <c r="J102" s="54">
        <f ca="1">IFERROR(__xludf.DUMMYFUNCTION("""COMPUTED_VALUE"""),48)</f>
        <v>48</v>
      </c>
      <c r="K102" s="54"/>
      <c r="L102" s="54">
        <f ca="1">IFERROR(__xludf.DUMMYFUNCTION("""COMPUTED_VALUE"""),40)</f>
        <v>40</v>
      </c>
      <c r="M102" s="54"/>
      <c r="N102" s="54">
        <f ca="1">IFERROR(__xludf.DUMMYFUNCTION("""COMPUTED_VALUE"""),784)</f>
        <v>784</v>
      </c>
      <c r="O102" s="54">
        <f ca="1">IFERROR(__xludf.DUMMYFUNCTION("""COMPUTED_VALUE"""),780)</f>
        <v>780</v>
      </c>
      <c r="P102" s="54"/>
      <c r="Q102" s="54">
        <f ca="1">IFERROR(__xludf.DUMMYFUNCTION("""COMPUTED_VALUE"""),779)</f>
        <v>779</v>
      </c>
      <c r="R102" s="54"/>
      <c r="S102" s="54">
        <f ca="1">IFERROR(__xludf.DUMMYFUNCTION("""COMPUTED_VALUE"""),288)</f>
        <v>288</v>
      </c>
      <c r="T102" s="53">
        <f ca="1">IFERROR(__xludf.DUMMYFUNCTION("""COMPUTED_VALUE"""),221)</f>
        <v>221</v>
      </c>
      <c r="U102" s="53"/>
      <c r="V102" s="54">
        <f ca="1">IFERROR(__xludf.DUMMYFUNCTION("""COMPUTED_VALUE"""),218)</f>
        <v>218</v>
      </c>
      <c r="W102" s="54"/>
      <c r="X102" s="54">
        <f ca="1">IFERROR(__xludf.DUMMYFUNCTION("""COMPUTED_VALUE"""),215)</f>
        <v>215</v>
      </c>
      <c r="Y102" s="54"/>
      <c r="Z102" s="2"/>
      <c r="AA102" s="2"/>
      <c r="AB102" s="2"/>
      <c r="AC102" s="2"/>
      <c r="AD102" s="2"/>
      <c r="AE102" s="2"/>
    </row>
    <row r="103" spans="1:31" ht="12.75" x14ac:dyDescent="0.2">
      <c r="A103" s="53">
        <f ca="1">IFERROR(__xludf.DUMMYFUNCTION("""COMPUTED_VALUE"""),6)</f>
        <v>6</v>
      </c>
      <c r="B103" s="53" t="str">
        <f ca="1">IFERROR(__xludf.DUMMYFUNCTION("""COMPUTED_VALUE"""),"THCS Nhuận Đức")</f>
        <v>THCS Nhuận Đức</v>
      </c>
      <c r="C103" s="53" t="str">
        <f ca="1">IFERROR(__xludf.DUMMYFUNCTION("""COMPUTED_VALUE"""),"THCS")</f>
        <v>THCS</v>
      </c>
      <c r="D103" s="53" t="str">
        <f ca="1">IFERROR(__xludf.DUMMYFUNCTION("""COMPUTED_VALUE"""),"CỦ CHI")</f>
        <v>CỦ CHI</v>
      </c>
      <c r="E103" s="54">
        <f ca="1">IFERROR(__xludf.DUMMYFUNCTION("""COMPUTED_VALUE"""),37)</f>
        <v>37</v>
      </c>
      <c r="F103" s="54">
        <f ca="1">IFERROR(__xludf.DUMMYFUNCTION("""COMPUTED_VALUE"""),37)</f>
        <v>37</v>
      </c>
      <c r="G103" s="54"/>
      <c r="H103" s="54">
        <f ca="1">IFERROR(__xludf.DUMMYFUNCTION("""COMPUTED_VALUE"""),34)</f>
        <v>34</v>
      </c>
      <c r="I103" s="54"/>
      <c r="J103" s="54">
        <f ca="1">IFERROR(__xludf.DUMMYFUNCTION("""COMPUTED_VALUE"""),37)</f>
        <v>37</v>
      </c>
      <c r="K103" s="54"/>
      <c r="L103" s="54">
        <f ca="1">IFERROR(__xludf.DUMMYFUNCTION("""COMPUTED_VALUE"""),34)</f>
        <v>34</v>
      </c>
      <c r="M103" s="54"/>
      <c r="N103" s="54">
        <f ca="1">IFERROR(__xludf.DUMMYFUNCTION("""COMPUTED_VALUE"""),547)</f>
        <v>547</v>
      </c>
      <c r="O103" s="54">
        <f ca="1">IFERROR(__xludf.DUMMYFUNCTION("""COMPUTED_VALUE"""),527)</f>
        <v>527</v>
      </c>
      <c r="P103" s="54"/>
      <c r="Q103" s="54">
        <f ca="1">IFERROR(__xludf.DUMMYFUNCTION("""COMPUTED_VALUE"""),520)</f>
        <v>520</v>
      </c>
      <c r="R103" s="54"/>
      <c r="S103" s="53">
        <f ca="1">IFERROR(__xludf.DUMMYFUNCTION("""COMPUTED_VALUE"""),20)</f>
        <v>20</v>
      </c>
      <c r="T103" s="53">
        <f ca="1">IFERROR(__xludf.DUMMYFUNCTION("""COMPUTED_VALUE"""),123)</f>
        <v>123</v>
      </c>
      <c r="U103" s="53"/>
      <c r="V103" s="53">
        <f ca="1">IFERROR(__xludf.DUMMYFUNCTION("""COMPUTED_VALUE"""),103)</f>
        <v>103</v>
      </c>
      <c r="W103" s="53"/>
      <c r="X103" s="53">
        <f ca="1">IFERROR(__xludf.DUMMYFUNCTION("""COMPUTED_VALUE"""),98)</f>
        <v>98</v>
      </c>
      <c r="Y103" s="53"/>
      <c r="Z103" s="2"/>
      <c r="AA103" s="2"/>
      <c r="AB103" s="2"/>
      <c r="AC103" s="2"/>
      <c r="AD103" s="2"/>
      <c r="AE103" s="2"/>
    </row>
    <row r="104" spans="1:31" ht="12.75" x14ac:dyDescent="0.2">
      <c r="A104" s="53">
        <f ca="1">IFERROR(__xludf.DUMMYFUNCTION("""COMPUTED_VALUE"""),7)</f>
        <v>7</v>
      </c>
      <c r="B104" s="53" t="str">
        <f ca="1">IFERROR(__xludf.DUMMYFUNCTION("""COMPUTED_VALUE"""),"THCS Phạm Văn Cội")</f>
        <v>THCS Phạm Văn Cội</v>
      </c>
      <c r="C104" s="53" t="str">
        <f ca="1">IFERROR(__xludf.DUMMYFUNCTION("""COMPUTED_VALUE"""),"THCS")</f>
        <v>THCS</v>
      </c>
      <c r="D104" s="53" t="str">
        <f ca="1">IFERROR(__xludf.DUMMYFUNCTION("""COMPUTED_VALUE"""),"CỦ CHI")</f>
        <v>CỦ CHI</v>
      </c>
      <c r="E104" s="54">
        <f ca="1">IFERROR(__xludf.DUMMYFUNCTION("""COMPUTED_VALUE"""),45)</f>
        <v>45</v>
      </c>
      <c r="F104" s="54">
        <f ca="1">IFERROR(__xludf.DUMMYFUNCTION("""COMPUTED_VALUE"""),44)</f>
        <v>44</v>
      </c>
      <c r="G104" s="54"/>
      <c r="H104" s="54">
        <f ca="1">IFERROR(__xludf.DUMMYFUNCTION("""COMPUTED_VALUE"""),32)</f>
        <v>32</v>
      </c>
      <c r="I104" s="54"/>
      <c r="J104" s="54">
        <f ca="1">IFERROR(__xludf.DUMMYFUNCTION("""COMPUTED_VALUE"""),44)</f>
        <v>44</v>
      </c>
      <c r="K104" s="54"/>
      <c r="L104" s="54">
        <f ca="1">IFERROR(__xludf.DUMMYFUNCTION("""COMPUTED_VALUE"""),32)</f>
        <v>32</v>
      </c>
      <c r="M104" s="54"/>
      <c r="N104" s="54">
        <f ca="1">IFERROR(__xludf.DUMMYFUNCTION("""COMPUTED_VALUE"""),708)</f>
        <v>708</v>
      </c>
      <c r="O104" s="54">
        <f ca="1">IFERROR(__xludf.DUMMYFUNCTION("""COMPUTED_VALUE"""),659)</f>
        <v>659</v>
      </c>
      <c r="P104" s="54"/>
      <c r="Q104" s="54">
        <f ca="1">IFERROR(__xludf.DUMMYFUNCTION("""COMPUTED_VALUE"""),628)</f>
        <v>628</v>
      </c>
      <c r="R104" s="54"/>
      <c r="S104" s="54">
        <f ca="1">IFERROR(__xludf.DUMMYFUNCTION("""COMPUTED_VALUE"""),49)</f>
        <v>49</v>
      </c>
      <c r="T104" s="53">
        <f ca="1">IFERROR(__xludf.DUMMYFUNCTION("""COMPUTED_VALUE"""),73)</f>
        <v>73</v>
      </c>
      <c r="U104" s="53"/>
      <c r="V104" s="54">
        <f ca="1">IFERROR(__xludf.DUMMYFUNCTION("""COMPUTED_VALUE"""),45)</f>
        <v>45</v>
      </c>
      <c r="W104" s="54"/>
      <c r="X104" s="54">
        <f ca="1">IFERROR(__xludf.DUMMYFUNCTION("""COMPUTED_VALUE"""),29)</f>
        <v>29</v>
      </c>
      <c r="Y104" s="54"/>
      <c r="Z104" s="2"/>
      <c r="AA104" s="2"/>
      <c r="AB104" s="2"/>
      <c r="AC104" s="2"/>
      <c r="AD104" s="2"/>
      <c r="AE104" s="2"/>
    </row>
    <row r="105" spans="1:31" ht="12.75" x14ac:dyDescent="0.2">
      <c r="A105" s="53">
        <f ca="1">IFERROR(__xludf.DUMMYFUNCTION("""COMPUTED_VALUE"""),8)</f>
        <v>8</v>
      </c>
      <c r="B105" s="53" t="str">
        <f ca="1">IFERROR(__xludf.DUMMYFUNCTION("""COMPUTED_VALUE"""),"THCS Phú Hòa Đông")</f>
        <v>THCS Phú Hòa Đông</v>
      </c>
      <c r="C105" s="53" t="str">
        <f ca="1">IFERROR(__xludf.DUMMYFUNCTION("""COMPUTED_VALUE"""),"THCS")</f>
        <v>THCS</v>
      </c>
      <c r="D105" s="53" t="str">
        <f ca="1">IFERROR(__xludf.DUMMYFUNCTION("""COMPUTED_VALUE"""),"CỦ CHI")</f>
        <v>CỦ CHI</v>
      </c>
      <c r="E105" s="54">
        <f ca="1">IFERROR(__xludf.DUMMYFUNCTION("""COMPUTED_VALUE"""),78)</f>
        <v>78</v>
      </c>
      <c r="F105" s="54">
        <f ca="1">IFERROR(__xludf.DUMMYFUNCTION("""COMPUTED_VALUE"""),76)</f>
        <v>76</v>
      </c>
      <c r="G105" s="54"/>
      <c r="H105" s="54">
        <f ca="1">IFERROR(__xludf.DUMMYFUNCTION("""COMPUTED_VALUE"""),50)</f>
        <v>50</v>
      </c>
      <c r="I105" s="54"/>
      <c r="J105" s="54">
        <f ca="1">IFERROR(__xludf.DUMMYFUNCTION("""COMPUTED_VALUE"""),76)</f>
        <v>76</v>
      </c>
      <c r="K105" s="54"/>
      <c r="L105" s="54">
        <f ca="1">IFERROR(__xludf.DUMMYFUNCTION("""COMPUTED_VALUE"""),50)</f>
        <v>50</v>
      </c>
      <c r="M105" s="54"/>
      <c r="N105" s="54">
        <f ca="1">IFERROR(__xludf.DUMMYFUNCTION("""COMPUTED_VALUE"""),1482)</f>
        <v>1482</v>
      </c>
      <c r="O105" s="54">
        <f ca="1">IFERROR(__xludf.DUMMYFUNCTION("""COMPUTED_VALUE"""),1461)</f>
        <v>1461</v>
      </c>
      <c r="P105" s="54"/>
      <c r="Q105" s="54">
        <f ca="1">IFERROR(__xludf.DUMMYFUNCTION("""COMPUTED_VALUE"""),1367)</f>
        <v>1367</v>
      </c>
      <c r="R105" s="54"/>
      <c r="S105" s="53">
        <f ca="1">IFERROR(__xludf.DUMMYFUNCTION("""COMPUTED_VALUE"""),21)</f>
        <v>21</v>
      </c>
      <c r="T105" s="53">
        <f ca="1">IFERROR(__xludf.DUMMYFUNCTION("""COMPUTED_VALUE"""),118)</f>
        <v>118</v>
      </c>
      <c r="U105" s="53"/>
      <c r="V105" s="53">
        <f ca="1">IFERROR(__xludf.DUMMYFUNCTION("""COMPUTED_VALUE"""),28)</f>
        <v>28</v>
      </c>
      <c r="W105" s="53"/>
      <c r="X105" s="53">
        <f ca="1">IFERROR(__xludf.DUMMYFUNCTION("""COMPUTED_VALUE"""),65)</f>
        <v>65</v>
      </c>
      <c r="Y105" s="53"/>
      <c r="Z105" s="2"/>
      <c r="AA105" s="2"/>
      <c r="AB105" s="2"/>
      <c r="AC105" s="2"/>
      <c r="AD105" s="2"/>
      <c r="AE105" s="2"/>
    </row>
    <row r="106" spans="1:31" ht="12.75" x14ac:dyDescent="0.2">
      <c r="A106" s="53">
        <f ca="1">IFERROR(__xludf.DUMMYFUNCTION("""COMPUTED_VALUE"""),9)</f>
        <v>9</v>
      </c>
      <c r="B106" s="53" t="str">
        <f ca="1">IFERROR(__xludf.DUMMYFUNCTION("""COMPUTED_VALUE"""),"THCS Phú Mỹ Hưng")</f>
        <v>THCS Phú Mỹ Hưng</v>
      </c>
      <c r="C106" s="53" t="str">
        <f ca="1">IFERROR(__xludf.DUMMYFUNCTION("""COMPUTED_VALUE"""),"THCS")</f>
        <v>THCS</v>
      </c>
      <c r="D106" s="53" t="str">
        <f ca="1">IFERROR(__xludf.DUMMYFUNCTION("""COMPUTED_VALUE"""),"CỦ CHI")</f>
        <v>CỦ CHI</v>
      </c>
      <c r="E106" s="54">
        <f ca="1">IFERROR(__xludf.DUMMYFUNCTION("""COMPUTED_VALUE"""),30)</f>
        <v>30</v>
      </c>
      <c r="F106" s="54">
        <f ca="1">IFERROR(__xludf.DUMMYFUNCTION("""COMPUTED_VALUE"""),30)</f>
        <v>30</v>
      </c>
      <c r="G106" s="54"/>
      <c r="H106" s="54">
        <f ca="1">IFERROR(__xludf.DUMMYFUNCTION("""COMPUTED_VALUE"""),27)</f>
        <v>27</v>
      </c>
      <c r="I106" s="54"/>
      <c r="J106" s="54">
        <f ca="1">IFERROR(__xludf.DUMMYFUNCTION("""COMPUTED_VALUE"""),30)</f>
        <v>30</v>
      </c>
      <c r="K106" s="54"/>
      <c r="L106" s="54">
        <f ca="1">IFERROR(__xludf.DUMMYFUNCTION("""COMPUTED_VALUE"""),27)</f>
        <v>27</v>
      </c>
      <c r="M106" s="54"/>
      <c r="N106" s="54">
        <f ca="1">IFERROR(__xludf.DUMMYFUNCTION("""COMPUTED_VALUE"""),478)</f>
        <v>478</v>
      </c>
      <c r="O106" s="54">
        <f ca="1">IFERROR(__xludf.DUMMYFUNCTION("""COMPUTED_VALUE"""),474)</f>
        <v>474</v>
      </c>
      <c r="P106" s="54"/>
      <c r="Q106" s="54">
        <f ca="1">IFERROR(__xludf.DUMMYFUNCTION("""COMPUTED_VALUE"""),474)</f>
        <v>474</v>
      </c>
      <c r="R106" s="54"/>
      <c r="S106" s="54">
        <f ca="1">IFERROR(__xludf.DUMMYFUNCTION("""COMPUTED_VALUE"""),4)</f>
        <v>4</v>
      </c>
      <c r="T106" s="53">
        <f ca="1">IFERROR(__xludf.DUMMYFUNCTION("""COMPUTED_VALUE"""),478)</f>
        <v>478</v>
      </c>
      <c r="U106" s="53"/>
      <c r="V106" s="54">
        <f ca="1">IFERROR(__xludf.DUMMYFUNCTION("""COMPUTED_VALUE"""),97)</f>
        <v>97</v>
      </c>
      <c r="W106" s="54"/>
      <c r="X106" s="54">
        <f ca="1">IFERROR(__xludf.DUMMYFUNCTION("""COMPUTED_VALUE"""),13)</f>
        <v>13</v>
      </c>
      <c r="Y106" s="54"/>
      <c r="Z106" s="2"/>
      <c r="AA106" s="2"/>
      <c r="AB106" s="2"/>
      <c r="AC106" s="2"/>
      <c r="AD106" s="2"/>
      <c r="AE106" s="2"/>
    </row>
    <row r="107" spans="1:31" ht="12.75" x14ac:dyDescent="0.2">
      <c r="A107" s="53">
        <f ca="1">IFERROR(__xludf.DUMMYFUNCTION("""COMPUTED_VALUE"""),10)</f>
        <v>10</v>
      </c>
      <c r="B107" s="53" t="str">
        <f ca="1">IFERROR(__xludf.DUMMYFUNCTION("""COMPUTED_VALUE"""),"THCS Phước Hiệp")</f>
        <v>THCS Phước Hiệp</v>
      </c>
      <c r="C107" s="53" t="str">
        <f ca="1">IFERROR(__xludf.DUMMYFUNCTION("""COMPUTED_VALUE"""),"THCS")</f>
        <v>THCS</v>
      </c>
      <c r="D107" s="53" t="str">
        <f ca="1">IFERROR(__xludf.DUMMYFUNCTION("""COMPUTED_VALUE"""),"CỦ CHI")</f>
        <v>CỦ CHI</v>
      </c>
      <c r="E107" s="54">
        <f ca="1">IFERROR(__xludf.DUMMYFUNCTION("""COMPUTED_VALUE"""),42)</f>
        <v>42</v>
      </c>
      <c r="F107" s="54">
        <f ca="1">IFERROR(__xludf.DUMMYFUNCTION("""COMPUTED_VALUE"""),42)</f>
        <v>42</v>
      </c>
      <c r="G107" s="54"/>
      <c r="H107" s="54">
        <f ca="1">IFERROR(__xludf.DUMMYFUNCTION("""COMPUTED_VALUE"""),38)</f>
        <v>38</v>
      </c>
      <c r="I107" s="54"/>
      <c r="J107" s="54">
        <f ca="1">IFERROR(__xludf.DUMMYFUNCTION("""COMPUTED_VALUE"""),42)</f>
        <v>42</v>
      </c>
      <c r="K107" s="54"/>
      <c r="L107" s="54">
        <f ca="1">IFERROR(__xludf.DUMMYFUNCTION("""COMPUTED_VALUE"""),38)</f>
        <v>38</v>
      </c>
      <c r="M107" s="54"/>
      <c r="N107" s="54">
        <f ca="1">IFERROR(__xludf.DUMMYFUNCTION("""COMPUTED_VALUE"""),716)</f>
        <v>716</v>
      </c>
      <c r="O107" s="54">
        <f ca="1">IFERROR(__xludf.DUMMYFUNCTION("""COMPUTED_VALUE"""),706)</f>
        <v>706</v>
      </c>
      <c r="P107" s="54"/>
      <c r="Q107" s="54">
        <f ca="1">IFERROR(__xludf.DUMMYFUNCTION("""COMPUTED_VALUE"""),684)</f>
        <v>684</v>
      </c>
      <c r="R107" s="54"/>
      <c r="S107" s="54">
        <f ca="1">IFERROR(__xludf.DUMMYFUNCTION("""COMPUTED_VALUE"""),18)</f>
        <v>18</v>
      </c>
      <c r="T107" s="53">
        <f ca="1">IFERROR(__xludf.DUMMYFUNCTION("""COMPUTED_VALUE"""),147)</f>
        <v>147</v>
      </c>
      <c r="U107" s="53"/>
      <c r="V107" s="54">
        <f ca="1">IFERROR(__xludf.DUMMYFUNCTION("""COMPUTED_VALUE"""),137)</f>
        <v>137</v>
      </c>
      <c r="W107" s="54"/>
      <c r="X107" s="54">
        <f ca="1">IFERROR(__xludf.DUMMYFUNCTION("""COMPUTED_VALUE"""),115)</f>
        <v>115</v>
      </c>
      <c r="Y107" s="54"/>
      <c r="Z107" s="2"/>
      <c r="AA107" s="2"/>
      <c r="AB107" s="2"/>
      <c r="AC107" s="2"/>
      <c r="AD107" s="2"/>
      <c r="AE107" s="2"/>
    </row>
    <row r="108" spans="1:31" ht="12.75" x14ac:dyDescent="0.2">
      <c r="A108" s="53">
        <f ca="1">IFERROR(__xludf.DUMMYFUNCTION("""COMPUTED_VALUE"""),11)</f>
        <v>11</v>
      </c>
      <c r="B108" s="53" t="str">
        <f ca="1">IFERROR(__xludf.DUMMYFUNCTION("""COMPUTED_VALUE"""),"THCS Phước Thạnh")</f>
        <v>THCS Phước Thạnh</v>
      </c>
      <c r="C108" s="53" t="str">
        <f ca="1">IFERROR(__xludf.DUMMYFUNCTION("""COMPUTED_VALUE"""),"THCS")</f>
        <v>THCS</v>
      </c>
      <c r="D108" s="53" t="str">
        <f ca="1">IFERROR(__xludf.DUMMYFUNCTION("""COMPUTED_VALUE"""),"CỦ CHI")</f>
        <v>CỦ CHI</v>
      </c>
      <c r="E108" s="54">
        <f ca="1">IFERROR(__xludf.DUMMYFUNCTION("""COMPUTED_VALUE"""),57)</f>
        <v>57</v>
      </c>
      <c r="F108" s="54">
        <f ca="1">IFERROR(__xludf.DUMMYFUNCTION("""COMPUTED_VALUE"""),56)</f>
        <v>56</v>
      </c>
      <c r="G108" s="54"/>
      <c r="H108" s="54">
        <f ca="1">IFERROR(__xludf.DUMMYFUNCTION("""COMPUTED_VALUE"""),53)</f>
        <v>53</v>
      </c>
      <c r="I108" s="54"/>
      <c r="J108" s="54">
        <f ca="1">IFERROR(__xludf.DUMMYFUNCTION("""COMPUTED_VALUE"""),56)</f>
        <v>56</v>
      </c>
      <c r="K108" s="54"/>
      <c r="L108" s="54">
        <f ca="1">IFERROR(__xludf.DUMMYFUNCTION("""COMPUTED_VALUE"""),53)</f>
        <v>53</v>
      </c>
      <c r="M108" s="54"/>
      <c r="N108" s="54">
        <f ca="1">IFERROR(__xludf.DUMMYFUNCTION("""COMPUTED_VALUE"""),1144)</f>
        <v>1144</v>
      </c>
      <c r="O108" s="54">
        <f ca="1">IFERROR(__xludf.DUMMYFUNCTION("""COMPUTED_VALUE"""),1108)</f>
        <v>1108</v>
      </c>
      <c r="P108" s="54"/>
      <c r="Q108" s="54">
        <f ca="1">IFERROR(__xludf.DUMMYFUNCTION("""COMPUTED_VALUE"""),1059)</f>
        <v>1059</v>
      </c>
      <c r="R108" s="54"/>
      <c r="S108" s="54">
        <f ca="1">IFERROR(__xludf.DUMMYFUNCTION("""COMPUTED_VALUE"""),36)</f>
        <v>36</v>
      </c>
      <c r="T108" s="53">
        <f ca="1">IFERROR(__xludf.DUMMYFUNCTION("""COMPUTED_VALUE"""),107)</f>
        <v>107</v>
      </c>
      <c r="U108" s="53"/>
      <c r="V108" s="54">
        <f ca="1">IFERROR(__xludf.DUMMYFUNCTION("""COMPUTED_VALUE"""),75)</f>
        <v>75</v>
      </c>
      <c r="W108" s="54"/>
      <c r="X108" s="54">
        <f ca="1">IFERROR(__xludf.DUMMYFUNCTION("""COMPUTED_VALUE"""),71)</f>
        <v>71</v>
      </c>
      <c r="Y108" s="54"/>
      <c r="Z108" s="2"/>
      <c r="AA108" s="2"/>
      <c r="AB108" s="2"/>
      <c r="AC108" s="2"/>
      <c r="AD108" s="2"/>
      <c r="AE108" s="2"/>
    </row>
    <row r="109" spans="1:31" ht="12.75" x14ac:dyDescent="0.2">
      <c r="A109" s="53">
        <f ca="1">IFERROR(__xludf.DUMMYFUNCTION("""COMPUTED_VALUE"""),12)</f>
        <v>12</v>
      </c>
      <c r="B109" s="53" t="str">
        <f ca="1">IFERROR(__xludf.DUMMYFUNCTION("""COMPUTED_VALUE"""),"THCS Phước Vĩnh An")</f>
        <v>THCS Phước Vĩnh An</v>
      </c>
      <c r="C109" s="53" t="str">
        <f ca="1">IFERROR(__xludf.DUMMYFUNCTION("""COMPUTED_VALUE"""),"THCS")</f>
        <v>THCS</v>
      </c>
      <c r="D109" s="53" t="str">
        <f ca="1">IFERROR(__xludf.DUMMYFUNCTION("""COMPUTED_VALUE"""),"CỦ CHI")</f>
        <v>CỦ CHI</v>
      </c>
      <c r="E109" s="54">
        <f ca="1">IFERROR(__xludf.DUMMYFUNCTION("""COMPUTED_VALUE"""),52)</f>
        <v>52</v>
      </c>
      <c r="F109" s="54">
        <f ca="1">IFERROR(__xludf.DUMMYFUNCTION("""COMPUTED_VALUE"""),52)</f>
        <v>52</v>
      </c>
      <c r="G109" s="54"/>
      <c r="H109" s="54">
        <f ca="1">IFERROR(__xludf.DUMMYFUNCTION("""COMPUTED_VALUE"""),32)</f>
        <v>32</v>
      </c>
      <c r="I109" s="54"/>
      <c r="J109" s="54">
        <f ca="1">IFERROR(__xludf.DUMMYFUNCTION("""COMPUTED_VALUE"""),52)</f>
        <v>52</v>
      </c>
      <c r="K109" s="54"/>
      <c r="L109" s="54">
        <f ca="1">IFERROR(__xludf.DUMMYFUNCTION("""COMPUTED_VALUE"""),32)</f>
        <v>32</v>
      </c>
      <c r="M109" s="54"/>
      <c r="N109" s="54">
        <f ca="1">IFERROR(__xludf.DUMMYFUNCTION("""COMPUTED_VALUE"""),1103)</f>
        <v>1103</v>
      </c>
      <c r="O109" s="53"/>
      <c r="P109" s="53"/>
      <c r="Q109" s="53"/>
      <c r="R109" s="53"/>
      <c r="S109" s="54">
        <f ca="1">IFERROR(__xludf.DUMMYFUNCTION("""COMPUTED_VALUE"""),55)</f>
        <v>55</v>
      </c>
      <c r="T109" s="53">
        <f ca="1">IFERROR(__xludf.DUMMYFUNCTION("""COMPUTED_VALUE"""),134)</f>
        <v>134</v>
      </c>
      <c r="U109" s="53"/>
      <c r="V109" s="54">
        <f ca="1">IFERROR(__xludf.DUMMYFUNCTION("""COMPUTED_VALUE"""),112)</f>
        <v>112</v>
      </c>
      <c r="W109" s="54"/>
      <c r="X109" s="54">
        <f ca="1">IFERROR(__xludf.DUMMYFUNCTION("""COMPUTED_VALUE"""),92)</f>
        <v>92</v>
      </c>
      <c r="Y109" s="54"/>
      <c r="Z109" s="2"/>
      <c r="AA109" s="2"/>
      <c r="AB109" s="2"/>
      <c r="AC109" s="2"/>
      <c r="AD109" s="2"/>
      <c r="AE109" s="2"/>
    </row>
    <row r="110" spans="1:31" ht="12.75" x14ac:dyDescent="0.2">
      <c r="A110" s="53">
        <f ca="1">IFERROR(__xludf.DUMMYFUNCTION("""COMPUTED_VALUE"""),13)</f>
        <v>13</v>
      </c>
      <c r="B110" s="53" t="str">
        <f ca="1">IFERROR(__xludf.DUMMYFUNCTION("""COMPUTED_VALUE"""),"THCS Tân An Hội")</f>
        <v>THCS Tân An Hội</v>
      </c>
      <c r="C110" s="53" t="str">
        <f ca="1">IFERROR(__xludf.DUMMYFUNCTION("""COMPUTED_VALUE"""),"THCS")</f>
        <v>THCS</v>
      </c>
      <c r="D110" s="53" t="str">
        <f ca="1">IFERROR(__xludf.DUMMYFUNCTION("""COMPUTED_VALUE"""),"CỦ CHI")</f>
        <v>CỦ CHI</v>
      </c>
      <c r="E110" s="54">
        <f ca="1">IFERROR(__xludf.DUMMYFUNCTION("""COMPUTED_VALUE"""),56)</f>
        <v>56</v>
      </c>
      <c r="F110" s="54">
        <f ca="1">IFERROR(__xludf.DUMMYFUNCTION("""COMPUTED_VALUE"""),56)</f>
        <v>56</v>
      </c>
      <c r="G110" s="54"/>
      <c r="H110" s="54">
        <f ca="1">IFERROR(__xludf.DUMMYFUNCTION("""COMPUTED_VALUE"""),42)</f>
        <v>42</v>
      </c>
      <c r="I110" s="54"/>
      <c r="J110" s="54">
        <f ca="1">IFERROR(__xludf.DUMMYFUNCTION("""COMPUTED_VALUE"""),56)</f>
        <v>56</v>
      </c>
      <c r="K110" s="54"/>
      <c r="L110" s="54">
        <f ca="1">IFERROR(__xludf.DUMMYFUNCTION("""COMPUTED_VALUE"""),42)</f>
        <v>42</v>
      </c>
      <c r="M110" s="54"/>
      <c r="N110" s="54">
        <f ca="1">IFERROR(__xludf.DUMMYFUNCTION("""COMPUTED_VALUE"""),1127)</f>
        <v>1127</v>
      </c>
      <c r="O110" s="54">
        <f ca="1">IFERROR(__xludf.DUMMYFUNCTION("""COMPUTED_VALUE"""),1093)</f>
        <v>1093</v>
      </c>
      <c r="P110" s="54"/>
      <c r="Q110" s="54">
        <f ca="1">IFERROR(__xludf.DUMMYFUNCTION("""COMPUTED_VALUE"""),1057)</f>
        <v>1057</v>
      </c>
      <c r="R110" s="54"/>
      <c r="S110" s="54">
        <f ca="1">IFERROR(__xludf.DUMMYFUNCTION("""COMPUTED_VALUE"""),31)</f>
        <v>31</v>
      </c>
      <c r="T110" s="53">
        <f ca="1">IFERROR(__xludf.DUMMYFUNCTION("""COMPUTED_VALUE"""),84)</f>
        <v>84</v>
      </c>
      <c r="U110" s="53"/>
      <c r="V110" s="54">
        <f ca="1">IFERROR(__xludf.DUMMYFUNCTION("""COMPUTED_VALUE"""),68)</f>
        <v>68</v>
      </c>
      <c r="W110" s="54"/>
      <c r="X110" s="54">
        <f ca="1">IFERROR(__xludf.DUMMYFUNCTION("""COMPUTED_VALUE"""),48)</f>
        <v>48</v>
      </c>
      <c r="Y110" s="54"/>
      <c r="Z110" s="2"/>
      <c r="AA110" s="2"/>
      <c r="AB110" s="2"/>
      <c r="AC110" s="2"/>
      <c r="AD110" s="2"/>
      <c r="AE110" s="2"/>
    </row>
    <row r="111" spans="1:31" ht="12.75" x14ac:dyDescent="0.2">
      <c r="A111" s="53">
        <f ca="1">IFERROR(__xludf.DUMMYFUNCTION("""COMPUTED_VALUE"""),14)</f>
        <v>14</v>
      </c>
      <c r="B111" s="53" t="str">
        <f ca="1">IFERROR(__xludf.DUMMYFUNCTION("""COMPUTED_VALUE"""),"THCS Tân Phú Trung")</f>
        <v>THCS Tân Phú Trung</v>
      </c>
      <c r="C111" s="53" t="str">
        <f ca="1">IFERROR(__xludf.DUMMYFUNCTION("""COMPUTED_VALUE"""),"THCS")</f>
        <v>THCS</v>
      </c>
      <c r="D111" s="53" t="str">
        <f ca="1">IFERROR(__xludf.DUMMYFUNCTION("""COMPUTED_VALUE"""),"CỦ CHI")</f>
        <v>CỦ CHI</v>
      </c>
      <c r="E111" s="54">
        <f ca="1">IFERROR(__xludf.DUMMYFUNCTION("""COMPUTED_VALUE"""),119)</f>
        <v>119</v>
      </c>
      <c r="F111" s="54">
        <f ca="1">IFERROR(__xludf.DUMMYFUNCTION("""COMPUTED_VALUE"""),110)</f>
        <v>110</v>
      </c>
      <c r="G111" s="54"/>
      <c r="H111" s="54">
        <f ca="1">IFERROR(__xludf.DUMMYFUNCTION("""COMPUTED_VALUE"""),66)</f>
        <v>66</v>
      </c>
      <c r="I111" s="54"/>
      <c r="J111" s="54">
        <f ca="1">IFERROR(__xludf.DUMMYFUNCTION("""COMPUTED_VALUE"""),110)</f>
        <v>110</v>
      </c>
      <c r="K111" s="54"/>
      <c r="L111" s="54">
        <f ca="1">IFERROR(__xludf.DUMMYFUNCTION("""COMPUTED_VALUE"""),66)</f>
        <v>66</v>
      </c>
      <c r="M111" s="54"/>
      <c r="N111" s="54">
        <f ca="1">IFERROR(__xludf.DUMMYFUNCTION("""COMPUTED_VALUE"""),2904)</f>
        <v>2904</v>
      </c>
      <c r="O111" s="54">
        <f ca="1">IFERROR(__xludf.DUMMYFUNCTION("""COMPUTED_VALUE"""),2800)</f>
        <v>2800</v>
      </c>
      <c r="P111" s="54"/>
      <c r="Q111" s="54">
        <f ca="1">IFERROR(__xludf.DUMMYFUNCTION("""COMPUTED_VALUE"""),2502)</f>
        <v>2502</v>
      </c>
      <c r="R111" s="54"/>
      <c r="S111" s="54">
        <f ca="1">IFERROR(__xludf.DUMMYFUNCTION("""COMPUTED_VALUE"""),104)</f>
        <v>104</v>
      </c>
      <c r="T111" s="54">
        <f ca="1">IFERROR(__xludf.DUMMYFUNCTION("""COMPUTED_VALUE"""),236)</f>
        <v>236</v>
      </c>
      <c r="U111" s="54"/>
      <c r="V111" s="54">
        <f ca="1">IFERROR(__xludf.DUMMYFUNCTION("""COMPUTED_VALUE"""),183)</f>
        <v>183</v>
      </c>
      <c r="W111" s="54"/>
      <c r="X111" s="54">
        <f ca="1">IFERROR(__xludf.DUMMYFUNCTION("""COMPUTED_VALUE"""),1)</f>
        <v>1</v>
      </c>
      <c r="Y111" s="54"/>
      <c r="Z111" s="2"/>
      <c r="AA111" s="2"/>
      <c r="AB111" s="2"/>
      <c r="AC111" s="2"/>
      <c r="AD111" s="2"/>
      <c r="AE111" s="2"/>
    </row>
    <row r="112" spans="1:31" ht="12.75" x14ac:dyDescent="0.2">
      <c r="A112" s="53">
        <f ca="1">IFERROR(__xludf.DUMMYFUNCTION("""COMPUTED_VALUE"""),15)</f>
        <v>15</v>
      </c>
      <c r="B112" s="53" t="str">
        <f ca="1">IFERROR(__xludf.DUMMYFUNCTION("""COMPUTED_VALUE"""),"THCS Tân Thạnh Đông")</f>
        <v>THCS Tân Thạnh Đông</v>
      </c>
      <c r="C112" s="53" t="str">
        <f ca="1">IFERROR(__xludf.DUMMYFUNCTION("""COMPUTED_VALUE"""),"THCS")</f>
        <v>THCS</v>
      </c>
      <c r="D112" s="53" t="str">
        <f ca="1">IFERROR(__xludf.DUMMYFUNCTION("""COMPUTED_VALUE"""),"CỦ CHI")</f>
        <v>CỦ CHI</v>
      </c>
      <c r="E112" s="54">
        <f ca="1">IFERROR(__xludf.DUMMYFUNCTION("""COMPUTED_VALUE"""),112)</f>
        <v>112</v>
      </c>
      <c r="F112" s="54">
        <f ca="1">IFERROR(__xludf.DUMMYFUNCTION("""COMPUTED_VALUE"""),112)</f>
        <v>112</v>
      </c>
      <c r="G112" s="54"/>
      <c r="H112" s="54">
        <f ca="1">IFERROR(__xludf.DUMMYFUNCTION("""COMPUTED_VALUE"""),33)</f>
        <v>33</v>
      </c>
      <c r="I112" s="54"/>
      <c r="J112" s="54">
        <f ca="1">IFERROR(__xludf.DUMMYFUNCTION("""COMPUTED_VALUE"""),112)</f>
        <v>112</v>
      </c>
      <c r="K112" s="54"/>
      <c r="L112" s="54">
        <f ca="1">IFERROR(__xludf.DUMMYFUNCTION("""COMPUTED_VALUE"""),53)</f>
        <v>53</v>
      </c>
      <c r="M112" s="54"/>
      <c r="N112" s="54">
        <f ca="1">IFERROR(__xludf.DUMMYFUNCTION("""COMPUTED_VALUE"""),2398)</f>
        <v>2398</v>
      </c>
      <c r="O112" s="54">
        <f ca="1">IFERROR(__xludf.DUMMYFUNCTION("""COMPUTED_VALUE"""),2370)</f>
        <v>2370</v>
      </c>
      <c r="P112" s="54"/>
      <c r="Q112" s="54">
        <f ca="1">IFERROR(__xludf.DUMMYFUNCTION("""COMPUTED_VALUE"""),2228)</f>
        <v>2228</v>
      </c>
      <c r="R112" s="54"/>
      <c r="S112" s="53">
        <f ca="1">IFERROR(__xludf.DUMMYFUNCTION("""COMPUTED_VALUE"""),28)</f>
        <v>28</v>
      </c>
      <c r="T112" s="53">
        <f ca="1">IFERROR(__xludf.DUMMYFUNCTION("""COMPUTED_VALUE"""),220)</f>
        <v>220</v>
      </c>
      <c r="U112" s="53"/>
      <c r="V112" s="53">
        <f ca="1">IFERROR(__xludf.DUMMYFUNCTION("""COMPUTED_VALUE"""),205)</f>
        <v>205</v>
      </c>
      <c r="W112" s="53"/>
      <c r="X112" s="53">
        <f ca="1">IFERROR(__xludf.DUMMYFUNCTION("""COMPUTED_VALUE"""),140)</f>
        <v>140</v>
      </c>
      <c r="Y112" s="53"/>
      <c r="Z112" s="2"/>
      <c r="AA112" s="2"/>
      <c r="AB112" s="2"/>
      <c r="AC112" s="2"/>
      <c r="AD112" s="2"/>
      <c r="AE112" s="2"/>
    </row>
    <row r="113" spans="1:31" ht="12.75" x14ac:dyDescent="0.2">
      <c r="A113" s="53">
        <f ca="1">IFERROR(__xludf.DUMMYFUNCTION("""COMPUTED_VALUE"""),16)</f>
        <v>16</v>
      </c>
      <c r="B113" s="53" t="str">
        <f ca="1">IFERROR(__xludf.DUMMYFUNCTION("""COMPUTED_VALUE"""),"THCS Tân Thạnh Tây")</f>
        <v>THCS Tân Thạnh Tây</v>
      </c>
      <c r="C113" s="53" t="str">
        <f ca="1">IFERROR(__xludf.DUMMYFUNCTION("""COMPUTED_VALUE"""),"THCS")</f>
        <v>THCS</v>
      </c>
      <c r="D113" s="53" t="str">
        <f ca="1">IFERROR(__xludf.DUMMYFUNCTION("""COMPUTED_VALUE"""),"CỦ CHI")</f>
        <v>CỦ CHI</v>
      </c>
      <c r="E113" s="54">
        <f ca="1">IFERROR(__xludf.DUMMYFUNCTION("""COMPUTED_VALUE"""),45)</f>
        <v>45</v>
      </c>
      <c r="F113" s="54">
        <f ca="1">IFERROR(__xludf.DUMMYFUNCTION("""COMPUTED_VALUE"""),45)</f>
        <v>45</v>
      </c>
      <c r="G113" s="54"/>
      <c r="H113" s="54">
        <f ca="1">IFERROR(__xludf.DUMMYFUNCTION("""COMPUTED_VALUE"""),39)</f>
        <v>39</v>
      </c>
      <c r="I113" s="54"/>
      <c r="J113" s="54">
        <f ca="1">IFERROR(__xludf.DUMMYFUNCTION("""COMPUTED_VALUE"""),45)</f>
        <v>45</v>
      </c>
      <c r="K113" s="54"/>
      <c r="L113" s="54">
        <f ca="1">IFERROR(__xludf.DUMMYFUNCTION("""COMPUTED_VALUE"""),39)</f>
        <v>39</v>
      </c>
      <c r="M113" s="54"/>
      <c r="N113" s="54">
        <f ca="1">IFERROR(__xludf.DUMMYFUNCTION("""COMPUTED_VALUE"""),690)</f>
        <v>690</v>
      </c>
      <c r="O113" s="54">
        <f ca="1">IFERROR(__xludf.DUMMYFUNCTION("""COMPUTED_VALUE"""),658)</f>
        <v>658</v>
      </c>
      <c r="P113" s="54"/>
      <c r="Q113" s="54">
        <f ca="1">IFERROR(__xludf.DUMMYFUNCTION("""COMPUTED_VALUE"""),603)</f>
        <v>603</v>
      </c>
      <c r="R113" s="54"/>
      <c r="S113" s="54">
        <f ca="1">IFERROR(__xludf.DUMMYFUNCTION("""COMPUTED_VALUE"""),33)</f>
        <v>33</v>
      </c>
      <c r="T113" s="53">
        <f ca="1">IFERROR(__xludf.DUMMYFUNCTION("""COMPUTED_VALUE"""),83)</f>
        <v>83</v>
      </c>
      <c r="U113" s="53"/>
      <c r="V113" s="54">
        <f ca="1">IFERROR(__xludf.DUMMYFUNCTION("""COMPUTED_VALUE"""),62)</f>
        <v>62</v>
      </c>
      <c r="W113" s="54"/>
      <c r="X113" s="54">
        <f ca="1">IFERROR(__xludf.DUMMYFUNCTION("""COMPUTED_VALUE"""),16)</f>
        <v>16</v>
      </c>
      <c r="Y113" s="54"/>
      <c r="Z113" s="2"/>
      <c r="AA113" s="2"/>
      <c r="AB113" s="2"/>
      <c r="AC113" s="2"/>
      <c r="AD113" s="2"/>
      <c r="AE113" s="2"/>
    </row>
    <row r="114" spans="1:31" ht="12.75" x14ac:dyDescent="0.2">
      <c r="A114" s="53">
        <f ca="1">IFERROR(__xludf.DUMMYFUNCTION("""COMPUTED_VALUE"""),17)</f>
        <v>17</v>
      </c>
      <c r="B114" s="53" t="str">
        <f ca="1">IFERROR(__xludf.DUMMYFUNCTION("""COMPUTED_VALUE"""),"THCS Tân Thông Hội")</f>
        <v>THCS Tân Thông Hội</v>
      </c>
      <c r="C114" s="53" t="str">
        <f ca="1">IFERROR(__xludf.DUMMYFUNCTION("""COMPUTED_VALUE"""),"THCS")</f>
        <v>THCS</v>
      </c>
      <c r="D114" s="53" t="str">
        <f ca="1">IFERROR(__xludf.DUMMYFUNCTION("""COMPUTED_VALUE"""),"CỦ CHI")</f>
        <v>CỦ CHI</v>
      </c>
      <c r="E114" s="54">
        <f ca="1">IFERROR(__xludf.DUMMYFUNCTION("""COMPUTED_VALUE"""),77)</f>
        <v>77</v>
      </c>
      <c r="F114" s="54">
        <f ca="1">IFERROR(__xludf.DUMMYFUNCTION("""COMPUTED_VALUE"""),30)</f>
        <v>30</v>
      </c>
      <c r="G114" s="54"/>
      <c r="H114" s="54">
        <f ca="1">IFERROR(__xludf.DUMMYFUNCTION("""COMPUTED_VALUE"""),45)</f>
        <v>45</v>
      </c>
      <c r="I114" s="54"/>
      <c r="J114" s="54">
        <f ca="1">IFERROR(__xludf.DUMMYFUNCTION("""COMPUTED_VALUE"""),30)</f>
        <v>30</v>
      </c>
      <c r="K114" s="54"/>
      <c r="L114" s="54">
        <f ca="1">IFERROR(__xludf.DUMMYFUNCTION("""COMPUTED_VALUE"""),45)</f>
        <v>45</v>
      </c>
      <c r="M114" s="54"/>
      <c r="N114" s="54">
        <f ca="1">IFERROR(__xludf.DUMMYFUNCTION("""COMPUTED_VALUE"""),1471)</f>
        <v>1471</v>
      </c>
      <c r="O114" s="54">
        <f ca="1">IFERROR(__xludf.DUMMYFUNCTION("""COMPUTED_VALUE"""),1414)</f>
        <v>1414</v>
      </c>
      <c r="P114" s="54"/>
      <c r="Q114" s="54">
        <f ca="1">IFERROR(__xludf.DUMMYFUNCTION("""COMPUTED_VALUE"""),1363)</f>
        <v>1363</v>
      </c>
      <c r="R114" s="54"/>
      <c r="S114" s="54">
        <f ca="1">IFERROR(__xludf.DUMMYFUNCTION("""COMPUTED_VALUE"""),57)</f>
        <v>57</v>
      </c>
      <c r="T114" s="54">
        <f ca="1">IFERROR(__xludf.DUMMYFUNCTION("""COMPUTED_VALUE"""),139)</f>
        <v>139</v>
      </c>
      <c r="U114" s="54"/>
      <c r="V114" s="54">
        <f ca="1">IFERROR(__xludf.DUMMYFUNCTION("""COMPUTED_VALUE"""),92)</f>
        <v>92</v>
      </c>
      <c r="W114" s="54"/>
      <c r="X114" s="54">
        <f ca="1">IFERROR(__xludf.DUMMYFUNCTION("""COMPUTED_VALUE"""),79)</f>
        <v>79</v>
      </c>
      <c r="Y114" s="54"/>
      <c r="Z114" s="2"/>
      <c r="AA114" s="2"/>
      <c r="AB114" s="2"/>
      <c r="AC114" s="2"/>
      <c r="AD114" s="2"/>
      <c r="AE114" s="2"/>
    </row>
    <row r="115" spans="1:31" ht="12.75" x14ac:dyDescent="0.2">
      <c r="A115" s="53">
        <f ca="1">IFERROR(__xludf.DUMMYFUNCTION("""COMPUTED_VALUE"""),18)</f>
        <v>18</v>
      </c>
      <c r="B115" s="53" t="str">
        <f ca="1">IFERROR(__xludf.DUMMYFUNCTION("""COMPUTED_VALUE"""),"THCS Tân Tiến")</f>
        <v>THCS Tân Tiến</v>
      </c>
      <c r="C115" s="53" t="str">
        <f ca="1">IFERROR(__xludf.DUMMYFUNCTION("""COMPUTED_VALUE"""),"THCS")</f>
        <v>THCS</v>
      </c>
      <c r="D115" s="53" t="str">
        <f ca="1">IFERROR(__xludf.DUMMYFUNCTION("""COMPUTED_VALUE"""),"CỦ CHI")</f>
        <v>CỦ CHI</v>
      </c>
      <c r="E115" s="54">
        <f ca="1">IFERROR(__xludf.DUMMYFUNCTION("""COMPUTED_VALUE"""),55)</f>
        <v>55</v>
      </c>
      <c r="F115" s="54">
        <f ca="1">IFERROR(__xludf.DUMMYFUNCTION("""COMPUTED_VALUE"""),55)</f>
        <v>55</v>
      </c>
      <c r="G115" s="54"/>
      <c r="H115" s="54">
        <f ca="1">IFERROR(__xludf.DUMMYFUNCTION("""COMPUTED_VALUE"""),54)</f>
        <v>54</v>
      </c>
      <c r="I115" s="54"/>
      <c r="J115" s="54">
        <f ca="1">IFERROR(__xludf.DUMMYFUNCTION("""COMPUTED_VALUE"""),55)</f>
        <v>55</v>
      </c>
      <c r="K115" s="54"/>
      <c r="L115" s="54">
        <f ca="1">IFERROR(__xludf.DUMMYFUNCTION("""COMPUTED_VALUE"""),54)</f>
        <v>54</v>
      </c>
      <c r="M115" s="54"/>
      <c r="N115" s="54">
        <f ca="1">IFERROR(__xludf.DUMMYFUNCTION("""COMPUTED_VALUE"""),1008)</f>
        <v>1008</v>
      </c>
      <c r="O115" s="54">
        <f ca="1">IFERROR(__xludf.DUMMYFUNCTION("""COMPUTED_VALUE"""),975)</f>
        <v>975</v>
      </c>
      <c r="P115" s="54"/>
      <c r="Q115" s="54">
        <f ca="1">IFERROR(__xludf.DUMMYFUNCTION("""COMPUTED_VALUE"""),956)</f>
        <v>956</v>
      </c>
      <c r="R115" s="54"/>
      <c r="S115" s="54">
        <f ca="1">IFERROR(__xludf.DUMMYFUNCTION("""COMPUTED_VALUE"""),38)</f>
        <v>38</v>
      </c>
      <c r="T115" s="53">
        <f ca="1">IFERROR(__xludf.DUMMYFUNCTION("""COMPUTED_VALUE"""),229)</f>
        <v>229</v>
      </c>
      <c r="U115" s="53"/>
      <c r="V115" s="54">
        <f ca="1">IFERROR(__xludf.DUMMYFUNCTION("""COMPUTED_VALUE"""),175)</f>
        <v>175</v>
      </c>
      <c r="W115" s="54"/>
      <c r="X115" s="54">
        <f ca="1">IFERROR(__xludf.DUMMYFUNCTION("""COMPUTED_VALUE"""),167)</f>
        <v>167</v>
      </c>
      <c r="Y115" s="54"/>
      <c r="Z115" s="2"/>
      <c r="AA115" s="2"/>
      <c r="AB115" s="2"/>
      <c r="AC115" s="2"/>
      <c r="AD115" s="2"/>
      <c r="AE115" s="2"/>
    </row>
    <row r="116" spans="1:31" ht="12.75" x14ac:dyDescent="0.2">
      <c r="A116" s="53">
        <f ca="1">IFERROR(__xludf.DUMMYFUNCTION("""COMPUTED_VALUE"""),19)</f>
        <v>19</v>
      </c>
      <c r="B116" s="53" t="str">
        <f ca="1">IFERROR(__xludf.DUMMYFUNCTION("""COMPUTED_VALUE"""),"THCS Thị Trấn")</f>
        <v>THCS Thị Trấn</v>
      </c>
      <c r="C116" s="53" t="str">
        <f ca="1">IFERROR(__xludf.DUMMYFUNCTION("""COMPUTED_VALUE"""),"THCS")</f>
        <v>THCS</v>
      </c>
      <c r="D116" s="53" t="str">
        <f ca="1">IFERROR(__xludf.DUMMYFUNCTION("""COMPUTED_VALUE"""),"CỦ CHI")</f>
        <v>CỦ CHI</v>
      </c>
      <c r="E116" s="54">
        <f ca="1">IFERROR(__xludf.DUMMYFUNCTION("""COMPUTED_VALUE"""),50)</f>
        <v>50</v>
      </c>
      <c r="F116" s="54">
        <f ca="1">IFERROR(__xludf.DUMMYFUNCTION("""COMPUTED_VALUE"""),50)</f>
        <v>50</v>
      </c>
      <c r="G116" s="54"/>
      <c r="H116" s="54">
        <f ca="1">IFERROR(__xludf.DUMMYFUNCTION("""COMPUTED_VALUE"""),28)</f>
        <v>28</v>
      </c>
      <c r="I116" s="54"/>
      <c r="J116" s="54">
        <f ca="1">IFERROR(__xludf.DUMMYFUNCTION("""COMPUTED_VALUE"""),50)</f>
        <v>50</v>
      </c>
      <c r="K116" s="54"/>
      <c r="L116" s="54">
        <f ca="1">IFERROR(__xludf.DUMMYFUNCTION("""COMPUTED_VALUE"""),28)</f>
        <v>28</v>
      </c>
      <c r="M116" s="54"/>
      <c r="N116" s="54">
        <f ca="1">IFERROR(__xludf.DUMMYFUNCTION("""COMPUTED_VALUE"""),1040)</f>
        <v>1040</v>
      </c>
      <c r="O116" s="54">
        <f ca="1">IFERROR(__xludf.DUMMYFUNCTION("""COMPUTED_VALUE"""),989)</f>
        <v>989</v>
      </c>
      <c r="P116" s="54"/>
      <c r="Q116" s="54">
        <f ca="1">IFERROR(__xludf.DUMMYFUNCTION("""COMPUTED_VALUE"""),982)</f>
        <v>982</v>
      </c>
      <c r="R116" s="54"/>
      <c r="S116" s="54">
        <f ca="1">IFERROR(__xludf.DUMMYFUNCTION("""COMPUTED_VALUE"""),51)</f>
        <v>51</v>
      </c>
      <c r="T116" s="54">
        <f ca="1">IFERROR(__xludf.DUMMYFUNCTION("""COMPUTED_VALUE"""),195)</f>
        <v>195</v>
      </c>
      <c r="U116" s="54"/>
      <c r="V116" s="54">
        <f ca="1">IFERROR(__xludf.DUMMYFUNCTION("""COMPUTED_VALUE"""),144)</f>
        <v>144</v>
      </c>
      <c r="W116" s="54"/>
      <c r="X116" s="54">
        <f ca="1">IFERROR(__xludf.DUMMYFUNCTION("""COMPUTED_VALUE"""),142)</f>
        <v>142</v>
      </c>
      <c r="Y116" s="54"/>
      <c r="Z116" s="2"/>
      <c r="AA116" s="2"/>
      <c r="AB116" s="2"/>
      <c r="AC116" s="2"/>
      <c r="AD116" s="2"/>
      <c r="AE116" s="2"/>
    </row>
    <row r="117" spans="1:31" ht="12.75" x14ac:dyDescent="0.2">
      <c r="A117" s="53">
        <f ca="1">IFERROR(__xludf.DUMMYFUNCTION("""COMPUTED_VALUE"""),20)</f>
        <v>20</v>
      </c>
      <c r="B117" s="53" t="str">
        <f ca="1">IFERROR(__xludf.DUMMYFUNCTION("""COMPUTED_VALUE"""),"THCS Thị Trấn 2")</f>
        <v>THCS Thị Trấn 2</v>
      </c>
      <c r="C117" s="53" t="str">
        <f ca="1">IFERROR(__xludf.DUMMYFUNCTION("""COMPUTED_VALUE"""),"THCS")</f>
        <v>THCS</v>
      </c>
      <c r="D117" s="53" t="str">
        <f ca="1">IFERROR(__xludf.DUMMYFUNCTION("""COMPUTED_VALUE"""),"CỦ CHI")</f>
        <v>CỦ CHI</v>
      </c>
      <c r="E117" s="54">
        <f ca="1">IFERROR(__xludf.DUMMYFUNCTION("""COMPUTED_VALUE"""),78)</f>
        <v>78</v>
      </c>
      <c r="F117" s="54">
        <f ca="1">IFERROR(__xludf.DUMMYFUNCTION("""COMPUTED_VALUE"""),78)</f>
        <v>78</v>
      </c>
      <c r="G117" s="54"/>
      <c r="H117" s="54">
        <f ca="1">IFERROR(__xludf.DUMMYFUNCTION("""COMPUTED_VALUE"""),60)</f>
        <v>60</v>
      </c>
      <c r="I117" s="54"/>
      <c r="J117" s="54">
        <f ca="1">IFERROR(__xludf.DUMMYFUNCTION("""COMPUTED_VALUE"""),78)</f>
        <v>78</v>
      </c>
      <c r="K117" s="54"/>
      <c r="L117" s="54">
        <f ca="1">IFERROR(__xludf.DUMMYFUNCTION("""COMPUTED_VALUE"""),60)</f>
        <v>60</v>
      </c>
      <c r="M117" s="54"/>
      <c r="N117" s="54">
        <f ca="1">IFERROR(__xludf.DUMMYFUNCTION("""COMPUTED_VALUE"""),1498)</f>
        <v>1498</v>
      </c>
      <c r="O117" s="54">
        <f ca="1">IFERROR(__xludf.DUMMYFUNCTION("""COMPUTED_VALUE"""),1425)</f>
        <v>1425</v>
      </c>
      <c r="P117" s="54"/>
      <c r="Q117" s="54">
        <f ca="1">IFERROR(__xludf.DUMMYFUNCTION("""COMPUTED_VALUE"""),1403)</f>
        <v>1403</v>
      </c>
      <c r="R117" s="54"/>
      <c r="S117" s="54">
        <f ca="1">IFERROR(__xludf.DUMMYFUNCTION("""COMPUTED_VALUE"""),69)</f>
        <v>69</v>
      </c>
      <c r="T117" s="54">
        <f ca="1">IFERROR(__xludf.DUMMYFUNCTION("""COMPUTED_VALUE"""),49)</f>
        <v>49</v>
      </c>
      <c r="U117" s="54"/>
      <c r="V117" s="54">
        <f ca="1">IFERROR(__xludf.DUMMYFUNCTION("""COMPUTED_VALUE"""),0)</f>
        <v>0</v>
      </c>
      <c r="W117" s="54"/>
      <c r="X117" s="54">
        <f ca="1">IFERROR(__xludf.DUMMYFUNCTION("""COMPUTED_VALUE"""),0)</f>
        <v>0</v>
      </c>
      <c r="Y117" s="54"/>
      <c r="Z117" s="2"/>
      <c r="AA117" s="2"/>
      <c r="AB117" s="2"/>
      <c r="AC117" s="2"/>
      <c r="AD117" s="2"/>
      <c r="AE117" s="2"/>
    </row>
    <row r="118" spans="1:31" ht="12.75" x14ac:dyDescent="0.2">
      <c r="A118" s="53">
        <f ca="1">IFERROR(__xludf.DUMMYFUNCTION("""COMPUTED_VALUE"""),21)</f>
        <v>21</v>
      </c>
      <c r="B118" s="53" t="str">
        <f ca="1">IFERROR(__xludf.DUMMYFUNCTION("""COMPUTED_VALUE"""),"THCS Trung An")</f>
        <v>THCS Trung An</v>
      </c>
      <c r="C118" s="53" t="str">
        <f ca="1">IFERROR(__xludf.DUMMYFUNCTION("""COMPUTED_VALUE"""),"THCS")</f>
        <v>THCS</v>
      </c>
      <c r="D118" s="53" t="str">
        <f ca="1">IFERROR(__xludf.DUMMYFUNCTION("""COMPUTED_VALUE"""),"CỦ CHI")</f>
        <v>CỦ CHI</v>
      </c>
      <c r="E118" s="54">
        <f ca="1">IFERROR(__xludf.DUMMYFUNCTION("""COMPUTED_VALUE"""),46)</f>
        <v>46</v>
      </c>
      <c r="F118" s="54">
        <f ca="1">IFERROR(__xludf.DUMMYFUNCTION("""COMPUTED_VALUE"""),45)</f>
        <v>45</v>
      </c>
      <c r="G118" s="54"/>
      <c r="H118" s="54">
        <f ca="1">IFERROR(__xludf.DUMMYFUNCTION("""COMPUTED_VALUE"""),20)</f>
        <v>20</v>
      </c>
      <c r="I118" s="54"/>
      <c r="J118" s="54">
        <f ca="1">IFERROR(__xludf.DUMMYFUNCTION("""COMPUTED_VALUE"""),45)</f>
        <v>45</v>
      </c>
      <c r="K118" s="54"/>
      <c r="L118" s="54">
        <f ca="1">IFERROR(__xludf.DUMMYFUNCTION("""COMPUTED_VALUE"""),20)</f>
        <v>20</v>
      </c>
      <c r="M118" s="54"/>
      <c r="N118" s="54">
        <f ca="1">IFERROR(__xludf.DUMMYFUNCTION("""COMPUTED_VALUE"""),753)</f>
        <v>753</v>
      </c>
      <c r="O118" s="54">
        <f ca="1">IFERROR(__xludf.DUMMYFUNCTION("""COMPUTED_VALUE"""),708)</f>
        <v>708</v>
      </c>
      <c r="P118" s="54"/>
      <c r="Q118" s="54">
        <f ca="1">IFERROR(__xludf.DUMMYFUNCTION("""COMPUTED_VALUE"""),680)</f>
        <v>680</v>
      </c>
      <c r="R118" s="54"/>
      <c r="S118" s="54">
        <f ca="1">IFERROR(__xludf.DUMMYFUNCTION("""COMPUTED_VALUE"""),45)</f>
        <v>45</v>
      </c>
      <c r="T118" s="53">
        <f ca="1">IFERROR(__xludf.DUMMYFUNCTION("""COMPUTED_VALUE"""),68)</f>
        <v>68</v>
      </c>
      <c r="U118" s="53"/>
      <c r="V118" s="54">
        <f ca="1">IFERROR(__xludf.DUMMYFUNCTION("""COMPUTED_VALUE"""),50)</f>
        <v>50</v>
      </c>
      <c r="W118" s="54"/>
      <c r="X118" s="54">
        <f ca="1">IFERROR(__xludf.DUMMYFUNCTION("""COMPUTED_VALUE"""),41)</f>
        <v>41</v>
      </c>
      <c r="Y118" s="54"/>
      <c r="Z118" s="2"/>
      <c r="AA118" s="2"/>
      <c r="AB118" s="2"/>
      <c r="AC118" s="2"/>
      <c r="AD118" s="2"/>
      <c r="AE118" s="2"/>
    </row>
    <row r="119" spans="1:31" ht="12.75" x14ac:dyDescent="0.2">
      <c r="A119" s="53">
        <f ca="1">IFERROR(__xludf.DUMMYFUNCTION("""COMPUTED_VALUE"""),22)</f>
        <v>22</v>
      </c>
      <c r="B119" s="53" t="str">
        <f ca="1">IFERROR(__xludf.DUMMYFUNCTION("""COMPUTED_VALUE"""),"THCS Trung Lập")</f>
        <v>THCS Trung Lập</v>
      </c>
      <c r="C119" s="53" t="str">
        <f ca="1">IFERROR(__xludf.DUMMYFUNCTION("""COMPUTED_VALUE"""),"THCS")</f>
        <v>THCS</v>
      </c>
      <c r="D119" s="53" t="str">
        <f ca="1">IFERROR(__xludf.DUMMYFUNCTION("""COMPUTED_VALUE"""),"CỦ CHI")</f>
        <v>CỦ CHI</v>
      </c>
      <c r="E119" s="54">
        <f ca="1">IFERROR(__xludf.DUMMYFUNCTION("""COMPUTED_VALUE"""),57)</f>
        <v>57</v>
      </c>
      <c r="F119" s="54">
        <f ca="1">IFERROR(__xludf.DUMMYFUNCTION("""COMPUTED_VALUE"""),57)</f>
        <v>57</v>
      </c>
      <c r="G119" s="54"/>
      <c r="H119" s="54">
        <f ca="1">IFERROR(__xludf.DUMMYFUNCTION("""COMPUTED_VALUE"""),30)</f>
        <v>30</v>
      </c>
      <c r="I119" s="54"/>
      <c r="J119" s="54">
        <f ca="1">IFERROR(__xludf.DUMMYFUNCTION("""COMPUTED_VALUE"""),57)</f>
        <v>57</v>
      </c>
      <c r="K119" s="54"/>
      <c r="L119" s="54">
        <f ca="1">IFERROR(__xludf.DUMMYFUNCTION("""COMPUTED_VALUE"""),30)</f>
        <v>30</v>
      </c>
      <c r="M119" s="54"/>
      <c r="N119" s="54">
        <f ca="1">IFERROR(__xludf.DUMMYFUNCTION("""COMPUTED_VALUE"""),1067)</f>
        <v>1067</v>
      </c>
      <c r="O119" s="54">
        <f ca="1">IFERROR(__xludf.DUMMYFUNCTION("""COMPUTED_VALUE"""),1038)</f>
        <v>1038</v>
      </c>
      <c r="P119" s="54"/>
      <c r="Q119" s="54">
        <f ca="1">IFERROR(__xludf.DUMMYFUNCTION("""COMPUTED_VALUE"""),1017)</f>
        <v>1017</v>
      </c>
      <c r="R119" s="54"/>
      <c r="S119" s="54">
        <f ca="1">IFERROR(__xludf.DUMMYFUNCTION("""COMPUTED_VALUE"""),29)</f>
        <v>29</v>
      </c>
      <c r="T119" s="53">
        <f ca="1">IFERROR(__xludf.DUMMYFUNCTION("""COMPUTED_VALUE"""),258)</f>
        <v>258</v>
      </c>
      <c r="U119" s="53"/>
      <c r="V119" s="54">
        <f ca="1">IFERROR(__xludf.DUMMYFUNCTION("""COMPUTED_VALUE"""),203)</f>
        <v>203</v>
      </c>
      <c r="W119" s="54"/>
      <c r="X119" s="54">
        <f ca="1">IFERROR(__xludf.DUMMYFUNCTION("""COMPUTED_VALUE"""),203)</f>
        <v>203</v>
      </c>
      <c r="Y119" s="54"/>
      <c r="Z119" s="2"/>
      <c r="AA119" s="2"/>
      <c r="AB119" s="2"/>
      <c r="AC119" s="2"/>
      <c r="AD119" s="2"/>
      <c r="AE119" s="2"/>
    </row>
    <row r="120" spans="1:31" ht="12.75" x14ac:dyDescent="0.2">
      <c r="A120" s="53">
        <f ca="1">IFERROR(__xludf.DUMMYFUNCTION("""COMPUTED_VALUE"""),23)</f>
        <v>23</v>
      </c>
      <c r="B120" s="53" t="str">
        <f ca="1">IFERROR(__xludf.DUMMYFUNCTION("""COMPUTED_VALUE"""),"THCS Trung Lập Hạ")</f>
        <v>THCS Trung Lập Hạ</v>
      </c>
      <c r="C120" s="53" t="str">
        <f ca="1">IFERROR(__xludf.DUMMYFUNCTION("""COMPUTED_VALUE"""),"THCS")</f>
        <v>THCS</v>
      </c>
      <c r="D120" s="53" t="str">
        <f ca="1">IFERROR(__xludf.DUMMYFUNCTION("""COMPUTED_VALUE"""),"CỦ CHI")</f>
        <v>CỦ CHI</v>
      </c>
      <c r="E120" s="54">
        <f ca="1">IFERROR(__xludf.DUMMYFUNCTION("""COMPUTED_VALUE"""),36)</f>
        <v>36</v>
      </c>
      <c r="F120" s="54">
        <f ca="1">IFERROR(__xludf.DUMMYFUNCTION("""COMPUTED_VALUE"""),35)</f>
        <v>35</v>
      </c>
      <c r="G120" s="54"/>
      <c r="H120" s="54">
        <f ca="1">IFERROR(__xludf.DUMMYFUNCTION("""COMPUTED_VALUE"""),29)</f>
        <v>29</v>
      </c>
      <c r="I120" s="54"/>
      <c r="J120" s="54">
        <f ca="1">IFERROR(__xludf.DUMMYFUNCTION("""COMPUTED_VALUE"""),35)</f>
        <v>35</v>
      </c>
      <c r="K120" s="54"/>
      <c r="L120" s="54">
        <f ca="1">IFERROR(__xludf.DUMMYFUNCTION("""COMPUTED_VALUE"""),29)</f>
        <v>29</v>
      </c>
      <c r="M120" s="54"/>
      <c r="N120" s="54">
        <f ca="1">IFERROR(__xludf.DUMMYFUNCTION("""COMPUTED_VALUE"""),553)</f>
        <v>553</v>
      </c>
      <c r="O120" s="54">
        <f ca="1">IFERROR(__xludf.DUMMYFUNCTION("""COMPUTED_VALUE"""),542)</f>
        <v>542</v>
      </c>
      <c r="P120" s="54"/>
      <c r="Q120" s="54">
        <f ca="1">IFERROR(__xludf.DUMMYFUNCTION("""COMPUTED_VALUE"""),530)</f>
        <v>530</v>
      </c>
      <c r="R120" s="54"/>
      <c r="S120" s="53">
        <f ca="1">IFERROR(__xludf.DUMMYFUNCTION("""COMPUTED_VALUE"""),10)</f>
        <v>10</v>
      </c>
      <c r="T120" s="53">
        <f ca="1">IFERROR(__xludf.DUMMYFUNCTION("""COMPUTED_VALUE"""),73)</f>
        <v>73</v>
      </c>
      <c r="U120" s="53"/>
      <c r="V120" s="53">
        <f ca="1">IFERROR(__xludf.DUMMYFUNCTION("""COMPUTED_VALUE"""),65)</f>
        <v>65</v>
      </c>
      <c r="W120" s="53"/>
      <c r="X120" s="53">
        <f ca="1">IFERROR(__xludf.DUMMYFUNCTION("""COMPUTED_VALUE"""),55)</f>
        <v>55</v>
      </c>
      <c r="Y120" s="53"/>
      <c r="Z120" s="2"/>
      <c r="AA120" s="2"/>
      <c r="AB120" s="2"/>
      <c r="AC120" s="2"/>
      <c r="AD120" s="2"/>
      <c r="AE120" s="2"/>
    </row>
    <row r="121" spans="1:31" ht="12.75" x14ac:dyDescent="0.2">
      <c r="A121" s="53">
        <f ca="1">IFERROR(__xludf.DUMMYFUNCTION("""COMPUTED_VALUE"""),24)</f>
        <v>24</v>
      </c>
      <c r="B121" s="53" t="str">
        <f ca="1">IFERROR(__xludf.DUMMYFUNCTION("""COMPUTED_VALUE"""),"TH-THCS Tân Trung")</f>
        <v>TH-THCS Tân Trung</v>
      </c>
      <c r="C121" s="53" t="str">
        <f ca="1">IFERROR(__xludf.DUMMYFUNCTION("""COMPUTED_VALUE"""),"THCS")</f>
        <v>THCS</v>
      </c>
      <c r="D121" s="53" t="str">
        <f ca="1">IFERROR(__xludf.DUMMYFUNCTION("""COMPUTED_VALUE"""),"CỦ CHI")</f>
        <v>CỦ CHI</v>
      </c>
      <c r="E121" s="54">
        <f ca="1">IFERROR(__xludf.DUMMYFUNCTION("""COMPUTED_VALUE"""),38)</f>
        <v>38</v>
      </c>
      <c r="F121" s="54">
        <f ca="1">IFERROR(__xludf.DUMMYFUNCTION("""COMPUTED_VALUE"""),38)</f>
        <v>38</v>
      </c>
      <c r="G121" s="54"/>
      <c r="H121" s="54">
        <f ca="1">IFERROR(__xludf.DUMMYFUNCTION("""COMPUTED_VALUE"""),18)</f>
        <v>18</v>
      </c>
      <c r="I121" s="54"/>
      <c r="J121" s="54">
        <f ca="1">IFERROR(__xludf.DUMMYFUNCTION("""COMPUTED_VALUE"""),38)</f>
        <v>38</v>
      </c>
      <c r="K121" s="54"/>
      <c r="L121" s="54">
        <f ca="1">IFERROR(__xludf.DUMMYFUNCTION("""COMPUTED_VALUE"""),18)</f>
        <v>18</v>
      </c>
      <c r="M121" s="54"/>
      <c r="N121" s="54">
        <f ca="1">IFERROR(__xludf.DUMMYFUNCTION("""COMPUTED_VALUE"""),877)</f>
        <v>877</v>
      </c>
      <c r="O121" s="54">
        <f ca="1">IFERROR(__xludf.DUMMYFUNCTION("""COMPUTED_VALUE"""),877)</f>
        <v>877</v>
      </c>
      <c r="P121" s="54"/>
      <c r="Q121" s="54">
        <f ca="1">IFERROR(__xludf.DUMMYFUNCTION("""COMPUTED_VALUE"""),877)</f>
        <v>877</v>
      </c>
      <c r="R121" s="54"/>
      <c r="S121" s="54">
        <f ca="1">IFERROR(__xludf.DUMMYFUNCTION("""COMPUTED_VALUE"""),5)</f>
        <v>5</v>
      </c>
      <c r="T121" s="53"/>
      <c r="U121" s="53"/>
      <c r="V121" s="53"/>
      <c r="W121" s="53"/>
      <c r="X121" s="53"/>
      <c r="Y121" s="53"/>
      <c r="Z121" s="2"/>
      <c r="AA121" s="2"/>
      <c r="AB121" s="2"/>
      <c r="AC121" s="2"/>
      <c r="AD121" s="2"/>
      <c r="AE121" s="2"/>
    </row>
    <row r="122" spans="1:31" ht="12.75" x14ac:dyDescent="0.2">
      <c r="A122" s="53" t="str">
        <f ca="1">IFERROR(__xludf.DUMMYFUNCTION("""COMPUTED_VALUE"""),"THPT")</f>
        <v>THPT</v>
      </c>
      <c r="B122" s="53"/>
      <c r="C122" s="53"/>
      <c r="D122" s="53" t="str">
        <f ca="1">IFERROR(__xludf.DUMMYFUNCTION("""COMPUTED_VALUE"""),"CỦ CHI")</f>
        <v>CỦ CHI</v>
      </c>
      <c r="E122" s="53"/>
      <c r="F122" s="53"/>
      <c r="G122" s="53"/>
      <c r="H122" s="53"/>
      <c r="I122" s="53"/>
      <c r="J122" s="53"/>
      <c r="K122" s="53"/>
      <c r="L122" s="53"/>
      <c r="M122" s="53"/>
      <c r="N122" s="53"/>
      <c r="O122" s="53"/>
      <c r="P122" s="53"/>
      <c r="Q122" s="53"/>
      <c r="R122" s="53"/>
      <c r="S122" s="53"/>
      <c r="T122" s="53"/>
      <c r="U122" s="53"/>
      <c r="V122" s="53"/>
      <c r="W122" s="53"/>
      <c r="X122" s="53"/>
      <c r="Y122" s="53"/>
      <c r="Z122" s="2"/>
      <c r="AA122" s="2"/>
      <c r="AB122" s="2"/>
      <c r="AC122" s="2"/>
      <c r="AD122" s="2"/>
      <c r="AE122" s="2"/>
    </row>
    <row r="123" spans="1:31" ht="12.75" x14ac:dyDescent="0.2">
      <c r="A123" s="53">
        <f ca="1">IFERROR(__xludf.DUMMYFUNCTION("""COMPUTED_VALUE"""),1)</f>
        <v>1</v>
      </c>
      <c r="B123" s="53" t="str">
        <f ca="1">IFERROR(__xludf.DUMMYFUNCTION("""COMPUTED_VALUE"""),"THPT QUANG TRUNG")</f>
        <v>THPT QUANG TRUNG</v>
      </c>
      <c r="C123" s="53" t="str">
        <f ca="1">IFERROR(__xludf.DUMMYFUNCTION("""COMPUTED_VALUE"""),"THPT")</f>
        <v>THPT</v>
      </c>
      <c r="D123" s="53" t="str">
        <f ca="1">IFERROR(__xludf.DUMMYFUNCTION("""COMPUTED_VALUE"""),"CỦ CHI")</f>
        <v>CỦ CHI</v>
      </c>
      <c r="E123" s="54">
        <f ca="1">IFERROR(__xludf.DUMMYFUNCTION("""COMPUTED_VALUE"""),66)</f>
        <v>66</v>
      </c>
      <c r="F123" s="54">
        <f ca="1">IFERROR(__xludf.DUMMYFUNCTION("""COMPUTED_VALUE"""),66)</f>
        <v>66</v>
      </c>
      <c r="G123" s="54"/>
      <c r="H123" s="54">
        <f ca="1">IFERROR(__xludf.DUMMYFUNCTION("""COMPUTED_VALUE"""),58)</f>
        <v>58</v>
      </c>
      <c r="I123" s="54"/>
      <c r="J123" s="54">
        <f ca="1">IFERROR(__xludf.DUMMYFUNCTION("""COMPUTED_VALUE"""),66)</f>
        <v>66</v>
      </c>
      <c r="K123" s="54"/>
      <c r="L123" s="54">
        <f ca="1">IFERROR(__xludf.DUMMYFUNCTION("""COMPUTED_VALUE"""),58)</f>
        <v>58</v>
      </c>
      <c r="M123" s="54"/>
      <c r="N123" s="54">
        <f ca="1">IFERROR(__xludf.DUMMYFUNCTION("""COMPUTED_VALUE"""),1278)</f>
        <v>1278</v>
      </c>
      <c r="O123" s="54">
        <f ca="1">IFERROR(__xludf.DUMMYFUNCTION("""COMPUTED_VALUE"""),1278)</f>
        <v>1278</v>
      </c>
      <c r="P123" s="54"/>
      <c r="Q123" s="54">
        <f ca="1">IFERROR(__xludf.DUMMYFUNCTION("""COMPUTED_VALUE"""),1278)</f>
        <v>1278</v>
      </c>
      <c r="R123" s="54"/>
      <c r="S123" s="54">
        <f ca="1">IFERROR(__xludf.DUMMYFUNCTION("""COMPUTED_VALUE"""),0)</f>
        <v>0</v>
      </c>
      <c r="T123" s="53"/>
      <c r="U123" s="53"/>
      <c r="V123" s="53"/>
      <c r="W123" s="53"/>
      <c r="X123" s="53"/>
      <c r="Y123" s="53"/>
      <c r="Z123" s="2"/>
      <c r="AA123" s="2"/>
      <c r="AB123" s="2"/>
      <c r="AC123" s="2"/>
      <c r="AD123" s="2"/>
      <c r="AE123" s="2"/>
    </row>
    <row r="124" spans="1:31" ht="12.75" x14ac:dyDescent="0.2">
      <c r="A124" s="53">
        <f ca="1">IFERROR(__xludf.DUMMYFUNCTION("""COMPUTED_VALUE"""),2)</f>
        <v>2</v>
      </c>
      <c r="B124" s="53" t="str">
        <f ca="1">IFERROR(__xludf.DUMMYFUNCTION("""COMPUTED_VALUE"""),"THPT CỦ CHI")</f>
        <v>THPT CỦ CHI</v>
      </c>
      <c r="C124" s="53" t="str">
        <f ca="1">IFERROR(__xludf.DUMMYFUNCTION("""COMPUTED_VALUE"""),"THPT")</f>
        <v>THPT</v>
      </c>
      <c r="D124" s="53" t="str">
        <f ca="1">IFERROR(__xludf.DUMMYFUNCTION("""COMPUTED_VALUE"""),"CỦ CHI")</f>
        <v>CỦ CHI</v>
      </c>
      <c r="E124" s="54">
        <f ca="1">IFERROR(__xludf.DUMMYFUNCTION("""COMPUTED_VALUE"""),111)</f>
        <v>111</v>
      </c>
      <c r="F124" s="54">
        <f ca="1">IFERROR(__xludf.DUMMYFUNCTION("""COMPUTED_VALUE"""),111)</f>
        <v>111</v>
      </c>
      <c r="G124" s="54"/>
      <c r="H124" s="54">
        <f ca="1">IFERROR(__xludf.DUMMYFUNCTION("""COMPUTED_VALUE"""),56)</f>
        <v>56</v>
      </c>
      <c r="I124" s="54"/>
      <c r="J124" s="54">
        <f ca="1">IFERROR(__xludf.DUMMYFUNCTION("""COMPUTED_VALUE"""),111)</f>
        <v>111</v>
      </c>
      <c r="K124" s="54"/>
      <c r="L124" s="54">
        <f ca="1">IFERROR(__xludf.DUMMYFUNCTION("""COMPUTED_VALUE"""),56)</f>
        <v>56</v>
      </c>
      <c r="M124" s="54"/>
      <c r="N124" s="54">
        <f ca="1">IFERROR(__xludf.DUMMYFUNCTION("""COMPUTED_VALUE"""),1898)</f>
        <v>1898</v>
      </c>
      <c r="O124" s="54">
        <f ca="1">IFERROR(__xludf.DUMMYFUNCTION("""COMPUTED_VALUE"""),1897)</f>
        <v>1897</v>
      </c>
      <c r="P124" s="54"/>
      <c r="Q124" s="54">
        <f ca="1">IFERROR(__xludf.DUMMYFUNCTION("""COMPUTED_VALUE"""),1893)</f>
        <v>1893</v>
      </c>
      <c r="R124" s="54"/>
      <c r="S124" s="54">
        <f ca="1">IFERROR(__xludf.DUMMYFUNCTION("""COMPUTED_VALUE"""),1)</f>
        <v>1</v>
      </c>
      <c r="T124" s="53"/>
      <c r="U124" s="53"/>
      <c r="V124" s="53"/>
      <c r="W124" s="53"/>
      <c r="X124" s="53"/>
      <c r="Y124" s="53"/>
      <c r="Z124" s="2"/>
      <c r="AA124" s="2"/>
      <c r="AB124" s="2"/>
      <c r="AC124" s="2"/>
      <c r="AD124" s="2"/>
      <c r="AE124" s="2"/>
    </row>
    <row r="125" spans="1:31" ht="12.75" x14ac:dyDescent="0.2">
      <c r="A125" s="53">
        <f ca="1">IFERROR(__xludf.DUMMYFUNCTION("""COMPUTED_VALUE"""),3)</f>
        <v>3</v>
      </c>
      <c r="B125" s="53" t="str">
        <f ca="1">IFERROR(__xludf.DUMMYFUNCTION("""COMPUTED_VALUE"""),"THPT TÂN THÔNG HÔI")</f>
        <v>THPT TÂN THÔNG HÔI</v>
      </c>
      <c r="C125" s="53" t="str">
        <f ca="1">IFERROR(__xludf.DUMMYFUNCTION("""COMPUTED_VALUE"""),"THPT")</f>
        <v>THPT</v>
      </c>
      <c r="D125" s="53" t="str">
        <f ca="1">IFERROR(__xludf.DUMMYFUNCTION("""COMPUTED_VALUE"""),"CỦ CHI")</f>
        <v>CỦ CHI</v>
      </c>
      <c r="E125" s="54">
        <f ca="1">IFERROR(__xludf.DUMMYFUNCTION("""COMPUTED_VALUE"""),85)</f>
        <v>85</v>
      </c>
      <c r="F125" s="54">
        <f ca="1">IFERROR(__xludf.DUMMYFUNCTION("""COMPUTED_VALUE"""),80)</f>
        <v>80</v>
      </c>
      <c r="G125" s="54"/>
      <c r="H125" s="54">
        <f ca="1">IFERROR(__xludf.DUMMYFUNCTION("""COMPUTED_VALUE"""),38)</f>
        <v>38</v>
      </c>
      <c r="I125" s="54"/>
      <c r="J125" s="54">
        <f ca="1">IFERROR(__xludf.DUMMYFUNCTION("""COMPUTED_VALUE"""),80)</f>
        <v>80</v>
      </c>
      <c r="K125" s="54"/>
      <c r="L125" s="54">
        <f ca="1">IFERROR(__xludf.DUMMYFUNCTION("""COMPUTED_VALUE"""),38)</f>
        <v>38</v>
      </c>
      <c r="M125" s="54"/>
      <c r="N125" s="54">
        <f ca="1">IFERROR(__xludf.DUMMYFUNCTION("""COMPUTED_VALUE"""),1021)</f>
        <v>1021</v>
      </c>
      <c r="O125" s="54">
        <f ca="1">IFERROR(__xludf.DUMMYFUNCTION("""COMPUTED_VALUE"""),1021)</f>
        <v>1021</v>
      </c>
      <c r="P125" s="54"/>
      <c r="Q125" s="54">
        <f ca="1">IFERROR(__xludf.DUMMYFUNCTION("""COMPUTED_VALUE"""),1021)</f>
        <v>1021</v>
      </c>
      <c r="R125" s="54"/>
      <c r="S125" s="54">
        <f ca="1">IFERROR(__xludf.DUMMYFUNCTION("""COMPUTED_VALUE"""),0)</f>
        <v>0</v>
      </c>
      <c r="T125" s="53"/>
      <c r="U125" s="53"/>
      <c r="V125" s="53"/>
      <c r="W125" s="53"/>
      <c r="X125" s="53"/>
      <c r="Y125" s="53"/>
      <c r="Z125" s="2"/>
      <c r="AA125" s="2"/>
      <c r="AB125" s="2"/>
      <c r="AC125" s="2"/>
      <c r="AD125" s="2"/>
      <c r="AE125" s="2"/>
    </row>
    <row r="126" spans="1:31" ht="12.75" x14ac:dyDescent="0.2">
      <c r="A126" s="53">
        <f ca="1">IFERROR(__xludf.DUMMYFUNCTION("""COMPUTED_VALUE"""),4)</f>
        <v>4</v>
      </c>
      <c r="B126" s="53" t="str">
        <f ca="1">IFERROR(__xludf.DUMMYFUNCTION("""COMPUTED_VALUE"""),"THPT AN NHƠN TÂY")</f>
        <v>THPT AN NHƠN TÂY</v>
      </c>
      <c r="C126" s="53" t="str">
        <f ca="1">IFERROR(__xludf.DUMMYFUNCTION("""COMPUTED_VALUE"""),"THPT")</f>
        <v>THPT</v>
      </c>
      <c r="D126" s="53" t="str">
        <f ca="1">IFERROR(__xludf.DUMMYFUNCTION("""COMPUTED_VALUE"""),"CỦ CHI")</f>
        <v>CỦ CHI</v>
      </c>
      <c r="E126" s="54">
        <f ca="1">IFERROR(__xludf.DUMMYFUNCTION("""COMPUTED_VALUE"""),73)</f>
        <v>73</v>
      </c>
      <c r="F126" s="54">
        <f ca="1">IFERROR(__xludf.DUMMYFUNCTION("""COMPUTED_VALUE"""),70)</f>
        <v>70</v>
      </c>
      <c r="G126" s="54"/>
      <c r="H126" s="54">
        <f ca="1">IFERROR(__xludf.DUMMYFUNCTION("""COMPUTED_VALUE"""),51)</f>
        <v>51</v>
      </c>
      <c r="I126" s="54"/>
      <c r="J126" s="54">
        <f ca="1">IFERROR(__xludf.DUMMYFUNCTION("""COMPUTED_VALUE"""),70)</f>
        <v>70</v>
      </c>
      <c r="K126" s="54"/>
      <c r="L126" s="54">
        <f ca="1">IFERROR(__xludf.DUMMYFUNCTION("""COMPUTED_VALUE"""),51)</f>
        <v>51</v>
      </c>
      <c r="M126" s="54"/>
      <c r="N126" s="54">
        <f ca="1">IFERROR(__xludf.DUMMYFUNCTION("""COMPUTED_VALUE"""),1260)</f>
        <v>1260</v>
      </c>
      <c r="O126" s="54">
        <f ca="1">IFERROR(__xludf.DUMMYFUNCTION("""COMPUTED_VALUE"""),1260)</f>
        <v>1260</v>
      </c>
      <c r="P126" s="54"/>
      <c r="Q126" s="53">
        <f ca="1">IFERROR(__xludf.DUMMYFUNCTION("""COMPUTED_VALUE"""),1260)</f>
        <v>1260</v>
      </c>
      <c r="R126" s="53"/>
      <c r="S126" s="53">
        <f ca="1">IFERROR(__xludf.DUMMYFUNCTION("""COMPUTED_VALUE"""),0)</f>
        <v>0</v>
      </c>
      <c r="T126" s="53"/>
      <c r="U126" s="53"/>
      <c r="V126" s="53"/>
      <c r="W126" s="53"/>
      <c r="X126" s="53"/>
      <c r="Y126" s="53"/>
      <c r="Z126" s="2"/>
      <c r="AA126" s="2"/>
      <c r="AB126" s="2"/>
      <c r="AC126" s="2"/>
      <c r="AD126" s="2"/>
      <c r="AE126" s="2"/>
    </row>
    <row r="127" spans="1:31" ht="12.75" x14ac:dyDescent="0.2">
      <c r="A127" s="53">
        <f ca="1">IFERROR(__xludf.DUMMYFUNCTION("""COMPUTED_VALUE"""),5)</f>
        <v>5</v>
      </c>
      <c r="B127" s="53" t="str">
        <f ca="1">IFERROR(__xludf.DUMMYFUNCTION("""COMPUTED_VALUE"""),"THPT PHÚ HÒA")</f>
        <v>THPT PHÚ HÒA</v>
      </c>
      <c r="C127" s="53" t="str">
        <f ca="1">IFERROR(__xludf.DUMMYFUNCTION("""COMPUTED_VALUE"""),"THPT")</f>
        <v>THPT</v>
      </c>
      <c r="D127" s="53" t="str">
        <f ca="1">IFERROR(__xludf.DUMMYFUNCTION("""COMPUTED_VALUE"""),"CỦ CHI")</f>
        <v>CỦ CHI</v>
      </c>
      <c r="E127" s="54">
        <f ca="1">IFERROR(__xludf.DUMMYFUNCTION("""COMPUTED_VALUE"""),85)</f>
        <v>85</v>
      </c>
      <c r="F127" s="54">
        <f ca="1">IFERROR(__xludf.DUMMYFUNCTION("""COMPUTED_VALUE"""),84)</f>
        <v>84</v>
      </c>
      <c r="G127" s="54"/>
      <c r="H127" s="54">
        <f ca="1">IFERROR(__xludf.DUMMYFUNCTION("""COMPUTED_VALUE"""),29)</f>
        <v>29</v>
      </c>
      <c r="I127" s="54"/>
      <c r="J127" s="54">
        <f ca="1">IFERROR(__xludf.DUMMYFUNCTION("""COMPUTED_VALUE"""),84)</f>
        <v>84</v>
      </c>
      <c r="K127" s="54"/>
      <c r="L127" s="54">
        <f ca="1">IFERROR(__xludf.DUMMYFUNCTION("""COMPUTED_VALUE"""),29)</f>
        <v>29</v>
      </c>
      <c r="M127" s="54"/>
      <c r="N127" s="54">
        <f ca="1">IFERROR(__xludf.DUMMYFUNCTION("""COMPUTED_VALUE"""),1415)</f>
        <v>1415</v>
      </c>
      <c r="O127" s="54">
        <f ca="1">IFERROR(__xludf.DUMMYFUNCTION("""COMPUTED_VALUE"""),1415)</f>
        <v>1415</v>
      </c>
      <c r="P127" s="54"/>
      <c r="Q127" s="54">
        <f ca="1">IFERROR(__xludf.DUMMYFUNCTION("""COMPUTED_VALUE"""),1415)</f>
        <v>1415</v>
      </c>
      <c r="R127" s="54"/>
      <c r="S127" s="54">
        <f ca="1">IFERROR(__xludf.DUMMYFUNCTION("""COMPUTED_VALUE"""),0)</f>
        <v>0</v>
      </c>
      <c r="T127" s="53"/>
      <c r="U127" s="53"/>
      <c r="V127" s="53"/>
      <c r="W127" s="53"/>
      <c r="X127" s="53"/>
      <c r="Y127" s="53"/>
      <c r="Z127" s="2"/>
      <c r="AA127" s="2"/>
      <c r="AB127" s="2"/>
      <c r="AC127" s="2"/>
      <c r="AD127" s="2"/>
      <c r="AE127" s="2"/>
    </row>
    <row r="128" spans="1:31" ht="12.75" x14ac:dyDescent="0.2">
      <c r="A128" s="53">
        <f ca="1">IFERROR(__xludf.DUMMYFUNCTION("""COMPUTED_VALUE"""),6)</f>
        <v>6</v>
      </c>
      <c r="B128" s="53" t="str">
        <f ca="1">IFERROR(__xludf.DUMMYFUNCTION("""COMPUTED_VALUE"""),"THPT TRUNG PHÚ")</f>
        <v>THPT TRUNG PHÚ</v>
      </c>
      <c r="C128" s="53" t="str">
        <f ca="1">IFERROR(__xludf.DUMMYFUNCTION("""COMPUTED_VALUE"""),"THPT")</f>
        <v>THPT</v>
      </c>
      <c r="D128" s="53" t="str">
        <f ca="1">IFERROR(__xludf.DUMMYFUNCTION("""COMPUTED_VALUE"""),"CỦ CHI")</f>
        <v>CỦ CHI</v>
      </c>
      <c r="E128" s="54">
        <f ca="1">IFERROR(__xludf.DUMMYFUNCTION("""COMPUTED_VALUE"""),116)</f>
        <v>116</v>
      </c>
      <c r="F128" s="54">
        <f ca="1">IFERROR(__xludf.DUMMYFUNCTION("""COMPUTED_VALUE"""),105)</f>
        <v>105</v>
      </c>
      <c r="G128" s="54"/>
      <c r="H128" s="54">
        <f ca="1">IFERROR(__xludf.DUMMYFUNCTION("""COMPUTED_VALUE"""),51)</f>
        <v>51</v>
      </c>
      <c r="I128" s="54"/>
      <c r="J128" s="54">
        <f ca="1">IFERROR(__xludf.DUMMYFUNCTION("""COMPUTED_VALUE"""),105)</f>
        <v>105</v>
      </c>
      <c r="K128" s="54"/>
      <c r="L128" s="54">
        <f ca="1">IFERROR(__xludf.DUMMYFUNCTION("""COMPUTED_VALUE"""),51)</f>
        <v>51</v>
      </c>
      <c r="M128" s="54"/>
      <c r="N128" s="54">
        <f ca="1">IFERROR(__xludf.DUMMYFUNCTION("""COMPUTED_VALUE"""),1873)</f>
        <v>1873</v>
      </c>
      <c r="O128" s="54">
        <f ca="1">IFERROR(__xludf.DUMMYFUNCTION("""COMPUTED_VALUE"""),1870)</f>
        <v>1870</v>
      </c>
      <c r="P128" s="54"/>
      <c r="Q128" s="54">
        <f ca="1">IFERROR(__xludf.DUMMYFUNCTION("""COMPUTED_VALUE"""),1869)</f>
        <v>1869</v>
      </c>
      <c r="R128" s="54"/>
      <c r="S128" s="54">
        <f ca="1">IFERROR(__xludf.DUMMYFUNCTION("""COMPUTED_VALUE"""),3)</f>
        <v>3</v>
      </c>
      <c r="T128" s="53"/>
      <c r="U128" s="53"/>
      <c r="V128" s="53"/>
      <c r="W128" s="53"/>
      <c r="X128" s="53"/>
      <c r="Y128" s="53"/>
      <c r="Z128" s="2"/>
      <c r="AA128" s="2"/>
      <c r="AB128" s="2"/>
      <c r="AC128" s="2"/>
      <c r="AD128" s="2"/>
      <c r="AE128" s="2"/>
    </row>
    <row r="129" spans="1:31" ht="12.75" x14ac:dyDescent="0.2">
      <c r="A129" s="53">
        <f ca="1">IFERROR(__xludf.DUMMYFUNCTION("""COMPUTED_VALUE"""),7)</f>
        <v>7</v>
      </c>
      <c r="B129" s="53" t="str">
        <f ca="1">IFERROR(__xludf.DUMMYFUNCTION("""COMPUTED_VALUE"""),"THPT TRUNG LẬP")</f>
        <v>THPT TRUNG LẬP</v>
      </c>
      <c r="C129" s="53" t="str">
        <f ca="1">IFERROR(__xludf.DUMMYFUNCTION("""COMPUTED_VALUE"""),"THPT")</f>
        <v>THPT</v>
      </c>
      <c r="D129" s="53" t="str">
        <f ca="1">IFERROR(__xludf.DUMMYFUNCTION("""COMPUTED_VALUE"""),"CỦ CHI")</f>
        <v>CỦ CHI</v>
      </c>
      <c r="E129" s="54">
        <f ca="1">IFERROR(__xludf.DUMMYFUNCTION("""COMPUTED_VALUE"""),57)</f>
        <v>57</v>
      </c>
      <c r="F129" s="54">
        <f ca="1">IFERROR(__xludf.DUMMYFUNCTION("""COMPUTED_VALUE"""),55)</f>
        <v>55</v>
      </c>
      <c r="G129" s="54"/>
      <c r="H129" s="54">
        <f ca="1">IFERROR(__xludf.DUMMYFUNCTION("""COMPUTED_VALUE"""),25)</f>
        <v>25</v>
      </c>
      <c r="I129" s="54"/>
      <c r="J129" s="54">
        <f ca="1">IFERROR(__xludf.DUMMYFUNCTION("""COMPUTED_VALUE"""),55)</f>
        <v>55</v>
      </c>
      <c r="K129" s="54"/>
      <c r="L129" s="54">
        <f ca="1">IFERROR(__xludf.DUMMYFUNCTION("""COMPUTED_VALUE"""),25)</f>
        <v>25</v>
      </c>
      <c r="M129" s="54"/>
      <c r="N129" s="54">
        <f ca="1">IFERROR(__xludf.DUMMYFUNCTION("""COMPUTED_VALUE"""),830)</f>
        <v>830</v>
      </c>
      <c r="O129" s="54">
        <f ca="1">IFERROR(__xludf.DUMMYFUNCTION("""COMPUTED_VALUE"""),829)</f>
        <v>829</v>
      </c>
      <c r="P129" s="54"/>
      <c r="Q129" s="54">
        <f ca="1">IFERROR(__xludf.DUMMYFUNCTION("""COMPUTED_VALUE"""),829)</f>
        <v>829</v>
      </c>
      <c r="R129" s="54"/>
      <c r="S129" s="54">
        <f ca="1">IFERROR(__xludf.DUMMYFUNCTION("""COMPUTED_VALUE"""),0)</f>
        <v>0</v>
      </c>
      <c r="T129" s="53"/>
      <c r="U129" s="53"/>
      <c r="V129" s="53"/>
      <c r="W129" s="53"/>
      <c r="X129" s="53"/>
      <c r="Y129" s="53"/>
      <c r="Z129" s="2"/>
      <c r="AA129" s="2"/>
      <c r="AB129" s="2"/>
      <c r="AC129" s="2"/>
      <c r="AD129" s="2"/>
      <c r="AE129" s="2"/>
    </row>
    <row r="130" spans="1:31" ht="12.75" x14ac:dyDescent="0.2">
      <c r="A130" s="55" t="str">
        <f ca="1">IFERROR(__xludf.DUMMYFUNCTION("""COMPUTED_VALUE"""),"Chuyên biệt (Nếu có)")</f>
        <v>Chuyên biệt (Nếu có)</v>
      </c>
      <c r="B130" s="53"/>
      <c r="C130" s="53"/>
      <c r="D130" s="53" t="str">
        <f ca="1">IFERROR(__xludf.DUMMYFUNCTION("""COMPUTED_VALUE"""),"CỦ CHI")</f>
        <v>CỦ CHI</v>
      </c>
      <c r="E130" s="53"/>
      <c r="F130" s="53"/>
      <c r="G130" s="53"/>
      <c r="H130" s="53"/>
      <c r="I130" s="53"/>
      <c r="J130" s="53"/>
      <c r="K130" s="53"/>
      <c r="L130" s="53"/>
      <c r="M130" s="53"/>
      <c r="N130" s="53"/>
      <c r="O130" s="53"/>
      <c r="P130" s="53"/>
      <c r="Q130" s="53"/>
      <c r="R130" s="53"/>
      <c r="S130" s="53"/>
      <c r="T130" s="53"/>
      <c r="U130" s="53"/>
      <c r="V130" s="53"/>
      <c r="W130" s="53"/>
      <c r="X130" s="53"/>
      <c r="Y130" s="53"/>
      <c r="Z130" s="2"/>
      <c r="AA130" s="2"/>
      <c r="AB130" s="2"/>
      <c r="AC130" s="2"/>
      <c r="AD130" s="2"/>
      <c r="AE130" s="2"/>
    </row>
    <row r="131" spans="1:31" ht="12.75" x14ac:dyDescent="0.2">
      <c r="A131" s="53">
        <f ca="1">IFERROR(__xludf.DUMMYFUNCTION("""COMPUTED_VALUE"""),1)</f>
        <v>1</v>
      </c>
      <c r="B131" s="53" t="str">
        <f ca="1">IFERROR(__xludf.DUMMYFUNCTION("""COMPUTED_VALUE"""),"ND TE KT")</f>
        <v>ND TE KT</v>
      </c>
      <c r="C131" s="53" t="str">
        <f ca="1">IFERROR(__xludf.DUMMYFUNCTION("""COMPUTED_VALUE"""),"CB")</f>
        <v>CB</v>
      </c>
      <c r="D131" s="53" t="str">
        <f ca="1">IFERROR(__xludf.DUMMYFUNCTION("""COMPUTED_VALUE"""),"CỦ CHI")</f>
        <v>CỦ CHI</v>
      </c>
      <c r="E131" s="54">
        <f ca="1">IFERROR(__xludf.DUMMYFUNCTION("""COMPUTED_VALUE"""),22)</f>
        <v>22</v>
      </c>
      <c r="F131" s="54">
        <f ca="1">IFERROR(__xludf.DUMMYFUNCTION("""COMPUTED_VALUE"""),22)</f>
        <v>22</v>
      </c>
      <c r="G131" s="54"/>
      <c r="H131" s="54">
        <f ca="1">IFERROR(__xludf.DUMMYFUNCTION("""COMPUTED_VALUE"""),18)</f>
        <v>18</v>
      </c>
      <c r="I131" s="54"/>
      <c r="J131" s="54">
        <f ca="1">IFERROR(__xludf.DUMMYFUNCTION("""COMPUTED_VALUE"""),22)</f>
        <v>22</v>
      </c>
      <c r="K131" s="54"/>
      <c r="L131" s="54">
        <f ca="1">IFERROR(__xludf.DUMMYFUNCTION("""COMPUTED_VALUE"""),18)</f>
        <v>18</v>
      </c>
      <c r="M131" s="54"/>
      <c r="N131" s="54">
        <f ca="1">IFERROR(__xludf.DUMMYFUNCTION("""COMPUTED_VALUE"""),86)</f>
        <v>86</v>
      </c>
      <c r="O131" s="54">
        <f ca="1">IFERROR(__xludf.DUMMYFUNCTION("""COMPUTED_VALUE"""),76)</f>
        <v>76</v>
      </c>
      <c r="P131" s="54"/>
      <c r="Q131" s="54">
        <f ca="1">IFERROR(__xludf.DUMMYFUNCTION("""COMPUTED_VALUE"""),7)</f>
        <v>7</v>
      </c>
      <c r="R131" s="54"/>
      <c r="S131" s="53">
        <f ca="1">IFERROR(__xludf.DUMMYFUNCTION("""COMPUTED_VALUE"""),10)</f>
        <v>10</v>
      </c>
      <c r="T131" s="53"/>
      <c r="U131" s="53"/>
      <c r="V131" s="53"/>
      <c r="W131" s="53"/>
      <c r="X131" s="53"/>
      <c r="Y131" s="53"/>
      <c r="Z131" s="2"/>
      <c r="AA131" s="2"/>
      <c r="AB131" s="2"/>
      <c r="AC131" s="2"/>
      <c r="AD131" s="2"/>
      <c r="AE131" s="2"/>
    </row>
    <row r="132" spans="1:31" ht="12.75" x14ac:dyDescent="0.2">
      <c r="A132" s="53" t="str">
        <f ca="1">IFERROR(__xludf.DUMMYFUNCTION("""COMPUTED_VALUE"""),"GDTX")</f>
        <v>GDTX</v>
      </c>
      <c r="B132" s="53"/>
      <c r="C132" s="53"/>
      <c r="D132" s="53" t="str">
        <f ca="1">IFERROR(__xludf.DUMMYFUNCTION("""COMPUTED_VALUE"""),"CỦ CHI")</f>
        <v>CỦ CHI</v>
      </c>
      <c r="E132" s="53"/>
      <c r="F132" s="53"/>
      <c r="G132" s="53"/>
      <c r="H132" s="53"/>
      <c r="I132" s="53"/>
      <c r="J132" s="53"/>
      <c r="K132" s="53"/>
      <c r="L132" s="53"/>
      <c r="M132" s="53"/>
      <c r="N132" s="53"/>
      <c r="O132" s="53"/>
      <c r="P132" s="53"/>
      <c r="Q132" s="53"/>
      <c r="R132" s="53"/>
      <c r="S132" s="53"/>
      <c r="T132" s="53"/>
      <c r="U132" s="53"/>
      <c r="V132" s="53"/>
      <c r="W132" s="53"/>
      <c r="X132" s="53"/>
      <c r="Y132" s="53"/>
      <c r="Z132" s="2"/>
      <c r="AA132" s="2"/>
      <c r="AB132" s="2"/>
      <c r="AC132" s="2"/>
      <c r="AD132" s="2"/>
      <c r="AE132" s="2"/>
    </row>
    <row r="133" spans="1:31" ht="12.75" x14ac:dyDescent="0.2">
      <c r="A133" s="53">
        <f ca="1">IFERROR(__xludf.DUMMYFUNCTION("""COMPUTED_VALUE"""),1)</f>
        <v>1</v>
      </c>
      <c r="B133" s="53" t="str">
        <f ca="1">IFERROR(__xludf.DUMMYFUNCTION("""COMPUTED_VALUE"""),"GDNN-GDTX")</f>
        <v>GDNN-GDTX</v>
      </c>
      <c r="C133" s="53" t="str">
        <f ca="1">IFERROR(__xludf.DUMMYFUNCTION("""COMPUTED_VALUE"""),"GDTX")</f>
        <v>GDTX</v>
      </c>
      <c r="D133" s="53" t="str">
        <f ca="1">IFERROR(__xludf.DUMMYFUNCTION("""COMPUTED_VALUE"""),"CỦ CHI")</f>
        <v>CỦ CHI</v>
      </c>
      <c r="E133" s="54">
        <f ca="1">IFERROR(__xludf.DUMMYFUNCTION("""COMPUTED_VALUE"""),34)</f>
        <v>34</v>
      </c>
      <c r="F133" s="54">
        <f ca="1">IFERROR(__xludf.DUMMYFUNCTION("""COMPUTED_VALUE"""),32)</f>
        <v>32</v>
      </c>
      <c r="G133" s="54"/>
      <c r="H133" s="54">
        <f ca="1">IFERROR(__xludf.DUMMYFUNCTION("""COMPUTED_VALUE"""),17)</f>
        <v>17</v>
      </c>
      <c r="I133" s="54"/>
      <c r="J133" s="54">
        <f ca="1">IFERROR(__xludf.DUMMYFUNCTION("""COMPUTED_VALUE"""),32)</f>
        <v>32</v>
      </c>
      <c r="K133" s="54"/>
      <c r="L133" s="54">
        <f ca="1">IFERROR(__xludf.DUMMYFUNCTION("""COMPUTED_VALUE"""),17)</f>
        <v>17</v>
      </c>
      <c r="M133" s="54"/>
      <c r="N133" s="54">
        <f ca="1">IFERROR(__xludf.DUMMYFUNCTION("""COMPUTED_VALUE"""),1087)</f>
        <v>1087</v>
      </c>
      <c r="O133" s="54">
        <f ca="1">IFERROR(__xludf.DUMMYFUNCTION("""COMPUTED_VALUE"""),1087)</f>
        <v>1087</v>
      </c>
      <c r="P133" s="54"/>
      <c r="Q133" s="54">
        <f ca="1">IFERROR(__xludf.DUMMYFUNCTION("""COMPUTED_VALUE"""),1087)</f>
        <v>1087</v>
      </c>
      <c r="R133" s="54"/>
      <c r="S133" s="54">
        <f ca="1">IFERROR(__xludf.DUMMYFUNCTION("""COMPUTED_VALUE"""),1)</f>
        <v>1</v>
      </c>
      <c r="T133" s="53"/>
      <c r="U133" s="53"/>
      <c r="V133" s="53"/>
      <c r="W133" s="53"/>
      <c r="X133" s="53"/>
      <c r="Y133" s="53"/>
      <c r="Z133" s="2"/>
      <c r="AA133" s="2"/>
      <c r="AB133" s="2"/>
      <c r="AC133" s="2"/>
      <c r="AD133" s="2"/>
      <c r="AE133" s="2"/>
    </row>
    <row r="134" spans="1:31" ht="12.75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ht="12.75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ht="12.75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ht="12.75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ht="12.75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ht="12.75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ht="12.75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2.75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2.75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2.75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2.75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2.75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2.75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2.75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2.75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2.75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2.75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2.75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2.75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2.75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2.75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2.75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2.75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2.75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2.75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2.75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2.75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2.75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2.75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2.75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2.75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2.75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2.75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2.75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2.75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2.75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2.75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2.75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2.75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2.75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2.75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2.75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2.75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2.75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2.75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2.75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2.75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2.75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2.75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2.75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2.75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2.75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2.75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2.75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2.75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2.75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2.75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2.75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2.75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2.75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2.75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2.75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2.75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2.75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2.75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2.75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2.75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2.75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2.75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2.75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2.75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2.75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2.75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2.75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2.75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2.75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2.75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2.75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2.75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2.75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2.75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2.75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2.75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2.75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2.75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2.75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2.75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2.75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2.75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2.75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2.75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2.75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2.75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2.75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2.75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2.75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2.75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2.75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2.75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2.75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2.75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2.75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2.75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2.75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2.75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2.75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2.75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2.75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2.75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2.75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2.75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2.75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2.75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2.75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2.75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2.75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2.75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2.75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2.75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2.75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2.75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2.75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2.75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2.75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2.75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2.75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2.75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2.75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2.75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2.75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2.75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2.75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2.75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2.75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2.75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2.75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2.75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2.75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2.75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2.75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2.75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2.75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2.75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2.75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2.75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2.75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2.75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2.75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2.75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2.75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2.75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2.75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2.75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2.75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2.75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2.75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2.75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2.75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2.75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2.75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2.75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2.75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2.75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2.75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2.75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2.75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2.75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2.75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2.75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2.75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2.75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2.75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2.75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2.75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2.75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2.75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2.75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2.75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2.75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2.75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2.75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2.75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2.75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2.75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2.75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2.75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2.75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2.75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2.75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2.75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2.75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2.75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2.75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2.75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2.75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2.75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2.75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2.75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2.75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2.75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2.75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2.75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2.75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2.75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2.75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2.75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2.75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2.75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2.75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2.75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2.75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2.75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2.75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2.75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2.75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2.75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2.75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2.75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2.75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2.75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2.75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2.75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2.75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2.75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2.75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2.75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2.75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2.75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2.75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2.75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2.75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2.75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2.75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2.75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2.75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2.75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2.75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2.75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2.75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2.75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2.75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2.75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2.75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2.75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2.75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2.75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2.75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2.75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2.75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2.75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2.75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2.75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2.75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2.75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2.75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2.75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2.75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2.75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2.75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2.75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2.75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2.75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2.75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2.75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2.75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2.75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2.75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2.75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2.75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2.75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2.75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2.75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2.75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2.75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2.75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2.75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2.75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2.75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2.75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2.75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2.75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2.75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2.75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2.75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2.75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2.75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2.75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2.75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2.75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2.75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2.75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2.75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2.75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2.75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2.75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2.75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2.75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2.75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2.75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2.75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2.75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2.75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2.75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2.75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2.75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2.75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2.75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2.75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2.75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2.75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2.75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2.75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2.75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2.75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2.75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2.75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2.75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2.75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2.75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2.75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2.75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2.75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2.75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2.75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2.75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2.75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2.75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2.75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2.75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2.75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2.75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2.75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2.75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2.75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2.75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2.75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2.75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2.75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2.75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2.75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2.75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2.75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2.75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2.75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2.75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2.75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2.75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2.75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2.75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2.75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2.75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2.75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2.75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2.75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2.75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2.75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2.75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2.75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2.75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2.75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2.75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2.75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2.75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2.75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2.75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2.75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2.75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2.75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2.75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2.75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2.75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2.75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2.75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2.75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2.75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2.75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2.75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2.75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2.75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2.75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2.75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2.75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2.75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2.75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2.75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2.75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2.75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2.75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2.75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2.75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2.75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2.75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2.75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2.75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2.75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2.75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2.75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2.75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2.75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2.75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2.75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2.75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2.75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2.75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2.75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2.75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2.75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2.75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2.75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2.75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2.75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2.75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2.75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2.75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2.75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2.75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2.75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2.75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2.75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2.75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2.75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2.75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2.75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2.75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2.75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2.75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2.75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2.75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2.75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2.75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2.75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2.75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2.75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2.75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2.75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2.75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2.75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2.75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2.75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2.75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2.75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2.75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2.75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2.75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2.75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2.75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2.75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2.75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2.75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2.75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2.75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2.75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2.75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2.75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2.75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2.75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2.75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2.75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2.75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2.75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2.75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2.75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2.75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2.75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2.75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2.75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2.75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2.75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2.75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2.75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2.75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2.75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2.75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2.75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2.75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2.75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2.75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2.75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2.75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2.75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2.75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2.75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2.75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2.75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2.75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2.75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2.75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2.75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2.75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2.75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2.75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2.75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2.75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2.75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2.75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2.75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2.75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2.75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2.75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2.75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2.75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2.75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2.75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2.75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2.75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2.75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2.75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2.75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2.75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2.75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2.75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2.75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2.75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2.75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2.75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2.75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2.75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2.75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2.75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2.75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2.75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2.75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2.75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2.75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2.75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2.75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2.75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2.75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2.75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2.75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2.75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2.75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2.75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2.75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2.75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2.75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2.75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2.75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2.75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2.75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2.75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2.75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2.75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2.75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2.75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2.75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2.75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2.75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2.75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2.75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2.75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2.75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2.75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2.75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2.75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2.75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2.75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2.75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2.75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2.75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2.75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2.75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2.75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2.75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2.75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2.75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2.75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2.75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2.75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2.75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2.75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2.75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2.75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2.75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2.75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2.75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2.75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2.75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2.75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2.75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2.75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2.75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2.75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2.75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2.75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2.75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2.75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2.75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2.75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2.75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2.75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2.75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2.75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2.75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2.75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2.75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2.75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2.75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2.75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2.75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2.75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2.75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2.75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2.75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2.75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2.75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2.75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2.75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2.75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2.75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2.75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2.75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2.75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2.75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2.75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2.75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2.75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2.75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2.75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2.75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2.75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2.75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2.75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2.75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2.75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2.75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2.75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2.75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2.75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2.75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2.75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2.75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2.75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2.75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2.75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2.75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2.75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2.75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2.75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2.75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2.75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2.75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2.75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2.75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2.75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2.75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2.75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2.75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2.75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2.75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2.75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2.75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2.75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2.75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2.75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2.75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2.75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2.75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2.75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2.75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2.75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2.75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2.75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2.75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2.75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2.75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2.75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2.75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2.75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2.75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2.75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2.75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2.75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2.75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2.75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2.75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2.75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2.75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2.75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2.75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2.75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2.75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2.75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2.75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2.75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2.75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2.75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2.75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2.75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2.75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2.75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2.75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2.75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2.75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2.75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2.75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2.75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2.75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2.75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2.75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2.75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2.75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2.75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2.75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2.75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2.75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2.75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2.75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2.75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2.75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2.75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2.75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2.75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2.75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2.75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2.75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2.75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2.75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2.75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2.75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2.75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2.75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2.75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2.75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2.75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2.75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2.75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2.75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2.75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2.75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2.75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2.75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2.75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2.75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2.75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2.75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2.75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2.75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2.75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2.75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2.75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2.75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2.75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2.75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2.75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2.75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2.75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2.75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2.75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2.75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2.75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2.75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2.75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2.75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2.75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2.75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2.75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2.75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2.75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2.75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2.75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2.75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2.75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2.75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2.75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2.75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2.75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2.75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2.75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2.75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2.75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2.75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2.75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2.75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2.75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2.75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2.75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2.75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2.75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2.75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2.75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2.75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2.75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2.75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2.75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2.75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2.75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2.75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2.75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2.75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2.75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2.75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2.75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2.75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2.75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2.75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2.75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2.75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2.75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2.75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2.75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2.75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2.75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2.75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2.75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2.75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2.75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2.75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2.75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2.75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2.75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2.75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2.75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2.75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2.75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2.75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2.75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2.75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2.75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2.75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2.75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2.75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2.75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2.75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2.75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2.75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2.75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2.75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2.75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2.75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2.75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2.75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2.75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2.75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2.75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2.75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2.75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2.75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2.75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2.75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2.75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2.75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2.75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2.75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2.75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2.75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2.75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2.75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2.75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2.75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2.75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2.75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2.75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2.75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2.75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2.75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2.75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2.75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2.75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2.75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2.75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2.75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2.75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2.75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 ht="12.75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 ht="12.75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  <row r="1000" spans="1:31" ht="12.75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</row>
  </sheetData>
  <mergeCells count="16">
    <mergeCell ref="N3:R3"/>
    <mergeCell ref="S3:Y3"/>
    <mergeCell ref="F4:G4"/>
    <mergeCell ref="H4:I4"/>
    <mergeCell ref="J4:K4"/>
    <mergeCell ref="L4:M4"/>
    <mergeCell ref="O4:P4"/>
    <mergeCell ref="Q4:R4"/>
    <mergeCell ref="T4:U4"/>
    <mergeCell ref="V4:W4"/>
    <mergeCell ref="X4:Y4"/>
    <mergeCell ref="A3:A4"/>
    <mergeCell ref="B3:B4"/>
    <mergeCell ref="C3:C4"/>
    <mergeCell ref="D3:D4"/>
    <mergeCell ref="E3:M3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E1000"/>
  <sheetViews>
    <sheetView zoomScale="85" zoomScaleNormal="85" workbookViewId="0">
      <selection activeCell="B21" sqref="B21"/>
    </sheetView>
  </sheetViews>
  <sheetFormatPr defaultColWidth="12.5703125" defaultRowHeight="15.75" customHeight="1" x14ac:dyDescent="0.2"/>
  <cols>
    <col min="1" max="1" width="9" style="3" customWidth="1"/>
    <col min="2" max="2" width="42.42578125" style="3" customWidth="1"/>
    <col min="3" max="3" width="15.140625" style="3" customWidth="1"/>
    <col min="4" max="4" width="12.5703125" style="3"/>
    <col min="5" max="5" width="10.42578125" style="3" customWidth="1"/>
    <col min="6" max="13" width="8.85546875" style="3" customWidth="1"/>
    <col min="14" max="14" width="10.42578125" style="3" customWidth="1"/>
    <col min="15" max="18" width="8.85546875" style="3" customWidth="1"/>
    <col min="19" max="19" width="10.42578125" style="3" customWidth="1"/>
    <col min="20" max="25" width="8.85546875" style="3" customWidth="1"/>
    <col min="26" max="16384" width="12.5703125" style="3"/>
  </cols>
  <sheetData>
    <row r="1" spans="1:31" ht="26.25" customHeight="1" x14ac:dyDescent="0.2">
      <c r="A1" s="49" t="s">
        <v>18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ht="35.25" customHeight="1" x14ac:dyDescent="0.2">
      <c r="A2" s="4" t="s">
        <v>26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</row>
    <row r="3" spans="1:31" ht="30.75" customHeight="1" x14ac:dyDescent="0.2">
      <c r="A3" s="89" t="str">
        <f ca="1">IFERROR(__xludf.DUMMYFUNCTION("IMPORTRANGE(""https://docs.google.com/spreadsheets/d/1giFCfPZvq6d2WPbrXwJ7ksTcnSjmuNbU5G4IRrh5hOk/edit#gid=0"",""BC!A14:T500"")"),"STT")</f>
        <v>STT</v>
      </c>
      <c r="B3" s="89" t="str">
        <f ca="1">IFERROR(__xludf.DUMMYFUNCTION("""COMPUTED_VALUE"""),"TRƯỜNG")</f>
        <v>TRƯỜNG</v>
      </c>
      <c r="C3" s="89" t="str">
        <f ca="1">IFERROR(__xludf.DUMMYFUNCTION("""COMPUTED_VALUE"""),"Xã, thị trấn")</f>
        <v>Xã, thị trấn</v>
      </c>
      <c r="D3" s="89" t="str">
        <f ca="1">IFERROR(__xludf.DUMMYFUNCTION("""COMPUTED_VALUE"""),"BẬC HỌC")</f>
        <v>BẬC HỌC</v>
      </c>
      <c r="E3" s="91" t="str">
        <f ca="1">IFERROR(__xludf.DUMMYFUNCTION("""COMPUTED_VALUE"""),"QUẬN HUYỆN")</f>
        <v>QUẬN HUYỆN</v>
      </c>
      <c r="F3" s="92"/>
      <c r="G3" s="92"/>
      <c r="H3" s="92"/>
      <c r="I3" s="92"/>
      <c r="J3" s="92"/>
      <c r="K3" s="92"/>
      <c r="L3" s="92"/>
      <c r="M3" s="92"/>
      <c r="N3" s="93"/>
      <c r="O3" s="92"/>
      <c r="P3" s="92"/>
      <c r="Q3" s="92"/>
      <c r="R3" s="92"/>
      <c r="S3" s="94"/>
      <c r="T3" s="95"/>
      <c r="U3" s="95"/>
      <c r="V3" s="95"/>
      <c r="W3" s="95"/>
      <c r="X3" s="95"/>
      <c r="Y3" s="95"/>
      <c r="Z3" s="2"/>
      <c r="AA3" s="2"/>
      <c r="AB3" s="2"/>
      <c r="AC3" s="2"/>
      <c r="AD3" s="2"/>
      <c r="AE3" s="2"/>
    </row>
    <row r="4" spans="1:31" ht="27" customHeight="1" x14ac:dyDescent="0.2">
      <c r="A4" s="90"/>
      <c r="B4" s="90"/>
      <c r="C4" s="90"/>
      <c r="D4" s="90"/>
      <c r="E4" s="7"/>
      <c r="F4" s="96" t="s">
        <v>22</v>
      </c>
      <c r="G4" s="97"/>
      <c r="H4" s="96" t="s">
        <v>23</v>
      </c>
      <c r="I4" s="97"/>
      <c r="J4" s="96" t="s">
        <v>24</v>
      </c>
      <c r="K4" s="97"/>
      <c r="L4" s="96" t="s">
        <v>25</v>
      </c>
      <c r="M4" s="97"/>
      <c r="N4" s="7" t="str">
        <f ca="1">IFERROR(__xludf.DUMMYFUNCTION("""COMPUTED_VALUE"""),"Số lượng đang lên lịch tiêm trong thời gian còn lại của Tháng 9/2022")</f>
        <v>Số lượng đang lên lịch tiêm trong thời gian còn lại của Tháng 9/2022</v>
      </c>
      <c r="O4" s="96" t="s">
        <v>22</v>
      </c>
      <c r="P4" s="97"/>
      <c r="Q4" s="96" t="s">
        <v>23</v>
      </c>
      <c r="R4" s="97"/>
      <c r="S4" s="8" t="str">
        <f ca="1">IFERROR(__xludf.DUMMYFUNCTION("""COMPUTED_VALUE"""),"Số lượng đang lên lịch tiêm trong thời gian còn lại của Tháng 9/2022")</f>
        <v>Số lượng đang lên lịch tiêm trong thời gian còn lại của Tháng 9/2022</v>
      </c>
      <c r="T4" s="98" t="s">
        <v>22</v>
      </c>
      <c r="U4" s="99"/>
      <c r="V4" s="98" t="s">
        <v>23</v>
      </c>
      <c r="W4" s="99"/>
      <c r="X4" s="98" t="s">
        <v>24</v>
      </c>
      <c r="Y4" s="99"/>
      <c r="Z4" s="2"/>
      <c r="AA4" s="2"/>
      <c r="AB4" s="2"/>
      <c r="AC4" s="2"/>
      <c r="AD4" s="2"/>
      <c r="AE4" s="2"/>
    </row>
    <row r="5" spans="1:31" ht="12.75" x14ac:dyDescent="0.2">
      <c r="A5" s="50" t="str">
        <f ca="1">IFERROR(__xludf.DUMMYFUNCTION("""COMPUTED_VALUE"""),"TOÀN HUYỆN")</f>
        <v>TOÀN HUYỆN</v>
      </c>
      <c r="B5" s="20"/>
      <c r="C5" s="20"/>
      <c r="D5" s="20"/>
      <c r="E5" s="15"/>
      <c r="F5" s="15">
        <f ca="1">IFERROR(__xludf.DUMMYFUNCTION("""COMPUTED_VALUE"""),8297)</f>
        <v>8297</v>
      </c>
      <c r="G5" s="51" t="str">
        <f ca="1">IFERROR(F5/E5,"")</f>
        <v/>
      </c>
      <c r="H5" s="15">
        <f ca="1">IFERROR(__xludf.DUMMYFUNCTION("""COMPUTED_VALUE"""),7994)</f>
        <v>7994</v>
      </c>
      <c r="I5" s="51" t="str">
        <f ca="1">IFERROR(H5/E5,"")</f>
        <v/>
      </c>
      <c r="J5" s="15">
        <f ca="1">IFERROR(__xludf.DUMMYFUNCTION("""COMPUTED_VALUE"""),7858)</f>
        <v>7858</v>
      </c>
      <c r="K5" s="51" t="str">
        <f ca="1">IFERROR(J5/E5,"")</f>
        <v/>
      </c>
      <c r="L5" s="15">
        <f ca="1">IFERROR(__xludf.DUMMYFUNCTION("""COMPUTED_VALUE"""),7186)</f>
        <v>7186</v>
      </c>
      <c r="M5" s="51" t="str">
        <f ca="1">IFERROR(L5/E5,"")</f>
        <v/>
      </c>
      <c r="N5" s="15">
        <f ca="1">IFERROR(__xludf.DUMMYFUNCTION("""COMPUTED_VALUE"""),419)</f>
        <v>419</v>
      </c>
      <c r="O5" s="15">
        <f ca="1">IFERROR(__xludf.DUMMYFUNCTION("""COMPUTED_VALUE"""),65634)</f>
        <v>65634</v>
      </c>
      <c r="P5" s="51">
        <f ca="1">IFERROR(O5/N5,"")</f>
        <v>156.64439140811456</v>
      </c>
      <c r="Q5" s="15">
        <f ca="1">IFERROR(__xludf.DUMMYFUNCTION("""COMPUTED_VALUE"""),54191)</f>
        <v>54191</v>
      </c>
      <c r="R5" s="51">
        <f ca="1">IFERROR(Q5/N5,"")</f>
        <v>129.33412887828163</v>
      </c>
      <c r="S5" s="15">
        <f ca="1">IFERROR(__xludf.DUMMYFUNCTION("""COMPUTED_VALUE"""),15827)</f>
        <v>15827</v>
      </c>
      <c r="T5" s="15">
        <f ca="1">IFERROR(__xludf.DUMMYFUNCTION("""COMPUTED_VALUE"""),36837)</f>
        <v>36837</v>
      </c>
      <c r="U5" s="51">
        <f ca="1">IFERROR(T5/S5,"")</f>
        <v>2.3274783597649584</v>
      </c>
      <c r="V5" s="15">
        <f ca="1">IFERROR(__xludf.DUMMYFUNCTION("""COMPUTED_VALUE"""),35554)</f>
        <v>35554</v>
      </c>
      <c r="W5" s="51">
        <f ca="1">IFERROR(V5/S5,"")</f>
        <v>2.2464143552157707</v>
      </c>
      <c r="X5" s="15">
        <f ca="1">IFERROR(__xludf.DUMMYFUNCTION("""COMPUTED_VALUE"""),33886)</f>
        <v>33886</v>
      </c>
      <c r="Y5" s="51">
        <f ca="1">IFERROR(X5/S5,"")</f>
        <v>2.1410248309850255</v>
      </c>
      <c r="Z5" s="2"/>
      <c r="AA5" s="2"/>
      <c r="AB5" s="2"/>
      <c r="AC5" s="2"/>
      <c r="AD5" s="2"/>
      <c r="AE5" s="2"/>
    </row>
    <row r="6" spans="1:31" ht="12.75" x14ac:dyDescent="0.2">
      <c r="A6" s="55" t="str">
        <f ca="1">IFERROR(__xludf.DUMMYFUNCTION("""COMPUTED_VALUE"""),"Mầm non")</f>
        <v>Mầm non</v>
      </c>
      <c r="B6" s="53"/>
      <c r="C6" s="53"/>
      <c r="D6" s="53"/>
      <c r="E6" s="53"/>
      <c r="F6" s="54">
        <f ca="1">IFERROR(__xludf.DUMMYFUNCTION("""COMPUTED_VALUE"""),2782)</f>
        <v>2782</v>
      </c>
      <c r="G6" s="51" t="str">
        <f t="shared" ref="G6:G69" ca="1" si="0">IFERROR(F6/E6,"")</f>
        <v/>
      </c>
      <c r="H6" s="54">
        <f ca="1">IFERROR(__xludf.DUMMYFUNCTION("""COMPUTED_VALUE"""),2766)</f>
        <v>2766</v>
      </c>
      <c r="I6" s="51" t="str">
        <f t="shared" ref="I6:I69" ca="1" si="1">IFERROR(H6/E6,"")</f>
        <v/>
      </c>
      <c r="J6" s="54">
        <f ca="1">IFERROR(__xludf.DUMMYFUNCTION("""COMPUTED_VALUE"""),2733)</f>
        <v>2733</v>
      </c>
      <c r="K6" s="51" t="str">
        <f t="shared" ref="K6:K69" ca="1" si="2">IFERROR(J6/E6,"")</f>
        <v/>
      </c>
      <c r="L6" s="54">
        <f ca="1">IFERROR(__xludf.DUMMYFUNCTION("""COMPUTED_VALUE"""),2597)</f>
        <v>2597</v>
      </c>
      <c r="M6" s="51" t="str">
        <f t="shared" ref="M6:M69" ca="1" si="3">IFERROR(L6/E6,"")</f>
        <v/>
      </c>
      <c r="N6" s="54">
        <f ca="1">IFERROR(__xludf.DUMMYFUNCTION("""COMPUTED_VALUE"""),90)</f>
        <v>90</v>
      </c>
      <c r="O6" s="54">
        <f ca="1">IFERROR(__xludf.DUMMYFUNCTION("""COMPUTED_VALUE"""),7782)</f>
        <v>7782</v>
      </c>
      <c r="P6" s="51">
        <f t="shared" ref="P6:P69" ca="1" si="4">IFERROR(O6/N6,"")</f>
        <v>86.466666666666669</v>
      </c>
      <c r="Q6" s="54">
        <f ca="1">IFERROR(__xludf.DUMMYFUNCTION("""COMPUTED_VALUE"""),1687)</f>
        <v>1687</v>
      </c>
      <c r="R6" s="51">
        <f t="shared" ref="R6:R69" ca="1" si="5">IFERROR(Q6/N6,"")</f>
        <v>18.744444444444444</v>
      </c>
      <c r="S6" s="54">
        <f ca="1">IFERROR(__xludf.DUMMYFUNCTION("""COMPUTED_VALUE"""),1028)</f>
        <v>1028</v>
      </c>
      <c r="T6" s="53"/>
      <c r="U6" s="51">
        <f t="shared" ref="U6:U69" ca="1" si="6">IFERROR(T6/S6,"")</f>
        <v>0</v>
      </c>
      <c r="V6" s="53"/>
      <c r="W6" s="51">
        <f t="shared" ref="W6:W69" ca="1" si="7">IFERROR(V6/S6,"")</f>
        <v>0</v>
      </c>
      <c r="X6" s="53"/>
      <c r="Y6" s="51">
        <f t="shared" ref="Y6:Y69" ca="1" si="8">IFERROR(X6/S6,"")</f>
        <v>0</v>
      </c>
      <c r="Z6" s="2"/>
      <c r="AA6" s="2"/>
      <c r="AB6" s="2"/>
      <c r="AC6" s="2"/>
      <c r="AD6" s="2"/>
      <c r="AE6" s="2"/>
    </row>
    <row r="7" spans="1:31" ht="12.75" x14ac:dyDescent="0.2">
      <c r="A7" s="53">
        <f ca="1">IFERROR(__xludf.DUMMYFUNCTION("""COMPUTED_VALUE"""),1)</f>
        <v>1</v>
      </c>
      <c r="B7" s="53" t="str">
        <f ca="1">IFERROR(__xludf.DUMMYFUNCTION("""COMPUTED_VALUE"""),"MN Thủy Tiên")</f>
        <v>MN Thủy Tiên</v>
      </c>
      <c r="C7" s="53" t="str">
        <f ca="1">IFERROR(__xludf.DUMMYFUNCTION("""COMPUTED_VALUE"""),"Bình Hưng")</f>
        <v>Bình Hưng</v>
      </c>
      <c r="D7" s="53" t="str">
        <f ca="1">IFERROR(__xludf.DUMMYFUNCTION("""COMPUTED_VALUE"""),"MN")</f>
        <v>MN</v>
      </c>
      <c r="E7" s="54" t="str">
        <f ca="1">IFERROR(__xludf.DUMMYFUNCTION("""COMPUTED_VALUE"""),"Bình Chánh")</f>
        <v>Bình Chánh</v>
      </c>
      <c r="F7" s="54">
        <f ca="1">IFERROR(__xludf.DUMMYFUNCTION("""COMPUTED_VALUE"""),50)</f>
        <v>50</v>
      </c>
      <c r="G7" s="51" t="str">
        <f t="shared" ca="1" si="0"/>
        <v/>
      </c>
      <c r="H7" s="54">
        <f ca="1">IFERROR(__xludf.DUMMYFUNCTION("""COMPUTED_VALUE"""),50)</f>
        <v>50</v>
      </c>
      <c r="I7" s="51" t="str">
        <f t="shared" ca="1" si="1"/>
        <v/>
      </c>
      <c r="J7" s="54">
        <f ca="1">IFERROR(__xludf.DUMMYFUNCTION("""COMPUTED_VALUE"""),50)</f>
        <v>50</v>
      </c>
      <c r="K7" s="51" t="str">
        <f t="shared" ca="1" si="2"/>
        <v/>
      </c>
      <c r="L7" s="54">
        <f ca="1">IFERROR(__xludf.DUMMYFUNCTION("""COMPUTED_VALUE"""),50)</f>
        <v>50</v>
      </c>
      <c r="M7" s="51" t="str">
        <f t="shared" ca="1" si="3"/>
        <v/>
      </c>
      <c r="N7" s="54">
        <f ca="1">IFERROR(__xludf.DUMMYFUNCTION("""COMPUTED_VALUE"""),6)</f>
        <v>6</v>
      </c>
      <c r="O7" s="54">
        <f ca="1">IFERROR(__xludf.DUMMYFUNCTION("""COMPUTED_VALUE"""),159)</f>
        <v>159</v>
      </c>
      <c r="P7" s="51">
        <f t="shared" ca="1" si="4"/>
        <v>26.5</v>
      </c>
      <c r="Q7" s="54">
        <f ca="1">IFERROR(__xludf.DUMMYFUNCTION("""COMPUTED_VALUE"""),15)</f>
        <v>15</v>
      </c>
      <c r="R7" s="51">
        <f t="shared" ca="1" si="5"/>
        <v>2.5</v>
      </c>
      <c r="S7" s="54">
        <f ca="1">IFERROR(__xludf.DUMMYFUNCTION("""COMPUTED_VALUE"""),65)</f>
        <v>65</v>
      </c>
      <c r="T7" s="53"/>
      <c r="U7" s="51">
        <f t="shared" ca="1" si="6"/>
        <v>0</v>
      </c>
      <c r="V7" s="53"/>
      <c r="W7" s="51">
        <f t="shared" ca="1" si="7"/>
        <v>0</v>
      </c>
      <c r="X7" s="53"/>
      <c r="Y7" s="51">
        <f t="shared" ca="1" si="8"/>
        <v>0</v>
      </c>
      <c r="Z7" s="2"/>
      <c r="AA7" s="2"/>
      <c r="AB7" s="2"/>
      <c r="AC7" s="2"/>
      <c r="AD7" s="2"/>
      <c r="AE7" s="2"/>
    </row>
    <row r="8" spans="1:31" ht="12.75" x14ac:dyDescent="0.2">
      <c r="A8" s="53">
        <f ca="1">IFERROR(__xludf.DUMMYFUNCTION("""COMPUTED_VALUE"""),2)</f>
        <v>2</v>
      </c>
      <c r="B8" s="53" t="str">
        <f ca="1">IFERROR(__xludf.DUMMYFUNCTION("""COMPUTED_VALUE"""),"MN Thủy Tiên 1")</f>
        <v>MN Thủy Tiên 1</v>
      </c>
      <c r="C8" s="53" t="str">
        <f ca="1">IFERROR(__xludf.DUMMYFUNCTION("""COMPUTED_VALUE"""),"Bình Hưng")</f>
        <v>Bình Hưng</v>
      </c>
      <c r="D8" s="53" t="str">
        <f ca="1">IFERROR(__xludf.DUMMYFUNCTION("""COMPUTED_VALUE"""),"MN")</f>
        <v>MN</v>
      </c>
      <c r="E8" s="54" t="str">
        <f ca="1">IFERROR(__xludf.DUMMYFUNCTION("""COMPUTED_VALUE"""),"Bình Chánh")</f>
        <v>Bình Chánh</v>
      </c>
      <c r="F8" s="54">
        <f ca="1">IFERROR(__xludf.DUMMYFUNCTION("""COMPUTED_VALUE"""),36)</f>
        <v>36</v>
      </c>
      <c r="G8" s="51" t="str">
        <f t="shared" ca="1" si="0"/>
        <v/>
      </c>
      <c r="H8" s="53">
        <f ca="1">IFERROR(__xludf.DUMMYFUNCTION("""COMPUTED_VALUE"""),36)</f>
        <v>36</v>
      </c>
      <c r="I8" s="51" t="str">
        <f t="shared" ca="1" si="1"/>
        <v/>
      </c>
      <c r="J8" s="54">
        <f ca="1">IFERROR(__xludf.DUMMYFUNCTION("""COMPUTED_VALUE"""),36)</f>
        <v>36</v>
      </c>
      <c r="K8" s="51" t="str">
        <f t="shared" ca="1" si="2"/>
        <v/>
      </c>
      <c r="L8" s="54">
        <f ca="1">IFERROR(__xludf.DUMMYFUNCTION("""COMPUTED_VALUE"""),36)</f>
        <v>36</v>
      </c>
      <c r="M8" s="51" t="str">
        <f t="shared" ca="1" si="3"/>
        <v/>
      </c>
      <c r="N8" s="54">
        <f ca="1">IFERROR(__xludf.DUMMYFUNCTION("""COMPUTED_VALUE"""),0)</f>
        <v>0</v>
      </c>
      <c r="O8" s="54">
        <f ca="1">IFERROR(__xludf.DUMMYFUNCTION("""COMPUTED_VALUE"""),91)</f>
        <v>91</v>
      </c>
      <c r="P8" s="51" t="str">
        <f t="shared" ca="1" si="4"/>
        <v/>
      </c>
      <c r="Q8" s="54">
        <f ca="1">IFERROR(__xludf.DUMMYFUNCTION("""COMPUTED_VALUE"""),11)</f>
        <v>11</v>
      </c>
      <c r="R8" s="51" t="str">
        <f t="shared" ca="1" si="5"/>
        <v/>
      </c>
      <c r="S8" s="54">
        <f ca="1">IFERROR(__xludf.DUMMYFUNCTION("""COMPUTED_VALUE"""),13)</f>
        <v>13</v>
      </c>
      <c r="T8" s="53"/>
      <c r="U8" s="51">
        <f t="shared" ca="1" si="6"/>
        <v>0</v>
      </c>
      <c r="V8" s="53"/>
      <c r="W8" s="51">
        <f t="shared" ca="1" si="7"/>
        <v>0</v>
      </c>
      <c r="X8" s="53"/>
      <c r="Y8" s="51">
        <f t="shared" ca="1" si="8"/>
        <v>0</v>
      </c>
      <c r="Z8" s="2"/>
      <c r="AA8" s="2"/>
      <c r="AB8" s="2"/>
      <c r="AC8" s="2"/>
      <c r="AD8" s="2"/>
      <c r="AE8" s="2"/>
    </row>
    <row r="9" spans="1:31" ht="12.75" x14ac:dyDescent="0.2">
      <c r="A9" s="53">
        <f ca="1">IFERROR(__xludf.DUMMYFUNCTION("""COMPUTED_VALUE"""),3)</f>
        <v>3</v>
      </c>
      <c r="B9" s="53" t="str">
        <f ca="1">IFERROR(__xludf.DUMMYFUNCTION("""COMPUTED_VALUE"""),"MN Thủy Tiên 2")</f>
        <v>MN Thủy Tiên 2</v>
      </c>
      <c r="C9" s="53" t="str">
        <f ca="1">IFERROR(__xludf.DUMMYFUNCTION("""COMPUTED_VALUE"""),"Bình Hưng")</f>
        <v>Bình Hưng</v>
      </c>
      <c r="D9" s="53" t="str">
        <f ca="1">IFERROR(__xludf.DUMMYFUNCTION("""COMPUTED_VALUE"""),"MN")</f>
        <v>MN</v>
      </c>
      <c r="E9" s="54" t="str">
        <f ca="1">IFERROR(__xludf.DUMMYFUNCTION("""COMPUTED_VALUE"""),"Bình Chánh")</f>
        <v>Bình Chánh</v>
      </c>
      <c r="F9" s="54">
        <f ca="1">IFERROR(__xludf.DUMMYFUNCTION("""COMPUTED_VALUE"""),46)</f>
        <v>46</v>
      </c>
      <c r="G9" s="51" t="str">
        <f t="shared" ca="1" si="0"/>
        <v/>
      </c>
      <c r="H9" s="54">
        <f ca="1">IFERROR(__xludf.DUMMYFUNCTION("""COMPUTED_VALUE"""),46)</f>
        <v>46</v>
      </c>
      <c r="I9" s="51" t="str">
        <f t="shared" ca="1" si="1"/>
        <v/>
      </c>
      <c r="J9" s="54">
        <f ca="1">IFERROR(__xludf.DUMMYFUNCTION("""COMPUTED_VALUE"""),46)</f>
        <v>46</v>
      </c>
      <c r="K9" s="51" t="str">
        <f t="shared" ca="1" si="2"/>
        <v/>
      </c>
      <c r="L9" s="54">
        <f ca="1">IFERROR(__xludf.DUMMYFUNCTION("""COMPUTED_VALUE"""),46)</f>
        <v>46</v>
      </c>
      <c r="M9" s="51" t="str">
        <f t="shared" ca="1" si="3"/>
        <v/>
      </c>
      <c r="N9" s="54">
        <f ca="1">IFERROR(__xludf.DUMMYFUNCTION("""COMPUTED_VALUE"""),0)</f>
        <v>0</v>
      </c>
      <c r="O9" s="54">
        <f ca="1">IFERROR(__xludf.DUMMYFUNCTION("""COMPUTED_VALUE"""),164)</f>
        <v>164</v>
      </c>
      <c r="P9" s="51" t="str">
        <f t="shared" ca="1" si="4"/>
        <v/>
      </c>
      <c r="Q9" s="54">
        <f ca="1">IFERROR(__xludf.DUMMYFUNCTION("""COMPUTED_VALUE"""),0)</f>
        <v>0</v>
      </c>
      <c r="R9" s="51" t="str">
        <f t="shared" ca="1" si="5"/>
        <v/>
      </c>
      <c r="S9" s="54">
        <f ca="1">IFERROR(__xludf.DUMMYFUNCTION("""COMPUTED_VALUE"""),0)</f>
        <v>0</v>
      </c>
      <c r="T9" s="53"/>
      <c r="U9" s="51" t="str">
        <f t="shared" ca="1" si="6"/>
        <v/>
      </c>
      <c r="V9" s="53"/>
      <c r="W9" s="51" t="str">
        <f t="shared" ca="1" si="7"/>
        <v/>
      </c>
      <c r="X9" s="53"/>
      <c r="Y9" s="51" t="str">
        <f t="shared" ca="1" si="8"/>
        <v/>
      </c>
      <c r="Z9" s="2"/>
      <c r="AA9" s="2"/>
      <c r="AB9" s="2"/>
      <c r="AC9" s="2"/>
      <c r="AD9" s="2"/>
      <c r="AE9" s="2"/>
    </row>
    <row r="10" spans="1:31" ht="12.75" x14ac:dyDescent="0.2">
      <c r="A10" s="53">
        <f ca="1">IFERROR(__xludf.DUMMYFUNCTION("""COMPUTED_VALUE"""),4)</f>
        <v>4</v>
      </c>
      <c r="B10" s="53" t="str">
        <f ca="1">IFERROR(__xludf.DUMMYFUNCTION("""COMPUTED_VALUE"""),"MN Hướng Dương")</f>
        <v>MN Hướng Dương</v>
      </c>
      <c r="C10" s="53" t="str">
        <f ca="1">IFERROR(__xludf.DUMMYFUNCTION("""COMPUTED_VALUE"""),"Phong Phú")</f>
        <v>Phong Phú</v>
      </c>
      <c r="D10" s="53" t="str">
        <f ca="1">IFERROR(__xludf.DUMMYFUNCTION("""COMPUTED_VALUE"""),"MN")</f>
        <v>MN</v>
      </c>
      <c r="E10" s="54" t="str">
        <f ca="1">IFERROR(__xludf.DUMMYFUNCTION("""COMPUTED_VALUE"""),"Bình Chánh")</f>
        <v>Bình Chánh</v>
      </c>
      <c r="F10" s="54">
        <f ca="1">IFERROR(__xludf.DUMMYFUNCTION("""COMPUTED_VALUE"""),44)</f>
        <v>44</v>
      </c>
      <c r="G10" s="51" t="str">
        <f t="shared" ca="1" si="0"/>
        <v/>
      </c>
      <c r="H10" s="54">
        <f ca="1">IFERROR(__xludf.DUMMYFUNCTION("""COMPUTED_VALUE"""),44)</f>
        <v>44</v>
      </c>
      <c r="I10" s="51" t="str">
        <f t="shared" ca="1" si="1"/>
        <v/>
      </c>
      <c r="J10" s="54">
        <f ca="1">IFERROR(__xludf.DUMMYFUNCTION("""COMPUTED_VALUE"""),44)</f>
        <v>44</v>
      </c>
      <c r="K10" s="51" t="str">
        <f t="shared" ca="1" si="2"/>
        <v/>
      </c>
      <c r="L10" s="54">
        <f ca="1">IFERROR(__xludf.DUMMYFUNCTION("""COMPUTED_VALUE"""),44)</f>
        <v>44</v>
      </c>
      <c r="M10" s="51" t="str">
        <f t="shared" ca="1" si="3"/>
        <v/>
      </c>
      <c r="N10" s="54">
        <f ca="1">IFERROR(__xludf.DUMMYFUNCTION("""COMPUTED_VALUE"""),0)</f>
        <v>0</v>
      </c>
      <c r="O10" s="54">
        <f ca="1">IFERROR(__xludf.DUMMYFUNCTION("""COMPUTED_VALUE"""),170)</f>
        <v>170</v>
      </c>
      <c r="P10" s="51" t="str">
        <f t="shared" ca="1" si="4"/>
        <v/>
      </c>
      <c r="Q10" s="54">
        <f ca="1">IFERROR(__xludf.DUMMYFUNCTION("""COMPUTED_VALUE"""),1)</f>
        <v>1</v>
      </c>
      <c r="R10" s="51" t="str">
        <f t="shared" ca="1" si="5"/>
        <v/>
      </c>
      <c r="S10" s="54">
        <f ca="1">IFERROR(__xludf.DUMMYFUNCTION("""COMPUTED_VALUE"""),0)</f>
        <v>0</v>
      </c>
      <c r="T10" s="53"/>
      <c r="U10" s="51" t="str">
        <f t="shared" ca="1" si="6"/>
        <v/>
      </c>
      <c r="V10" s="53"/>
      <c r="W10" s="51" t="str">
        <f t="shared" ca="1" si="7"/>
        <v/>
      </c>
      <c r="X10" s="53"/>
      <c r="Y10" s="51" t="str">
        <f t="shared" ca="1" si="8"/>
        <v/>
      </c>
      <c r="Z10" s="2"/>
      <c r="AA10" s="2"/>
      <c r="AB10" s="2"/>
      <c r="AC10" s="2"/>
      <c r="AD10" s="2"/>
      <c r="AE10" s="2"/>
    </row>
    <row r="11" spans="1:31" ht="12.75" x14ac:dyDescent="0.2">
      <c r="A11" s="53">
        <f ca="1">IFERROR(__xludf.DUMMYFUNCTION("""COMPUTED_VALUE"""),5)</f>
        <v>5</v>
      </c>
      <c r="B11" s="53" t="str">
        <f ca="1">IFERROR(__xludf.DUMMYFUNCTION("""COMPUTED_VALUE"""),"MN Hướng Dương 2")</f>
        <v>MN Hướng Dương 2</v>
      </c>
      <c r="C11" s="53" t="str">
        <f ca="1">IFERROR(__xludf.DUMMYFUNCTION("""COMPUTED_VALUE"""),"Phong Phú")</f>
        <v>Phong Phú</v>
      </c>
      <c r="D11" s="53" t="str">
        <f ca="1">IFERROR(__xludf.DUMMYFUNCTION("""COMPUTED_VALUE"""),"MN")</f>
        <v>MN</v>
      </c>
      <c r="E11" s="54" t="str">
        <f ca="1">IFERROR(__xludf.DUMMYFUNCTION("""COMPUTED_VALUE"""),"Bình Chánh")</f>
        <v>Bình Chánh</v>
      </c>
      <c r="F11" s="54">
        <f ca="1">IFERROR(__xludf.DUMMYFUNCTION("""COMPUTED_VALUE"""),49)</f>
        <v>49</v>
      </c>
      <c r="G11" s="51" t="str">
        <f t="shared" ca="1" si="0"/>
        <v/>
      </c>
      <c r="H11" s="54">
        <f ca="1">IFERROR(__xludf.DUMMYFUNCTION("""COMPUTED_VALUE"""),49)</f>
        <v>49</v>
      </c>
      <c r="I11" s="51" t="str">
        <f t="shared" ca="1" si="1"/>
        <v/>
      </c>
      <c r="J11" s="54">
        <f ca="1">IFERROR(__xludf.DUMMYFUNCTION("""COMPUTED_VALUE"""),49)</f>
        <v>49</v>
      </c>
      <c r="K11" s="51" t="str">
        <f t="shared" ca="1" si="2"/>
        <v/>
      </c>
      <c r="L11" s="54">
        <f ca="1">IFERROR(__xludf.DUMMYFUNCTION("""COMPUTED_VALUE"""),49)</f>
        <v>49</v>
      </c>
      <c r="M11" s="51" t="str">
        <f t="shared" ca="1" si="3"/>
        <v/>
      </c>
      <c r="N11" s="54">
        <f ca="1">IFERROR(__xludf.DUMMYFUNCTION("""COMPUTED_VALUE"""),0)</f>
        <v>0</v>
      </c>
      <c r="O11" s="54">
        <f ca="1">IFERROR(__xludf.DUMMYFUNCTION("""COMPUTED_VALUE"""),212)</f>
        <v>212</v>
      </c>
      <c r="P11" s="51" t="str">
        <f t="shared" ca="1" si="4"/>
        <v/>
      </c>
      <c r="Q11" s="54">
        <f ca="1">IFERROR(__xludf.DUMMYFUNCTION("""COMPUTED_VALUE"""),20)</f>
        <v>20</v>
      </c>
      <c r="R11" s="51" t="str">
        <f t="shared" ca="1" si="5"/>
        <v/>
      </c>
      <c r="S11" s="54">
        <f ca="1">IFERROR(__xludf.DUMMYFUNCTION("""COMPUTED_VALUE"""),0)</f>
        <v>0</v>
      </c>
      <c r="T11" s="53"/>
      <c r="U11" s="51" t="str">
        <f t="shared" ca="1" si="6"/>
        <v/>
      </c>
      <c r="V11" s="53"/>
      <c r="W11" s="51" t="str">
        <f t="shared" ca="1" si="7"/>
        <v/>
      </c>
      <c r="X11" s="53"/>
      <c r="Y11" s="51" t="str">
        <f t="shared" ca="1" si="8"/>
        <v/>
      </c>
      <c r="Z11" s="2"/>
      <c r="AA11" s="2"/>
      <c r="AB11" s="2"/>
      <c r="AC11" s="2"/>
      <c r="AD11" s="2"/>
      <c r="AE11" s="2"/>
    </row>
    <row r="12" spans="1:31" ht="12.75" x14ac:dyDescent="0.2">
      <c r="A12" s="53">
        <f ca="1">IFERROR(__xludf.DUMMYFUNCTION("""COMPUTED_VALUE"""),6)</f>
        <v>6</v>
      </c>
      <c r="B12" s="53" t="str">
        <f ca="1">IFERROR(__xludf.DUMMYFUNCTION("""COMPUTED_VALUE"""),"MN Ngọc Lan")</f>
        <v>MN Ngọc Lan</v>
      </c>
      <c r="C12" s="53" t="str">
        <f ca="1">IFERROR(__xludf.DUMMYFUNCTION("""COMPUTED_VALUE"""),"Đa Phước")</f>
        <v>Đa Phước</v>
      </c>
      <c r="D12" s="53" t="str">
        <f ca="1">IFERROR(__xludf.DUMMYFUNCTION("""COMPUTED_VALUE"""),"MN")</f>
        <v>MN</v>
      </c>
      <c r="E12" s="54" t="str">
        <f ca="1">IFERROR(__xludf.DUMMYFUNCTION("""COMPUTED_VALUE"""),"Bình Chánh")</f>
        <v>Bình Chánh</v>
      </c>
      <c r="F12" s="54">
        <f ca="1">IFERROR(__xludf.DUMMYFUNCTION("""COMPUTED_VALUE"""),35)</f>
        <v>35</v>
      </c>
      <c r="G12" s="51" t="str">
        <f t="shared" ca="1" si="0"/>
        <v/>
      </c>
      <c r="H12" s="54">
        <f ca="1">IFERROR(__xludf.DUMMYFUNCTION("""COMPUTED_VALUE"""),35)</f>
        <v>35</v>
      </c>
      <c r="I12" s="51" t="str">
        <f t="shared" ca="1" si="1"/>
        <v/>
      </c>
      <c r="J12" s="54">
        <f ca="1">IFERROR(__xludf.DUMMYFUNCTION("""COMPUTED_VALUE"""),35)</f>
        <v>35</v>
      </c>
      <c r="K12" s="51" t="str">
        <f t="shared" ca="1" si="2"/>
        <v/>
      </c>
      <c r="L12" s="54">
        <f ca="1">IFERROR(__xludf.DUMMYFUNCTION("""COMPUTED_VALUE"""),34)</f>
        <v>34</v>
      </c>
      <c r="M12" s="51" t="str">
        <f t="shared" ca="1" si="3"/>
        <v/>
      </c>
      <c r="N12" s="54">
        <f ca="1">IFERROR(__xludf.DUMMYFUNCTION("""COMPUTED_VALUE"""),1)</f>
        <v>1</v>
      </c>
      <c r="O12" s="54">
        <f ca="1">IFERROR(__xludf.DUMMYFUNCTION("""COMPUTED_VALUE"""),115)</f>
        <v>115</v>
      </c>
      <c r="P12" s="51">
        <f t="shared" ca="1" si="4"/>
        <v>115</v>
      </c>
      <c r="Q12" s="54">
        <f ca="1">IFERROR(__xludf.DUMMYFUNCTION("""COMPUTED_VALUE"""),35)</f>
        <v>35</v>
      </c>
      <c r="R12" s="51">
        <f t="shared" ca="1" si="5"/>
        <v>35</v>
      </c>
      <c r="S12" s="54">
        <f ca="1">IFERROR(__xludf.DUMMYFUNCTION("""COMPUTED_VALUE"""),50)</f>
        <v>50</v>
      </c>
      <c r="T12" s="53"/>
      <c r="U12" s="51">
        <f t="shared" ca="1" si="6"/>
        <v>0</v>
      </c>
      <c r="V12" s="53"/>
      <c r="W12" s="51">
        <f t="shared" ca="1" si="7"/>
        <v>0</v>
      </c>
      <c r="X12" s="53"/>
      <c r="Y12" s="51">
        <f t="shared" ca="1" si="8"/>
        <v>0</v>
      </c>
      <c r="Z12" s="2"/>
      <c r="AA12" s="2"/>
      <c r="AB12" s="2"/>
      <c r="AC12" s="2"/>
      <c r="AD12" s="2"/>
      <c r="AE12" s="2"/>
    </row>
    <row r="13" spans="1:31" ht="12.75" x14ac:dyDescent="0.2">
      <c r="A13" s="53">
        <f ca="1">IFERROR(__xludf.DUMMYFUNCTION("""COMPUTED_VALUE"""),7)</f>
        <v>7</v>
      </c>
      <c r="B13" s="53" t="str">
        <f ca="1">IFERROR(__xludf.DUMMYFUNCTION("""COMPUTED_VALUE"""),"MN Phong Lan")</f>
        <v>MN Phong Lan</v>
      </c>
      <c r="C13" s="53" t="str">
        <f ca="1">IFERROR(__xludf.DUMMYFUNCTION("""COMPUTED_VALUE"""),"Qui Đức")</f>
        <v>Qui Đức</v>
      </c>
      <c r="D13" s="53" t="str">
        <f ca="1">IFERROR(__xludf.DUMMYFUNCTION("""COMPUTED_VALUE"""),"MN")</f>
        <v>MN</v>
      </c>
      <c r="E13" s="54" t="str">
        <f ca="1">IFERROR(__xludf.DUMMYFUNCTION("""COMPUTED_VALUE"""),"Bình Chánh")</f>
        <v>Bình Chánh</v>
      </c>
      <c r="F13" s="54">
        <f ca="1">IFERROR(__xludf.DUMMYFUNCTION("""COMPUTED_VALUE"""),40)</f>
        <v>40</v>
      </c>
      <c r="G13" s="51" t="str">
        <f t="shared" ca="1" si="0"/>
        <v/>
      </c>
      <c r="H13" s="54">
        <f ca="1">IFERROR(__xludf.DUMMYFUNCTION("""COMPUTED_VALUE"""),40)</f>
        <v>40</v>
      </c>
      <c r="I13" s="51" t="str">
        <f t="shared" ca="1" si="1"/>
        <v/>
      </c>
      <c r="J13" s="54">
        <f ca="1">IFERROR(__xludf.DUMMYFUNCTION("""COMPUTED_VALUE"""),40)</f>
        <v>40</v>
      </c>
      <c r="K13" s="51" t="str">
        <f t="shared" ca="1" si="2"/>
        <v/>
      </c>
      <c r="L13" s="54">
        <f ca="1">IFERROR(__xludf.DUMMYFUNCTION("""COMPUTED_VALUE"""),40)</f>
        <v>40</v>
      </c>
      <c r="M13" s="51" t="str">
        <f t="shared" ca="1" si="3"/>
        <v/>
      </c>
      <c r="N13" s="54">
        <f ca="1">IFERROR(__xludf.DUMMYFUNCTION("""COMPUTED_VALUE"""),0)</f>
        <v>0</v>
      </c>
      <c r="O13" s="54">
        <f ca="1">IFERROR(__xludf.DUMMYFUNCTION("""COMPUTED_VALUE"""),178)</f>
        <v>178</v>
      </c>
      <c r="P13" s="51" t="str">
        <f t="shared" ca="1" si="4"/>
        <v/>
      </c>
      <c r="Q13" s="54">
        <f ca="1">IFERROR(__xludf.DUMMYFUNCTION("""COMPUTED_VALUE"""),59)</f>
        <v>59</v>
      </c>
      <c r="R13" s="51" t="str">
        <f t="shared" ca="1" si="5"/>
        <v/>
      </c>
      <c r="S13" s="54">
        <f ca="1">IFERROR(__xludf.DUMMYFUNCTION("""COMPUTED_VALUE"""),61)</f>
        <v>61</v>
      </c>
      <c r="T13" s="53"/>
      <c r="U13" s="51">
        <f t="shared" ca="1" si="6"/>
        <v>0</v>
      </c>
      <c r="V13" s="53"/>
      <c r="W13" s="51">
        <f t="shared" ca="1" si="7"/>
        <v>0</v>
      </c>
      <c r="X13" s="53"/>
      <c r="Y13" s="51">
        <f t="shared" ca="1" si="8"/>
        <v>0</v>
      </c>
      <c r="Z13" s="2"/>
      <c r="AA13" s="2"/>
      <c r="AB13" s="2"/>
      <c r="AC13" s="2"/>
      <c r="AD13" s="2"/>
      <c r="AE13" s="2"/>
    </row>
    <row r="14" spans="1:31" ht="12.75" x14ac:dyDescent="0.2">
      <c r="A14" s="53">
        <f ca="1">IFERROR(__xludf.DUMMYFUNCTION("""COMPUTED_VALUE"""),8)</f>
        <v>8</v>
      </c>
      <c r="B14" s="53" t="str">
        <f ca="1">IFERROR(__xludf.DUMMYFUNCTION("""COMPUTED_VALUE"""),"MN Quỳnh Anh")</f>
        <v>MN Quỳnh Anh</v>
      </c>
      <c r="C14" s="53" t="str">
        <f ca="1">IFERROR(__xludf.DUMMYFUNCTION("""COMPUTED_VALUE"""),"Hưng Long")</f>
        <v>Hưng Long</v>
      </c>
      <c r="D14" s="53" t="str">
        <f ca="1">IFERROR(__xludf.DUMMYFUNCTION("""COMPUTED_VALUE"""),"MN")</f>
        <v>MN</v>
      </c>
      <c r="E14" s="54" t="str">
        <f ca="1">IFERROR(__xludf.DUMMYFUNCTION("""COMPUTED_VALUE"""),"Bình Chánh")</f>
        <v>Bình Chánh</v>
      </c>
      <c r="F14" s="54">
        <f ca="1">IFERROR(__xludf.DUMMYFUNCTION("""COMPUTED_VALUE"""),32)</f>
        <v>32</v>
      </c>
      <c r="G14" s="51" t="str">
        <f t="shared" ca="1" si="0"/>
        <v/>
      </c>
      <c r="H14" s="54">
        <f ca="1">IFERROR(__xludf.DUMMYFUNCTION("""COMPUTED_VALUE"""),32)</f>
        <v>32</v>
      </c>
      <c r="I14" s="51" t="str">
        <f t="shared" ca="1" si="1"/>
        <v/>
      </c>
      <c r="J14" s="54">
        <f ca="1">IFERROR(__xludf.DUMMYFUNCTION("""COMPUTED_VALUE"""),32)</f>
        <v>32</v>
      </c>
      <c r="K14" s="51" t="str">
        <f t="shared" ca="1" si="2"/>
        <v/>
      </c>
      <c r="L14" s="54">
        <f ca="1">IFERROR(__xludf.DUMMYFUNCTION("""COMPUTED_VALUE"""),32)</f>
        <v>32</v>
      </c>
      <c r="M14" s="51" t="str">
        <f t="shared" ca="1" si="3"/>
        <v/>
      </c>
      <c r="N14" s="54">
        <f ca="1">IFERROR(__xludf.DUMMYFUNCTION("""COMPUTED_VALUE"""),0)</f>
        <v>0</v>
      </c>
      <c r="O14" s="54">
        <f ca="1">IFERROR(__xludf.DUMMYFUNCTION("""COMPUTED_VALUE"""),114)</f>
        <v>114</v>
      </c>
      <c r="P14" s="51" t="str">
        <f t="shared" ca="1" si="4"/>
        <v/>
      </c>
      <c r="Q14" s="54">
        <f ca="1">IFERROR(__xludf.DUMMYFUNCTION("""COMPUTED_VALUE"""),15)</f>
        <v>15</v>
      </c>
      <c r="R14" s="51" t="str">
        <f t="shared" ca="1" si="5"/>
        <v/>
      </c>
      <c r="S14" s="54">
        <f ca="1">IFERROR(__xludf.DUMMYFUNCTION("""COMPUTED_VALUE"""),0)</f>
        <v>0</v>
      </c>
      <c r="T14" s="53"/>
      <c r="U14" s="51" t="str">
        <f t="shared" ca="1" si="6"/>
        <v/>
      </c>
      <c r="V14" s="53"/>
      <c r="W14" s="51" t="str">
        <f t="shared" ca="1" si="7"/>
        <v/>
      </c>
      <c r="X14" s="53"/>
      <c r="Y14" s="51" t="str">
        <f t="shared" ca="1" si="8"/>
        <v/>
      </c>
      <c r="Z14" s="2"/>
      <c r="AA14" s="2"/>
      <c r="AB14" s="2"/>
      <c r="AC14" s="2"/>
      <c r="AD14" s="2"/>
      <c r="AE14" s="2"/>
    </row>
    <row r="15" spans="1:31" ht="12.75" x14ac:dyDescent="0.2">
      <c r="A15" s="53">
        <f ca="1">IFERROR(__xludf.DUMMYFUNCTION("""COMPUTED_VALUE"""),9)</f>
        <v>9</v>
      </c>
      <c r="B15" s="53" t="str">
        <f ca="1">IFERROR(__xludf.DUMMYFUNCTION("""COMPUTED_VALUE"""),"MN Hoa Hồng")</f>
        <v>MN Hoa Hồng</v>
      </c>
      <c r="C15" s="53" t="str">
        <f ca="1">IFERROR(__xludf.DUMMYFUNCTION("""COMPUTED_VALUE"""),"Tân Quý Tây")</f>
        <v>Tân Quý Tây</v>
      </c>
      <c r="D15" s="53" t="str">
        <f ca="1">IFERROR(__xludf.DUMMYFUNCTION("""COMPUTED_VALUE"""),"MN")</f>
        <v>MN</v>
      </c>
      <c r="E15" s="54" t="str">
        <f ca="1">IFERROR(__xludf.DUMMYFUNCTION("""COMPUTED_VALUE"""),"Bình Chánh")</f>
        <v>Bình Chánh</v>
      </c>
      <c r="F15" s="54">
        <f ca="1">IFERROR(__xludf.DUMMYFUNCTION("""COMPUTED_VALUE"""),29)</f>
        <v>29</v>
      </c>
      <c r="G15" s="51" t="str">
        <f t="shared" ca="1" si="0"/>
        <v/>
      </c>
      <c r="H15" s="54">
        <f ca="1">IFERROR(__xludf.DUMMYFUNCTION("""COMPUTED_VALUE"""),29)</f>
        <v>29</v>
      </c>
      <c r="I15" s="51" t="str">
        <f t="shared" ca="1" si="1"/>
        <v/>
      </c>
      <c r="J15" s="54">
        <f ca="1">IFERROR(__xludf.DUMMYFUNCTION("""COMPUTED_VALUE"""),29)</f>
        <v>29</v>
      </c>
      <c r="K15" s="51" t="str">
        <f t="shared" ca="1" si="2"/>
        <v/>
      </c>
      <c r="L15" s="54">
        <f ca="1">IFERROR(__xludf.DUMMYFUNCTION("""COMPUTED_VALUE"""),28)</f>
        <v>28</v>
      </c>
      <c r="M15" s="51" t="str">
        <f t="shared" ca="1" si="3"/>
        <v/>
      </c>
      <c r="N15" s="54">
        <f ca="1">IFERROR(__xludf.DUMMYFUNCTION("""COMPUTED_VALUE"""),1)</f>
        <v>1</v>
      </c>
      <c r="O15" s="54">
        <f ca="1">IFERROR(__xludf.DUMMYFUNCTION("""COMPUTED_VALUE"""),80)</f>
        <v>80</v>
      </c>
      <c r="P15" s="51">
        <f t="shared" ca="1" si="4"/>
        <v>80</v>
      </c>
      <c r="Q15" s="54">
        <f ca="1">IFERROR(__xludf.DUMMYFUNCTION("""COMPUTED_VALUE"""),30)</f>
        <v>30</v>
      </c>
      <c r="R15" s="51">
        <f t="shared" ca="1" si="5"/>
        <v>30</v>
      </c>
      <c r="S15" s="54">
        <f ca="1">IFERROR(__xludf.DUMMYFUNCTION("""COMPUTED_VALUE"""),19)</f>
        <v>19</v>
      </c>
      <c r="T15" s="53"/>
      <c r="U15" s="51">
        <f t="shared" ca="1" si="6"/>
        <v>0</v>
      </c>
      <c r="V15" s="53"/>
      <c r="W15" s="51">
        <f t="shared" ca="1" si="7"/>
        <v>0</v>
      </c>
      <c r="X15" s="53"/>
      <c r="Y15" s="51">
        <f t="shared" ca="1" si="8"/>
        <v>0</v>
      </c>
      <c r="Z15" s="2"/>
      <c r="AA15" s="2"/>
      <c r="AB15" s="2"/>
      <c r="AC15" s="2"/>
      <c r="AD15" s="2"/>
      <c r="AE15" s="2"/>
    </row>
    <row r="16" spans="1:31" ht="12.75" x14ac:dyDescent="0.2">
      <c r="A16" s="53">
        <f ca="1">IFERROR(__xludf.DUMMYFUNCTION("""COMPUTED_VALUE"""),10)</f>
        <v>10</v>
      </c>
      <c r="B16" s="53" t="str">
        <f ca="1">IFERROR(__xludf.DUMMYFUNCTION("""COMPUTED_VALUE"""),"MN Hoa Hồng 2")</f>
        <v>MN Hoa Hồng 2</v>
      </c>
      <c r="C16" s="53" t="str">
        <f ca="1">IFERROR(__xludf.DUMMYFUNCTION("""COMPUTED_VALUE"""),"Tân Quý Tây")</f>
        <v>Tân Quý Tây</v>
      </c>
      <c r="D16" s="53" t="str">
        <f ca="1">IFERROR(__xludf.DUMMYFUNCTION("""COMPUTED_VALUE"""),"MN")</f>
        <v>MN</v>
      </c>
      <c r="E16" s="54" t="str">
        <f ca="1">IFERROR(__xludf.DUMMYFUNCTION("""COMPUTED_VALUE"""),"Bình Chánh")</f>
        <v>Bình Chánh</v>
      </c>
      <c r="F16" s="54">
        <f ca="1">IFERROR(__xludf.DUMMYFUNCTION("""COMPUTED_VALUE"""),50)</f>
        <v>50</v>
      </c>
      <c r="G16" s="51" t="str">
        <f t="shared" ca="1" si="0"/>
        <v/>
      </c>
      <c r="H16" s="54">
        <f ca="1">IFERROR(__xludf.DUMMYFUNCTION("""COMPUTED_VALUE"""),50)</f>
        <v>50</v>
      </c>
      <c r="I16" s="51" t="str">
        <f t="shared" ca="1" si="1"/>
        <v/>
      </c>
      <c r="J16" s="54">
        <f ca="1">IFERROR(__xludf.DUMMYFUNCTION("""COMPUTED_VALUE"""),50)</f>
        <v>50</v>
      </c>
      <c r="K16" s="51" t="str">
        <f t="shared" ca="1" si="2"/>
        <v/>
      </c>
      <c r="L16" s="54">
        <f ca="1">IFERROR(__xludf.DUMMYFUNCTION("""COMPUTED_VALUE"""),50)</f>
        <v>50</v>
      </c>
      <c r="M16" s="51" t="str">
        <f t="shared" ca="1" si="3"/>
        <v/>
      </c>
      <c r="N16" s="54">
        <f ca="1">IFERROR(__xludf.DUMMYFUNCTION("""COMPUTED_VALUE"""),0)</f>
        <v>0</v>
      </c>
      <c r="O16" s="54">
        <f ca="1">IFERROR(__xludf.DUMMYFUNCTION("""COMPUTED_VALUE"""),93)</f>
        <v>93</v>
      </c>
      <c r="P16" s="51" t="str">
        <f t="shared" ca="1" si="4"/>
        <v/>
      </c>
      <c r="Q16" s="54">
        <f ca="1">IFERROR(__xludf.DUMMYFUNCTION("""COMPUTED_VALUE"""),22)</f>
        <v>22</v>
      </c>
      <c r="R16" s="51" t="str">
        <f t="shared" ca="1" si="5"/>
        <v/>
      </c>
      <c r="S16" s="54">
        <f ca="1">IFERROR(__xludf.DUMMYFUNCTION("""COMPUTED_VALUE"""),15)</f>
        <v>15</v>
      </c>
      <c r="T16" s="53"/>
      <c r="U16" s="51">
        <f t="shared" ca="1" si="6"/>
        <v>0</v>
      </c>
      <c r="V16" s="53"/>
      <c r="W16" s="51">
        <f t="shared" ca="1" si="7"/>
        <v>0</v>
      </c>
      <c r="X16" s="53"/>
      <c r="Y16" s="51">
        <f t="shared" ca="1" si="8"/>
        <v>0</v>
      </c>
      <c r="Z16" s="2"/>
      <c r="AA16" s="2"/>
      <c r="AB16" s="2"/>
      <c r="AC16" s="2"/>
      <c r="AD16" s="2"/>
      <c r="AE16" s="2"/>
    </row>
    <row r="17" spans="1:31" ht="12.75" x14ac:dyDescent="0.2">
      <c r="A17" s="53">
        <f ca="1">IFERROR(__xludf.DUMMYFUNCTION("""COMPUTED_VALUE"""),11)</f>
        <v>11</v>
      </c>
      <c r="B17" s="53" t="str">
        <f ca="1">IFERROR(__xludf.DUMMYFUNCTION("""COMPUTED_VALUE"""),"MN Hoa Mai")</f>
        <v>MN Hoa Mai</v>
      </c>
      <c r="C17" s="53" t="str">
        <f ca="1">IFERROR(__xludf.DUMMYFUNCTION("""COMPUTED_VALUE"""),"Bình Chánh")</f>
        <v>Bình Chánh</v>
      </c>
      <c r="D17" s="53" t="str">
        <f ca="1">IFERROR(__xludf.DUMMYFUNCTION("""COMPUTED_VALUE"""),"MN")</f>
        <v>MN</v>
      </c>
      <c r="E17" s="54" t="str">
        <f ca="1">IFERROR(__xludf.DUMMYFUNCTION("""COMPUTED_VALUE"""),"Bình Chánh")</f>
        <v>Bình Chánh</v>
      </c>
      <c r="F17" s="54">
        <f ca="1">IFERROR(__xludf.DUMMYFUNCTION("""COMPUTED_VALUE"""),35)</f>
        <v>35</v>
      </c>
      <c r="G17" s="51" t="str">
        <f t="shared" ca="1" si="0"/>
        <v/>
      </c>
      <c r="H17" s="54">
        <f ca="1">IFERROR(__xludf.DUMMYFUNCTION("""COMPUTED_VALUE"""),35)</f>
        <v>35</v>
      </c>
      <c r="I17" s="51" t="str">
        <f t="shared" ca="1" si="1"/>
        <v/>
      </c>
      <c r="J17" s="54">
        <f ca="1">IFERROR(__xludf.DUMMYFUNCTION("""COMPUTED_VALUE"""),35)</f>
        <v>35</v>
      </c>
      <c r="K17" s="51" t="str">
        <f t="shared" ca="1" si="2"/>
        <v/>
      </c>
      <c r="L17" s="54">
        <f ca="1">IFERROR(__xludf.DUMMYFUNCTION("""COMPUTED_VALUE"""),35)</f>
        <v>35</v>
      </c>
      <c r="M17" s="51" t="str">
        <f t="shared" ca="1" si="3"/>
        <v/>
      </c>
      <c r="N17" s="54">
        <f ca="1">IFERROR(__xludf.DUMMYFUNCTION("""COMPUTED_VALUE"""),8)</f>
        <v>8</v>
      </c>
      <c r="O17" s="54">
        <f ca="1">IFERROR(__xludf.DUMMYFUNCTION("""COMPUTED_VALUE"""),59)</f>
        <v>59</v>
      </c>
      <c r="P17" s="51">
        <f t="shared" ca="1" si="4"/>
        <v>7.375</v>
      </c>
      <c r="Q17" s="54">
        <f ca="1">IFERROR(__xludf.DUMMYFUNCTION("""COMPUTED_VALUE"""),31)</f>
        <v>31</v>
      </c>
      <c r="R17" s="51">
        <f t="shared" ca="1" si="5"/>
        <v>3.875</v>
      </c>
      <c r="S17" s="54">
        <f ca="1">IFERROR(__xludf.DUMMYFUNCTION("""COMPUTED_VALUE"""),46)</f>
        <v>46</v>
      </c>
      <c r="T17" s="53"/>
      <c r="U17" s="51">
        <f t="shared" ca="1" si="6"/>
        <v>0</v>
      </c>
      <c r="V17" s="53"/>
      <c r="W17" s="51">
        <f t="shared" ca="1" si="7"/>
        <v>0</v>
      </c>
      <c r="X17" s="53"/>
      <c r="Y17" s="51">
        <f t="shared" ca="1" si="8"/>
        <v>0</v>
      </c>
      <c r="Z17" s="2"/>
      <c r="AA17" s="2"/>
      <c r="AB17" s="2"/>
      <c r="AC17" s="2"/>
      <c r="AD17" s="2"/>
      <c r="AE17" s="2"/>
    </row>
    <row r="18" spans="1:31" ht="12.75" x14ac:dyDescent="0.2">
      <c r="A18" s="53">
        <f ca="1">IFERROR(__xludf.DUMMYFUNCTION("""COMPUTED_VALUE"""),12)</f>
        <v>12</v>
      </c>
      <c r="B18" s="53" t="str">
        <f ca="1">IFERROR(__xludf.DUMMYFUNCTION("""COMPUTED_VALUE"""),"MN Hoa Lan")</f>
        <v>MN Hoa Lan</v>
      </c>
      <c r="C18" s="53" t="str">
        <f ca="1">IFERROR(__xludf.DUMMYFUNCTION("""COMPUTED_VALUE"""),"An Phú Tây")</f>
        <v>An Phú Tây</v>
      </c>
      <c r="D18" s="53" t="str">
        <f ca="1">IFERROR(__xludf.DUMMYFUNCTION("""COMPUTED_VALUE"""),"MN")</f>
        <v>MN</v>
      </c>
      <c r="E18" s="54" t="str">
        <f ca="1">IFERROR(__xludf.DUMMYFUNCTION("""COMPUTED_VALUE"""),"Bình Chánh")</f>
        <v>Bình Chánh</v>
      </c>
      <c r="F18" s="54">
        <f ca="1">IFERROR(__xludf.DUMMYFUNCTION("""COMPUTED_VALUE"""),38)</f>
        <v>38</v>
      </c>
      <c r="G18" s="51" t="str">
        <f t="shared" ca="1" si="0"/>
        <v/>
      </c>
      <c r="H18" s="54">
        <f ca="1">IFERROR(__xludf.DUMMYFUNCTION("""COMPUTED_VALUE"""),38)</f>
        <v>38</v>
      </c>
      <c r="I18" s="51" t="str">
        <f t="shared" ca="1" si="1"/>
        <v/>
      </c>
      <c r="J18" s="54">
        <f ca="1">IFERROR(__xludf.DUMMYFUNCTION("""COMPUTED_VALUE"""),38)</f>
        <v>38</v>
      </c>
      <c r="K18" s="51" t="str">
        <f t="shared" ca="1" si="2"/>
        <v/>
      </c>
      <c r="L18" s="54">
        <f ca="1">IFERROR(__xludf.DUMMYFUNCTION("""COMPUTED_VALUE"""),38)</f>
        <v>38</v>
      </c>
      <c r="M18" s="51" t="str">
        <f t="shared" ca="1" si="3"/>
        <v/>
      </c>
      <c r="N18" s="54">
        <f ca="1">IFERROR(__xludf.DUMMYFUNCTION("""COMPUTED_VALUE"""),2)</f>
        <v>2</v>
      </c>
      <c r="O18" s="54">
        <f ca="1">IFERROR(__xludf.DUMMYFUNCTION("""COMPUTED_VALUE"""),169)</f>
        <v>169</v>
      </c>
      <c r="P18" s="51">
        <f t="shared" ca="1" si="4"/>
        <v>84.5</v>
      </c>
      <c r="Q18" s="54">
        <f ca="1">IFERROR(__xludf.DUMMYFUNCTION("""COMPUTED_VALUE"""),20)</f>
        <v>20</v>
      </c>
      <c r="R18" s="51">
        <f t="shared" ca="1" si="5"/>
        <v>10</v>
      </c>
      <c r="S18" s="54">
        <f ca="1">IFERROR(__xludf.DUMMYFUNCTION("""COMPUTED_VALUE"""),161)</f>
        <v>161</v>
      </c>
      <c r="T18" s="53"/>
      <c r="U18" s="51">
        <f t="shared" ca="1" si="6"/>
        <v>0</v>
      </c>
      <c r="V18" s="53"/>
      <c r="W18" s="51">
        <f t="shared" ca="1" si="7"/>
        <v>0</v>
      </c>
      <c r="X18" s="53"/>
      <c r="Y18" s="51">
        <f t="shared" ca="1" si="8"/>
        <v>0</v>
      </c>
      <c r="Z18" s="2"/>
      <c r="AA18" s="2"/>
      <c r="AB18" s="2"/>
      <c r="AC18" s="2"/>
      <c r="AD18" s="2"/>
      <c r="AE18" s="2"/>
    </row>
    <row r="19" spans="1:31" ht="12.75" x14ac:dyDescent="0.2">
      <c r="A19" s="53">
        <f ca="1">IFERROR(__xludf.DUMMYFUNCTION("""COMPUTED_VALUE"""),13)</f>
        <v>13</v>
      </c>
      <c r="B19" s="53" t="str">
        <f ca="1">IFERROR(__xludf.DUMMYFUNCTION("""COMPUTED_VALUE"""),"MN Hoàng Anh")</f>
        <v>MN Hoàng Anh</v>
      </c>
      <c r="C19" s="53" t="str">
        <f ca="1">IFERROR(__xludf.DUMMYFUNCTION("""COMPUTED_VALUE"""),"Tân Túc")</f>
        <v>Tân Túc</v>
      </c>
      <c r="D19" s="53" t="str">
        <f ca="1">IFERROR(__xludf.DUMMYFUNCTION("""COMPUTED_VALUE"""),"MN")</f>
        <v>MN</v>
      </c>
      <c r="E19" s="54" t="str">
        <f ca="1">IFERROR(__xludf.DUMMYFUNCTION("""COMPUTED_VALUE"""),"Bình Chánh")</f>
        <v>Bình Chánh</v>
      </c>
      <c r="F19" s="54">
        <f ca="1">IFERROR(__xludf.DUMMYFUNCTION("""COMPUTED_VALUE"""),39)</f>
        <v>39</v>
      </c>
      <c r="G19" s="51" t="str">
        <f t="shared" ca="1" si="0"/>
        <v/>
      </c>
      <c r="H19" s="54">
        <f ca="1">IFERROR(__xludf.DUMMYFUNCTION("""COMPUTED_VALUE"""),39)</f>
        <v>39</v>
      </c>
      <c r="I19" s="51" t="str">
        <f t="shared" ca="1" si="1"/>
        <v/>
      </c>
      <c r="J19" s="54">
        <f ca="1">IFERROR(__xludf.DUMMYFUNCTION("""COMPUTED_VALUE"""),39)</f>
        <v>39</v>
      </c>
      <c r="K19" s="51" t="str">
        <f t="shared" ca="1" si="2"/>
        <v/>
      </c>
      <c r="L19" s="54">
        <f ca="1">IFERROR(__xludf.DUMMYFUNCTION("""COMPUTED_VALUE"""),38)</f>
        <v>38</v>
      </c>
      <c r="M19" s="51" t="str">
        <f t="shared" ca="1" si="3"/>
        <v/>
      </c>
      <c r="N19" s="54">
        <f ca="1">IFERROR(__xludf.DUMMYFUNCTION("""COMPUTED_VALUE"""),3)</f>
        <v>3</v>
      </c>
      <c r="O19" s="54">
        <f ca="1">IFERROR(__xludf.DUMMYFUNCTION("""COMPUTED_VALUE"""),117)</f>
        <v>117</v>
      </c>
      <c r="P19" s="51">
        <f t="shared" ca="1" si="4"/>
        <v>39</v>
      </c>
      <c r="Q19" s="54">
        <f ca="1">IFERROR(__xludf.DUMMYFUNCTION("""COMPUTED_VALUE"""),12)</f>
        <v>12</v>
      </c>
      <c r="R19" s="51">
        <f t="shared" ca="1" si="5"/>
        <v>4</v>
      </c>
      <c r="S19" s="54">
        <f ca="1">IFERROR(__xludf.DUMMYFUNCTION("""COMPUTED_VALUE"""),22)</f>
        <v>22</v>
      </c>
      <c r="T19" s="53"/>
      <c r="U19" s="51">
        <f t="shared" ca="1" si="6"/>
        <v>0</v>
      </c>
      <c r="V19" s="53"/>
      <c r="W19" s="51">
        <f t="shared" ca="1" si="7"/>
        <v>0</v>
      </c>
      <c r="X19" s="53"/>
      <c r="Y19" s="51">
        <f t="shared" ca="1" si="8"/>
        <v>0</v>
      </c>
      <c r="Z19" s="2"/>
      <c r="AA19" s="2"/>
      <c r="AB19" s="2"/>
      <c r="AC19" s="2"/>
      <c r="AD19" s="2"/>
      <c r="AE19" s="2"/>
    </row>
    <row r="20" spans="1:31" ht="12.75" x14ac:dyDescent="0.2">
      <c r="A20" s="53">
        <f ca="1">IFERROR(__xludf.DUMMYFUNCTION("""COMPUTED_VALUE"""),14)</f>
        <v>14</v>
      </c>
      <c r="B20" s="53" t="str">
        <f ca="1">IFERROR(__xludf.DUMMYFUNCTION("""COMPUTED_VALUE"""),"MN Hoàng Anh 2")</f>
        <v>MN Hoàng Anh 2</v>
      </c>
      <c r="C20" s="53" t="str">
        <f ca="1">IFERROR(__xludf.DUMMYFUNCTION("""COMPUTED_VALUE"""),"Tân Túc")</f>
        <v>Tân Túc</v>
      </c>
      <c r="D20" s="53" t="str">
        <f ca="1">IFERROR(__xludf.DUMMYFUNCTION("""COMPUTED_VALUE"""),"MN")</f>
        <v>MN</v>
      </c>
      <c r="E20" s="54" t="str">
        <f ca="1">IFERROR(__xludf.DUMMYFUNCTION("""COMPUTED_VALUE"""),"Bình Chánh")</f>
        <v>Bình Chánh</v>
      </c>
      <c r="F20" s="54">
        <f ca="1">IFERROR(__xludf.DUMMYFUNCTION("""COMPUTED_VALUE"""),29)</f>
        <v>29</v>
      </c>
      <c r="G20" s="51" t="str">
        <f t="shared" ca="1" si="0"/>
        <v/>
      </c>
      <c r="H20" s="54">
        <f ca="1">IFERROR(__xludf.DUMMYFUNCTION("""COMPUTED_VALUE"""),29)</f>
        <v>29</v>
      </c>
      <c r="I20" s="51" t="str">
        <f t="shared" ca="1" si="1"/>
        <v/>
      </c>
      <c r="J20" s="54">
        <f ca="1">IFERROR(__xludf.DUMMYFUNCTION("""COMPUTED_VALUE"""),29)</f>
        <v>29</v>
      </c>
      <c r="K20" s="51" t="str">
        <f t="shared" ca="1" si="2"/>
        <v/>
      </c>
      <c r="L20" s="54">
        <f ca="1">IFERROR(__xludf.DUMMYFUNCTION("""COMPUTED_VALUE"""),29)</f>
        <v>29</v>
      </c>
      <c r="M20" s="51" t="str">
        <f t="shared" ca="1" si="3"/>
        <v/>
      </c>
      <c r="N20" s="54">
        <f ca="1">IFERROR(__xludf.DUMMYFUNCTION("""COMPUTED_VALUE"""),0)</f>
        <v>0</v>
      </c>
      <c r="O20" s="54">
        <f ca="1">IFERROR(__xludf.DUMMYFUNCTION("""COMPUTED_VALUE"""),111)</f>
        <v>111</v>
      </c>
      <c r="P20" s="51" t="str">
        <f t="shared" ca="1" si="4"/>
        <v/>
      </c>
      <c r="Q20" s="54">
        <f ca="1">IFERROR(__xludf.DUMMYFUNCTION("""COMPUTED_VALUE"""),24)</f>
        <v>24</v>
      </c>
      <c r="R20" s="51" t="str">
        <f t="shared" ca="1" si="5"/>
        <v/>
      </c>
      <c r="S20" s="54">
        <f ca="1">IFERROR(__xludf.DUMMYFUNCTION("""COMPUTED_VALUE"""),24)</f>
        <v>24</v>
      </c>
      <c r="T20" s="53"/>
      <c r="U20" s="51">
        <f t="shared" ca="1" si="6"/>
        <v>0</v>
      </c>
      <c r="V20" s="53"/>
      <c r="W20" s="51">
        <f t="shared" ca="1" si="7"/>
        <v>0</v>
      </c>
      <c r="X20" s="53"/>
      <c r="Y20" s="51">
        <f t="shared" ca="1" si="8"/>
        <v>0</v>
      </c>
      <c r="Z20" s="2"/>
      <c r="AA20" s="2"/>
      <c r="AB20" s="2"/>
      <c r="AC20" s="2"/>
      <c r="AD20" s="2"/>
      <c r="AE20" s="2"/>
    </row>
    <row r="21" spans="1:31" ht="12.75" x14ac:dyDescent="0.2">
      <c r="A21" s="53">
        <f ca="1">IFERROR(__xludf.DUMMYFUNCTION("""COMPUTED_VALUE"""),15)</f>
        <v>15</v>
      </c>
      <c r="B21" s="53" t="str">
        <f ca="1">IFERROR(__xludf.DUMMYFUNCTION("""COMPUTED_VALUE"""),"MN BaBy")</f>
        <v>MN BaBy</v>
      </c>
      <c r="C21" s="53" t="str">
        <f ca="1">IFERROR(__xludf.DUMMYFUNCTION("""COMPUTED_VALUE"""),"Tân Kiên")</f>
        <v>Tân Kiên</v>
      </c>
      <c r="D21" s="53" t="str">
        <f ca="1">IFERROR(__xludf.DUMMYFUNCTION("""COMPUTED_VALUE"""),"MN")</f>
        <v>MN</v>
      </c>
      <c r="E21" s="54" t="str">
        <f ca="1">IFERROR(__xludf.DUMMYFUNCTION("""COMPUTED_VALUE"""),"Bình Chánh")</f>
        <v>Bình Chánh</v>
      </c>
      <c r="F21" s="54">
        <f ca="1">IFERROR(__xludf.DUMMYFUNCTION("""COMPUTED_VALUE"""),44)</f>
        <v>44</v>
      </c>
      <c r="G21" s="51" t="str">
        <f t="shared" ca="1" si="0"/>
        <v/>
      </c>
      <c r="H21" s="54">
        <f ca="1">IFERROR(__xludf.DUMMYFUNCTION("""COMPUTED_VALUE"""),44)</f>
        <v>44</v>
      </c>
      <c r="I21" s="51" t="str">
        <f t="shared" ca="1" si="1"/>
        <v/>
      </c>
      <c r="J21" s="54">
        <f ca="1">IFERROR(__xludf.DUMMYFUNCTION("""COMPUTED_VALUE"""),44)</f>
        <v>44</v>
      </c>
      <c r="K21" s="51" t="str">
        <f t="shared" ca="1" si="2"/>
        <v/>
      </c>
      <c r="L21" s="54">
        <f ca="1">IFERROR(__xludf.DUMMYFUNCTION("""COMPUTED_VALUE"""),44)</f>
        <v>44</v>
      </c>
      <c r="M21" s="51" t="str">
        <f t="shared" ca="1" si="3"/>
        <v/>
      </c>
      <c r="N21" s="54">
        <f ca="1">IFERROR(__xludf.DUMMYFUNCTION("""COMPUTED_VALUE"""),0)</f>
        <v>0</v>
      </c>
      <c r="O21" s="54">
        <f ca="1">IFERROR(__xludf.DUMMYFUNCTION("""COMPUTED_VALUE"""),118)</f>
        <v>118</v>
      </c>
      <c r="P21" s="51" t="str">
        <f t="shared" ca="1" si="4"/>
        <v/>
      </c>
      <c r="Q21" s="54">
        <f ca="1">IFERROR(__xludf.DUMMYFUNCTION("""COMPUTED_VALUE"""),38)</f>
        <v>38</v>
      </c>
      <c r="R21" s="51" t="str">
        <f t="shared" ca="1" si="5"/>
        <v/>
      </c>
      <c r="S21" s="54">
        <f ca="1">IFERROR(__xludf.DUMMYFUNCTION("""COMPUTED_VALUE"""),39)</f>
        <v>39</v>
      </c>
      <c r="T21" s="53"/>
      <c r="U21" s="51">
        <f t="shared" ca="1" si="6"/>
        <v>0</v>
      </c>
      <c r="V21" s="53"/>
      <c r="W21" s="51">
        <f t="shared" ca="1" si="7"/>
        <v>0</v>
      </c>
      <c r="X21" s="53"/>
      <c r="Y21" s="51">
        <f t="shared" ca="1" si="8"/>
        <v>0</v>
      </c>
      <c r="Z21" s="2"/>
      <c r="AA21" s="2"/>
      <c r="AB21" s="2"/>
      <c r="AC21" s="2"/>
      <c r="AD21" s="2"/>
      <c r="AE21" s="2"/>
    </row>
    <row r="22" spans="1:31" ht="12.75" x14ac:dyDescent="0.2">
      <c r="A22" s="53">
        <f ca="1">IFERROR(__xludf.DUMMYFUNCTION("""COMPUTED_VALUE"""),16)</f>
        <v>16</v>
      </c>
      <c r="B22" s="53" t="str">
        <f ca="1">IFERROR(__xludf.DUMMYFUNCTION("""COMPUTED_VALUE"""),"MN Vàng Anh")</f>
        <v>MN Vàng Anh</v>
      </c>
      <c r="C22" s="53" t="str">
        <f ca="1">IFERROR(__xludf.DUMMYFUNCTION("""COMPUTED_VALUE"""),"Tân Túc")</f>
        <v>Tân Túc</v>
      </c>
      <c r="D22" s="53" t="str">
        <f ca="1">IFERROR(__xludf.DUMMYFUNCTION("""COMPUTED_VALUE"""),"MN")</f>
        <v>MN</v>
      </c>
      <c r="E22" s="54" t="str">
        <f ca="1">IFERROR(__xludf.DUMMYFUNCTION("""COMPUTED_VALUE"""),"Bình Chánh")</f>
        <v>Bình Chánh</v>
      </c>
      <c r="F22" s="54">
        <f ca="1">IFERROR(__xludf.DUMMYFUNCTION("""COMPUTED_VALUE"""),30)</f>
        <v>30</v>
      </c>
      <c r="G22" s="51" t="str">
        <f t="shared" ca="1" si="0"/>
        <v/>
      </c>
      <c r="H22" s="54">
        <f ca="1">IFERROR(__xludf.DUMMYFUNCTION("""COMPUTED_VALUE"""),30)</f>
        <v>30</v>
      </c>
      <c r="I22" s="51" t="str">
        <f t="shared" ca="1" si="1"/>
        <v/>
      </c>
      <c r="J22" s="54">
        <f ca="1">IFERROR(__xludf.DUMMYFUNCTION("""COMPUTED_VALUE"""),30)</f>
        <v>30</v>
      </c>
      <c r="K22" s="51" t="str">
        <f t="shared" ca="1" si="2"/>
        <v/>
      </c>
      <c r="L22" s="54">
        <f ca="1">IFERROR(__xludf.DUMMYFUNCTION("""COMPUTED_VALUE"""),29)</f>
        <v>29</v>
      </c>
      <c r="M22" s="51" t="str">
        <f t="shared" ca="1" si="3"/>
        <v/>
      </c>
      <c r="N22" s="54">
        <f ca="1">IFERROR(__xludf.DUMMYFUNCTION("""COMPUTED_VALUE"""),1)</f>
        <v>1</v>
      </c>
      <c r="O22" s="54">
        <f ca="1">IFERROR(__xludf.DUMMYFUNCTION("""COMPUTED_VALUE"""),75)</f>
        <v>75</v>
      </c>
      <c r="P22" s="51">
        <f t="shared" ca="1" si="4"/>
        <v>75</v>
      </c>
      <c r="Q22" s="54">
        <f ca="1">IFERROR(__xludf.DUMMYFUNCTION("""COMPUTED_VALUE"""),14)</f>
        <v>14</v>
      </c>
      <c r="R22" s="51">
        <f t="shared" ca="1" si="5"/>
        <v>14</v>
      </c>
      <c r="S22" s="54">
        <f ca="1">IFERROR(__xludf.DUMMYFUNCTION("""COMPUTED_VALUE"""),14)</f>
        <v>14</v>
      </c>
      <c r="T22" s="53"/>
      <c r="U22" s="51">
        <f t="shared" ca="1" si="6"/>
        <v>0</v>
      </c>
      <c r="V22" s="53"/>
      <c r="W22" s="51">
        <f t="shared" ca="1" si="7"/>
        <v>0</v>
      </c>
      <c r="X22" s="53"/>
      <c r="Y22" s="51">
        <f t="shared" ca="1" si="8"/>
        <v>0</v>
      </c>
      <c r="Z22" s="2"/>
      <c r="AA22" s="2"/>
      <c r="AB22" s="2"/>
      <c r="AC22" s="2"/>
      <c r="AD22" s="2"/>
      <c r="AE22" s="2"/>
    </row>
    <row r="23" spans="1:31" ht="12.75" x14ac:dyDescent="0.2">
      <c r="A23" s="53">
        <f ca="1">IFERROR(__xludf.DUMMYFUNCTION("""COMPUTED_VALUE"""),17)</f>
        <v>17</v>
      </c>
      <c r="B23" s="53" t="str">
        <f ca="1">IFERROR(__xludf.DUMMYFUNCTION("""COMPUTED_VALUE"""),"MN Hoa Anh Đào")</f>
        <v>MN Hoa Anh Đào</v>
      </c>
      <c r="C23" s="53" t="str">
        <f ca="1">IFERROR(__xludf.DUMMYFUNCTION("""COMPUTED_VALUE"""),"Tân Nhựt")</f>
        <v>Tân Nhựt</v>
      </c>
      <c r="D23" s="53" t="str">
        <f ca="1">IFERROR(__xludf.DUMMYFUNCTION("""COMPUTED_VALUE"""),"MN")</f>
        <v>MN</v>
      </c>
      <c r="E23" s="54" t="str">
        <f ca="1">IFERROR(__xludf.DUMMYFUNCTION("""COMPUTED_VALUE"""),"Bình Chánh")</f>
        <v>Bình Chánh</v>
      </c>
      <c r="F23" s="54">
        <f ca="1">IFERROR(__xludf.DUMMYFUNCTION("""COMPUTED_VALUE"""),49)</f>
        <v>49</v>
      </c>
      <c r="G23" s="51" t="str">
        <f t="shared" ca="1" si="0"/>
        <v/>
      </c>
      <c r="H23" s="54">
        <f ca="1">IFERROR(__xludf.DUMMYFUNCTION("""COMPUTED_VALUE"""),49)</f>
        <v>49</v>
      </c>
      <c r="I23" s="51" t="str">
        <f t="shared" ca="1" si="1"/>
        <v/>
      </c>
      <c r="J23" s="54">
        <f ca="1">IFERROR(__xludf.DUMMYFUNCTION("""COMPUTED_VALUE"""),49)</f>
        <v>49</v>
      </c>
      <c r="K23" s="51" t="str">
        <f t="shared" ca="1" si="2"/>
        <v/>
      </c>
      <c r="L23" s="54">
        <f ca="1">IFERROR(__xludf.DUMMYFUNCTION("""COMPUTED_VALUE"""),49)</f>
        <v>49</v>
      </c>
      <c r="M23" s="51" t="str">
        <f t="shared" ca="1" si="3"/>
        <v/>
      </c>
      <c r="N23" s="54">
        <f ca="1">IFERROR(__xludf.DUMMYFUNCTION("""COMPUTED_VALUE"""),0)</f>
        <v>0</v>
      </c>
      <c r="O23" s="54">
        <f ca="1">IFERROR(__xludf.DUMMYFUNCTION("""COMPUTED_VALUE"""),209)</f>
        <v>209</v>
      </c>
      <c r="P23" s="51" t="str">
        <f t="shared" ca="1" si="4"/>
        <v/>
      </c>
      <c r="Q23" s="54">
        <f ca="1">IFERROR(__xludf.DUMMYFUNCTION("""COMPUTED_VALUE"""),7)</f>
        <v>7</v>
      </c>
      <c r="R23" s="51" t="str">
        <f t="shared" ca="1" si="5"/>
        <v/>
      </c>
      <c r="S23" s="54">
        <f ca="1">IFERROR(__xludf.DUMMYFUNCTION("""COMPUTED_VALUE"""),145)</f>
        <v>145</v>
      </c>
      <c r="T23" s="53"/>
      <c r="U23" s="51">
        <f t="shared" ca="1" si="6"/>
        <v>0</v>
      </c>
      <c r="V23" s="53"/>
      <c r="W23" s="51">
        <f t="shared" ca="1" si="7"/>
        <v>0</v>
      </c>
      <c r="X23" s="53"/>
      <c r="Y23" s="51">
        <f t="shared" ca="1" si="8"/>
        <v>0</v>
      </c>
      <c r="Z23" s="2"/>
      <c r="AA23" s="2"/>
      <c r="AB23" s="2"/>
      <c r="AC23" s="2"/>
      <c r="AD23" s="2"/>
      <c r="AE23" s="2"/>
    </row>
    <row r="24" spans="1:31" ht="12.75" x14ac:dyDescent="0.2">
      <c r="A24" s="53">
        <f ca="1">IFERROR(__xludf.DUMMYFUNCTION("""COMPUTED_VALUE"""),18)</f>
        <v>18</v>
      </c>
      <c r="B24" s="53" t="str">
        <f ca="1">IFERROR(__xludf.DUMMYFUNCTION("""COMPUTED_VALUE"""),"MN Hoa Sen")</f>
        <v>MN Hoa Sen</v>
      </c>
      <c r="C24" s="53" t="str">
        <f ca="1">IFERROR(__xludf.DUMMYFUNCTION("""COMPUTED_VALUE"""),"Lê Minh Xuân")</f>
        <v>Lê Minh Xuân</v>
      </c>
      <c r="D24" s="53" t="str">
        <f ca="1">IFERROR(__xludf.DUMMYFUNCTION("""COMPUTED_VALUE"""),"MN")</f>
        <v>MN</v>
      </c>
      <c r="E24" s="54" t="str">
        <f ca="1">IFERROR(__xludf.DUMMYFUNCTION("""COMPUTED_VALUE"""),"Bình Chánh")</f>
        <v>Bình Chánh</v>
      </c>
      <c r="F24" s="54">
        <f ca="1">IFERROR(__xludf.DUMMYFUNCTION("""COMPUTED_VALUE"""),56)</f>
        <v>56</v>
      </c>
      <c r="G24" s="51" t="str">
        <f t="shared" ca="1" si="0"/>
        <v/>
      </c>
      <c r="H24" s="54">
        <f ca="1">IFERROR(__xludf.DUMMYFUNCTION("""COMPUTED_VALUE"""),50)</f>
        <v>50</v>
      </c>
      <c r="I24" s="51" t="str">
        <f t="shared" ca="1" si="1"/>
        <v/>
      </c>
      <c r="J24" s="54">
        <f ca="1">IFERROR(__xludf.DUMMYFUNCTION("""COMPUTED_VALUE"""),50)</f>
        <v>50</v>
      </c>
      <c r="K24" s="51" t="str">
        <f t="shared" ca="1" si="2"/>
        <v/>
      </c>
      <c r="L24" s="54">
        <f ca="1">IFERROR(__xludf.DUMMYFUNCTION("""COMPUTED_VALUE"""),50)</f>
        <v>50</v>
      </c>
      <c r="M24" s="51" t="str">
        <f t="shared" ca="1" si="3"/>
        <v/>
      </c>
      <c r="N24" s="54">
        <f ca="1">IFERROR(__xludf.DUMMYFUNCTION("""COMPUTED_VALUE"""),0)</f>
        <v>0</v>
      </c>
      <c r="O24" s="54">
        <f ca="1">IFERROR(__xludf.DUMMYFUNCTION("""COMPUTED_VALUE"""),91)</f>
        <v>91</v>
      </c>
      <c r="P24" s="51" t="str">
        <f t="shared" ca="1" si="4"/>
        <v/>
      </c>
      <c r="Q24" s="54">
        <f ca="1">IFERROR(__xludf.DUMMYFUNCTION("""COMPUTED_VALUE"""),64)</f>
        <v>64</v>
      </c>
      <c r="R24" s="51" t="str">
        <f t="shared" ca="1" si="5"/>
        <v/>
      </c>
      <c r="S24" s="54">
        <f ca="1">IFERROR(__xludf.DUMMYFUNCTION("""COMPUTED_VALUE"""),0)</f>
        <v>0</v>
      </c>
      <c r="T24" s="53"/>
      <c r="U24" s="51" t="str">
        <f t="shared" ca="1" si="6"/>
        <v/>
      </c>
      <c r="V24" s="53"/>
      <c r="W24" s="51" t="str">
        <f t="shared" ca="1" si="7"/>
        <v/>
      </c>
      <c r="X24" s="53"/>
      <c r="Y24" s="51" t="str">
        <f t="shared" ca="1" si="8"/>
        <v/>
      </c>
      <c r="Z24" s="2"/>
      <c r="AA24" s="2"/>
      <c r="AB24" s="2"/>
      <c r="AC24" s="2"/>
      <c r="AD24" s="2"/>
      <c r="AE24" s="2"/>
    </row>
    <row r="25" spans="1:31" ht="12.75" x14ac:dyDescent="0.2">
      <c r="A25" s="53">
        <f ca="1">IFERROR(__xludf.DUMMYFUNCTION("""COMPUTED_VALUE"""),19)</f>
        <v>19</v>
      </c>
      <c r="B25" s="53" t="str">
        <f ca="1">IFERROR(__xludf.DUMMYFUNCTION("""COMPUTED_VALUE"""),"MN Hoa Sen 2")</f>
        <v>MN Hoa Sen 2</v>
      </c>
      <c r="C25" s="53" t="str">
        <f ca="1">IFERROR(__xludf.DUMMYFUNCTION("""COMPUTED_VALUE"""),"Lê Minh Xuân")</f>
        <v>Lê Minh Xuân</v>
      </c>
      <c r="D25" s="53" t="str">
        <f ca="1">IFERROR(__xludf.DUMMYFUNCTION("""COMPUTED_VALUE"""),"MN")</f>
        <v>MN</v>
      </c>
      <c r="E25" s="54" t="str">
        <f ca="1">IFERROR(__xludf.DUMMYFUNCTION("""COMPUTED_VALUE"""),"Bình Chánh")</f>
        <v>Bình Chánh</v>
      </c>
      <c r="F25" s="54">
        <f ca="1">IFERROR(__xludf.DUMMYFUNCTION("""COMPUTED_VALUE"""),26)</f>
        <v>26</v>
      </c>
      <c r="G25" s="51" t="str">
        <f t="shared" ca="1" si="0"/>
        <v/>
      </c>
      <c r="H25" s="54">
        <f ca="1">IFERROR(__xludf.DUMMYFUNCTION("""COMPUTED_VALUE"""),26)</f>
        <v>26</v>
      </c>
      <c r="I25" s="51" t="str">
        <f t="shared" ca="1" si="1"/>
        <v/>
      </c>
      <c r="J25" s="54">
        <f ca="1">IFERROR(__xludf.DUMMYFUNCTION("""COMPUTED_VALUE"""),26)</f>
        <v>26</v>
      </c>
      <c r="K25" s="51" t="str">
        <f t="shared" ca="1" si="2"/>
        <v/>
      </c>
      <c r="L25" s="54">
        <f ca="1">IFERROR(__xludf.DUMMYFUNCTION("""COMPUTED_VALUE"""),26)</f>
        <v>26</v>
      </c>
      <c r="M25" s="51" t="str">
        <f t="shared" ca="1" si="3"/>
        <v/>
      </c>
      <c r="N25" s="54">
        <f ca="1">IFERROR(__xludf.DUMMYFUNCTION("""COMPUTED_VALUE"""),0)</f>
        <v>0</v>
      </c>
      <c r="O25" s="54">
        <f ca="1">IFERROR(__xludf.DUMMYFUNCTION("""COMPUTED_VALUE"""),77)</f>
        <v>77</v>
      </c>
      <c r="P25" s="51" t="str">
        <f t="shared" ca="1" si="4"/>
        <v/>
      </c>
      <c r="Q25" s="54">
        <f ca="1">IFERROR(__xludf.DUMMYFUNCTION("""COMPUTED_VALUE"""),15)</f>
        <v>15</v>
      </c>
      <c r="R25" s="51" t="str">
        <f t="shared" ca="1" si="5"/>
        <v/>
      </c>
      <c r="S25" s="54">
        <f ca="1">IFERROR(__xludf.DUMMYFUNCTION("""COMPUTED_VALUE"""),0)</f>
        <v>0</v>
      </c>
      <c r="T25" s="53"/>
      <c r="U25" s="51" t="str">
        <f t="shared" ca="1" si="6"/>
        <v/>
      </c>
      <c r="V25" s="53"/>
      <c r="W25" s="51" t="str">
        <f t="shared" ca="1" si="7"/>
        <v/>
      </c>
      <c r="X25" s="53"/>
      <c r="Y25" s="51" t="str">
        <f t="shared" ca="1" si="8"/>
        <v/>
      </c>
      <c r="Z25" s="2"/>
      <c r="AA25" s="2"/>
      <c r="AB25" s="2"/>
      <c r="AC25" s="2"/>
      <c r="AD25" s="2"/>
      <c r="AE25" s="2"/>
    </row>
    <row r="26" spans="1:31" ht="12.75" x14ac:dyDescent="0.2">
      <c r="A26" s="53">
        <f ca="1">IFERROR(__xludf.DUMMYFUNCTION("""COMPUTED_VALUE"""),20)</f>
        <v>20</v>
      </c>
      <c r="B26" s="53" t="str">
        <f ca="1">IFERROR(__xludf.DUMMYFUNCTION("""COMPUTED_VALUE"""),"MN Hoa Sen 3")</f>
        <v>MN Hoa Sen 3</v>
      </c>
      <c r="C26" s="53" t="str">
        <f ca="1">IFERROR(__xludf.DUMMYFUNCTION("""COMPUTED_VALUE"""),"Lê Minh Xuân")</f>
        <v>Lê Minh Xuân</v>
      </c>
      <c r="D26" s="53" t="str">
        <f ca="1">IFERROR(__xludf.DUMMYFUNCTION("""COMPUTED_VALUE"""),"MN")</f>
        <v>MN</v>
      </c>
      <c r="E26" s="54" t="str">
        <f ca="1">IFERROR(__xludf.DUMMYFUNCTION("""COMPUTED_VALUE"""),"Bình Chánh")</f>
        <v>Bình Chánh</v>
      </c>
      <c r="F26" s="54">
        <f ca="1">IFERROR(__xludf.DUMMYFUNCTION("""COMPUTED_VALUE"""),14)</f>
        <v>14</v>
      </c>
      <c r="G26" s="51" t="str">
        <f t="shared" ca="1" si="0"/>
        <v/>
      </c>
      <c r="H26" s="54">
        <f ca="1">IFERROR(__xludf.DUMMYFUNCTION("""COMPUTED_VALUE"""),14)</f>
        <v>14</v>
      </c>
      <c r="I26" s="51" t="str">
        <f t="shared" ca="1" si="1"/>
        <v/>
      </c>
      <c r="J26" s="54">
        <f ca="1">IFERROR(__xludf.DUMMYFUNCTION("""COMPUTED_VALUE"""),14)</f>
        <v>14</v>
      </c>
      <c r="K26" s="51" t="str">
        <f t="shared" ca="1" si="2"/>
        <v/>
      </c>
      <c r="L26" s="54">
        <f ca="1">IFERROR(__xludf.DUMMYFUNCTION("""COMPUTED_VALUE"""),14)</f>
        <v>14</v>
      </c>
      <c r="M26" s="51" t="str">
        <f t="shared" ca="1" si="3"/>
        <v/>
      </c>
      <c r="N26" s="54">
        <f ca="1">IFERROR(__xludf.DUMMYFUNCTION("""COMPUTED_VALUE"""),0)</f>
        <v>0</v>
      </c>
      <c r="O26" s="54">
        <f ca="1">IFERROR(__xludf.DUMMYFUNCTION("""COMPUTED_VALUE"""),38)</f>
        <v>38</v>
      </c>
      <c r="P26" s="51" t="str">
        <f t="shared" ca="1" si="4"/>
        <v/>
      </c>
      <c r="Q26" s="54">
        <f ca="1">IFERROR(__xludf.DUMMYFUNCTION("""COMPUTED_VALUE"""),18)</f>
        <v>18</v>
      </c>
      <c r="R26" s="51" t="str">
        <f t="shared" ca="1" si="5"/>
        <v/>
      </c>
      <c r="S26" s="54">
        <f ca="1">IFERROR(__xludf.DUMMYFUNCTION("""COMPUTED_VALUE"""),0)</f>
        <v>0</v>
      </c>
      <c r="T26" s="53"/>
      <c r="U26" s="51" t="str">
        <f t="shared" ca="1" si="6"/>
        <v/>
      </c>
      <c r="V26" s="53"/>
      <c r="W26" s="51" t="str">
        <f t="shared" ca="1" si="7"/>
        <v/>
      </c>
      <c r="X26" s="53"/>
      <c r="Y26" s="51" t="str">
        <f t="shared" ca="1" si="8"/>
        <v/>
      </c>
      <c r="Z26" s="2"/>
      <c r="AA26" s="2"/>
      <c r="AB26" s="2"/>
      <c r="AC26" s="2"/>
      <c r="AD26" s="2"/>
      <c r="AE26" s="2"/>
    </row>
    <row r="27" spans="1:31" ht="12.75" x14ac:dyDescent="0.2">
      <c r="A27" s="53">
        <f ca="1">IFERROR(__xludf.DUMMYFUNCTION("""COMPUTED_VALUE"""),21)</f>
        <v>21</v>
      </c>
      <c r="B27" s="53" t="str">
        <f ca="1">IFERROR(__xludf.DUMMYFUNCTION("""COMPUTED_VALUE"""),"MG Hoa Phượng")</f>
        <v>MG Hoa Phượng</v>
      </c>
      <c r="C27" s="53" t="str">
        <f ca="1">IFERROR(__xludf.DUMMYFUNCTION("""COMPUTED_VALUE"""),"Vĩnh Lộc A")</f>
        <v>Vĩnh Lộc A</v>
      </c>
      <c r="D27" s="53" t="str">
        <f ca="1">IFERROR(__xludf.DUMMYFUNCTION("""COMPUTED_VALUE"""),"MN")</f>
        <v>MN</v>
      </c>
      <c r="E27" s="54" t="str">
        <f ca="1">IFERROR(__xludf.DUMMYFUNCTION("""COMPUTED_VALUE"""),"Bình Chánh")</f>
        <v>Bình Chánh</v>
      </c>
      <c r="F27" s="54">
        <f ca="1">IFERROR(__xludf.DUMMYFUNCTION("""COMPUTED_VALUE"""),24)</f>
        <v>24</v>
      </c>
      <c r="G27" s="51" t="str">
        <f t="shared" ca="1" si="0"/>
        <v/>
      </c>
      <c r="H27" s="54">
        <f ca="1">IFERROR(__xludf.DUMMYFUNCTION("""COMPUTED_VALUE"""),24)</f>
        <v>24</v>
      </c>
      <c r="I27" s="51" t="str">
        <f t="shared" ca="1" si="1"/>
        <v/>
      </c>
      <c r="J27" s="54">
        <f ca="1">IFERROR(__xludf.DUMMYFUNCTION("""COMPUTED_VALUE"""),24)</f>
        <v>24</v>
      </c>
      <c r="K27" s="51" t="str">
        <f t="shared" ca="1" si="2"/>
        <v/>
      </c>
      <c r="L27" s="54">
        <f ca="1">IFERROR(__xludf.DUMMYFUNCTION("""COMPUTED_VALUE"""),24)</f>
        <v>24</v>
      </c>
      <c r="M27" s="51" t="str">
        <f t="shared" ca="1" si="3"/>
        <v/>
      </c>
      <c r="N27" s="54">
        <f ca="1">IFERROR(__xludf.DUMMYFUNCTION("""COMPUTED_VALUE"""),0)</f>
        <v>0</v>
      </c>
      <c r="O27" s="54">
        <f ca="1">IFERROR(__xludf.DUMMYFUNCTION("""COMPUTED_VALUE"""),71)</f>
        <v>71</v>
      </c>
      <c r="P27" s="51" t="str">
        <f t="shared" ca="1" si="4"/>
        <v/>
      </c>
      <c r="Q27" s="54">
        <f ca="1">IFERROR(__xludf.DUMMYFUNCTION("""COMPUTED_VALUE"""),15)</f>
        <v>15</v>
      </c>
      <c r="R27" s="51" t="str">
        <f t="shared" ca="1" si="5"/>
        <v/>
      </c>
      <c r="S27" s="54">
        <f ca="1">IFERROR(__xludf.DUMMYFUNCTION("""COMPUTED_VALUE"""),30)</f>
        <v>30</v>
      </c>
      <c r="T27" s="53"/>
      <c r="U27" s="51">
        <f t="shared" ca="1" si="6"/>
        <v>0</v>
      </c>
      <c r="V27" s="53"/>
      <c r="W27" s="51">
        <f t="shared" ca="1" si="7"/>
        <v>0</v>
      </c>
      <c r="X27" s="53"/>
      <c r="Y27" s="51">
        <f t="shared" ca="1" si="8"/>
        <v>0</v>
      </c>
      <c r="Z27" s="2"/>
      <c r="AA27" s="2"/>
      <c r="AB27" s="2"/>
      <c r="AC27" s="2"/>
      <c r="AD27" s="2"/>
      <c r="AE27" s="2"/>
    </row>
    <row r="28" spans="1:31" ht="12.75" x14ac:dyDescent="0.2">
      <c r="A28" s="53">
        <f ca="1">IFERROR(__xludf.DUMMYFUNCTION("""COMPUTED_VALUE"""),22)</f>
        <v>22</v>
      </c>
      <c r="B28" s="53" t="str">
        <f ca="1">IFERROR(__xludf.DUMMYFUNCTION("""COMPUTED_VALUE"""),"MN Hoa Phượng 1")</f>
        <v>MN Hoa Phượng 1</v>
      </c>
      <c r="C28" s="53" t="str">
        <f ca="1">IFERROR(__xludf.DUMMYFUNCTION("""COMPUTED_VALUE"""),"Vĩnh Lộc A")</f>
        <v>Vĩnh Lộc A</v>
      </c>
      <c r="D28" s="53" t="str">
        <f ca="1">IFERROR(__xludf.DUMMYFUNCTION("""COMPUTED_VALUE"""),"MN")</f>
        <v>MN</v>
      </c>
      <c r="E28" s="54" t="str">
        <f ca="1">IFERROR(__xludf.DUMMYFUNCTION("""COMPUTED_VALUE"""),"Bình Chánh")</f>
        <v>Bình Chánh</v>
      </c>
      <c r="F28" s="54">
        <f ca="1">IFERROR(__xludf.DUMMYFUNCTION("""COMPUTED_VALUE"""),51)</f>
        <v>51</v>
      </c>
      <c r="G28" s="51" t="str">
        <f t="shared" ca="1" si="0"/>
        <v/>
      </c>
      <c r="H28" s="54">
        <f ca="1">IFERROR(__xludf.DUMMYFUNCTION("""COMPUTED_VALUE"""),51)</f>
        <v>51</v>
      </c>
      <c r="I28" s="51" t="str">
        <f t="shared" ca="1" si="1"/>
        <v/>
      </c>
      <c r="J28" s="54">
        <f ca="1">IFERROR(__xludf.DUMMYFUNCTION("""COMPUTED_VALUE"""),51)</f>
        <v>51</v>
      </c>
      <c r="K28" s="51" t="str">
        <f t="shared" ca="1" si="2"/>
        <v/>
      </c>
      <c r="L28" s="54">
        <f ca="1">IFERROR(__xludf.DUMMYFUNCTION("""COMPUTED_VALUE"""),51)</f>
        <v>51</v>
      </c>
      <c r="M28" s="51" t="str">
        <f t="shared" ca="1" si="3"/>
        <v/>
      </c>
      <c r="N28" s="54">
        <f ca="1">IFERROR(__xludf.DUMMYFUNCTION("""COMPUTED_VALUE"""),6)</f>
        <v>6</v>
      </c>
      <c r="O28" s="54">
        <f ca="1">IFERROR(__xludf.DUMMYFUNCTION("""COMPUTED_VALUE"""),177)</f>
        <v>177</v>
      </c>
      <c r="P28" s="51">
        <f t="shared" ca="1" si="4"/>
        <v>29.5</v>
      </c>
      <c r="Q28" s="54">
        <f ca="1">IFERROR(__xludf.DUMMYFUNCTION("""COMPUTED_VALUE"""),7)</f>
        <v>7</v>
      </c>
      <c r="R28" s="51">
        <f t="shared" ca="1" si="5"/>
        <v>1.1666666666666667</v>
      </c>
      <c r="S28" s="54">
        <f ca="1">IFERROR(__xludf.DUMMYFUNCTION("""COMPUTED_VALUE"""),33)</f>
        <v>33</v>
      </c>
      <c r="T28" s="53"/>
      <c r="U28" s="51">
        <f t="shared" ca="1" si="6"/>
        <v>0</v>
      </c>
      <c r="V28" s="53"/>
      <c r="W28" s="51">
        <f t="shared" ca="1" si="7"/>
        <v>0</v>
      </c>
      <c r="X28" s="53"/>
      <c r="Y28" s="51">
        <f t="shared" ca="1" si="8"/>
        <v>0</v>
      </c>
      <c r="Z28" s="2"/>
      <c r="AA28" s="2"/>
      <c r="AB28" s="2"/>
      <c r="AC28" s="2"/>
      <c r="AD28" s="2"/>
      <c r="AE28" s="2"/>
    </row>
    <row r="29" spans="1:31" ht="12.75" x14ac:dyDescent="0.2">
      <c r="A29" s="53">
        <f ca="1">IFERROR(__xludf.DUMMYFUNCTION("""COMPUTED_VALUE"""),23)</f>
        <v>23</v>
      </c>
      <c r="B29" s="53" t="str">
        <f ca="1">IFERROR(__xludf.DUMMYFUNCTION("""COMPUTED_VALUE"""),"MN Hoa Phượng Hồng")</f>
        <v>MN Hoa Phượng Hồng</v>
      </c>
      <c r="C29" s="53" t="str">
        <f ca="1">IFERROR(__xludf.DUMMYFUNCTION("""COMPUTED_VALUE"""),"Vĩnh Lộc A")</f>
        <v>Vĩnh Lộc A</v>
      </c>
      <c r="D29" s="53" t="str">
        <f ca="1">IFERROR(__xludf.DUMMYFUNCTION("""COMPUTED_VALUE"""),"MN")</f>
        <v>MN</v>
      </c>
      <c r="E29" s="54" t="str">
        <f ca="1">IFERROR(__xludf.DUMMYFUNCTION("""COMPUTED_VALUE"""),"Bình Chánh")</f>
        <v>Bình Chánh</v>
      </c>
      <c r="F29" s="54">
        <f ca="1">IFERROR(__xludf.DUMMYFUNCTION("""COMPUTED_VALUE"""),35)</f>
        <v>35</v>
      </c>
      <c r="G29" s="51" t="str">
        <f t="shared" ca="1" si="0"/>
        <v/>
      </c>
      <c r="H29" s="54">
        <f ca="1">IFERROR(__xludf.DUMMYFUNCTION("""COMPUTED_VALUE"""),35)</f>
        <v>35</v>
      </c>
      <c r="I29" s="51" t="str">
        <f t="shared" ca="1" si="1"/>
        <v/>
      </c>
      <c r="J29" s="54">
        <f ca="1">IFERROR(__xludf.DUMMYFUNCTION("""COMPUTED_VALUE"""),35)</f>
        <v>35</v>
      </c>
      <c r="K29" s="51" t="str">
        <f t="shared" ca="1" si="2"/>
        <v/>
      </c>
      <c r="L29" s="54">
        <f ca="1">IFERROR(__xludf.DUMMYFUNCTION("""COMPUTED_VALUE"""),35)</f>
        <v>35</v>
      </c>
      <c r="M29" s="51" t="str">
        <f t="shared" ca="1" si="3"/>
        <v/>
      </c>
      <c r="N29" s="54">
        <f ca="1">IFERROR(__xludf.DUMMYFUNCTION("""COMPUTED_VALUE"""),2)</f>
        <v>2</v>
      </c>
      <c r="O29" s="54">
        <f ca="1">IFERROR(__xludf.DUMMYFUNCTION("""COMPUTED_VALUE"""),127)</f>
        <v>127</v>
      </c>
      <c r="P29" s="51">
        <f t="shared" ca="1" si="4"/>
        <v>63.5</v>
      </c>
      <c r="Q29" s="54">
        <f ca="1">IFERROR(__xludf.DUMMYFUNCTION("""COMPUTED_VALUE"""),14)</f>
        <v>14</v>
      </c>
      <c r="R29" s="51">
        <f t="shared" ca="1" si="5"/>
        <v>7</v>
      </c>
      <c r="S29" s="54">
        <f ca="1">IFERROR(__xludf.DUMMYFUNCTION("""COMPUTED_VALUE"""),39)</f>
        <v>39</v>
      </c>
      <c r="T29" s="53"/>
      <c r="U29" s="51">
        <f t="shared" ca="1" si="6"/>
        <v>0</v>
      </c>
      <c r="V29" s="53"/>
      <c r="W29" s="51">
        <f t="shared" ca="1" si="7"/>
        <v>0</v>
      </c>
      <c r="X29" s="53"/>
      <c r="Y29" s="51">
        <f t="shared" ca="1" si="8"/>
        <v>0</v>
      </c>
      <c r="Z29" s="2"/>
      <c r="AA29" s="2"/>
      <c r="AB29" s="2"/>
      <c r="AC29" s="2"/>
      <c r="AD29" s="2"/>
      <c r="AE29" s="2"/>
    </row>
    <row r="30" spans="1:31" ht="12.75" x14ac:dyDescent="0.2">
      <c r="A30" s="53">
        <f ca="1">IFERROR(__xludf.DUMMYFUNCTION("""COMPUTED_VALUE"""),24)</f>
        <v>24</v>
      </c>
      <c r="B30" s="53" t="str">
        <f ca="1">IFERROR(__xludf.DUMMYFUNCTION("""COMPUTED_VALUE"""),"MN Hoa Thiên Lý")</f>
        <v>MN Hoa Thiên Lý</v>
      </c>
      <c r="C30" s="53" t="str">
        <f ca="1">IFERROR(__xludf.DUMMYFUNCTION("""COMPUTED_VALUE"""),"Vĩnh Lộc B")</f>
        <v>Vĩnh Lộc B</v>
      </c>
      <c r="D30" s="53" t="str">
        <f ca="1">IFERROR(__xludf.DUMMYFUNCTION("""COMPUTED_VALUE"""),"MN")</f>
        <v>MN</v>
      </c>
      <c r="E30" s="54" t="str">
        <f ca="1">IFERROR(__xludf.DUMMYFUNCTION("""COMPUTED_VALUE"""),"Bình Chánh")</f>
        <v>Bình Chánh</v>
      </c>
      <c r="F30" s="54">
        <f ca="1">IFERROR(__xludf.DUMMYFUNCTION("""COMPUTED_VALUE"""),29)</f>
        <v>29</v>
      </c>
      <c r="G30" s="51" t="str">
        <f t="shared" ca="1" si="0"/>
        <v/>
      </c>
      <c r="H30" s="54">
        <f ca="1">IFERROR(__xludf.DUMMYFUNCTION("""COMPUTED_VALUE"""),29)</f>
        <v>29</v>
      </c>
      <c r="I30" s="51" t="str">
        <f t="shared" ca="1" si="1"/>
        <v/>
      </c>
      <c r="J30" s="54">
        <f ca="1">IFERROR(__xludf.DUMMYFUNCTION("""COMPUTED_VALUE"""),29)</f>
        <v>29</v>
      </c>
      <c r="K30" s="51" t="str">
        <f t="shared" ca="1" si="2"/>
        <v/>
      </c>
      <c r="L30" s="54">
        <f ca="1">IFERROR(__xludf.DUMMYFUNCTION("""COMPUTED_VALUE"""),29)</f>
        <v>29</v>
      </c>
      <c r="M30" s="51" t="str">
        <f t="shared" ca="1" si="3"/>
        <v/>
      </c>
      <c r="N30" s="54">
        <f ca="1">IFERROR(__xludf.DUMMYFUNCTION("""COMPUTED_VALUE"""),1)</f>
        <v>1</v>
      </c>
      <c r="O30" s="54">
        <f ca="1">IFERROR(__xludf.DUMMYFUNCTION("""COMPUTED_VALUE"""),100)</f>
        <v>100</v>
      </c>
      <c r="P30" s="51">
        <f t="shared" ca="1" si="4"/>
        <v>100</v>
      </c>
      <c r="Q30" s="54">
        <f ca="1">IFERROR(__xludf.DUMMYFUNCTION("""COMPUTED_VALUE"""),8)</f>
        <v>8</v>
      </c>
      <c r="R30" s="51">
        <f t="shared" ca="1" si="5"/>
        <v>8</v>
      </c>
      <c r="S30" s="54">
        <f ca="1">IFERROR(__xludf.DUMMYFUNCTION("""COMPUTED_VALUE"""),11)</f>
        <v>11</v>
      </c>
      <c r="T30" s="53"/>
      <c r="U30" s="51">
        <f t="shared" ca="1" si="6"/>
        <v>0</v>
      </c>
      <c r="V30" s="53"/>
      <c r="W30" s="51">
        <f t="shared" ca="1" si="7"/>
        <v>0</v>
      </c>
      <c r="X30" s="53"/>
      <c r="Y30" s="51">
        <f t="shared" ca="1" si="8"/>
        <v>0</v>
      </c>
      <c r="Z30" s="2"/>
      <c r="AA30" s="2"/>
      <c r="AB30" s="2"/>
      <c r="AC30" s="2"/>
      <c r="AD30" s="2"/>
      <c r="AE30" s="2"/>
    </row>
    <row r="31" spans="1:31" ht="12.75" x14ac:dyDescent="0.2">
      <c r="A31" s="53">
        <f ca="1">IFERROR(__xludf.DUMMYFUNCTION("""COMPUTED_VALUE"""),25)</f>
        <v>25</v>
      </c>
      <c r="B31" s="53" t="str">
        <f ca="1">IFERROR(__xludf.DUMMYFUNCTION("""COMPUTED_VALUE"""),"MN Hoa Thiên Lý 1")</f>
        <v>MN Hoa Thiên Lý 1</v>
      </c>
      <c r="C31" s="53" t="str">
        <f ca="1">IFERROR(__xludf.DUMMYFUNCTION("""COMPUTED_VALUE"""),"Vĩnh Lộc B")</f>
        <v>Vĩnh Lộc B</v>
      </c>
      <c r="D31" s="53" t="str">
        <f ca="1">IFERROR(__xludf.DUMMYFUNCTION("""COMPUTED_VALUE"""),"MN")</f>
        <v>MN</v>
      </c>
      <c r="E31" s="54" t="str">
        <f ca="1">IFERROR(__xludf.DUMMYFUNCTION("""COMPUTED_VALUE"""),"Bình Chánh")</f>
        <v>Bình Chánh</v>
      </c>
      <c r="F31" s="54">
        <f ca="1">IFERROR(__xludf.DUMMYFUNCTION("""COMPUTED_VALUE"""),35)</f>
        <v>35</v>
      </c>
      <c r="G31" s="51" t="str">
        <f t="shared" ca="1" si="0"/>
        <v/>
      </c>
      <c r="H31" s="54">
        <f ca="1">IFERROR(__xludf.DUMMYFUNCTION("""COMPUTED_VALUE"""),35)</f>
        <v>35</v>
      </c>
      <c r="I31" s="51" t="str">
        <f t="shared" ca="1" si="1"/>
        <v/>
      </c>
      <c r="J31" s="54">
        <f ca="1">IFERROR(__xludf.DUMMYFUNCTION("""COMPUTED_VALUE"""),35)</f>
        <v>35</v>
      </c>
      <c r="K31" s="51" t="str">
        <f t="shared" ca="1" si="2"/>
        <v/>
      </c>
      <c r="L31" s="54">
        <f ca="1">IFERROR(__xludf.DUMMYFUNCTION("""COMPUTED_VALUE"""),35)</f>
        <v>35</v>
      </c>
      <c r="M31" s="51" t="str">
        <f t="shared" ca="1" si="3"/>
        <v/>
      </c>
      <c r="N31" s="54">
        <f ca="1">IFERROR(__xludf.DUMMYFUNCTION("""COMPUTED_VALUE"""),2)</f>
        <v>2</v>
      </c>
      <c r="O31" s="54">
        <f ca="1">IFERROR(__xludf.DUMMYFUNCTION("""COMPUTED_VALUE"""),114)</f>
        <v>114</v>
      </c>
      <c r="P31" s="51">
        <f t="shared" ca="1" si="4"/>
        <v>57</v>
      </c>
      <c r="Q31" s="54">
        <f ca="1">IFERROR(__xludf.DUMMYFUNCTION("""COMPUTED_VALUE"""),17)</f>
        <v>17</v>
      </c>
      <c r="R31" s="51">
        <f t="shared" ca="1" si="5"/>
        <v>8.5</v>
      </c>
      <c r="S31" s="54">
        <f ca="1">IFERROR(__xludf.DUMMYFUNCTION("""COMPUTED_VALUE"""),38)</f>
        <v>38</v>
      </c>
      <c r="T31" s="53"/>
      <c r="U31" s="51">
        <f t="shared" ca="1" si="6"/>
        <v>0</v>
      </c>
      <c r="V31" s="53"/>
      <c r="W31" s="51">
        <f t="shared" ca="1" si="7"/>
        <v>0</v>
      </c>
      <c r="X31" s="53"/>
      <c r="Y31" s="51">
        <f t="shared" ca="1" si="8"/>
        <v>0</v>
      </c>
      <c r="Z31" s="2"/>
      <c r="AA31" s="2"/>
      <c r="AB31" s="2"/>
      <c r="AC31" s="2"/>
      <c r="AD31" s="2"/>
      <c r="AE31" s="2"/>
    </row>
    <row r="32" spans="1:31" ht="12.75" x14ac:dyDescent="0.2">
      <c r="A32" s="53">
        <f ca="1">IFERROR(__xludf.DUMMYFUNCTION("""COMPUTED_VALUE"""),26)</f>
        <v>26</v>
      </c>
      <c r="B32" s="53" t="str">
        <f ca="1">IFERROR(__xludf.DUMMYFUNCTION("""COMPUTED_VALUE"""),"MN Hoa Thiên Lý 2")</f>
        <v>MN Hoa Thiên Lý 2</v>
      </c>
      <c r="C32" s="53" t="str">
        <f ca="1">IFERROR(__xludf.DUMMYFUNCTION("""COMPUTED_VALUE"""),"Vĩnh Lộc B")</f>
        <v>Vĩnh Lộc B</v>
      </c>
      <c r="D32" s="53" t="str">
        <f ca="1">IFERROR(__xludf.DUMMYFUNCTION("""COMPUTED_VALUE"""),"MN")</f>
        <v>MN</v>
      </c>
      <c r="E32" s="54" t="str">
        <f ca="1">IFERROR(__xludf.DUMMYFUNCTION("""COMPUTED_VALUE"""),"Bình Chánh")</f>
        <v>Bình Chánh</v>
      </c>
      <c r="F32" s="54">
        <f ca="1">IFERROR(__xludf.DUMMYFUNCTION("""COMPUTED_VALUE"""),25)</f>
        <v>25</v>
      </c>
      <c r="G32" s="51" t="str">
        <f t="shared" ca="1" si="0"/>
        <v/>
      </c>
      <c r="H32" s="54">
        <f ca="1">IFERROR(__xludf.DUMMYFUNCTION("""COMPUTED_VALUE"""),25)</f>
        <v>25</v>
      </c>
      <c r="I32" s="51" t="str">
        <f t="shared" ca="1" si="1"/>
        <v/>
      </c>
      <c r="J32" s="54">
        <f ca="1">IFERROR(__xludf.DUMMYFUNCTION("""COMPUTED_VALUE"""),25)</f>
        <v>25</v>
      </c>
      <c r="K32" s="51" t="str">
        <f t="shared" ca="1" si="2"/>
        <v/>
      </c>
      <c r="L32" s="54">
        <f ca="1">IFERROR(__xludf.DUMMYFUNCTION("""COMPUTED_VALUE"""),25)</f>
        <v>25</v>
      </c>
      <c r="M32" s="51" t="str">
        <f t="shared" ca="1" si="3"/>
        <v/>
      </c>
      <c r="N32" s="54">
        <f ca="1">IFERROR(__xludf.DUMMYFUNCTION("""COMPUTED_VALUE"""),13)</f>
        <v>13</v>
      </c>
      <c r="O32" s="54">
        <f ca="1">IFERROR(__xludf.DUMMYFUNCTION("""COMPUTED_VALUE"""),60)</f>
        <v>60</v>
      </c>
      <c r="P32" s="51">
        <f t="shared" ca="1" si="4"/>
        <v>4.615384615384615</v>
      </c>
      <c r="Q32" s="54">
        <f ca="1">IFERROR(__xludf.DUMMYFUNCTION("""COMPUTED_VALUE"""),4)</f>
        <v>4</v>
      </c>
      <c r="R32" s="51">
        <f t="shared" ca="1" si="5"/>
        <v>0.30769230769230771</v>
      </c>
      <c r="S32" s="54">
        <f ca="1">IFERROR(__xludf.DUMMYFUNCTION("""COMPUTED_VALUE"""),15)</f>
        <v>15</v>
      </c>
      <c r="T32" s="53"/>
      <c r="U32" s="51">
        <f t="shared" ca="1" si="6"/>
        <v>0</v>
      </c>
      <c r="V32" s="53"/>
      <c r="W32" s="51">
        <f t="shared" ca="1" si="7"/>
        <v>0</v>
      </c>
      <c r="X32" s="53"/>
      <c r="Y32" s="51">
        <f t="shared" ca="1" si="8"/>
        <v>0</v>
      </c>
      <c r="Z32" s="2"/>
      <c r="AA32" s="2"/>
      <c r="AB32" s="2"/>
      <c r="AC32" s="2"/>
      <c r="AD32" s="2"/>
      <c r="AE32" s="2"/>
    </row>
    <row r="33" spans="1:31" ht="12.75" x14ac:dyDescent="0.2">
      <c r="A33" s="53">
        <f ca="1">IFERROR(__xludf.DUMMYFUNCTION("""COMPUTED_VALUE"""),27)</f>
        <v>27</v>
      </c>
      <c r="B33" s="53" t="str">
        <f ca="1">IFERROR(__xludf.DUMMYFUNCTION("""COMPUTED_VALUE"""),"MN 30-4")</f>
        <v>MN 30-4</v>
      </c>
      <c r="C33" s="53" t="str">
        <f ca="1">IFERROR(__xludf.DUMMYFUNCTION("""COMPUTED_VALUE"""),"Vĩnh Lộc B")</f>
        <v>Vĩnh Lộc B</v>
      </c>
      <c r="D33" s="53" t="str">
        <f ca="1">IFERROR(__xludf.DUMMYFUNCTION("""COMPUTED_VALUE"""),"MN")</f>
        <v>MN</v>
      </c>
      <c r="E33" s="54" t="str">
        <f ca="1">IFERROR(__xludf.DUMMYFUNCTION("""COMPUTED_VALUE"""),"Bình Chánh")</f>
        <v>Bình Chánh</v>
      </c>
      <c r="F33" s="54">
        <f ca="1">IFERROR(__xludf.DUMMYFUNCTION("""COMPUTED_VALUE"""),30)</f>
        <v>30</v>
      </c>
      <c r="G33" s="51" t="str">
        <f t="shared" ca="1" si="0"/>
        <v/>
      </c>
      <c r="H33" s="54">
        <f ca="1">IFERROR(__xludf.DUMMYFUNCTION("""COMPUTED_VALUE"""),30)</f>
        <v>30</v>
      </c>
      <c r="I33" s="51" t="str">
        <f t="shared" ca="1" si="1"/>
        <v/>
      </c>
      <c r="J33" s="54">
        <f ca="1">IFERROR(__xludf.DUMMYFUNCTION("""COMPUTED_VALUE"""),30)</f>
        <v>30</v>
      </c>
      <c r="K33" s="51" t="str">
        <f t="shared" ca="1" si="2"/>
        <v/>
      </c>
      <c r="L33" s="54">
        <f ca="1">IFERROR(__xludf.DUMMYFUNCTION("""COMPUTED_VALUE"""),30)</f>
        <v>30</v>
      </c>
      <c r="M33" s="51" t="str">
        <f t="shared" ca="1" si="3"/>
        <v/>
      </c>
      <c r="N33" s="54">
        <f ca="1">IFERROR(__xludf.DUMMYFUNCTION("""COMPUTED_VALUE"""),3)</f>
        <v>3</v>
      </c>
      <c r="O33" s="54">
        <f ca="1">IFERROR(__xludf.DUMMYFUNCTION("""COMPUTED_VALUE"""),112)</f>
        <v>112</v>
      </c>
      <c r="P33" s="51">
        <f t="shared" ca="1" si="4"/>
        <v>37.333333333333336</v>
      </c>
      <c r="Q33" s="54">
        <f ca="1">IFERROR(__xludf.DUMMYFUNCTION("""COMPUTED_VALUE"""),11)</f>
        <v>11</v>
      </c>
      <c r="R33" s="51">
        <f t="shared" ca="1" si="5"/>
        <v>3.6666666666666665</v>
      </c>
      <c r="S33" s="54">
        <f ca="1">IFERROR(__xludf.DUMMYFUNCTION("""COMPUTED_VALUE"""),0)</f>
        <v>0</v>
      </c>
      <c r="T33" s="53"/>
      <c r="U33" s="51" t="str">
        <f t="shared" ca="1" si="6"/>
        <v/>
      </c>
      <c r="V33" s="53"/>
      <c r="W33" s="51" t="str">
        <f t="shared" ca="1" si="7"/>
        <v/>
      </c>
      <c r="X33" s="53"/>
      <c r="Y33" s="51" t="str">
        <f t="shared" ca="1" si="8"/>
        <v/>
      </c>
      <c r="Z33" s="2"/>
      <c r="AA33" s="2"/>
      <c r="AB33" s="2"/>
      <c r="AC33" s="2"/>
      <c r="AD33" s="2"/>
      <c r="AE33" s="2"/>
    </row>
    <row r="34" spans="1:31" ht="12.75" x14ac:dyDescent="0.2">
      <c r="A34" s="53">
        <f ca="1">IFERROR(__xludf.DUMMYFUNCTION("""COMPUTED_VALUE"""),28)</f>
        <v>28</v>
      </c>
      <c r="B34" s="53" t="str">
        <f ca="1">IFERROR(__xludf.DUMMYFUNCTION("""COMPUTED_VALUE"""),"MN Quỳnh Hương")</f>
        <v>MN Quỳnh Hương</v>
      </c>
      <c r="C34" s="53" t="str">
        <f ca="1">IFERROR(__xludf.DUMMYFUNCTION("""COMPUTED_VALUE"""),"Phạm Văn Hai")</f>
        <v>Phạm Văn Hai</v>
      </c>
      <c r="D34" s="53" t="str">
        <f ca="1">IFERROR(__xludf.DUMMYFUNCTION("""COMPUTED_VALUE"""),"MN")</f>
        <v>MN</v>
      </c>
      <c r="E34" s="54" t="str">
        <f ca="1">IFERROR(__xludf.DUMMYFUNCTION("""COMPUTED_VALUE"""),"Bình Chánh")</f>
        <v>Bình Chánh</v>
      </c>
      <c r="F34" s="54">
        <f ca="1">IFERROR(__xludf.DUMMYFUNCTION("""COMPUTED_VALUE"""),40)</f>
        <v>40</v>
      </c>
      <c r="G34" s="51" t="str">
        <f t="shared" ca="1" si="0"/>
        <v/>
      </c>
      <c r="H34" s="54">
        <f ca="1">IFERROR(__xludf.DUMMYFUNCTION("""COMPUTED_VALUE"""),33)</f>
        <v>33</v>
      </c>
      <c r="I34" s="51" t="str">
        <f t="shared" ca="1" si="1"/>
        <v/>
      </c>
      <c r="J34" s="54">
        <f ca="1">IFERROR(__xludf.DUMMYFUNCTION("""COMPUTED_VALUE"""),33)</f>
        <v>33</v>
      </c>
      <c r="K34" s="51" t="str">
        <f t="shared" ca="1" si="2"/>
        <v/>
      </c>
      <c r="L34" s="54">
        <f ca="1">IFERROR(__xludf.DUMMYFUNCTION("""COMPUTED_VALUE"""),33)</f>
        <v>33</v>
      </c>
      <c r="M34" s="51" t="str">
        <f t="shared" ca="1" si="3"/>
        <v/>
      </c>
      <c r="N34" s="54">
        <f ca="1">IFERROR(__xludf.DUMMYFUNCTION("""COMPUTED_VALUE"""),4)</f>
        <v>4</v>
      </c>
      <c r="O34" s="54">
        <f ca="1">IFERROR(__xludf.DUMMYFUNCTION("""COMPUTED_VALUE"""),57)</f>
        <v>57</v>
      </c>
      <c r="P34" s="51">
        <f t="shared" ca="1" si="4"/>
        <v>14.25</v>
      </c>
      <c r="Q34" s="54">
        <f ca="1">IFERROR(__xludf.DUMMYFUNCTION("""COMPUTED_VALUE"""),14)</f>
        <v>14</v>
      </c>
      <c r="R34" s="51">
        <f t="shared" ca="1" si="5"/>
        <v>3.5</v>
      </c>
      <c r="S34" s="54">
        <f ca="1">IFERROR(__xludf.DUMMYFUNCTION("""COMPUTED_VALUE"""),47)</f>
        <v>47</v>
      </c>
      <c r="T34" s="53"/>
      <c r="U34" s="51">
        <f t="shared" ca="1" si="6"/>
        <v>0</v>
      </c>
      <c r="V34" s="53"/>
      <c r="W34" s="51">
        <f t="shared" ca="1" si="7"/>
        <v>0</v>
      </c>
      <c r="X34" s="53"/>
      <c r="Y34" s="51">
        <f t="shared" ca="1" si="8"/>
        <v>0</v>
      </c>
      <c r="Z34" s="2"/>
      <c r="AA34" s="2"/>
      <c r="AB34" s="2"/>
      <c r="AC34" s="2"/>
      <c r="AD34" s="2"/>
      <c r="AE34" s="2"/>
    </row>
    <row r="35" spans="1:31" ht="12.75" x14ac:dyDescent="0.2">
      <c r="A35" s="53">
        <f ca="1">IFERROR(__xludf.DUMMYFUNCTION("""COMPUTED_VALUE"""),29)</f>
        <v>29</v>
      </c>
      <c r="B35" s="53" t="str">
        <f ca="1">IFERROR(__xludf.DUMMYFUNCTION("""COMPUTED_VALUE"""),"MN Quỳnh Hương 2")</f>
        <v>MN Quỳnh Hương 2</v>
      </c>
      <c r="C35" s="53" t="str">
        <f ca="1">IFERROR(__xludf.DUMMYFUNCTION("""COMPUTED_VALUE"""),"Phạm Văn Hai")</f>
        <v>Phạm Văn Hai</v>
      </c>
      <c r="D35" s="53" t="str">
        <f ca="1">IFERROR(__xludf.DUMMYFUNCTION("""COMPUTED_VALUE"""),"MN")</f>
        <v>MN</v>
      </c>
      <c r="E35" s="54" t="str">
        <f ca="1">IFERROR(__xludf.DUMMYFUNCTION("""COMPUTED_VALUE"""),"Bình Chánh")</f>
        <v>Bình Chánh</v>
      </c>
      <c r="F35" s="54">
        <f ca="1">IFERROR(__xludf.DUMMYFUNCTION("""COMPUTED_VALUE"""),16)</f>
        <v>16</v>
      </c>
      <c r="G35" s="51" t="str">
        <f t="shared" ca="1" si="0"/>
        <v/>
      </c>
      <c r="H35" s="54">
        <f ca="1">IFERROR(__xludf.DUMMYFUNCTION("""COMPUTED_VALUE"""),16)</f>
        <v>16</v>
      </c>
      <c r="I35" s="51" t="str">
        <f t="shared" ca="1" si="1"/>
        <v/>
      </c>
      <c r="J35" s="54">
        <f ca="1">IFERROR(__xludf.DUMMYFUNCTION("""COMPUTED_VALUE"""),16)</f>
        <v>16</v>
      </c>
      <c r="K35" s="51" t="str">
        <f t="shared" ca="1" si="2"/>
        <v/>
      </c>
      <c r="L35" s="54">
        <f ca="1">IFERROR(__xludf.DUMMYFUNCTION("""COMPUTED_VALUE"""),16)</f>
        <v>16</v>
      </c>
      <c r="M35" s="51" t="str">
        <f t="shared" ca="1" si="3"/>
        <v/>
      </c>
      <c r="N35" s="54">
        <f ca="1">IFERROR(__xludf.DUMMYFUNCTION("""COMPUTED_VALUE"""),0)</f>
        <v>0</v>
      </c>
      <c r="O35" s="54">
        <f ca="1">IFERROR(__xludf.DUMMYFUNCTION("""COMPUTED_VALUE"""),51)</f>
        <v>51</v>
      </c>
      <c r="P35" s="51" t="str">
        <f t="shared" ca="1" si="4"/>
        <v/>
      </c>
      <c r="Q35" s="54">
        <f ca="1">IFERROR(__xludf.DUMMYFUNCTION("""COMPUTED_VALUE"""),11)</f>
        <v>11</v>
      </c>
      <c r="R35" s="51" t="str">
        <f t="shared" ca="1" si="5"/>
        <v/>
      </c>
      <c r="S35" s="54">
        <f ca="1">IFERROR(__xludf.DUMMYFUNCTION("""COMPUTED_VALUE"""),25)</f>
        <v>25</v>
      </c>
      <c r="T35" s="53"/>
      <c r="U35" s="51">
        <f t="shared" ca="1" si="6"/>
        <v>0</v>
      </c>
      <c r="V35" s="53"/>
      <c r="W35" s="51">
        <f t="shared" ca="1" si="7"/>
        <v>0</v>
      </c>
      <c r="X35" s="53"/>
      <c r="Y35" s="51">
        <f t="shared" ca="1" si="8"/>
        <v>0</v>
      </c>
      <c r="Z35" s="2"/>
      <c r="AA35" s="2"/>
      <c r="AB35" s="2"/>
      <c r="AC35" s="2"/>
      <c r="AD35" s="2"/>
      <c r="AE35" s="2"/>
    </row>
    <row r="36" spans="1:31" ht="12.75" x14ac:dyDescent="0.2">
      <c r="A36" s="53">
        <f ca="1">IFERROR(__xludf.DUMMYFUNCTION("""COMPUTED_VALUE"""),30)</f>
        <v>30</v>
      </c>
      <c r="B36" s="53"/>
      <c r="C36" s="53"/>
      <c r="D36" s="53" t="str">
        <f ca="1">IFERROR(__xludf.DUMMYFUNCTION("""COMPUTED_VALUE"""),"MN")</f>
        <v>MN</v>
      </c>
      <c r="E36" s="54" t="str">
        <f ca="1">IFERROR(__xludf.DUMMYFUNCTION("""COMPUTED_VALUE"""),"Bình Chánh")</f>
        <v>Bình Chánh</v>
      </c>
      <c r="F36" s="54">
        <f ca="1">IFERROR(__xludf.DUMMYFUNCTION("""COMPUTED_VALUE"""),28)</f>
        <v>28</v>
      </c>
      <c r="G36" s="51" t="str">
        <f t="shared" ca="1" si="0"/>
        <v/>
      </c>
      <c r="H36" s="54">
        <f ca="1">IFERROR(__xludf.DUMMYFUNCTION("""COMPUTED_VALUE"""),28)</f>
        <v>28</v>
      </c>
      <c r="I36" s="51" t="str">
        <f t="shared" ca="1" si="1"/>
        <v/>
      </c>
      <c r="J36" s="54">
        <f ca="1">IFERROR(__xludf.DUMMYFUNCTION("""COMPUTED_VALUE"""),28)</f>
        <v>28</v>
      </c>
      <c r="K36" s="51" t="str">
        <f t="shared" ca="1" si="2"/>
        <v/>
      </c>
      <c r="L36" s="54">
        <f ca="1">IFERROR(__xludf.DUMMYFUNCTION("""COMPUTED_VALUE"""),28)</f>
        <v>28</v>
      </c>
      <c r="M36" s="51" t="str">
        <f t="shared" ca="1" si="3"/>
        <v/>
      </c>
      <c r="N36" s="54">
        <f ca="1">IFERROR(__xludf.DUMMYFUNCTION("""COMPUTED_VALUE"""),0)</f>
        <v>0</v>
      </c>
      <c r="O36" s="54">
        <f ca="1">IFERROR(__xludf.DUMMYFUNCTION("""COMPUTED_VALUE"""),65)</f>
        <v>65</v>
      </c>
      <c r="P36" s="51" t="str">
        <f t="shared" ca="1" si="4"/>
        <v/>
      </c>
      <c r="Q36" s="54">
        <f ca="1">IFERROR(__xludf.DUMMYFUNCTION("""COMPUTED_VALUE"""),43)</f>
        <v>43</v>
      </c>
      <c r="R36" s="51" t="str">
        <f t="shared" ca="1" si="5"/>
        <v/>
      </c>
      <c r="S36" s="54">
        <f ca="1">IFERROR(__xludf.DUMMYFUNCTION("""COMPUTED_VALUE"""),25)</f>
        <v>25</v>
      </c>
      <c r="T36" s="53"/>
      <c r="U36" s="51">
        <f t="shared" ca="1" si="6"/>
        <v>0</v>
      </c>
      <c r="V36" s="53"/>
      <c r="W36" s="51">
        <f t="shared" ca="1" si="7"/>
        <v>0</v>
      </c>
      <c r="X36" s="53"/>
      <c r="Y36" s="51">
        <f t="shared" ca="1" si="8"/>
        <v>0</v>
      </c>
      <c r="Z36" s="2"/>
      <c r="AA36" s="2"/>
      <c r="AB36" s="2"/>
      <c r="AC36" s="2"/>
      <c r="AD36" s="2"/>
      <c r="AE36" s="2"/>
    </row>
    <row r="37" spans="1:31" ht="12.75" x14ac:dyDescent="0.2">
      <c r="A37" s="55" t="str">
        <f ca="1">IFERROR(__xludf.DUMMYFUNCTION("""COMPUTED_VALUE"""),"Cộng công lập")</f>
        <v>Cộng công lập</v>
      </c>
      <c r="B37" s="53"/>
      <c r="C37" s="53"/>
      <c r="D37" s="53"/>
      <c r="E37" s="53"/>
      <c r="F37" s="54">
        <f ca="1">IFERROR(__xludf.DUMMYFUNCTION("""COMPUTED_VALUE"""),1084)</f>
        <v>1084</v>
      </c>
      <c r="G37" s="51" t="str">
        <f t="shared" ca="1" si="0"/>
        <v/>
      </c>
      <c r="H37" s="54">
        <f ca="1">IFERROR(__xludf.DUMMYFUNCTION("""COMPUTED_VALUE"""),1071)</f>
        <v>1071</v>
      </c>
      <c r="I37" s="51" t="str">
        <f t="shared" ca="1" si="1"/>
        <v/>
      </c>
      <c r="J37" s="54">
        <f ca="1">IFERROR(__xludf.DUMMYFUNCTION("""COMPUTED_VALUE"""),1071)</f>
        <v>1071</v>
      </c>
      <c r="K37" s="51" t="str">
        <f t="shared" ca="1" si="2"/>
        <v/>
      </c>
      <c r="L37" s="54">
        <f ca="1">IFERROR(__xludf.DUMMYFUNCTION("""COMPUTED_VALUE"""),1067)</f>
        <v>1067</v>
      </c>
      <c r="M37" s="51" t="str">
        <f t="shared" ca="1" si="3"/>
        <v/>
      </c>
      <c r="N37" s="54">
        <f ca="1">IFERROR(__xludf.DUMMYFUNCTION("""COMPUTED_VALUE"""),53)</f>
        <v>53</v>
      </c>
      <c r="O37" s="54">
        <f ca="1">IFERROR(__xludf.DUMMYFUNCTION("""COMPUTED_VALUE"""),3374)</f>
        <v>3374</v>
      </c>
      <c r="P37" s="51">
        <f t="shared" ca="1" si="4"/>
        <v>63.660377358490564</v>
      </c>
      <c r="Q37" s="54">
        <f ca="1">IFERROR(__xludf.DUMMYFUNCTION("""COMPUTED_VALUE"""),595)</f>
        <v>595</v>
      </c>
      <c r="R37" s="51">
        <f t="shared" ca="1" si="5"/>
        <v>11.226415094339623</v>
      </c>
      <c r="S37" s="54">
        <f ca="1">IFERROR(__xludf.DUMMYFUNCTION("""COMPUTED_VALUE"""),937)</f>
        <v>937</v>
      </c>
      <c r="T37" s="53"/>
      <c r="U37" s="51">
        <f t="shared" ca="1" si="6"/>
        <v>0</v>
      </c>
      <c r="V37" s="53"/>
      <c r="W37" s="51">
        <f t="shared" ca="1" si="7"/>
        <v>0</v>
      </c>
      <c r="X37" s="53"/>
      <c r="Y37" s="51">
        <f t="shared" ca="1" si="8"/>
        <v>0</v>
      </c>
      <c r="Z37" s="2"/>
      <c r="AA37" s="2"/>
      <c r="AB37" s="2"/>
      <c r="AC37" s="2"/>
      <c r="AD37" s="2"/>
      <c r="AE37" s="2"/>
    </row>
    <row r="38" spans="1:31" ht="12.75" x14ac:dyDescent="0.2">
      <c r="A38" s="53">
        <f ca="1">IFERROR(__xludf.DUMMYFUNCTION("""COMPUTED_VALUE"""),1)</f>
        <v>1</v>
      </c>
      <c r="B38" s="53" t="str">
        <f ca="1">IFERROR(__xludf.DUMMYFUNCTION("""COMPUTED_VALUE"""),"MN Nam Mỹ")</f>
        <v>MN Nam Mỹ</v>
      </c>
      <c r="C38" s="53" t="str">
        <f ca="1">IFERROR(__xludf.DUMMYFUNCTION("""COMPUTED_VALUE"""),"Bình Hưng")</f>
        <v>Bình Hưng</v>
      </c>
      <c r="D38" s="53" t="str">
        <f ca="1">IFERROR(__xludf.DUMMYFUNCTION("""COMPUTED_VALUE"""),"MN")</f>
        <v>MN</v>
      </c>
      <c r="E38" s="54" t="str">
        <f ca="1">IFERROR(__xludf.DUMMYFUNCTION("""COMPUTED_VALUE"""),"Bình Chánh")</f>
        <v>Bình Chánh</v>
      </c>
      <c r="F38" s="54">
        <f ca="1">IFERROR(__xludf.DUMMYFUNCTION("""COMPUTED_VALUE"""),15)</f>
        <v>15</v>
      </c>
      <c r="G38" s="51" t="str">
        <f t="shared" ca="1" si="0"/>
        <v/>
      </c>
      <c r="H38" s="54">
        <f ca="1">IFERROR(__xludf.DUMMYFUNCTION("""COMPUTED_VALUE"""),15)</f>
        <v>15</v>
      </c>
      <c r="I38" s="51" t="str">
        <f t="shared" ca="1" si="1"/>
        <v/>
      </c>
      <c r="J38" s="54">
        <f ca="1">IFERROR(__xludf.DUMMYFUNCTION("""COMPUTED_VALUE"""),15)</f>
        <v>15</v>
      </c>
      <c r="K38" s="51" t="str">
        <f t="shared" ca="1" si="2"/>
        <v/>
      </c>
      <c r="L38" s="54">
        <f ca="1">IFERROR(__xludf.DUMMYFUNCTION("""COMPUTED_VALUE"""),7)</f>
        <v>7</v>
      </c>
      <c r="M38" s="51" t="str">
        <f t="shared" ca="1" si="3"/>
        <v/>
      </c>
      <c r="N38" s="54">
        <f ca="1">IFERROR(__xludf.DUMMYFUNCTION("""COMPUTED_VALUE"""),0)</f>
        <v>0</v>
      </c>
      <c r="O38" s="54">
        <f ca="1">IFERROR(__xludf.DUMMYFUNCTION("""COMPUTED_VALUE"""),14)</f>
        <v>14</v>
      </c>
      <c r="P38" s="51" t="str">
        <f t="shared" ca="1" si="4"/>
        <v/>
      </c>
      <c r="Q38" s="54">
        <f ca="1">IFERROR(__xludf.DUMMYFUNCTION("""COMPUTED_VALUE"""),0)</f>
        <v>0</v>
      </c>
      <c r="R38" s="51" t="str">
        <f t="shared" ca="1" si="5"/>
        <v/>
      </c>
      <c r="S38" s="54">
        <f ca="1">IFERROR(__xludf.DUMMYFUNCTION("""COMPUTED_VALUE"""),0)</f>
        <v>0</v>
      </c>
      <c r="T38" s="53"/>
      <c r="U38" s="51" t="str">
        <f t="shared" ca="1" si="6"/>
        <v/>
      </c>
      <c r="V38" s="53"/>
      <c r="W38" s="51" t="str">
        <f t="shared" ca="1" si="7"/>
        <v/>
      </c>
      <c r="X38" s="53"/>
      <c r="Y38" s="51" t="str">
        <f t="shared" ca="1" si="8"/>
        <v/>
      </c>
      <c r="Z38" s="2"/>
      <c r="AA38" s="2"/>
      <c r="AB38" s="2"/>
      <c r="AC38" s="2"/>
      <c r="AD38" s="2"/>
      <c r="AE38" s="2"/>
    </row>
    <row r="39" spans="1:31" ht="12.75" x14ac:dyDescent="0.2">
      <c r="A39" s="53">
        <f ca="1">IFERROR(__xludf.DUMMYFUNCTION("""COMPUTED_VALUE"""),2)</f>
        <v>2</v>
      </c>
      <c r="B39" s="53" t="str">
        <f ca="1">IFERROR(__xludf.DUMMYFUNCTION("""COMPUTED_VALUE"""),"MN Bé Yêu")</f>
        <v>MN Bé Yêu</v>
      </c>
      <c r="C39" s="53" t="str">
        <f ca="1">IFERROR(__xludf.DUMMYFUNCTION("""COMPUTED_VALUE"""),"Bình Hưng")</f>
        <v>Bình Hưng</v>
      </c>
      <c r="D39" s="53" t="str">
        <f ca="1">IFERROR(__xludf.DUMMYFUNCTION("""COMPUTED_VALUE"""),"MN")</f>
        <v>MN</v>
      </c>
      <c r="E39" s="54" t="str">
        <f ca="1">IFERROR(__xludf.DUMMYFUNCTION("""COMPUTED_VALUE"""),"Bình Chánh")</f>
        <v>Bình Chánh</v>
      </c>
      <c r="F39" s="54">
        <f ca="1">IFERROR(__xludf.DUMMYFUNCTION("""COMPUTED_VALUE"""),46)</f>
        <v>46</v>
      </c>
      <c r="G39" s="51" t="str">
        <f t="shared" ca="1" si="0"/>
        <v/>
      </c>
      <c r="H39" s="54">
        <f ca="1">IFERROR(__xludf.DUMMYFUNCTION("""COMPUTED_VALUE"""),46)</f>
        <v>46</v>
      </c>
      <c r="I39" s="51" t="str">
        <f t="shared" ca="1" si="1"/>
        <v/>
      </c>
      <c r="J39" s="54">
        <f ca="1">IFERROR(__xludf.DUMMYFUNCTION("""COMPUTED_VALUE"""),46)</f>
        <v>46</v>
      </c>
      <c r="K39" s="51" t="str">
        <f t="shared" ca="1" si="2"/>
        <v/>
      </c>
      <c r="L39" s="54">
        <f ca="1">IFERROR(__xludf.DUMMYFUNCTION("""COMPUTED_VALUE"""),45)</f>
        <v>45</v>
      </c>
      <c r="M39" s="51" t="str">
        <f t="shared" ca="1" si="3"/>
        <v/>
      </c>
      <c r="N39" s="54">
        <f ca="1">IFERROR(__xludf.DUMMYFUNCTION("""COMPUTED_VALUE"""),0)</f>
        <v>0</v>
      </c>
      <c r="O39" s="54">
        <f ca="1">IFERROR(__xludf.DUMMYFUNCTION("""COMPUTED_VALUE"""),49)</f>
        <v>49</v>
      </c>
      <c r="P39" s="51" t="str">
        <f t="shared" ca="1" si="4"/>
        <v/>
      </c>
      <c r="Q39" s="54">
        <f ca="1">IFERROR(__xludf.DUMMYFUNCTION("""COMPUTED_VALUE"""),0)</f>
        <v>0</v>
      </c>
      <c r="R39" s="51" t="str">
        <f t="shared" ca="1" si="5"/>
        <v/>
      </c>
      <c r="S39" s="54">
        <f ca="1">IFERROR(__xludf.DUMMYFUNCTION("""COMPUTED_VALUE"""),0)</f>
        <v>0</v>
      </c>
      <c r="T39" s="53"/>
      <c r="U39" s="51" t="str">
        <f t="shared" ca="1" si="6"/>
        <v/>
      </c>
      <c r="V39" s="53"/>
      <c r="W39" s="51" t="str">
        <f t="shared" ca="1" si="7"/>
        <v/>
      </c>
      <c r="X39" s="53"/>
      <c r="Y39" s="51" t="str">
        <f t="shared" ca="1" si="8"/>
        <v/>
      </c>
      <c r="Z39" s="2"/>
      <c r="AA39" s="2"/>
      <c r="AB39" s="2"/>
      <c r="AC39" s="2"/>
      <c r="AD39" s="2"/>
      <c r="AE39" s="2"/>
    </row>
    <row r="40" spans="1:31" ht="12.75" x14ac:dyDescent="0.2">
      <c r="A40" s="53">
        <f ca="1">IFERROR(__xludf.DUMMYFUNCTION("""COMPUTED_VALUE"""),3)</f>
        <v>3</v>
      </c>
      <c r="B40" s="53" t="str">
        <f ca="1">IFERROR(__xludf.DUMMYFUNCTION("""COMPUTED_VALUE"""),"MN Trung Sơn")</f>
        <v>MN Trung Sơn</v>
      </c>
      <c r="C40" s="53" t="str">
        <f ca="1">IFERROR(__xludf.DUMMYFUNCTION("""COMPUTED_VALUE"""),"Bình Hưng")</f>
        <v>Bình Hưng</v>
      </c>
      <c r="D40" s="53" t="str">
        <f ca="1">IFERROR(__xludf.DUMMYFUNCTION("""COMPUTED_VALUE"""),"MN")</f>
        <v>MN</v>
      </c>
      <c r="E40" s="54" t="str">
        <f ca="1">IFERROR(__xludf.DUMMYFUNCTION("""COMPUTED_VALUE"""),"Bình Chánh")</f>
        <v>Bình Chánh</v>
      </c>
      <c r="F40" s="54">
        <f ca="1">IFERROR(__xludf.DUMMYFUNCTION("""COMPUTED_VALUE"""),32)</f>
        <v>32</v>
      </c>
      <c r="G40" s="51" t="str">
        <f t="shared" ca="1" si="0"/>
        <v/>
      </c>
      <c r="H40" s="54">
        <f ca="1">IFERROR(__xludf.DUMMYFUNCTION("""COMPUTED_VALUE"""),32)</f>
        <v>32</v>
      </c>
      <c r="I40" s="51" t="str">
        <f t="shared" ca="1" si="1"/>
        <v/>
      </c>
      <c r="J40" s="54">
        <f ca="1">IFERROR(__xludf.DUMMYFUNCTION("""COMPUTED_VALUE"""),32)</f>
        <v>32</v>
      </c>
      <c r="K40" s="51" t="str">
        <f t="shared" ca="1" si="2"/>
        <v/>
      </c>
      <c r="L40" s="54">
        <f ca="1">IFERROR(__xludf.DUMMYFUNCTION("""COMPUTED_VALUE"""),32)</f>
        <v>32</v>
      </c>
      <c r="M40" s="51" t="str">
        <f t="shared" ca="1" si="3"/>
        <v/>
      </c>
      <c r="N40" s="54">
        <f ca="1">IFERROR(__xludf.DUMMYFUNCTION("""COMPUTED_VALUE"""),0)</f>
        <v>0</v>
      </c>
      <c r="O40" s="54">
        <f ca="1">IFERROR(__xludf.DUMMYFUNCTION("""COMPUTED_VALUE"""),55)</f>
        <v>55</v>
      </c>
      <c r="P40" s="51" t="str">
        <f t="shared" ca="1" si="4"/>
        <v/>
      </c>
      <c r="Q40" s="54">
        <f ca="1">IFERROR(__xludf.DUMMYFUNCTION("""COMPUTED_VALUE"""),0)</f>
        <v>0</v>
      </c>
      <c r="R40" s="51" t="str">
        <f t="shared" ca="1" si="5"/>
        <v/>
      </c>
      <c r="S40" s="54">
        <f ca="1">IFERROR(__xludf.DUMMYFUNCTION("""COMPUTED_VALUE"""),0)</f>
        <v>0</v>
      </c>
      <c r="T40" s="53"/>
      <c r="U40" s="51" t="str">
        <f t="shared" ca="1" si="6"/>
        <v/>
      </c>
      <c r="V40" s="53"/>
      <c r="W40" s="51" t="str">
        <f t="shared" ca="1" si="7"/>
        <v/>
      </c>
      <c r="X40" s="53"/>
      <c r="Y40" s="51" t="str">
        <f t="shared" ca="1" si="8"/>
        <v/>
      </c>
      <c r="Z40" s="2"/>
      <c r="AA40" s="2"/>
      <c r="AB40" s="2"/>
      <c r="AC40" s="2"/>
      <c r="AD40" s="2"/>
      <c r="AE40" s="2"/>
    </row>
    <row r="41" spans="1:31" ht="12.75" x14ac:dyDescent="0.2">
      <c r="A41" s="53">
        <f ca="1">IFERROR(__xludf.DUMMYFUNCTION("""COMPUTED_VALUE"""),4)</f>
        <v>4</v>
      </c>
      <c r="B41" s="53" t="str">
        <f ca="1">IFERROR(__xludf.DUMMYFUNCTION("""COMPUTED_VALUE"""),"MN Vườn Trẻ Thơ")</f>
        <v>MN Vườn Trẻ Thơ</v>
      </c>
      <c r="C41" s="53" t="str">
        <f ca="1">IFERROR(__xludf.DUMMYFUNCTION("""COMPUTED_VALUE"""),"Bình Hưng")</f>
        <v>Bình Hưng</v>
      </c>
      <c r="D41" s="53" t="str">
        <f ca="1">IFERROR(__xludf.DUMMYFUNCTION("""COMPUTED_VALUE"""),"MN")</f>
        <v>MN</v>
      </c>
      <c r="E41" s="54" t="str">
        <f ca="1">IFERROR(__xludf.DUMMYFUNCTION("""COMPUTED_VALUE"""),"Bình Chánh")</f>
        <v>Bình Chánh</v>
      </c>
      <c r="F41" s="54">
        <f ca="1">IFERROR(__xludf.DUMMYFUNCTION("""COMPUTED_VALUE"""),48)</f>
        <v>48</v>
      </c>
      <c r="G41" s="51" t="str">
        <f t="shared" ca="1" si="0"/>
        <v/>
      </c>
      <c r="H41" s="54">
        <f ca="1">IFERROR(__xludf.DUMMYFUNCTION("""COMPUTED_VALUE"""),48)</f>
        <v>48</v>
      </c>
      <c r="I41" s="51" t="str">
        <f t="shared" ca="1" si="1"/>
        <v/>
      </c>
      <c r="J41" s="54">
        <f ca="1">IFERROR(__xludf.DUMMYFUNCTION("""COMPUTED_VALUE"""),48)</f>
        <v>48</v>
      </c>
      <c r="K41" s="51" t="str">
        <f t="shared" ca="1" si="2"/>
        <v/>
      </c>
      <c r="L41" s="54">
        <f ca="1">IFERROR(__xludf.DUMMYFUNCTION("""COMPUTED_VALUE"""),48)</f>
        <v>48</v>
      </c>
      <c r="M41" s="51" t="str">
        <f t="shared" ca="1" si="3"/>
        <v/>
      </c>
      <c r="N41" s="54">
        <f ca="1">IFERROR(__xludf.DUMMYFUNCTION("""COMPUTED_VALUE"""),15)</f>
        <v>15</v>
      </c>
      <c r="O41" s="54">
        <f ca="1">IFERROR(__xludf.DUMMYFUNCTION("""COMPUTED_VALUE"""),73)</f>
        <v>73</v>
      </c>
      <c r="P41" s="51">
        <f t="shared" ca="1" si="4"/>
        <v>4.8666666666666663</v>
      </c>
      <c r="Q41" s="54">
        <f ca="1">IFERROR(__xludf.DUMMYFUNCTION("""COMPUTED_VALUE"""),5)</f>
        <v>5</v>
      </c>
      <c r="R41" s="51">
        <f t="shared" ca="1" si="5"/>
        <v>0.33333333333333331</v>
      </c>
      <c r="S41" s="54">
        <f ca="1">IFERROR(__xludf.DUMMYFUNCTION("""COMPUTED_VALUE"""),5)</f>
        <v>5</v>
      </c>
      <c r="T41" s="53"/>
      <c r="U41" s="51">
        <f t="shared" ca="1" si="6"/>
        <v>0</v>
      </c>
      <c r="V41" s="53"/>
      <c r="W41" s="51">
        <f t="shared" ca="1" si="7"/>
        <v>0</v>
      </c>
      <c r="X41" s="53"/>
      <c r="Y41" s="51">
        <f t="shared" ca="1" si="8"/>
        <v>0</v>
      </c>
      <c r="Z41" s="2"/>
      <c r="AA41" s="2"/>
      <c r="AB41" s="2"/>
      <c r="AC41" s="2"/>
      <c r="AD41" s="2"/>
      <c r="AE41" s="2"/>
    </row>
    <row r="42" spans="1:31" ht="12.75" x14ac:dyDescent="0.2">
      <c r="A42" s="53">
        <f ca="1">IFERROR(__xludf.DUMMYFUNCTION("""COMPUTED_VALUE"""),5)</f>
        <v>5</v>
      </c>
      <c r="B42" s="53" t="str">
        <f ca="1">IFERROR(__xludf.DUMMYFUNCTION("""COMPUTED_VALUE"""),"MN Tuổi Thơ Kỳ Diệu")</f>
        <v>MN Tuổi Thơ Kỳ Diệu</v>
      </c>
      <c r="C42" s="53" t="str">
        <f ca="1">IFERROR(__xludf.DUMMYFUNCTION("""COMPUTED_VALUE"""),"Bình Hưng")</f>
        <v>Bình Hưng</v>
      </c>
      <c r="D42" s="53" t="str">
        <f ca="1">IFERROR(__xludf.DUMMYFUNCTION("""COMPUTED_VALUE"""),"MN")</f>
        <v>MN</v>
      </c>
      <c r="E42" s="54" t="str">
        <f ca="1">IFERROR(__xludf.DUMMYFUNCTION("""COMPUTED_VALUE"""),"Bình Chánh")</f>
        <v>Bình Chánh</v>
      </c>
      <c r="F42" s="54">
        <f ca="1">IFERROR(__xludf.DUMMYFUNCTION("""COMPUTED_VALUE"""),18)</f>
        <v>18</v>
      </c>
      <c r="G42" s="51" t="str">
        <f t="shared" ca="1" si="0"/>
        <v/>
      </c>
      <c r="H42" s="54">
        <f ca="1">IFERROR(__xludf.DUMMYFUNCTION("""COMPUTED_VALUE"""),18)</f>
        <v>18</v>
      </c>
      <c r="I42" s="51" t="str">
        <f t="shared" ca="1" si="1"/>
        <v/>
      </c>
      <c r="J42" s="54">
        <f ca="1">IFERROR(__xludf.DUMMYFUNCTION("""COMPUTED_VALUE"""),18)</f>
        <v>18</v>
      </c>
      <c r="K42" s="51" t="str">
        <f t="shared" ca="1" si="2"/>
        <v/>
      </c>
      <c r="L42" s="54">
        <f ca="1">IFERROR(__xludf.DUMMYFUNCTION("""COMPUTED_VALUE"""),6)</f>
        <v>6</v>
      </c>
      <c r="M42" s="51" t="str">
        <f t="shared" ca="1" si="3"/>
        <v/>
      </c>
      <c r="N42" s="54">
        <f ca="1">IFERROR(__xludf.DUMMYFUNCTION("""COMPUTED_VALUE"""),0)</f>
        <v>0</v>
      </c>
      <c r="O42" s="54">
        <f ca="1">IFERROR(__xludf.DUMMYFUNCTION("""COMPUTED_VALUE"""),0)</f>
        <v>0</v>
      </c>
      <c r="P42" s="51" t="str">
        <f t="shared" ca="1" si="4"/>
        <v/>
      </c>
      <c r="Q42" s="54">
        <f ca="1">IFERROR(__xludf.DUMMYFUNCTION("""COMPUTED_VALUE"""),0)</f>
        <v>0</v>
      </c>
      <c r="R42" s="51" t="str">
        <f t="shared" ca="1" si="5"/>
        <v/>
      </c>
      <c r="S42" s="54">
        <f ca="1">IFERROR(__xludf.DUMMYFUNCTION("""COMPUTED_VALUE"""),0)</f>
        <v>0</v>
      </c>
      <c r="T42" s="53"/>
      <c r="U42" s="51" t="str">
        <f t="shared" ca="1" si="6"/>
        <v/>
      </c>
      <c r="V42" s="53"/>
      <c r="W42" s="51" t="str">
        <f t="shared" ca="1" si="7"/>
        <v/>
      </c>
      <c r="X42" s="53"/>
      <c r="Y42" s="51" t="str">
        <f t="shared" ca="1" si="8"/>
        <v/>
      </c>
      <c r="Z42" s="2"/>
      <c r="AA42" s="2"/>
      <c r="AB42" s="2"/>
      <c r="AC42" s="2"/>
      <c r="AD42" s="2"/>
      <c r="AE42" s="2"/>
    </row>
    <row r="43" spans="1:31" ht="12.75" x14ac:dyDescent="0.2">
      <c r="A43" s="53">
        <f ca="1">IFERROR(__xludf.DUMMYFUNCTION("""COMPUTED_VALUE"""),6)</f>
        <v>6</v>
      </c>
      <c r="B43" s="53" t="str">
        <f ca="1">IFERROR(__xludf.DUMMYFUNCTION("""COMPUTED_VALUE"""),"MN Ngôi Nhà Trẻ Thơ")</f>
        <v>MN Ngôi Nhà Trẻ Thơ</v>
      </c>
      <c r="C43" s="53" t="str">
        <f ca="1">IFERROR(__xludf.DUMMYFUNCTION("""COMPUTED_VALUE"""),"Bình Hưng")</f>
        <v>Bình Hưng</v>
      </c>
      <c r="D43" s="53" t="str">
        <f ca="1">IFERROR(__xludf.DUMMYFUNCTION("""COMPUTED_VALUE"""),"MN")</f>
        <v>MN</v>
      </c>
      <c r="E43" s="54" t="str">
        <f ca="1">IFERROR(__xludf.DUMMYFUNCTION("""COMPUTED_VALUE"""),"Bình Chánh")</f>
        <v>Bình Chánh</v>
      </c>
      <c r="F43" s="54">
        <f ca="1">IFERROR(__xludf.DUMMYFUNCTION("""COMPUTED_VALUE"""),34)</f>
        <v>34</v>
      </c>
      <c r="G43" s="51" t="str">
        <f t="shared" ca="1" si="0"/>
        <v/>
      </c>
      <c r="H43" s="54">
        <f ca="1">IFERROR(__xludf.DUMMYFUNCTION("""COMPUTED_VALUE"""),34)</f>
        <v>34</v>
      </c>
      <c r="I43" s="51" t="str">
        <f t="shared" ca="1" si="1"/>
        <v/>
      </c>
      <c r="J43" s="54">
        <f ca="1">IFERROR(__xludf.DUMMYFUNCTION("""COMPUTED_VALUE"""),34)</f>
        <v>34</v>
      </c>
      <c r="K43" s="51" t="str">
        <f t="shared" ca="1" si="2"/>
        <v/>
      </c>
      <c r="L43" s="54">
        <f ca="1">IFERROR(__xludf.DUMMYFUNCTION("""COMPUTED_VALUE"""),30)</f>
        <v>30</v>
      </c>
      <c r="M43" s="51" t="str">
        <f t="shared" ca="1" si="3"/>
        <v/>
      </c>
      <c r="N43" s="54">
        <f ca="1">IFERROR(__xludf.DUMMYFUNCTION("""COMPUTED_VALUE"""),0)</f>
        <v>0</v>
      </c>
      <c r="O43" s="54">
        <f ca="1">IFERROR(__xludf.DUMMYFUNCTION("""COMPUTED_VALUE"""),31)</f>
        <v>31</v>
      </c>
      <c r="P43" s="51" t="str">
        <f t="shared" ca="1" si="4"/>
        <v/>
      </c>
      <c r="Q43" s="54">
        <f ca="1">IFERROR(__xludf.DUMMYFUNCTION("""COMPUTED_VALUE"""),0)</f>
        <v>0</v>
      </c>
      <c r="R43" s="51" t="str">
        <f t="shared" ca="1" si="5"/>
        <v/>
      </c>
      <c r="S43" s="54">
        <f ca="1">IFERROR(__xludf.DUMMYFUNCTION("""COMPUTED_VALUE"""),0)</f>
        <v>0</v>
      </c>
      <c r="T43" s="53"/>
      <c r="U43" s="51" t="str">
        <f t="shared" ca="1" si="6"/>
        <v/>
      </c>
      <c r="V43" s="53"/>
      <c r="W43" s="51" t="str">
        <f t="shared" ca="1" si="7"/>
        <v/>
      </c>
      <c r="X43" s="53"/>
      <c r="Y43" s="51" t="str">
        <f t="shared" ca="1" si="8"/>
        <v/>
      </c>
      <c r="Z43" s="2"/>
      <c r="AA43" s="2"/>
      <c r="AB43" s="2"/>
      <c r="AC43" s="2"/>
      <c r="AD43" s="2"/>
      <c r="AE43" s="2"/>
    </row>
    <row r="44" spans="1:31" ht="12.75" x14ac:dyDescent="0.2">
      <c r="A44" s="53">
        <f ca="1">IFERROR(__xludf.DUMMYFUNCTION("""COMPUTED_VALUE"""),7)</f>
        <v>7</v>
      </c>
      <c r="B44" s="53" t="str">
        <f ca="1">IFERROR(__xludf.DUMMYFUNCTION("""COMPUTED_VALUE"""),"MN Vườn Mặt Trời 2")</f>
        <v>MN Vườn Mặt Trời 2</v>
      </c>
      <c r="C44" s="53" t="str">
        <f ca="1">IFERROR(__xludf.DUMMYFUNCTION("""COMPUTED_VALUE"""),"Bình Hưng")</f>
        <v>Bình Hưng</v>
      </c>
      <c r="D44" s="53" t="str">
        <f ca="1">IFERROR(__xludf.DUMMYFUNCTION("""COMPUTED_VALUE"""),"MN")</f>
        <v>MN</v>
      </c>
      <c r="E44" s="54" t="str">
        <f ca="1">IFERROR(__xludf.DUMMYFUNCTION("""COMPUTED_VALUE"""),"Bình Chánh")</f>
        <v>Bình Chánh</v>
      </c>
      <c r="F44" s="54">
        <f ca="1">IFERROR(__xludf.DUMMYFUNCTION("""COMPUTED_VALUE"""),20)</f>
        <v>20</v>
      </c>
      <c r="G44" s="51" t="str">
        <f t="shared" ca="1" si="0"/>
        <v/>
      </c>
      <c r="H44" s="54">
        <f ca="1">IFERROR(__xludf.DUMMYFUNCTION("""COMPUTED_VALUE"""),20)</f>
        <v>20</v>
      </c>
      <c r="I44" s="51" t="str">
        <f t="shared" ca="1" si="1"/>
        <v/>
      </c>
      <c r="J44" s="54">
        <f ca="1">IFERROR(__xludf.DUMMYFUNCTION("""COMPUTED_VALUE"""),20)</f>
        <v>20</v>
      </c>
      <c r="K44" s="51" t="str">
        <f t="shared" ca="1" si="2"/>
        <v/>
      </c>
      <c r="L44" s="54">
        <f ca="1">IFERROR(__xludf.DUMMYFUNCTION("""COMPUTED_VALUE"""),18)</f>
        <v>18</v>
      </c>
      <c r="M44" s="51" t="str">
        <f t="shared" ca="1" si="3"/>
        <v/>
      </c>
      <c r="N44" s="54">
        <f ca="1">IFERROR(__xludf.DUMMYFUNCTION("""COMPUTED_VALUE"""),0)</f>
        <v>0</v>
      </c>
      <c r="O44" s="54">
        <f ca="1">IFERROR(__xludf.DUMMYFUNCTION("""COMPUTED_VALUE"""),27)</f>
        <v>27</v>
      </c>
      <c r="P44" s="51" t="str">
        <f t="shared" ca="1" si="4"/>
        <v/>
      </c>
      <c r="Q44" s="54">
        <f ca="1">IFERROR(__xludf.DUMMYFUNCTION("""COMPUTED_VALUE"""),0)</f>
        <v>0</v>
      </c>
      <c r="R44" s="51" t="str">
        <f t="shared" ca="1" si="5"/>
        <v/>
      </c>
      <c r="S44" s="54">
        <f ca="1">IFERROR(__xludf.DUMMYFUNCTION("""COMPUTED_VALUE"""),0)</f>
        <v>0</v>
      </c>
      <c r="T44" s="53"/>
      <c r="U44" s="51" t="str">
        <f t="shared" ca="1" si="6"/>
        <v/>
      </c>
      <c r="V44" s="53"/>
      <c r="W44" s="51" t="str">
        <f t="shared" ca="1" si="7"/>
        <v/>
      </c>
      <c r="X44" s="53"/>
      <c r="Y44" s="51" t="str">
        <f t="shared" ca="1" si="8"/>
        <v/>
      </c>
      <c r="Z44" s="2"/>
      <c r="AA44" s="2"/>
      <c r="AB44" s="2"/>
      <c r="AC44" s="2"/>
      <c r="AD44" s="2"/>
      <c r="AE44" s="2"/>
    </row>
    <row r="45" spans="1:31" ht="12.75" x14ac:dyDescent="0.2">
      <c r="A45" s="53">
        <f ca="1">IFERROR(__xludf.DUMMYFUNCTION("""COMPUTED_VALUE"""),8)</f>
        <v>8</v>
      </c>
      <c r="B45" s="53" t="str">
        <f ca="1">IFERROR(__xludf.DUMMYFUNCTION("""COMPUTED_VALUE"""),"MN Tuệ Đức")</f>
        <v>MN Tuệ Đức</v>
      </c>
      <c r="C45" s="53" t="str">
        <f ca="1">IFERROR(__xludf.DUMMYFUNCTION("""COMPUTED_VALUE"""),"Bình Hưng")</f>
        <v>Bình Hưng</v>
      </c>
      <c r="D45" s="53" t="str">
        <f ca="1">IFERROR(__xludf.DUMMYFUNCTION("""COMPUTED_VALUE"""),"MN")</f>
        <v>MN</v>
      </c>
      <c r="E45" s="54" t="str">
        <f ca="1">IFERROR(__xludf.DUMMYFUNCTION("""COMPUTED_VALUE"""),"Bình Chánh")</f>
        <v>Bình Chánh</v>
      </c>
      <c r="F45" s="54">
        <f ca="1">IFERROR(__xludf.DUMMYFUNCTION("""COMPUTED_VALUE"""),16)</f>
        <v>16</v>
      </c>
      <c r="G45" s="51" t="str">
        <f t="shared" ca="1" si="0"/>
        <v/>
      </c>
      <c r="H45" s="54">
        <f ca="1">IFERROR(__xludf.DUMMYFUNCTION("""COMPUTED_VALUE"""),16)</f>
        <v>16</v>
      </c>
      <c r="I45" s="51" t="str">
        <f t="shared" ca="1" si="1"/>
        <v/>
      </c>
      <c r="J45" s="54">
        <f ca="1">IFERROR(__xludf.DUMMYFUNCTION("""COMPUTED_VALUE"""),16)</f>
        <v>16</v>
      </c>
      <c r="K45" s="51" t="str">
        <f t="shared" ca="1" si="2"/>
        <v/>
      </c>
      <c r="L45" s="54">
        <f ca="1">IFERROR(__xludf.DUMMYFUNCTION("""COMPUTED_VALUE"""),14)</f>
        <v>14</v>
      </c>
      <c r="M45" s="51" t="str">
        <f t="shared" ca="1" si="3"/>
        <v/>
      </c>
      <c r="N45" s="54">
        <f ca="1">IFERROR(__xludf.DUMMYFUNCTION("""COMPUTED_VALUE"""),0)</f>
        <v>0</v>
      </c>
      <c r="O45" s="54">
        <f ca="1">IFERROR(__xludf.DUMMYFUNCTION("""COMPUTED_VALUE"""),39)</f>
        <v>39</v>
      </c>
      <c r="P45" s="51" t="str">
        <f t="shared" ca="1" si="4"/>
        <v/>
      </c>
      <c r="Q45" s="54">
        <f ca="1">IFERROR(__xludf.DUMMYFUNCTION("""COMPUTED_VALUE"""),0)</f>
        <v>0</v>
      </c>
      <c r="R45" s="51" t="str">
        <f t="shared" ca="1" si="5"/>
        <v/>
      </c>
      <c r="S45" s="54">
        <f ca="1">IFERROR(__xludf.DUMMYFUNCTION("""COMPUTED_VALUE"""),0)</f>
        <v>0</v>
      </c>
      <c r="T45" s="53"/>
      <c r="U45" s="51" t="str">
        <f t="shared" ca="1" si="6"/>
        <v/>
      </c>
      <c r="V45" s="53"/>
      <c r="W45" s="51" t="str">
        <f t="shared" ca="1" si="7"/>
        <v/>
      </c>
      <c r="X45" s="53"/>
      <c r="Y45" s="51" t="str">
        <f t="shared" ca="1" si="8"/>
        <v/>
      </c>
      <c r="Z45" s="2"/>
      <c r="AA45" s="2"/>
      <c r="AB45" s="2"/>
      <c r="AC45" s="2"/>
      <c r="AD45" s="2"/>
      <c r="AE45" s="2"/>
    </row>
    <row r="46" spans="1:31" ht="12.75" x14ac:dyDescent="0.2">
      <c r="A46" s="53">
        <f ca="1">IFERROR(__xludf.DUMMYFUNCTION("""COMPUTED_VALUE"""),9)</f>
        <v>9</v>
      </c>
      <c r="B46" s="53" t="str">
        <f ca="1">IFERROR(__xludf.DUMMYFUNCTION("""COMPUTED_VALUE"""),"MN Chú Ong Vàng")</f>
        <v>MN Chú Ong Vàng</v>
      </c>
      <c r="C46" s="53" t="str">
        <f ca="1">IFERROR(__xludf.DUMMYFUNCTION("""COMPUTED_VALUE"""),"Bình Hưng")</f>
        <v>Bình Hưng</v>
      </c>
      <c r="D46" s="53" t="str">
        <f ca="1">IFERROR(__xludf.DUMMYFUNCTION("""COMPUTED_VALUE"""),"MN")</f>
        <v>MN</v>
      </c>
      <c r="E46" s="54" t="str">
        <f ca="1">IFERROR(__xludf.DUMMYFUNCTION("""COMPUTED_VALUE"""),"Bình Chánh")</f>
        <v>Bình Chánh</v>
      </c>
      <c r="F46" s="54">
        <f ca="1">IFERROR(__xludf.DUMMYFUNCTION("""COMPUTED_VALUE"""),0)</f>
        <v>0</v>
      </c>
      <c r="G46" s="51" t="str">
        <f t="shared" ca="1" si="0"/>
        <v/>
      </c>
      <c r="H46" s="54">
        <f ca="1">IFERROR(__xludf.DUMMYFUNCTION("""COMPUTED_VALUE"""),0)</f>
        <v>0</v>
      </c>
      <c r="I46" s="51" t="str">
        <f t="shared" ca="1" si="1"/>
        <v/>
      </c>
      <c r="J46" s="54">
        <f ca="1">IFERROR(__xludf.DUMMYFUNCTION("""COMPUTED_VALUE"""),0)</f>
        <v>0</v>
      </c>
      <c r="K46" s="51" t="str">
        <f t="shared" ca="1" si="2"/>
        <v/>
      </c>
      <c r="L46" s="54">
        <f ca="1">IFERROR(__xludf.DUMMYFUNCTION("""COMPUTED_VALUE"""),0)</f>
        <v>0</v>
      </c>
      <c r="M46" s="51" t="str">
        <f t="shared" ca="1" si="3"/>
        <v/>
      </c>
      <c r="N46" s="54">
        <f ca="1">IFERROR(__xludf.DUMMYFUNCTION("""COMPUTED_VALUE"""),0)</f>
        <v>0</v>
      </c>
      <c r="O46" s="54">
        <f ca="1">IFERROR(__xludf.DUMMYFUNCTION("""COMPUTED_VALUE"""),0)</f>
        <v>0</v>
      </c>
      <c r="P46" s="51" t="str">
        <f t="shared" ca="1" si="4"/>
        <v/>
      </c>
      <c r="Q46" s="54">
        <f ca="1">IFERROR(__xludf.DUMMYFUNCTION("""COMPUTED_VALUE"""),0)</f>
        <v>0</v>
      </c>
      <c r="R46" s="51" t="str">
        <f t="shared" ca="1" si="5"/>
        <v/>
      </c>
      <c r="S46" s="54">
        <f ca="1">IFERROR(__xludf.DUMMYFUNCTION("""COMPUTED_VALUE"""),0)</f>
        <v>0</v>
      </c>
      <c r="T46" s="53"/>
      <c r="U46" s="51" t="str">
        <f t="shared" ca="1" si="6"/>
        <v/>
      </c>
      <c r="V46" s="53"/>
      <c r="W46" s="51" t="str">
        <f t="shared" ca="1" si="7"/>
        <v/>
      </c>
      <c r="X46" s="53"/>
      <c r="Y46" s="51" t="str">
        <f t="shared" ca="1" si="8"/>
        <v/>
      </c>
      <c r="Z46" s="2"/>
      <c r="AA46" s="2"/>
      <c r="AB46" s="2"/>
      <c r="AC46" s="2"/>
      <c r="AD46" s="2"/>
      <c r="AE46" s="2"/>
    </row>
    <row r="47" spans="1:31" ht="12.75" x14ac:dyDescent="0.2">
      <c r="A47" s="53">
        <f ca="1">IFERROR(__xludf.DUMMYFUNCTION("""COMPUTED_VALUE"""),10)</f>
        <v>10</v>
      </c>
      <c r="B47" s="53" t="str">
        <f ca="1">IFERROR(__xludf.DUMMYFUNCTION("""COMPUTED_VALUE"""),"MN Bé Vui")</f>
        <v>MN Bé Vui</v>
      </c>
      <c r="C47" s="53" t="str">
        <f ca="1">IFERROR(__xludf.DUMMYFUNCTION("""COMPUTED_VALUE"""),"Phong Phú")</f>
        <v>Phong Phú</v>
      </c>
      <c r="D47" s="53" t="str">
        <f ca="1">IFERROR(__xludf.DUMMYFUNCTION("""COMPUTED_VALUE"""),"MN")</f>
        <v>MN</v>
      </c>
      <c r="E47" s="54" t="str">
        <f ca="1">IFERROR(__xludf.DUMMYFUNCTION("""COMPUTED_VALUE"""),"Bình Chánh")</f>
        <v>Bình Chánh</v>
      </c>
      <c r="F47" s="54">
        <f ca="1">IFERROR(__xludf.DUMMYFUNCTION("""COMPUTED_VALUE"""),8)</f>
        <v>8</v>
      </c>
      <c r="G47" s="51" t="str">
        <f t="shared" ca="1" si="0"/>
        <v/>
      </c>
      <c r="H47" s="54">
        <f ca="1">IFERROR(__xludf.DUMMYFUNCTION("""COMPUTED_VALUE"""),8)</f>
        <v>8</v>
      </c>
      <c r="I47" s="51" t="str">
        <f t="shared" ca="1" si="1"/>
        <v/>
      </c>
      <c r="J47" s="54">
        <f ca="1">IFERROR(__xludf.DUMMYFUNCTION("""COMPUTED_VALUE"""),8)</f>
        <v>8</v>
      </c>
      <c r="K47" s="51" t="str">
        <f t="shared" ca="1" si="2"/>
        <v/>
      </c>
      <c r="L47" s="54">
        <f ca="1">IFERROR(__xludf.DUMMYFUNCTION("""COMPUTED_VALUE"""),8)</f>
        <v>8</v>
      </c>
      <c r="M47" s="51" t="str">
        <f t="shared" ca="1" si="3"/>
        <v/>
      </c>
      <c r="N47" s="54">
        <f ca="1">IFERROR(__xludf.DUMMYFUNCTION("""COMPUTED_VALUE"""),0)</f>
        <v>0</v>
      </c>
      <c r="O47" s="54">
        <f ca="1">IFERROR(__xludf.DUMMYFUNCTION("""COMPUTED_VALUE"""),8)</f>
        <v>8</v>
      </c>
      <c r="P47" s="51" t="str">
        <f t="shared" ca="1" si="4"/>
        <v/>
      </c>
      <c r="Q47" s="54">
        <f ca="1">IFERROR(__xludf.DUMMYFUNCTION("""COMPUTED_VALUE"""),0)</f>
        <v>0</v>
      </c>
      <c r="R47" s="51" t="str">
        <f t="shared" ca="1" si="5"/>
        <v/>
      </c>
      <c r="S47" s="54">
        <f ca="1">IFERROR(__xludf.DUMMYFUNCTION("""COMPUTED_VALUE"""),0)</f>
        <v>0</v>
      </c>
      <c r="T47" s="53"/>
      <c r="U47" s="51" t="str">
        <f t="shared" ca="1" si="6"/>
        <v/>
      </c>
      <c r="V47" s="53"/>
      <c r="W47" s="51" t="str">
        <f t="shared" ca="1" si="7"/>
        <v/>
      </c>
      <c r="X47" s="53"/>
      <c r="Y47" s="51" t="str">
        <f t="shared" ca="1" si="8"/>
        <v/>
      </c>
      <c r="Z47" s="2"/>
      <c r="AA47" s="2"/>
      <c r="AB47" s="2"/>
      <c r="AC47" s="2"/>
      <c r="AD47" s="2"/>
      <c r="AE47" s="2"/>
    </row>
    <row r="48" spans="1:31" ht="12.75" x14ac:dyDescent="0.2">
      <c r="A48" s="53">
        <f ca="1">IFERROR(__xludf.DUMMYFUNCTION("""COMPUTED_VALUE"""),11)</f>
        <v>11</v>
      </c>
      <c r="B48" s="53" t="str">
        <f ca="1">IFERROR(__xludf.DUMMYFUNCTION("""COMPUTED_VALUE"""),"MN Canada-Việt Nam")</f>
        <v>MN Canada-Việt Nam</v>
      </c>
      <c r="C48" s="53" t="str">
        <f ca="1">IFERROR(__xludf.DUMMYFUNCTION("""COMPUTED_VALUE"""),"Phong Phú")</f>
        <v>Phong Phú</v>
      </c>
      <c r="D48" s="53" t="str">
        <f ca="1">IFERROR(__xludf.DUMMYFUNCTION("""COMPUTED_VALUE"""),"MN")</f>
        <v>MN</v>
      </c>
      <c r="E48" s="54" t="str">
        <f ca="1">IFERROR(__xludf.DUMMYFUNCTION("""COMPUTED_VALUE"""),"Bình Chánh")</f>
        <v>Bình Chánh</v>
      </c>
      <c r="F48" s="54">
        <f ca="1">IFERROR(__xludf.DUMMYFUNCTION("""COMPUTED_VALUE"""),19)</f>
        <v>19</v>
      </c>
      <c r="G48" s="51" t="str">
        <f t="shared" ca="1" si="0"/>
        <v/>
      </c>
      <c r="H48" s="54">
        <f ca="1">IFERROR(__xludf.DUMMYFUNCTION("""COMPUTED_VALUE"""),19)</f>
        <v>19</v>
      </c>
      <c r="I48" s="51" t="str">
        <f t="shared" ca="1" si="1"/>
        <v/>
      </c>
      <c r="J48" s="54">
        <f ca="1">IFERROR(__xludf.DUMMYFUNCTION("""COMPUTED_VALUE"""),18)</f>
        <v>18</v>
      </c>
      <c r="K48" s="51" t="str">
        <f t="shared" ca="1" si="2"/>
        <v/>
      </c>
      <c r="L48" s="54">
        <f ca="1">IFERROR(__xludf.DUMMYFUNCTION("""COMPUTED_VALUE"""),15)</f>
        <v>15</v>
      </c>
      <c r="M48" s="51" t="str">
        <f t="shared" ca="1" si="3"/>
        <v/>
      </c>
      <c r="N48" s="54">
        <f ca="1">IFERROR(__xludf.DUMMYFUNCTION("""COMPUTED_VALUE"""),2)</f>
        <v>2</v>
      </c>
      <c r="O48" s="54">
        <f ca="1">IFERROR(__xludf.DUMMYFUNCTION("""COMPUTED_VALUE"""),20)</f>
        <v>20</v>
      </c>
      <c r="P48" s="51">
        <f t="shared" ca="1" si="4"/>
        <v>10</v>
      </c>
      <c r="Q48" s="54">
        <f ca="1">IFERROR(__xludf.DUMMYFUNCTION("""COMPUTED_VALUE"""),1)</f>
        <v>1</v>
      </c>
      <c r="R48" s="51">
        <f t="shared" ca="1" si="5"/>
        <v>0.5</v>
      </c>
      <c r="S48" s="54">
        <f ca="1">IFERROR(__xludf.DUMMYFUNCTION("""COMPUTED_VALUE"""),1)</f>
        <v>1</v>
      </c>
      <c r="T48" s="53"/>
      <c r="U48" s="51">
        <f t="shared" ca="1" si="6"/>
        <v>0</v>
      </c>
      <c r="V48" s="53"/>
      <c r="W48" s="51">
        <f t="shared" ca="1" si="7"/>
        <v>0</v>
      </c>
      <c r="X48" s="53"/>
      <c r="Y48" s="51">
        <f t="shared" ca="1" si="8"/>
        <v>0</v>
      </c>
      <c r="Z48" s="2"/>
      <c r="AA48" s="2"/>
      <c r="AB48" s="2"/>
      <c r="AC48" s="2"/>
      <c r="AD48" s="2"/>
      <c r="AE48" s="2"/>
    </row>
    <row r="49" spans="1:31" ht="12.75" x14ac:dyDescent="0.2">
      <c r="A49" s="53">
        <f ca="1">IFERROR(__xludf.DUMMYFUNCTION("""COMPUTED_VALUE"""),12)</f>
        <v>12</v>
      </c>
      <c r="B49" s="53" t="str">
        <f ca="1">IFERROR(__xludf.DUMMYFUNCTION("""COMPUTED_VALUE"""),"MN Bé Xinh")</f>
        <v>MN Bé Xinh</v>
      </c>
      <c r="C49" s="53" t="str">
        <f ca="1">IFERROR(__xludf.DUMMYFUNCTION("""COMPUTED_VALUE"""),"Phong Phú")</f>
        <v>Phong Phú</v>
      </c>
      <c r="D49" s="53" t="str">
        <f ca="1">IFERROR(__xludf.DUMMYFUNCTION("""COMPUTED_VALUE"""),"MN")</f>
        <v>MN</v>
      </c>
      <c r="E49" s="54" t="str">
        <f ca="1">IFERROR(__xludf.DUMMYFUNCTION("""COMPUTED_VALUE"""),"Bình Chánh")</f>
        <v>Bình Chánh</v>
      </c>
      <c r="F49" s="54">
        <f ca="1">IFERROR(__xludf.DUMMYFUNCTION("""COMPUTED_VALUE"""),20)</f>
        <v>20</v>
      </c>
      <c r="G49" s="51" t="str">
        <f t="shared" ca="1" si="0"/>
        <v/>
      </c>
      <c r="H49" s="54">
        <f ca="1">IFERROR(__xludf.DUMMYFUNCTION("""COMPUTED_VALUE"""),20)</f>
        <v>20</v>
      </c>
      <c r="I49" s="51" t="str">
        <f t="shared" ca="1" si="1"/>
        <v/>
      </c>
      <c r="J49" s="54">
        <f ca="1">IFERROR(__xludf.DUMMYFUNCTION("""COMPUTED_VALUE"""),20)</f>
        <v>20</v>
      </c>
      <c r="K49" s="51" t="str">
        <f t="shared" ca="1" si="2"/>
        <v/>
      </c>
      <c r="L49" s="54">
        <f ca="1">IFERROR(__xludf.DUMMYFUNCTION("""COMPUTED_VALUE"""),20)</f>
        <v>20</v>
      </c>
      <c r="M49" s="51" t="str">
        <f t="shared" ca="1" si="3"/>
        <v/>
      </c>
      <c r="N49" s="54">
        <f ca="1">IFERROR(__xludf.DUMMYFUNCTION("""COMPUTED_VALUE"""),0)</f>
        <v>0</v>
      </c>
      <c r="O49" s="54">
        <f ca="1">IFERROR(__xludf.DUMMYFUNCTION("""COMPUTED_VALUE"""),35)</f>
        <v>35</v>
      </c>
      <c r="P49" s="51" t="str">
        <f t="shared" ca="1" si="4"/>
        <v/>
      </c>
      <c r="Q49" s="54">
        <f ca="1">IFERROR(__xludf.DUMMYFUNCTION("""COMPUTED_VALUE"""),0)</f>
        <v>0</v>
      </c>
      <c r="R49" s="51" t="str">
        <f t="shared" ca="1" si="5"/>
        <v/>
      </c>
      <c r="S49" s="54">
        <f ca="1">IFERROR(__xludf.DUMMYFUNCTION("""COMPUTED_VALUE"""),0)</f>
        <v>0</v>
      </c>
      <c r="T49" s="53"/>
      <c r="U49" s="51" t="str">
        <f t="shared" ca="1" si="6"/>
        <v/>
      </c>
      <c r="V49" s="53"/>
      <c r="W49" s="51" t="str">
        <f t="shared" ca="1" si="7"/>
        <v/>
      </c>
      <c r="X49" s="53"/>
      <c r="Y49" s="51" t="str">
        <f t="shared" ca="1" si="8"/>
        <v/>
      </c>
      <c r="Z49" s="2"/>
      <c r="AA49" s="2"/>
      <c r="AB49" s="2"/>
      <c r="AC49" s="2"/>
      <c r="AD49" s="2"/>
      <c r="AE49" s="2"/>
    </row>
    <row r="50" spans="1:31" ht="12.75" x14ac:dyDescent="0.2">
      <c r="A50" s="53">
        <f ca="1">IFERROR(__xludf.DUMMYFUNCTION("""COMPUTED_VALUE"""),13)</f>
        <v>13</v>
      </c>
      <c r="B50" s="53" t="str">
        <f ca="1">IFERROR(__xludf.DUMMYFUNCTION("""COMPUTED_VALUE"""),"MN Hương Mai")</f>
        <v>MN Hương Mai</v>
      </c>
      <c r="C50" s="53" t="str">
        <f ca="1">IFERROR(__xludf.DUMMYFUNCTION("""COMPUTED_VALUE"""),"Tân Quý Tây")</f>
        <v>Tân Quý Tây</v>
      </c>
      <c r="D50" s="53" t="str">
        <f ca="1">IFERROR(__xludf.DUMMYFUNCTION("""COMPUTED_VALUE"""),"MN")</f>
        <v>MN</v>
      </c>
      <c r="E50" s="54" t="str">
        <f ca="1">IFERROR(__xludf.DUMMYFUNCTION("""COMPUTED_VALUE"""),"Bình Chánh")</f>
        <v>Bình Chánh</v>
      </c>
      <c r="F50" s="54">
        <f ca="1">IFERROR(__xludf.DUMMYFUNCTION("""COMPUTED_VALUE"""),12)</f>
        <v>12</v>
      </c>
      <c r="G50" s="51" t="str">
        <f t="shared" ca="1" si="0"/>
        <v/>
      </c>
      <c r="H50" s="54">
        <f ca="1">IFERROR(__xludf.DUMMYFUNCTION("""COMPUTED_VALUE"""),12)</f>
        <v>12</v>
      </c>
      <c r="I50" s="51" t="str">
        <f t="shared" ca="1" si="1"/>
        <v/>
      </c>
      <c r="J50" s="54">
        <f ca="1">IFERROR(__xludf.DUMMYFUNCTION("""COMPUTED_VALUE"""),12)</f>
        <v>12</v>
      </c>
      <c r="K50" s="51" t="str">
        <f t="shared" ca="1" si="2"/>
        <v/>
      </c>
      <c r="L50" s="54">
        <f ca="1">IFERROR(__xludf.DUMMYFUNCTION("""COMPUTED_VALUE"""),12)</f>
        <v>12</v>
      </c>
      <c r="M50" s="51" t="str">
        <f t="shared" ca="1" si="3"/>
        <v/>
      </c>
      <c r="N50" s="54">
        <f ca="1">IFERROR(__xludf.DUMMYFUNCTION("""COMPUTED_VALUE"""),0)</f>
        <v>0</v>
      </c>
      <c r="O50" s="54">
        <f ca="1">IFERROR(__xludf.DUMMYFUNCTION("""COMPUTED_VALUE"""),33)</f>
        <v>33</v>
      </c>
      <c r="P50" s="51" t="str">
        <f t="shared" ca="1" si="4"/>
        <v/>
      </c>
      <c r="Q50" s="54">
        <f ca="1">IFERROR(__xludf.DUMMYFUNCTION("""COMPUTED_VALUE"""),11)</f>
        <v>11</v>
      </c>
      <c r="R50" s="51" t="str">
        <f t="shared" ca="1" si="5"/>
        <v/>
      </c>
      <c r="S50" s="54">
        <f ca="1">IFERROR(__xludf.DUMMYFUNCTION("""COMPUTED_VALUE"""),10)</f>
        <v>10</v>
      </c>
      <c r="T50" s="53"/>
      <c r="U50" s="51">
        <f t="shared" ca="1" si="6"/>
        <v>0</v>
      </c>
      <c r="V50" s="53"/>
      <c r="W50" s="51">
        <f t="shared" ca="1" si="7"/>
        <v>0</v>
      </c>
      <c r="X50" s="53"/>
      <c r="Y50" s="51">
        <f t="shared" ca="1" si="8"/>
        <v>0</v>
      </c>
      <c r="Z50" s="2"/>
      <c r="AA50" s="2"/>
      <c r="AB50" s="2"/>
      <c r="AC50" s="2"/>
      <c r="AD50" s="2"/>
      <c r="AE50" s="2"/>
    </row>
    <row r="51" spans="1:31" ht="12.75" x14ac:dyDescent="0.2">
      <c r="A51" s="53">
        <f ca="1">IFERROR(__xludf.DUMMYFUNCTION("""COMPUTED_VALUE"""),14)</f>
        <v>14</v>
      </c>
      <c r="B51" s="53" t="str">
        <f ca="1">IFERROR(__xludf.DUMMYFUNCTION("""COMPUTED_VALUE"""),"MN Ngọc Trâm")</f>
        <v>MN Ngọc Trâm</v>
      </c>
      <c r="C51" s="53" t="str">
        <f ca="1">IFERROR(__xludf.DUMMYFUNCTION("""COMPUTED_VALUE"""),"Tân Quý Tây")</f>
        <v>Tân Quý Tây</v>
      </c>
      <c r="D51" s="53" t="str">
        <f ca="1">IFERROR(__xludf.DUMMYFUNCTION("""COMPUTED_VALUE"""),"MN")</f>
        <v>MN</v>
      </c>
      <c r="E51" s="54" t="str">
        <f ca="1">IFERROR(__xludf.DUMMYFUNCTION("""COMPUTED_VALUE"""),"Bình Chánh")</f>
        <v>Bình Chánh</v>
      </c>
      <c r="F51" s="54">
        <f ca="1">IFERROR(__xludf.DUMMYFUNCTION("""COMPUTED_VALUE"""),16)</f>
        <v>16</v>
      </c>
      <c r="G51" s="51" t="str">
        <f t="shared" ca="1" si="0"/>
        <v/>
      </c>
      <c r="H51" s="54">
        <f ca="1">IFERROR(__xludf.DUMMYFUNCTION("""COMPUTED_VALUE"""),16)</f>
        <v>16</v>
      </c>
      <c r="I51" s="51" t="str">
        <f t="shared" ca="1" si="1"/>
        <v/>
      </c>
      <c r="J51" s="54">
        <f ca="1">IFERROR(__xludf.DUMMYFUNCTION("""COMPUTED_VALUE"""),16)</f>
        <v>16</v>
      </c>
      <c r="K51" s="51" t="str">
        <f t="shared" ca="1" si="2"/>
        <v/>
      </c>
      <c r="L51" s="54">
        <f ca="1">IFERROR(__xludf.DUMMYFUNCTION("""COMPUTED_VALUE"""),16)</f>
        <v>16</v>
      </c>
      <c r="M51" s="51" t="str">
        <f t="shared" ca="1" si="3"/>
        <v/>
      </c>
      <c r="N51" s="54">
        <f ca="1">IFERROR(__xludf.DUMMYFUNCTION("""COMPUTED_VALUE"""),0)</f>
        <v>0</v>
      </c>
      <c r="O51" s="54">
        <f ca="1">IFERROR(__xludf.DUMMYFUNCTION("""COMPUTED_VALUE"""),80)</f>
        <v>80</v>
      </c>
      <c r="P51" s="51" t="str">
        <f t="shared" ca="1" si="4"/>
        <v/>
      </c>
      <c r="Q51" s="54">
        <f ca="1">IFERROR(__xludf.DUMMYFUNCTION("""COMPUTED_VALUE"""),28)</f>
        <v>28</v>
      </c>
      <c r="R51" s="51" t="str">
        <f t="shared" ca="1" si="5"/>
        <v/>
      </c>
      <c r="S51" s="54">
        <f ca="1">IFERROR(__xludf.DUMMYFUNCTION("""COMPUTED_VALUE"""),0)</f>
        <v>0</v>
      </c>
      <c r="T51" s="53"/>
      <c r="U51" s="51" t="str">
        <f t="shared" ca="1" si="6"/>
        <v/>
      </c>
      <c r="V51" s="53"/>
      <c r="W51" s="51" t="str">
        <f t="shared" ca="1" si="7"/>
        <v/>
      </c>
      <c r="X51" s="53"/>
      <c r="Y51" s="51" t="str">
        <f t="shared" ca="1" si="8"/>
        <v/>
      </c>
      <c r="Z51" s="2"/>
      <c r="AA51" s="2"/>
      <c r="AB51" s="2"/>
      <c r="AC51" s="2"/>
      <c r="AD51" s="2"/>
      <c r="AE51" s="2"/>
    </row>
    <row r="52" spans="1:31" ht="12.75" x14ac:dyDescent="0.2">
      <c r="A52" s="53">
        <f ca="1">IFERROR(__xludf.DUMMYFUNCTION("""COMPUTED_VALUE"""),15)</f>
        <v>15</v>
      </c>
      <c r="B52" s="53" t="str">
        <f ca="1">IFERROR(__xludf.DUMMYFUNCTION("""COMPUTED_VALUE"""),"MN Bông Sen Hồng")</f>
        <v>MN Bông Sen Hồng</v>
      </c>
      <c r="C52" s="53" t="str">
        <f ca="1">IFERROR(__xludf.DUMMYFUNCTION("""COMPUTED_VALUE"""),"Tân Quý Tây")</f>
        <v>Tân Quý Tây</v>
      </c>
      <c r="D52" s="53" t="str">
        <f ca="1">IFERROR(__xludf.DUMMYFUNCTION("""COMPUTED_VALUE"""),"MN")</f>
        <v>MN</v>
      </c>
      <c r="E52" s="54" t="str">
        <f ca="1">IFERROR(__xludf.DUMMYFUNCTION("""COMPUTED_VALUE"""),"Bình Chánh")</f>
        <v>Bình Chánh</v>
      </c>
      <c r="F52" s="54">
        <f ca="1">IFERROR(__xludf.DUMMYFUNCTION("""COMPUTED_VALUE"""),33)</f>
        <v>33</v>
      </c>
      <c r="G52" s="51" t="str">
        <f t="shared" ca="1" si="0"/>
        <v/>
      </c>
      <c r="H52" s="54">
        <f ca="1">IFERROR(__xludf.DUMMYFUNCTION("""COMPUTED_VALUE"""),33)</f>
        <v>33</v>
      </c>
      <c r="I52" s="51" t="str">
        <f t="shared" ca="1" si="1"/>
        <v/>
      </c>
      <c r="J52" s="54">
        <f ca="1">IFERROR(__xludf.DUMMYFUNCTION("""COMPUTED_VALUE"""),33)</f>
        <v>33</v>
      </c>
      <c r="K52" s="51" t="str">
        <f t="shared" ca="1" si="2"/>
        <v/>
      </c>
      <c r="L52" s="54">
        <f ca="1">IFERROR(__xludf.DUMMYFUNCTION("""COMPUTED_VALUE"""),33)</f>
        <v>33</v>
      </c>
      <c r="M52" s="51" t="str">
        <f t="shared" ca="1" si="3"/>
        <v/>
      </c>
      <c r="N52" s="54">
        <f ca="1">IFERROR(__xludf.DUMMYFUNCTION("""COMPUTED_VALUE"""),0)</f>
        <v>0</v>
      </c>
      <c r="O52" s="54">
        <f ca="1">IFERROR(__xludf.DUMMYFUNCTION("""COMPUTED_VALUE"""),85)</f>
        <v>85</v>
      </c>
      <c r="P52" s="51" t="str">
        <f t="shared" ca="1" si="4"/>
        <v/>
      </c>
      <c r="Q52" s="54">
        <f ca="1">IFERROR(__xludf.DUMMYFUNCTION("""COMPUTED_VALUE"""),18)</f>
        <v>18</v>
      </c>
      <c r="R52" s="51" t="str">
        <f t="shared" ca="1" si="5"/>
        <v/>
      </c>
      <c r="S52" s="54">
        <f ca="1">IFERROR(__xludf.DUMMYFUNCTION("""COMPUTED_VALUE"""),0)</f>
        <v>0</v>
      </c>
      <c r="T52" s="53"/>
      <c r="U52" s="51" t="str">
        <f t="shared" ca="1" si="6"/>
        <v/>
      </c>
      <c r="V52" s="53"/>
      <c r="W52" s="51" t="str">
        <f t="shared" ca="1" si="7"/>
        <v/>
      </c>
      <c r="X52" s="53"/>
      <c r="Y52" s="51" t="str">
        <f t="shared" ca="1" si="8"/>
        <v/>
      </c>
      <c r="Z52" s="2"/>
      <c r="AA52" s="2"/>
      <c r="AB52" s="2"/>
      <c r="AC52" s="2"/>
      <c r="AD52" s="2"/>
      <c r="AE52" s="2"/>
    </row>
    <row r="53" spans="1:31" ht="12.75" x14ac:dyDescent="0.2">
      <c r="A53" s="53">
        <f ca="1">IFERROR(__xludf.DUMMYFUNCTION("""COMPUTED_VALUE"""),16)</f>
        <v>16</v>
      </c>
      <c r="B53" s="53" t="str">
        <f ca="1">IFERROR(__xludf.DUMMYFUNCTION("""COMPUTED_VALUE"""),"MN Thảo My")</f>
        <v>MN Thảo My</v>
      </c>
      <c r="C53" s="53" t="str">
        <f ca="1">IFERROR(__xludf.DUMMYFUNCTION("""COMPUTED_VALUE"""),"Tân Quý Tây")</f>
        <v>Tân Quý Tây</v>
      </c>
      <c r="D53" s="53" t="str">
        <f ca="1">IFERROR(__xludf.DUMMYFUNCTION("""COMPUTED_VALUE"""),"MN")</f>
        <v>MN</v>
      </c>
      <c r="E53" s="54" t="str">
        <f ca="1">IFERROR(__xludf.DUMMYFUNCTION("""COMPUTED_VALUE"""),"Bình Chánh")</f>
        <v>Bình Chánh</v>
      </c>
      <c r="F53" s="54">
        <f ca="1">IFERROR(__xludf.DUMMYFUNCTION("""COMPUTED_VALUE"""),10)</f>
        <v>10</v>
      </c>
      <c r="G53" s="51" t="str">
        <f t="shared" ca="1" si="0"/>
        <v/>
      </c>
      <c r="H53" s="54">
        <f ca="1">IFERROR(__xludf.DUMMYFUNCTION("""COMPUTED_VALUE"""),10)</f>
        <v>10</v>
      </c>
      <c r="I53" s="51" t="str">
        <f t="shared" ca="1" si="1"/>
        <v/>
      </c>
      <c r="J53" s="54">
        <f ca="1">IFERROR(__xludf.DUMMYFUNCTION("""COMPUTED_VALUE"""),10)</f>
        <v>10</v>
      </c>
      <c r="K53" s="51" t="str">
        <f t="shared" ca="1" si="2"/>
        <v/>
      </c>
      <c r="L53" s="54">
        <f ca="1">IFERROR(__xludf.DUMMYFUNCTION("""COMPUTED_VALUE"""),10)</f>
        <v>10</v>
      </c>
      <c r="M53" s="51" t="str">
        <f t="shared" ca="1" si="3"/>
        <v/>
      </c>
      <c r="N53" s="54">
        <f ca="1">IFERROR(__xludf.DUMMYFUNCTION("""COMPUTED_VALUE"""),0)</f>
        <v>0</v>
      </c>
      <c r="O53" s="54">
        <f ca="1">IFERROR(__xludf.DUMMYFUNCTION("""COMPUTED_VALUE"""),19)</f>
        <v>19</v>
      </c>
      <c r="P53" s="51" t="str">
        <f t="shared" ca="1" si="4"/>
        <v/>
      </c>
      <c r="Q53" s="54">
        <f ca="1">IFERROR(__xludf.DUMMYFUNCTION("""COMPUTED_VALUE"""),0)</f>
        <v>0</v>
      </c>
      <c r="R53" s="51" t="str">
        <f t="shared" ca="1" si="5"/>
        <v/>
      </c>
      <c r="S53" s="54">
        <f ca="1">IFERROR(__xludf.DUMMYFUNCTION("""COMPUTED_VALUE"""),0)</f>
        <v>0</v>
      </c>
      <c r="T53" s="53"/>
      <c r="U53" s="51" t="str">
        <f t="shared" ca="1" si="6"/>
        <v/>
      </c>
      <c r="V53" s="53"/>
      <c r="W53" s="51" t="str">
        <f t="shared" ca="1" si="7"/>
        <v/>
      </c>
      <c r="X53" s="53"/>
      <c r="Y53" s="51" t="str">
        <f t="shared" ca="1" si="8"/>
        <v/>
      </c>
      <c r="Z53" s="2"/>
      <c r="AA53" s="2"/>
      <c r="AB53" s="2"/>
      <c r="AC53" s="2"/>
      <c r="AD53" s="2"/>
      <c r="AE53" s="2"/>
    </row>
    <row r="54" spans="1:31" ht="12.75" x14ac:dyDescent="0.2">
      <c r="A54" s="53">
        <f ca="1">IFERROR(__xludf.DUMMYFUNCTION("""COMPUTED_VALUE"""),17)</f>
        <v>17</v>
      </c>
      <c r="B54" s="53"/>
      <c r="C54" s="53"/>
      <c r="D54" s="53" t="str">
        <f ca="1">IFERROR(__xludf.DUMMYFUNCTION("""COMPUTED_VALUE"""),"MN")</f>
        <v>MN</v>
      </c>
      <c r="E54" s="54" t="str">
        <f ca="1">IFERROR(__xludf.DUMMYFUNCTION("""COMPUTED_VALUE"""),"Bình Chánh")</f>
        <v>Bình Chánh</v>
      </c>
      <c r="F54" s="54">
        <f ca="1">IFERROR(__xludf.DUMMYFUNCTION("""COMPUTED_VALUE"""),23)</f>
        <v>23</v>
      </c>
      <c r="G54" s="51" t="str">
        <f t="shared" ca="1" si="0"/>
        <v/>
      </c>
      <c r="H54" s="54">
        <f ca="1">IFERROR(__xludf.DUMMYFUNCTION("""COMPUTED_VALUE"""),23)</f>
        <v>23</v>
      </c>
      <c r="I54" s="51" t="str">
        <f t="shared" ca="1" si="1"/>
        <v/>
      </c>
      <c r="J54" s="54">
        <f ca="1">IFERROR(__xludf.DUMMYFUNCTION("""COMPUTED_VALUE"""),23)</f>
        <v>23</v>
      </c>
      <c r="K54" s="51" t="str">
        <f t="shared" ca="1" si="2"/>
        <v/>
      </c>
      <c r="L54" s="54">
        <f ca="1">IFERROR(__xludf.DUMMYFUNCTION("""COMPUTED_VALUE"""),23)</f>
        <v>23</v>
      </c>
      <c r="M54" s="51" t="str">
        <f t="shared" ca="1" si="3"/>
        <v/>
      </c>
      <c r="N54" s="54">
        <f ca="1">IFERROR(__xludf.DUMMYFUNCTION("""COMPUTED_VALUE"""),0)</f>
        <v>0</v>
      </c>
      <c r="O54" s="54">
        <f ca="1">IFERROR(__xludf.DUMMYFUNCTION("""COMPUTED_VALUE"""),50)</f>
        <v>50</v>
      </c>
      <c r="P54" s="51" t="str">
        <f t="shared" ca="1" si="4"/>
        <v/>
      </c>
      <c r="Q54" s="54">
        <f ca="1">IFERROR(__xludf.DUMMYFUNCTION("""COMPUTED_VALUE"""),8)</f>
        <v>8</v>
      </c>
      <c r="R54" s="51" t="str">
        <f t="shared" ca="1" si="5"/>
        <v/>
      </c>
      <c r="S54" s="54">
        <f ca="1">IFERROR(__xludf.DUMMYFUNCTION("""COMPUTED_VALUE"""),0)</f>
        <v>0</v>
      </c>
      <c r="T54" s="53"/>
      <c r="U54" s="51" t="str">
        <f t="shared" ca="1" si="6"/>
        <v/>
      </c>
      <c r="V54" s="53"/>
      <c r="W54" s="51" t="str">
        <f t="shared" ca="1" si="7"/>
        <v/>
      </c>
      <c r="X54" s="53"/>
      <c r="Y54" s="51" t="str">
        <f t="shared" ca="1" si="8"/>
        <v/>
      </c>
      <c r="Z54" s="2"/>
      <c r="AA54" s="2"/>
      <c r="AB54" s="2"/>
      <c r="AC54" s="2"/>
      <c r="AD54" s="2"/>
      <c r="AE54" s="2"/>
    </row>
    <row r="55" spans="1:31" ht="12.75" x14ac:dyDescent="0.2">
      <c r="A55" s="53">
        <f ca="1">IFERROR(__xludf.DUMMYFUNCTION("""COMPUTED_VALUE"""),18)</f>
        <v>18</v>
      </c>
      <c r="B55" s="53" t="str">
        <f ca="1">IFERROR(__xludf.DUMMYFUNCTION("""COMPUTED_VALUE"""),"MN Họa Mi")</f>
        <v>MN Họa Mi</v>
      </c>
      <c r="C55" s="53" t="str">
        <f ca="1">IFERROR(__xludf.DUMMYFUNCTION("""COMPUTED_VALUE"""),"An Phú Tây")</f>
        <v>An Phú Tây</v>
      </c>
      <c r="D55" s="53" t="str">
        <f ca="1">IFERROR(__xludf.DUMMYFUNCTION("""COMPUTED_VALUE"""),"MN")</f>
        <v>MN</v>
      </c>
      <c r="E55" s="54" t="str">
        <f ca="1">IFERROR(__xludf.DUMMYFUNCTION("""COMPUTED_VALUE"""),"Bình Chánh")</f>
        <v>Bình Chánh</v>
      </c>
      <c r="F55" s="54">
        <f ca="1">IFERROR(__xludf.DUMMYFUNCTION("""COMPUTED_VALUE"""),28)</f>
        <v>28</v>
      </c>
      <c r="G55" s="51" t="str">
        <f t="shared" ca="1" si="0"/>
        <v/>
      </c>
      <c r="H55" s="54">
        <f ca="1">IFERROR(__xludf.DUMMYFUNCTION("""COMPUTED_VALUE"""),28)</f>
        <v>28</v>
      </c>
      <c r="I55" s="51" t="str">
        <f t="shared" ca="1" si="1"/>
        <v/>
      </c>
      <c r="J55" s="54">
        <f ca="1">IFERROR(__xludf.DUMMYFUNCTION("""COMPUTED_VALUE"""),28)</f>
        <v>28</v>
      </c>
      <c r="K55" s="51" t="str">
        <f t="shared" ca="1" si="2"/>
        <v/>
      </c>
      <c r="L55" s="54">
        <f ca="1">IFERROR(__xludf.DUMMYFUNCTION("""COMPUTED_VALUE"""),16)</f>
        <v>16</v>
      </c>
      <c r="M55" s="51" t="str">
        <f t="shared" ca="1" si="3"/>
        <v/>
      </c>
      <c r="N55" s="54">
        <f ca="1">IFERROR(__xludf.DUMMYFUNCTION("""COMPUTED_VALUE"""),0)</f>
        <v>0</v>
      </c>
      <c r="O55" s="54">
        <f ca="1">IFERROR(__xludf.DUMMYFUNCTION("""COMPUTED_VALUE"""),64)</f>
        <v>64</v>
      </c>
      <c r="P55" s="51" t="str">
        <f t="shared" ca="1" si="4"/>
        <v/>
      </c>
      <c r="Q55" s="54">
        <f ca="1">IFERROR(__xludf.DUMMYFUNCTION("""COMPUTED_VALUE"""),8)</f>
        <v>8</v>
      </c>
      <c r="R55" s="51" t="str">
        <f t="shared" ca="1" si="5"/>
        <v/>
      </c>
      <c r="S55" s="54">
        <f ca="1">IFERROR(__xludf.DUMMYFUNCTION("""COMPUTED_VALUE"""),0)</f>
        <v>0</v>
      </c>
      <c r="T55" s="53"/>
      <c r="U55" s="51" t="str">
        <f t="shared" ca="1" si="6"/>
        <v/>
      </c>
      <c r="V55" s="53"/>
      <c r="W55" s="51" t="str">
        <f t="shared" ca="1" si="7"/>
        <v/>
      </c>
      <c r="X55" s="53"/>
      <c r="Y55" s="51" t="str">
        <f t="shared" ca="1" si="8"/>
        <v/>
      </c>
      <c r="Z55" s="2"/>
      <c r="AA55" s="2"/>
      <c r="AB55" s="2"/>
      <c r="AC55" s="2"/>
      <c r="AD55" s="2"/>
      <c r="AE55" s="2"/>
    </row>
    <row r="56" spans="1:31" ht="12.75" x14ac:dyDescent="0.2">
      <c r="A56" s="53">
        <f ca="1">IFERROR(__xludf.DUMMYFUNCTION("""COMPUTED_VALUE"""),19)</f>
        <v>19</v>
      </c>
      <c r="B56" s="53" t="str">
        <f ca="1">IFERROR(__xludf.DUMMYFUNCTION("""COMPUTED_VALUE"""),"MN Ty Vy")</f>
        <v>MN Ty Vy</v>
      </c>
      <c r="C56" s="53" t="str">
        <f ca="1">IFERROR(__xludf.DUMMYFUNCTION("""COMPUTED_VALUE"""),"An Phú Tây")</f>
        <v>An Phú Tây</v>
      </c>
      <c r="D56" s="53" t="str">
        <f ca="1">IFERROR(__xludf.DUMMYFUNCTION("""COMPUTED_VALUE"""),"MN")</f>
        <v>MN</v>
      </c>
      <c r="E56" s="54" t="str">
        <f ca="1">IFERROR(__xludf.DUMMYFUNCTION("""COMPUTED_VALUE"""),"Bình Chánh")</f>
        <v>Bình Chánh</v>
      </c>
      <c r="F56" s="54">
        <f ca="1">IFERROR(__xludf.DUMMYFUNCTION("""COMPUTED_VALUE"""),14)</f>
        <v>14</v>
      </c>
      <c r="G56" s="51" t="str">
        <f t="shared" ca="1" si="0"/>
        <v/>
      </c>
      <c r="H56" s="54">
        <f ca="1">IFERROR(__xludf.DUMMYFUNCTION("""COMPUTED_VALUE"""),14)</f>
        <v>14</v>
      </c>
      <c r="I56" s="51" t="str">
        <f t="shared" ca="1" si="1"/>
        <v/>
      </c>
      <c r="J56" s="54">
        <f ca="1">IFERROR(__xludf.DUMMYFUNCTION("""COMPUTED_VALUE"""),14)</f>
        <v>14</v>
      </c>
      <c r="K56" s="51" t="str">
        <f t="shared" ca="1" si="2"/>
        <v/>
      </c>
      <c r="L56" s="54">
        <f ca="1">IFERROR(__xludf.DUMMYFUNCTION("""COMPUTED_VALUE"""),6)</f>
        <v>6</v>
      </c>
      <c r="M56" s="51" t="str">
        <f t="shared" ca="1" si="3"/>
        <v/>
      </c>
      <c r="N56" s="54">
        <f ca="1">IFERROR(__xludf.DUMMYFUNCTION("""COMPUTED_VALUE"""),0)</f>
        <v>0</v>
      </c>
      <c r="O56" s="54">
        <f ca="1">IFERROR(__xludf.DUMMYFUNCTION("""COMPUTED_VALUE"""),78)</f>
        <v>78</v>
      </c>
      <c r="P56" s="51" t="str">
        <f t="shared" ca="1" si="4"/>
        <v/>
      </c>
      <c r="Q56" s="54">
        <f ca="1">IFERROR(__xludf.DUMMYFUNCTION("""COMPUTED_VALUE"""),7)</f>
        <v>7</v>
      </c>
      <c r="R56" s="51" t="str">
        <f t="shared" ca="1" si="5"/>
        <v/>
      </c>
      <c r="S56" s="54">
        <f ca="1">IFERROR(__xludf.DUMMYFUNCTION("""COMPUTED_VALUE"""),0)</f>
        <v>0</v>
      </c>
      <c r="T56" s="53"/>
      <c r="U56" s="51" t="str">
        <f t="shared" ca="1" si="6"/>
        <v/>
      </c>
      <c r="V56" s="53"/>
      <c r="W56" s="51" t="str">
        <f t="shared" ca="1" si="7"/>
        <v/>
      </c>
      <c r="X56" s="53"/>
      <c r="Y56" s="51" t="str">
        <f t="shared" ca="1" si="8"/>
        <v/>
      </c>
      <c r="Z56" s="2"/>
      <c r="AA56" s="2"/>
      <c r="AB56" s="2"/>
      <c r="AC56" s="2"/>
      <c r="AD56" s="2"/>
      <c r="AE56" s="2"/>
    </row>
    <row r="57" spans="1:31" ht="12.75" x14ac:dyDescent="0.2">
      <c r="A57" s="53">
        <f ca="1">IFERROR(__xludf.DUMMYFUNCTION("""COMPUTED_VALUE"""),20)</f>
        <v>20</v>
      </c>
      <c r="B57" s="53" t="str">
        <f ca="1">IFERROR(__xludf.DUMMYFUNCTION("""COMPUTED_VALUE"""),"MN Ngôi Sao Tương Lai")</f>
        <v>MN Ngôi Sao Tương Lai</v>
      </c>
      <c r="C57" s="53" t="str">
        <f ca="1">IFERROR(__xludf.DUMMYFUNCTION("""COMPUTED_VALUE"""),"An Phú Tây")</f>
        <v>An Phú Tây</v>
      </c>
      <c r="D57" s="53" t="str">
        <f ca="1">IFERROR(__xludf.DUMMYFUNCTION("""COMPUTED_VALUE"""),"MN")</f>
        <v>MN</v>
      </c>
      <c r="E57" s="54" t="str">
        <f ca="1">IFERROR(__xludf.DUMMYFUNCTION("""COMPUTED_VALUE"""),"Bình Chánh")</f>
        <v>Bình Chánh</v>
      </c>
      <c r="F57" s="54">
        <f ca="1">IFERROR(__xludf.DUMMYFUNCTION("""COMPUTED_VALUE"""),13)</f>
        <v>13</v>
      </c>
      <c r="G57" s="51" t="str">
        <f t="shared" ca="1" si="0"/>
        <v/>
      </c>
      <c r="H57" s="54">
        <f ca="1">IFERROR(__xludf.DUMMYFUNCTION("""COMPUTED_VALUE"""),13)</f>
        <v>13</v>
      </c>
      <c r="I57" s="51" t="str">
        <f t="shared" ca="1" si="1"/>
        <v/>
      </c>
      <c r="J57" s="54">
        <f ca="1">IFERROR(__xludf.DUMMYFUNCTION("""COMPUTED_VALUE"""),13)</f>
        <v>13</v>
      </c>
      <c r="K57" s="51" t="str">
        <f t="shared" ca="1" si="2"/>
        <v/>
      </c>
      <c r="L57" s="54">
        <f ca="1">IFERROR(__xludf.DUMMYFUNCTION("""COMPUTED_VALUE"""),13)</f>
        <v>13</v>
      </c>
      <c r="M57" s="51" t="str">
        <f t="shared" ca="1" si="3"/>
        <v/>
      </c>
      <c r="N57" s="54">
        <f ca="1">IFERROR(__xludf.DUMMYFUNCTION("""COMPUTED_VALUE"""),0)</f>
        <v>0</v>
      </c>
      <c r="O57" s="54">
        <f ca="1">IFERROR(__xludf.DUMMYFUNCTION("""COMPUTED_VALUE"""),8)</f>
        <v>8</v>
      </c>
      <c r="P57" s="51" t="str">
        <f t="shared" ca="1" si="4"/>
        <v/>
      </c>
      <c r="Q57" s="54">
        <f ca="1">IFERROR(__xludf.DUMMYFUNCTION("""COMPUTED_VALUE"""),0)</f>
        <v>0</v>
      </c>
      <c r="R57" s="51" t="str">
        <f t="shared" ca="1" si="5"/>
        <v/>
      </c>
      <c r="S57" s="54">
        <f ca="1">IFERROR(__xludf.DUMMYFUNCTION("""COMPUTED_VALUE"""),0)</f>
        <v>0</v>
      </c>
      <c r="T57" s="53"/>
      <c r="U57" s="51" t="str">
        <f t="shared" ca="1" si="6"/>
        <v/>
      </c>
      <c r="V57" s="53"/>
      <c r="W57" s="51" t="str">
        <f t="shared" ca="1" si="7"/>
        <v/>
      </c>
      <c r="X57" s="53"/>
      <c r="Y57" s="51" t="str">
        <f t="shared" ca="1" si="8"/>
        <v/>
      </c>
      <c r="Z57" s="2"/>
      <c r="AA57" s="2"/>
      <c r="AB57" s="2"/>
      <c r="AC57" s="2"/>
      <c r="AD57" s="2"/>
      <c r="AE57" s="2"/>
    </row>
    <row r="58" spans="1:31" ht="12.75" x14ac:dyDescent="0.2">
      <c r="A58" s="53">
        <f ca="1">IFERROR(__xludf.DUMMYFUNCTION("""COMPUTED_VALUE"""),21)</f>
        <v>21</v>
      </c>
      <c r="B58" s="53" t="str">
        <f ca="1">IFERROR(__xludf.DUMMYFUNCTION("""COMPUTED_VALUE"""),"MN Minh Thư")</f>
        <v>MN Minh Thư</v>
      </c>
      <c r="C58" s="53" t="str">
        <f ca="1">IFERROR(__xludf.DUMMYFUNCTION("""COMPUTED_VALUE"""),"Tân Kiên")</f>
        <v>Tân Kiên</v>
      </c>
      <c r="D58" s="53" t="str">
        <f ca="1">IFERROR(__xludf.DUMMYFUNCTION("""COMPUTED_VALUE"""),"MN")</f>
        <v>MN</v>
      </c>
      <c r="E58" s="54" t="str">
        <f ca="1">IFERROR(__xludf.DUMMYFUNCTION("""COMPUTED_VALUE"""),"Bình Chánh")</f>
        <v>Bình Chánh</v>
      </c>
      <c r="F58" s="54">
        <f ca="1">IFERROR(__xludf.DUMMYFUNCTION("""COMPUTED_VALUE"""),10)</f>
        <v>10</v>
      </c>
      <c r="G58" s="51" t="str">
        <f t="shared" ca="1" si="0"/>
        <v/>
      </c>
      <c r="H58" s="54">
        <f ca="1">IFERROR(__xludf.DUMMYFUNCTION("""COMPUTED_VALUE"""),10)</f>
        <v>10</v>
      </c>
      <c r="I58" s="51" t="str">
        <f t="shared" ca="1" si="1"/>
        <v/>
      </c>
      <c r="J58" s="54">
        <f ca="1">IFERROR(__xludf.DUMMYFUNCTION("""COMPUTED_VALUE"""),10)</f>
        <v>10</v>
      </c>
      <c r="K58" s="51" t="str">
        <f t="shared" ca="1" si="2"/>
        <v/>
      </c>
      <c r="L58" s="54">
        <f ca="1">IFERROR(__xludf.DUMMYFUNCTION("""COMPUTED_VALUE"""),9)</f>
        <v>9</v>
      </c>
      <c r="M58" s="51" t="str">
        <f t="shared" ca="1" si="3"/>
        <v/>
      </c>
      <c r="N58" s="54">
        <f ca="1">IFERROR(__xludf.DUMMYFUNCTION("""COMPUTED_VALUE"""),0)</f>
        <v>0</v>
      </c>
      <c r="O58" s="54">
        <f ca="1">IFERROR(__xludf.DUMMYFUNCTION("""COMPUTED_VALUE"""),22)</f>
        <v>22</v>
      </c>
      <c r="P58" s="51" t="str">
        <f t="shared" ca="1" si="4"/>
        <v/>
      </c>
      <c r="Q58" s="54">
        <f ca="1">IFERROR(__xludf.DUMMYFUNCTION("""COMPUTED_VALUE"""),5)</f>
        <v>5</v>
      </c>
      <c r="R58" s="51" t="str">
        <f t="shared" ca="1" si="5"/>
        <v/>
      </c>
      <c r="S58" s="54">
        <f ca="1">IFERROR(__xludf.DUMMYFUNCTION("""COMPUTED_VALUE"""),0)</f>
        <v>0</v>
      </c>
      <c r="T58" s="53"/>
      <c r="U58" s="51" t="str">
        <f t="shared" ca="1" si="6"/>
        <v/>
      </c>
      <c r="V58" s="53"/>
      <c r="W58" s="51" t="str">
        <f t="shared" ca="1" si="7"/>
        <v/>
      </c>
      <c r="X58" s="53"/>
      <c r="Y58" s="51" t="str">
        <f t="shared" ca="1" si="8"/>
        <v/>
      </c>
      <c r="Z58" s="2"/>
      <c r="AA58" s="2"/>
      <c r="AB58" s="2"/>
      <c r="AC58" s="2"/>
      <c r="AD58" s="2"/>
      <c r="AE58" s="2"/>
    </row>
    <row r="59" spans="1:31" ht="12.75" x14ac:dyDescent="0.2">
      <c r="A59" s="53">
        <f ca="1">IFERROR(__xludf.DUMMYFUNCTION("""COMPUTED_VALUE"""),22)</f>
        <v>22</v>
      </c>
      <c r="B59" s="53" t="str">
        <f ca="1">IFERROR(__xludf.DUMMYFUNCTION("""COMPUTED_VALUE"""),"MN Hoa Hướng Dương")</f>
        <v>MN Hoa Hướng Dương</v>
      </c>
      <c r="C59" s="53" t="str">
        <f ca="1">IFERROR(__xludf.DUMMYFUNCTION("""COMPUTED_VALUE"""),"Tân Kiên")</f>
        <v>Tân Kiên</v>
      </c>
      <c r="D59" s="53" t="str">
        <f ca="1">IFERROR(__xludf.DUMMYFUNCTION("""COMPUTED_VALUE"""),"MN")</f>
        <v>MN</v>
      </c>
      <c r="E59" s="54" t="str">
        <f ca="1">IFERROR(__xludf.DUMMYFUNCTION("""COMPUTED_VALUE"""),"Bình Chánh")</f>
        <v>Bình Chánh</v>
      </c>
      <c r="F59" s="54">
        <f ca="1">IFERROR(__xludf.DUMMYFUNCTION("""COMPUTED_VALUE"""),20)</f>
        <v>20</v>
      </c>
      <c r="G59" s="51" t="str">
        <f t="shared" ca="1" si="0"/>
        <v/>
      </c>
      <c r="H59" s="54">
        <f ca="1">IFERROR(__xludf.DUMMYFUNCTION("""COMPUTED_VALUE"""),20)</f>
        <v>20</v>
      </c>
      <c r="I59" s="51" t="str">
        <f t="shared" ca="1" si="1"/>
        <v/>
      </c>
      <c r="J59" s="54">
        <f ca="1">IFERROR(__xludf.DUMMYFUNCTION("""COMPUTED_VALUE"""),20)</f>
        <v>20</v>
      </c>
      <c r="K59" s="51" t="str">
        <f t="shared" ca="1" si="2"/>
        <v/>
      </c>
      <c r="L59" s="54">
        <f ca="1">IFERROR(__xludf.DUMMYFUNCTION("""COMPUTED_VALUE"""),20)</f>
        <v>20</v>
      </c>
      <c r="M59" s="51" t="str">
        <f t="shared" ca="1" si="3"/>
        <v/>
      </c>
      <c r="N59" s="54">
        <f ca="1">IFERROR(__xludf.DUMMYFUNCTION("""COMPUTED_VALUE"""),4)</f>
        <v>4</v>
      </c>
      <c r="O59" s="54">
        <f ca="1">IFERROR(__xludf.DUMMYFUNCTION("""COMPUTED_VALUE"""),44)</f>
        <v>44</v>
      </c>
      <c r="P59" s="51">
        <f t="shared" ca="1" si="4"/>
        <v>11</v>
      </c>
      <c r="Q59" s="54">
        <f ca="1">IFERROR(__xludf.DUMMYFUNCTION("""COMPUTED_VALUE"""),22)</f>
        <v>22</v>
      </c>
      <c r="R59" s="51">
        <f t="shared" ca="1" si="5"/>
        <v>5.5</v>
      </c>
      <c r="S59" s="54">
        <f ca="1">IFERROR(__xludf.DUMMYFUNCTION("""COMPUTED_VALUE"""),16)</f>
        <v>16</v>
      </c>
      <c r="T59" s="53"/>
      <c r="U59" s="51">
        <f t="shared" ca="1" si="6"/>
        <v>0</v>
      </c>
      <c r="V59" s="53"/>
      <c r="W59" s="51">
        <f t="shared" ca="1" si="7"/>
        <v>0</v>
      </c>
      <c r="X59" s="53"/>
      <c r="Y59" s="51">
        <f t="shared" ca="1" si="8"/>
        <v>0</v>
      </c>
      <c r="Z59" s="2"/>
      <c r="AA59" s="2"/>
      <c r="AB59" s="2"/>
      <c r="AC59" s="2"/>
      <c r="AD59" s="2"/>
      <c r="AE59" s="2"/>
    </row>
    <row r="60" spans="1:31" ht="12.75" x14ac:dyDescent="0.2">
      <c r="A60" s="53">
        <f ca="1">IFERROR(__xludf.DUMMYFUNCTION("""COMPUTED_VALUE"""),23)</f>
        <v>23</v>
      </c>
      <c r="B60" s="53" t="str">
        <f ca="1">IFERROR(__xludf.DUMMYFUNCTION("""COMPUTED_VALUE"""),"MN Hoa Quỳnh")</f>
        <v>MN Hoa Quỳnh</v>
      </c>
      <c r="C60" s="53" t="str">
        <f ca="1">IFERROR(__xludf.DUMMYFUNCTION("""COMPUTED_VALUE"""),"Tân Kiên")</f>
        <v>Tân Kiên</v>
      </c>
      <c r="D60" s="53" t="str">
        <f ca="1">IFERROR(__xludf.DUMMYFUNCTION("""COMPUTED_VALUE"""),"MN")</f>
        <v>MN</v>
      </c>
      <c r="E60" s="54" t="str">
        <f ca="1">IFERROR(__xludf.DUMMYFUNCTION("""COMPUTED_VALUE"""),"Bình Chánh")</f>
        <v>Bình Chánh</v>
      </c>
      <c r="F60" s="54">
        <f ca="1">IFERROR(__xludf.DUMMYFUNCTION("""COMPUTED_VALUE"""),39)</f>
        <v>39</v>
      </c>
      <c r="G60" s="51" t="str">
        <f t="shared" ca="1" si="0"/>
        <v/>
      </c>
      <c r="H60" s="54">
        <f ca="1">IFERROR(__xludf.DUMMYFUNCTION("""COMPUTED_VALUE"""),39)</f>
        <v>39</v>
      </c>
      <c r="I60" s="51" t="str">
        <f t="shared" ca="1" si="1"/>
        <v/>
      </c>
      <c r="J60" s="54">
        <f ca="1">IFERROR(__xludf.DUMMYFUNCTION("""COMPUTED_VALUE"""),39)</f>
        <v>39</v>
      </c>
      <c r="K60" s="51" t="str">
        <f t="shared" ca="1" si="2"/>
        <v/>
      </c>
      <c r="L60" s="54">
        <f ca="1">IFERROR(__xludf.DUMMYFUNCTION("""COMPUTED_VALUE"""),39)</f>
        <v>39</v>
      </c>
      <c r="M60" s="51" t="str">
        <f t="shared" ca="1" si="3"/>
        <v/>
      </c>
      <c r="N60" s="54">
        <f ca="1">IFERROR(__xludf.DUMMYFUNCTION("""COMPUTED_VALUE"""),0)</f>
        <v>0</v>
      </c>
      <c r="O60" s="54">
        <f ca="1">IFERROR(__xludf.DUMMYFUNCTION("""COMPUTED_VALUE"""),162)</f>
        <v>162</v>
      </c>
      <c r="P60" s="51" t="str">
        <f t="shared" ca="1" si="4"/>
        <v/>
      </c>
      <c r="Q60" s="54">
        <f ca="1">IFERROR(__xludf.DUMMYFUNCTION("""COMPUTED_VALUE"""),63)</f>
        <v>63</v>
      </c>
      <c r="R60" s="51" t="str">
        <f t="shared" ca="1" si="5"/>
        <v/>
      </c>
      <c r="S60" s="54">
        <f ca="1">IFERROR(__xludf.DUMMYFUNCTION("""COMPUTED_VALUE"""),0)</f>
        <v>0</v>
      </c>
      <c r="T60" s="53"/>
      <c r="U60" s="51" t="str">
        <f t="shared" ca="1" si="6"/>
        <v/>
      </c>
      <c r="V60" s="53"/>
      <c r="W60" s="51" t="str">
        <f t="shared" ca="1" si="7"/>
        <v/>
      </c>
      <c r="X60" s="53"/>
      <c r="Y60" s="51" t="str">
        <f t="shared" ca="1" si="8"/>
        <v/>
      </c>
      <c r="Z60" s="2"/>
      <c r="AA60" s="2"/>
      <c r="AB60" s="2"/>
      <c r="AC60" s="2"/>
      <c r="AD60" s="2"/>
      <c r="AE60" s="2"/>
    </row>
    <row r="61" spans="1:31" ht="12.75" x14ac:dyDescent="0.2">
      <c r="A61" s="53">
        <f ca="1">IFERROR(__xludf.DUMMYFUNCTION("""COMPUTED_VALUE"""),24)</f>
        <v>24</v>
      </c>
      <c r="B61" s="53" t="str">
        <f ca="1">IFERROR(__xludf.DUMMYFUNCTION("""COMPUTED_VALUE"""),"MN Mặt Trời Đỏ")</f>
        <v>MN Mặt Trời Đỏ</v>
      </c>
      <c r="C61" s="53" t="str">
        <f ca="1">IFERROR(__xludf.DUMMYFUNCTION("""COMPUTED_VALUE"""),"Tân Kiên")</f>
        <v>Tân Kiên</v>
      </c>
      <c r="D61" s="53" t="str">
        <f ca="1">IFERROR(__xludf.DUMMYFUNCTION("""COMPUTED_VALUE"""),"MN")</f>
        <v>MN</v>
      </c>
      <c r="E61" s="54" t="str">
        <f ca="1">IFERROR(__xludf.DUMMYFUNCTION("""COMPUTED_VALUE"""),"Bình Chánh")</f>
        <v>Bình Chánh</v>
      </c>
      <c r="F61" s="54">
        <f ca="1">IFERROR(__xludf.DUMMYFUNCTION("""COMPUTED_VALUE"""),12)</f>
        <v>12</v>
      </c>
      <c r="G61" s="51" t="str">
        <f t="shared" ca="1" si="0"/>
        <v/>
      </c>
      <c r="H61" s="54">
        <f ca="1">IFERROR(__xludf.DUMMYFUNCTION("""COMPUTED_VALUE"""),12)</f>
        <v>12</v>
      </c>
      <c r="I61" s="51" t="str">
        <f t="shared" ca="1" si="1"/>
        <v/>
      </c>
      <c r="J61" s="54">
        <f ca="1">IFERROR(__xludf.DUMMYFUNCTION("""COMPUTED_VALUE"""),12)</f>
        <v>12</v>
      </c>
      <c r="K61" s="51" t="str">
        <f t="shared" ca="1" si="2"/>
        <v/>
      </c>
      <c r="L61" s="54">
        <f ca="1">IFERROR(__xludf.DUMMYFUNCTION("""COMPUTED_VALUE"""),12)</f>
        <v>12</v>
      </c>
      <c r="M61" s="51" t="str">
        <f t="shared" ca="1" si="3"/>
        <v/>
      </c>
      <c r="N61" s="54">
        <f ca="1">IFERROR(__xludf.DUMMYFUNCTION("""COMPUTED_VALUE"""),0)</f>
        <v>0</v>
      </c>
      <c r="O61" s="54">
        <f ca="1">IFERROR(__xludf.DUMMYFUNCTION("""COMPUTED_VALUE"""),22)</f>
        <v>22</v>
      </c>
      <c r="P61" s="51" t="str">
        <f t="shared" ca="1" si="4"/>
        <v/>
      </c>
      <c r="Q61" s="54">
        <f ca="1">IFERROR(__xludf.DUMMYFUNCTION("""COMPUTED_VALUE"""),14)</f>
        <v>14</v>
      </c>
      <c r="R61" s="51" t="str">
        <f t="shared" ca="1" si="5"/>
        <v/>
      </c>
      <c r="S61" s="54">
        <f ca="1">IFERROR(__xludf.DUMMYFUNCTION("""COMPUTED_VALUE"""),0)</f>
        <v>0</v>
      </c>
      <c r="T61" s="53"/>
      <c r="U61" s="51" t="str">
        <f t="shared" ca="1" si="6"/>
        <v/>
      </c>
      <c r="V61" s="53"/>
      <c r="W61" s="51" t="str">
        <f t="shared" ca="1" si="7"/>
        <v/>
      </c>
      <c r="X61" s="53"/>
      <c r="Y61" s="51" t="str">
        <f t="shared" ca="1" si="8"/>
        <v/>
      </c>
      <c r="Z61" s="2"/>
      <c r="AA61" s="2"/>
      <c r="AB61" s="2"/>
      <c r="AC61" s="2"/>
      <c r="AD61" s="2"/>
      <c r="AE61" s="2"/>
    </row>
    <row r="62" spans="1:31" ht="12.75" x14ac:dyDescent="0.2">
      <c r="A62" s="53">
        <f ca="1">IFERROR(__xludf.DUMMYFUNCTION("""COMPUTED_VALUE"""),25)</f>
        <v>25</v>
      </c>
      <c r="B62" s="53" t="str">
        <f ca="1">IFERROR(__xludf.DUMMYFUNCTION("""COMPUTED_VALUE"""),"MN Hoa Thiên Tuế")</f>
        <v>MN Hoa Thiên Tuế</v>
      </c>
      <c r="C62" s="53" t="str">
        <f ca="1">IFERROR(__xludf.DUMMYFUNCTION("""COMPUTED_VALUE"""),"Lê Minh Xuân")</f>
        <v>Lê Minh Xuân</v>
      </c>
      <c r="D62" s="53" t="str">
        <f ca="1">IFERROR(__xludf.DUMMYFUNCTION("""COMPUTED_VALUE"""),"MN")</f>
        <v>MN</v>
      </c>
      <c r="E62" s="54" t="str">
        <f ca="1">IFERROR(__xludf.DUMMYFUNCTION("""COMPUTED_VALUE"""),"Bình Chánh")</f>
        <v>Bình Chánh</v>
      </c>
      <c r="F62" s="54">
        <f ca="1">IFERROR(__xludf.DUMMYFUNCTION("""COMPUTED_VALUE"""),10)</f>
        <v>10</v>
      </c>
      <c r="G62" s="51" t="str">
        <f t="shared" ca="1" si="0"/>
        <v/>
      </c>
      <c r="H62" s="54">
        <f ca="1">IFERROR(__xludf.DUMMYFUNCTION("""COMPUTED_VALUE"""),10)</f>
        <v>10</v>
      </c>
      <c r="I62" s="51" t="str">
        <f t="shared" ca="1" si="1"/>
        <v/>
      </c>
      <c r="J62" s="54">
        <f ca="1">IFERROR(__xludf.DUMMYFUNCTION("""COMPUTED_VALUE"""),10)</f>
        <v>10</v>
      </c>
      <c r="K62" s="51" t="str">
        <f t="shared" ca="1" si="2"/>
        <v/>
      </c>
      <c r="L62" s="54">
        <f ca="1">IFERROR(__xludf.DUMMYFUNCTION("""COMPUTED_VALUE"""),9)</f>
        <v>9</v>
      </c>
      <c r="M62" s="51" t="str">
        <f t="shared" ca="1" si="3"/>
        <v/>
      </c>
      <c r="N62" s="54">
        <f ca="1">IFERROR(__xludf.DUMMYFUNCTION("""COMPUTED_VALUE"""),0)</f>
        <v>0</v>
      </c>
      <c r="O62" s="54">
        <f ca="1">IFERROR(__xludf.DUMMYFUNCTION("""COMPUTED_VALUE"""),3)</f>
        <v>3</v>
      </c>
      <c r="P62" s="51" t="str">
        <f t="shared" ca="1" si="4"/>
        <v/>
      </c>
      <c r="Q62" s="54">
        <f ca="1">IFERROR(__xludf.DUMMYFUNCTION("""COMPUTED_VALUE"""),0)</f>
        <v>0</v>
      </c>
      <c r="R62" s="51" t="str">
        <f t="shared" ca="1" si="5"/>
        <v/>
      </c>
      <c r="S62" s="54">
        <f ca="1">IFERROR(__xludf.DUMMYFUNCTION("""COMPUTED_VALUE"""),0)</f>
        <v>0</v>
      </c>
      <c r="T62" s="53"/>
      <c r="U62" s="51" t="str">
        <f t="shared" ca="1" si="6"/>
        <v/>
      </c>
      <c r="V62" s="53"/>
      <c r="W62" s="51" t="str">
        <f t="shared" ca="1" si="7"/>
        <v/>
      </c>
      <c r="X62" s="53"/>
      <c r="Y62" s="51" t="str">
        <f t="shared" ca="1" si="8"/>
        <v/>
      </c>
      <c r="Z62" s="2"/>
      <c r="AA62" s="2"/>
      <c r="AB62" s="2"/>
      <c r="AC62" s="2"/>
      <c r="AD62" s="2"/>
      <c r="AE62" s="2"/>
    </row>
    <row r="63" spans="1:31" ht="12.75" x14ac:dyDescent="0.2">
      <c r="A63" s="53">
        <f ca="1">IFERROR(__xludf.DUMMYFUNCTION("""COMPUTED_VALUE"""),26)</f>
        <v>26</v>
      </c>
      <c r="B63" s="53" t="str">
        <f ca="1">IFERROR(__xludf.DUMMYFUNCTION("""COMPUTED_VALUE"""),"MN Thiên Ân")</f>
        <v>MN Thiên Ân</v>
      </c>
      <c r="C63" s="53" t="str">
        <f ca="1">IFERROR(__xludf.DUMMYFUNCTION("""COMPUTED_VALUE"""),"Lê Minh Xuân")</f>
        <v>Lê Minh Xuân</v>
      </c>
      <c r="D63" s="53" t="str">
        <f ca="1">IFERROR(__xludf.DUMMYFUNCTION("""COMPUTED_VALUE"""),"MN")</f>
        <v>MN</v>
      </c>
      <c r="E63" s="54" t="str">
        <f ca="1">IFERROR(__xludf.DUMMYFUNCTION("""COMPUTED_VALUE"""),"Bình Chánh")</f>
        <v>Bình Chánh</v>
      </c>
      <c r="F63" s="54">
        <f ca="1">IFERROR(__xludf.DUMMYFUNCTION("""COMPUTED_VALUE"""),16)</f>
        <v>16</v>
      </c>
      <c r="G63" s="51" t="str">
        <f t="shared" ca="1" si="0"/>
        <v/>
      </c>
      <c r="H63" s="54">
        <f ca="1">IFERROR(__xludf.DUMMYFUNCTION("""COMPUTED_VALUE"""),16)</f>
        <v>16</v>
      </c>
      <c r="I63" s="51" t="str">
        <f t="shared" ca="1" si="1"/>
        <v/>
      </c>
      <c r="J63" s="54">
        <f ca="1">IFERROR(__xludf.DUMMYFUNCTION("""COMPUTED_VALUE"""),16)</f>
        <v>16</v>
      </c>
      <c r="K63" s="51" t="str">
        <f t="shared" ca="1" si="2"/>
        <v/>
      </c>
      <c r="L63" s="54">
        <f ca="1">IFERROR(__xludf.DUMMYFUNCTION("""COMPUTED_VALUE"""),16)</f>
        <v>16</v>
      </c>
      <c r="M63" s="51" t="str">
        <f t="shared" ca="1" si="3"/>
        <v/>
      </c>
      <c r="N63" s="54">
        <f ca="1">IFERROR(__xludf.DUMMYFUNCTION("""COMPUTED_VALUE"""),0)</f>
        <v>0</v>
      </c>
      <c r="O63" s="54">
        <f ca="1">IFERROR(__xludf.DUMMYFUNCTION("""COMPUTED_VALUE"""),60)</f>
        <v>60</v>
      </c>
      <c r="P63" s="51" t="str">
        <f t="shared" ca="1" si="4"/>
        <v/>
      </c>
      <c r="Q63" s="54">
        <f ca="1">IFERROR(__xludf.DUMMYFUNCTION("""COMPUTED_VALUE"""),37)</f>
        <v>37</v>
      </c>
      <c r="R63" s="51" t="str">
        <f t="shared" ca="1" si="5"/>
        <v/>
      </c>
      <c r="S63" s="54">
        <f ca="1">IFERROR(__xludf.DUMMYFUNCTION("""COMPUTED_VALUE"""),0)</f>
        <v>0</v>
      </c>
      <c r="T63" s="53"/>
      <c r="U63" s="51" t="str">
        <f t="shared" ca="1" si="6"/>
        <v/>
      </c>
      <c r="V63" s="53"/>
      <c r="W63" s="51" t="str">
        <f t="shared" ca="1" si="7"/>
        <v/>
      </c>
      <c r="X63" s="53"/>
      <c r="Y63" s="51" t="str">
        <f t="shared" ca="1" si="8"/>
        <v/>
      </c>
      <c r="Z63" s="2"/>
      <c r="AA63" s="2"/>
      <c r="AB63" s="2"/>
      <c r="AC63" s="2"/>
      <c r="AD63" s="2"/>
      <c r="AE63" s="2"/>
    </row>
    <row r="64" spans="1:31" ht="12.75" x14ac:dyDescent="0.2">
      <c r="A64" s="53">
        <f ca="1">IFERROR(__xludf.DUMMYFUNCTION("""COMPUTED_VALUE"""),27)</f>
        <v>27</v>
      </c>
      <c r="B64" s="53" t="str">
        <f ca="1">IFERROR(__xludf.DUMMYFUNCTION("""COMPUTED_VALUE"""),"MG Bình Minh")</f>
        <v>MG Bình Minh</v>
      </c>
      <c r="C64" s="53" t="str">
        <f ca="1">IFERROR(__xludf.DUMMYFUNCTION("""COMPUTED_VALUE"""),"Vĩnh Lộc A")</f>
        <v>Vĩnh Lộc A</v>
      </c>
      <c r="D64" s="53" t="str">
        <f ca="1">IFERROR(__xludf.DUMMYFUNCTION("""COMPUTED_VALUE"""),"MN")</f>
        <v>MN</v>
      </c>
      <c r="E64" s="54" t="str">
        <f ca="1">IFERROR(__xludf.DUMMYFUNCTION("""COMPUTED_VALUE"""),"Bình Chánh")</f>
        <v>Bình Chánh</v>
      </c>
      <c r="F64" s="54">
        <f ca="1">IFERROR(__xludf.DUMMYFUNCTION("""COMPUTED_VALUE"""),40)</f>
        <v>40</v>
      </c>
      <c r="G64" s="51" t="str">
        <f t="shared" ca="1" si="0"/>
        <v/>
      </c>
      <c r="H64" s="54">
        <f ca="1">IFERROR(__xludf.DUMMYFUNCTION("""COMPUTED_VALUE"""),40)</f>
        <v>40</v>
      </c>
      <c r="I64" s="51" t="str">
        <f t="shared" ca="1" si="1"/>
        <v/>
      </c>
      <c r="J64" s="54">
        <f ca="1">IFERROR(__xludf.DUMMYFUNCTION("""COMPUTED_VALUE"""),40)</f>
        <v>40</v>
      </c>
      <c r="K64" s="51" t="str">
        <f t="shared" ca="1" si="2"/>
        <v/>
      </c>
      <c r="L64" s="54">
        <f ca="1">IFERROR(__xludf.DUMMYFUNCTION("""COMPUTED_VALUE"""),30)</f>
        <v>30</v>
      </c>
      <c r="M64" s="51" t="str">
        <f t="shared" ca="1" si="3"/>
        <v/>
      </c>
      <c r="N64" s="54">
        <f ca="1">IFERROR(__xludf.DUMMYFUNCTION("""COMPUTED_VALUE"""),0)</f>
        <v>0</v>
      </c>
      <c r="O64" s="54">
        <f ca="1">IFERROR(__xludf.DUMMYFUNCTION("""COMPUTED_VALUE"""),230)</f>
        <v>230</v>
      </c>
      <c r="P64" s="51" t="str">
        <f t="shared" ca="1" si="4"/>
        <v/>
      </c>
      <c r="Q64" s="54">
        <f ca="1">IFERROR(__xludf.DUMMYFUNCTION("""COMPUTED_VALUE"""),52)</f>
        <v>52</v>
      </c>
      <c r="R64" s="51" t="str">
        <f t="shared" ca="1" si="5"/>
        <v/>
      </c>
      <c r="S64" s="54">
        <f ca="1">IFERROR(__xludf.DUMMYFUNCTION("""COMPUTED_VALUE"""),9)</f>
        <v>9</v>
      </c>
      <c r="T64" s="53"/>
      <c r="U64" s="51">
        <f t="shared" ca="1" si="6"/>
        <v>0</v>
      </c>
      <c r="V64" s="53"/>
      <c r="W64" s="51">
        <f t="shared" ca="1" si="7"/>
        <v>0</v>
      </c>
      <c r="X64" s="53"/>
      <c r="Y64" s="51">
        <f t="shared" ca="1" si="8"/>
        <v>0</v>
      </c>
      <c r="Z64" s="2"/>
      <c r="AA64" s="2"/>
      <c r="AB64" s="2"/>
      <c r="AC64" s="2"/>
      <c r="AD64" s="2"/>
      <c r="AE64" s="2"/>
    </row>
    <row r="65" spans="1:31" ht="12.75" x14ac:dyDescent="0.2">
      <c r="A65" s="53">
        <f ca="1">IFERROR(__xludf.DUMMYFUNCTION("""COMPUTED_VALUE"""),28)</f>
        <v>28</v>
      </c>
      <c r="B65" s="53" t="str">
        <f ca="1">IFERROR(__xludf.DUMMYFUNCTION("""COMPUTED_VALUE"""),"MN Việt Mỹ")</f>
        <v>MN Việt Mỹ</v>
      </c>
      <c r="C65" s="53" t="str">
        <f ca="1">IFERROR(__xludf.DUMMYFUNCTION("""COMPUTED_VALUE"""),"Vĩnh Lộc A")</f>
        <v>Vĩnh Lộc A</v>
      </c>
      <c r="D65" s="53" t="str">
        <f ca="1">IFERROR(__xludf.DUMMYFUNCTION("""COMPUTED_VALUE"""),"MN")</f>
        <v>MN</v>
      </c>
      <c r="E65" s="53" t="str">
        <f ca="1">IFERROR(__xludf.DUMMYFUNCTION("""COMPUTED_VALUE"""),"Bình Chánh")</f>
        <v>Bình Chánh</v>
      </c>
      <c r="F65" s="53">
        <f ca="1">IFERROR(__xludf.DUMMYFUNCTION("""COMPUTED_VALUE"""),82)</f>
        <v>82</v>
      </c>
      <c r="G65" s="51" t="str">
        <f t="shared" ca="1" si="0"/>
        <v/>
      </c>
      <c r="H65" s="53">
        <f ca="1">IFERROR(__xludf.DUMMYFUNCTION("""COMPUTED_VALUE"""),82)</f>
        <v>82</v>
      </c>
      <c r="I65" s="51" t="str">
        <f t="shared" ca="1" si="1"/>
        <v/>
      </c>
      <c r="J65" s="53">
        <f ca="1">IFERROR(__xludf.DUMMYFUNCTION("""COMPUTED_VALUE"""),82)</f>
        <v>82</v>
      </c>
      <c r="K65" s="51" t="str">
        <f t="shared" ca="1" si="2"/>
        <v/>
      </c>
      <c r="L65" s="53">
        <f ca="1">IFERROR(__xludf.DUMMYFUNCTION("""COMPUTED_VALUE"""),82)</f>
        <v>82</v>
      </c>
      <c r="M65" s="51" t="str">
        <f t="shared" ca="1" si="3"/>
        <v/>
      </c>
      <c r="N65" s="54">
        <f ca="1">IFERROR(__xludf.DUMMYFUNCTION("""COMPUTED_VALUE"""),0)</f>
        <v>0</v>
      </c>
      <c r="O65" s="54">
        <f ca="1">IFERROR(__xludf.DUMMYFUNCTION("""COMPUTED_VALUE"""),172)</f>
        <v>172</v>
      </c>
      <c r="P65" s="51" t="str">
        <f t="shared" ca="1" si="4"/>
        <v/>
      </c>
      <c r="Q65" s="54">
        <f ca="1">IFERROR(__xludf.DUMMYFUNCTION("""COMPUTED_VALUE"""),45)</f>
        <v>45</v>
      </c>
      <c r="R65" s="51" t="str">
        <f t="shared" ca="1" si="5"/>
        <v/>
      </c>
      <c r="S65" s="54">
        <f ca="1">IFERROR(__xludf.DUMMYFUNCTION("""COMPUTED_VALUE"""),9)</f>
        <v>9</v>
      </c>
      <c r="T65" s="53"/>
      <c r="U65" s="51">
        <f t="shared" ca="1" si="6"/>
        <v>0</v>
      </c>
      <c r="V65" s="53"/>
      <c r="W65" s="51">
        <f t="shared" ca="1" si="7"/>
        <v>0</v>
      </c>
      <c r="X65" s="53"/>
      <c r="Y65" s="51">
        <f t="shared" ca="1" si="8"/>
        <v>0</v>
      </c>
      <c r="Z65" s="2"/>
      <c r="AA65" s="2"/>
      <c r="AB65" s="2"/>
      <c r="AC65" s="2"/>
      <c r="AD65" s="2"/>
      <c r="AE65" s="2"/>
    </row>
    <row r="66" spans="1:31" ht="12.75" x14ac:dyDescent="0.2">
      <c r="A66" s="53">
        <f ca="1">IFERROR(__xludf.DUMMYFUNCTION("""COMPUTED_VALUE"""),29)</f>
        <v>29</v>
      </c>
      <c r="B66" s="53"/>
      <c r="C66" s="53"/>
      <c r="D66" s="53" t="str">
        <f ca="1">IFERROR(__xludf.DUMMYFUNCTION("""COMPUTED_VALUE"""),"MN")</f>
        <v>MN</v>
      </c>
      <c r="E66" s="54" t="str">
        <f ca="1">IFERROR(__xludf.DUMMYFUNCTION("""COMPUTED_VALUE"""),"Bình Chánh")</f>
        <v>Bình Chánh</v>
      </c>
      <c r="F66" s="54">
        <f ca="1">IFERROR(__xludf.DUMMYFUNCTION("""COMPUTED_VALUE"""),11)</f>
        <v>11</v>
      </c>
      <c r="G66" s="51" t="str">
        <f t="shared" ca="1" si="0"/>
        <v/>
      </c>
      <c r="H66" s="54">
        <f ca="1">IFERROR(__xludf.DUMMYFUNCTION("""COMPUTED_VALUE"""),11)</f>
        <v>11</v>
      </c>
      <c r="I66" s="51" t="str">
        <f t="shared" ca="1" si="1"/>
        <v/>
      </c>
      <c r="J66" s="54">
        <f ca="1">IFERROR(__xludf.DUMMYFUNCTION("""COMPUTED_VALUE"""),11)</f>
        <v>11</v>
      </c>
      <c r="K66" s="51" t="str">
        <f t="shared" ca="1" si="2"/>
        <v/>
      </c>
      <c r="L66" s="54">
        <f ca="1">IFERROR(__xludf.DUMMYFUNCTION("""COMPUTED_VALUE"""),11)</f>
        <v>11</v>
      </c>
      <c r="M66" s="51" t="str">
        <f t="shared" ca="1" si="3"/>
        <v/>
      </c>
      <c r="N66" s="54">
        <f ca="1">IFERROR(__xludf.DUMMYFUNCTION("""COMPUTED_VALUE"""),0)</f>
        <v>0</v>
      </c>
      <c r="O66" s="54">
        <f ca="1">IFERROR(__xludf.DUMMYFUNCTION("""COMPUTED_VALUE"""),37)</f>
        <v>37</v>
      </c>
      <c r="P66" s="51" t="str">
        <f t="shared" ca="1" si="4"/>
        <v/>
      </c>
      <c r="Q66" s="54">
        <f ca="1">IFERROR(__xludf.DUMMYFUNCTION("""COMPUTED_VALUE"""),0)</f>
        <v>0</v>
      </c>
      <c r="R66" s="51" t="str">
        <f t="shared" ca="1" si="5"/>
        <v/>
      </c>
      <c r="S66" s="54">
        <f ca="1">IFERROR(__xludf.DUMMYFUNCTION("""COMPUTED_VALUE"""),0)</f>
        <v>0</v>
      </c>
      <c r="T66" s="53"/>
      <c r="U66" s="51" t="str">
        <f t="shared" ca="1" si="6"/>
        <v/>
      </c>
      <c r="V66" s="53"/>
      <c r="W66" s="51" t="str">
        <f t="shared" ca="1" si="7"/>
        <v/>
      </c>
      <c r="X66" s="53"/>
      <c r="Y66" s="51" t="str">
        <f t="shared" ca="1" si="8"/>
        <v/>
      </c>
      <c r="Z66" s="2"/>
      <c r="AA66" s="2"/>
      <c r="AB66" s="2"/>
      <c r="AC66" s="2"/>
      <c r="AD66" s="2"/>
      <c r="AE66" s="2"/>
    </row>
    <row r="67" spans="1:31" ht="12.75" x14ac:dyDescent="0.2">
      <c r="A67" s="53">
        <f ca="1">IFERROR(__xludf.DUMMYFUNCTION("""COMPUTED_VALUE"""),30)</f>
        <v>30</v>
      </c>
      <c r="B67" s="53" t="str">
        <f ca="1">IFERROR(__xludf.DUMMYFUNCTION("""COMPUTED_VALUE"""),"MN Việt Mỹ 3")</f>
        <v>MN Việt Mỹ 3</v>
      </c>
      <c r="C67" s="53" t="str">
        <f ca="1">IFERROR(__xludf.DUMMYFUNCTION("""COMPUTED_VALUE"""),"Vĩnh Lộc A")</f>
        <v>Vĩnh Lộc A</v>
      </c>
      <c r="D67" s="53" t="str">
        <f ca="1">IFERROR(__xludf.DUMMYFUNCTION("""COMPUTED_VALUE"""),"MN")</f>
        <v>MN</v>
      </c>
      <c r="E67" s="54" t="str">
        <f ca="1">IFERROR(__xludf.DUMMYFUNCTION("""COMPUTED_VALUE"""),"Bình Chánh")</f>
        <v>Bình Chánh</v>
      </c>
      <c r="F67" s="54">
        <f ca="1">IFERROR(__xludf.DUMMYFUNCTION("""COMPUTED_VALUE"""),38)</f>
        <v>38</v>
      </c>
      <c r="G67" s="51" t="str">
        <f t="shared" ca="1" si="0"/>
        <v/>
      </c>
      <c r="H67" s="54">
        <f ca="1">IFERROR(__xludf.DUMMYFUNCTION("""COMPUTED_VALUE"""),38)</f>
        <v>38</v>
      </c>
      <c r="I67" s="51" t="str">
        <f t="shared" ca="1" si="1"/>
        <v/>
      </c>
      <c r="J67" s="54">
        <f ca="1">IFERROR(__xludf.DUMMYFUNCTION("""COMPUTED_VALUE"""),38)</f>
        <v>38</v>
      </c>
      <c r="K67" s="51" t="str">
        <f t="shared" ca="1" si="2"/>
        <v/>
      </c>
      <c r="L67" s="54">
        <f ca="1">IFERROR(__xludf.DUMMYFUNCTION("""COMPUTED_VALUE"""),38)</f>
        <v>38</v>
      </c>
      <c r="M67" s="51" t="str">
        <f t="shared" ca="1" si="3"/>
        <v/>
      </c>
      <c r="N67" s="54">
        <f ca="1">IFERROR(__xludf.DUMMYFUNCTION("""COMPUTED_VALUE"""),0)</f>
        <v>0</v>
      </c>
      <c r="O67" s="54">
        <f ca="1">IFERROR(__xludf.DUMMYFUNCTION("""COMPUTED_VALUE"""),45)</f>
        <v>45</v>
      </c>
      <c r="P67" s="51" t="str">
        <f t="shared" ca="1" si="4"/>
        <v/>
      </c>
      <c r="Q67" s="54">
        <f ca="1">IFERROR(__xludf.DUMMYFUNCTION("""COMPUTED_VALUE"""),3)</f>
        <v>3</v>
      </c>
      <c r="R67" s="51" t="str">
        <f t="shared" ca="1" si="5"/>
        <v/>
      </c>
      <c r="S67" s="54">
        <f ca="1">IFERROR(__xludf.DUMMYFUNCTION("""COMPUTED_VALUE"""),14)</f>
        <v>14</v>
      </c>
      <c r="T67" s="53"/>
      <c r="U67" s="51">
        <f t="shared" ca="1" si="6"/>
        <v>0</v>
      </c>
      <c r="V67" s="53"/>
      <c r="W67" s="51">
        <f t="shared" ca="1" si="7"/>
        <v>0</v>
      </c>
      <c r="X67" s="53"/>
      <c r="Y67" s="51">
        <f t="shared" ca="1" si="8"/>
        <v>0</v>
      </c>
      <c r="Z67" s="2"/>
      <c r="AA67" s="2"/>
      <c r="AB67" s="2"/>
      <c r="AC67" s="2"/>
      <c r="AD67" s="2"/>
      <c r="AE67" s="2"/>
    </row>
    <row r="68" spans="1:31" ht="12.75" x14ac:dyDescent="0.2">
      <c r="A68" s="53">
        <f ca="1">IFERROR(__xludf.DUMMYFUNCTION("""COMPUTED_VALUE"""),31)</f>
        <v>31</v>
      </c>
      <c r="B68" s="53" t="str">
        <f ca="1">IFERROR(__xludf.DUMMYFUNCTION("""COMPUTED_VALUE"""),"MN Lan Nhi")</f>
        <v>MN Lan Nhi</v>
      </c>
      <c r="C68" s="53" t="str">
        <f ca="1">IFERROR(__xludf.DUMMYFUNCTION("""COMPUTED_VALUE"""),"Vĩnh Lộc B")</f>
        <v>Vĩnh Lộc B</v>
      </c>
      <c r="D68" s="53" t="str">
        <f ca="1">IFERROR(__xludf.DUMMYFUNCTION("""COMPUTED_VALUE"""),"MN")</f>
        <v>MN</v>
      </c>
      <c r="E68" s="54" t="str">
        <f ca="1">IFERROR(__xludf.DUMMYFUNCTION("""COMPUTED_VALUE"""),"Bình Chánh")</f>
        <v>Bình Chánh</v>
      </c>
      <c r="F68" s="54">
        <f ca="1">IFERROR(__xludf.DUMMYFUNCTION("""COMPUTED_VALUE"""),16)</f>
        <v>16</v>
      </c>
      <c r="G68" s="51" t="str">
        <f t="shared" ca="1" si="0"/>
        <v/>
      </c>
      <c r="H68" s="54">
        <f ca="1">IFERROR(__xludf.DUMMYFUNCTION("""COMPUTED_VALUE"""),16)</f>
        <v>16</v>
      </c>
      <c r="I68" s="51" t="str">
        <f t="shared" ca="1" si="1"/>
        <v/>
      </c>
      <c r="J68" s="54">
        <f ca="1">IFERROR(__xludf.DUMMYFUNCTION("""COMPUTED_VALUE"""),16)</f>
        <v>16</v>
      </c>
      <c r="K68" s="51" t="str">
        <f t="shared" ca="1" si="2"/>
        <v/>
      </c>
      <c r="L68" s="54">
        <f ca="1">IFERROR(__xludf.DUMMYFUNCTION("""COMPUTED_VALUE"""),14)</f>
        <v>14</v>
      </c>
      <c r="M68" s="51" t="str">
        <f t="shared" ca="1" si="3"/>
        <v/>
      </c>
      <c r="N68" s="54">
        <f ca="1">IFERROR(__xludf.DUMMYFUNCTION("""COMPUTED_VALUE"""),0)</f>
        <v>0</v>
      </c>
      <c r="O68" s="54">
        <f ca="1">IFERROR(__xludf.DUMMYFUNCTION("""COMPUTED_VALUE"""),64)</f>
        <v>64</v>
      </c>
      <c r="P68" s="51" t="str">
        <f t="shared" ca="1" si="4"/>
        <v/>
      </c>
      <c r="Q68" s="54">
        <f ca="1">IFERROR(__xludf.DUMMYFUNCTION("""COMPUTED_VALUE"""),29)</f>
        <v>29</v>
      </c>
      <c r="R68" s="51" t="str">
        <f t="shared" ca="1" si="5"/>
        <v/>
      </c>
      <c r="S68" s="54">
        <f ca="1">IFERROR(__xludf.DUMMYFUNCTION("""COMPUTED_VALUE"""),0)</f>
        <v>0</v>
      </c>
      <c r="T68" s="53"/>
      <c r="U68" s="51" t="str">
        <f t="shared" ca="1" si="6"/>
        <v/>
      </c>
      <c r="V68" s="53"/>
      <c r="W68" s="51" t="str">
        <f t="shared" ca="1" si="7"/>
        <v/>
      </c>
      <c r="X68" s="53"/>
      <c r="Y68" s="51" t="str">
        <f t="shared" ca="1" si="8"/>
        <v/>
      </c>
      <c r="Z68" s="2"/>
      <c r="AA68" s="2"/>
      <c r="AB68" s="2"/>
      <c r="AC68" s="2"/>
      <c r="AD68" s="2"/>
      <c r="AE68" s="2"/>
    </row>
    <row r="69" spans="1:31" ht="12.75" x14ac:dyDescent="0.2">
      <c r="A69" s="53">
        <f ca="1">IFERROR(__xludf.DUMMYFUNCTION("""COMPUTED_VALUE"""),32)</f>
        <v>32</v>
      </c>
      <c r="B69" s="53" t="str">
        <f ca="1">IFERROR(__xludf.DUMMYFUNCTION("""COMPUTED_VALUE"""),"MN An Bình")</f>
        <v>MN An Bình</v>
      </c>
      <c r="C69" s="53" t="str">
        <f ca="1">IFERROR(__xludf.DUMMYFUNCTION("""COMPUTED_VALUE"""),"Vĩnh Lộc B")</f>
        <v>Vĩnh Lộc B</v>
      </c>
      <c r="D69" s="53" t="str">
        <f ca="1">IFERROR(__xludf.DUMMYFUNCTION("""COMPUTED_VALUE"""),"MN")</f>
        <v>MN</v>
      </c>
      <c r="E69" s="54" t="str">
        <f ca="1">IFERROR(__xludf.DUMMYFUNCTION("""COMPUTED_VALUE"""),"Bình Chánh")</f>
        <v>Bình Chánh</v>
      </c>
      <c r="F69" s="54">
        <f ca="1">IFERROR(__xludf.DUMMYFUNCTION("""COMPUTED_VALUE"""),20)</f>
        <v>20</v>
      </c>
      <c r="G69" s="51" t="str">
        <f t="shared" ca="1" si="0"/>
        <v/>
      </c>
      <c r="H69" s="54">
        <f ca="1">IFERROR(__xludf.DUMMYFUNCTION("""COMPUTED_VALUE"""),20)</f>
        <v>20</v>
      </c>
      <c r="I69" s="51" t="str">
        <f t="shared" ca="1" si="1"/>
        <v/>
      </c>
      <c r="J69" s="54">
        <f ca="1">IFERROR(__xludf.DUMMYFUNCTION("""COMPUTED_VALUE"""),20)</f>
        <v>20</v>
      </c>
      <c r="K69" s="51" t="str">
        <f t="shared" ca="1" si="2"/>
        <v/>
      </c>
      <c r="L69" s="54">
        <f ca="1">IFERROR(__xludf.DUMMYFUNCTION("""COMPUTED_VALUE"""),17)</f>
        <v>17</v>
      </c>
      <c r="M69" s="51" t="str">
        <f t="shared" ca="1" si="3"/>
        <v/>
      </c>
      <c r="N69" s="54">
        <f ca="1">IFERROR(__xludf.DUMMYFUNCTION("""COMPUTED_VALUE"""),0)</f>
        <v>0</v>
      </c>
      <c r="O69" s="54">
        <f ca="1">IFERROR(__xludf.DUMMYFUNCTION("""COMPUTED_VALUE"""),44)</f>
        <v>44</v>
      </c>
      <c r="P69" s="51" t="str">
        <f t="shared" ca="1" si="4"/>
        <v/>
      </c>
      <c r="Q69" s="54">
        <f ca="1">IFERROR(__xludf.DUMMYFUNCTION("""COMPUTED_VALUE"""),0)</f>
        <v>0</v>
      </c>
      <c r="R69" s="51" t="str">
        <f t="shared" ca="1" si="5"/>
        <v/>
      </c>
      <c r="S69" s="54">
        <f ca="1">IFERROR(__xludf.DUMMYFUNCTION("""COMPUTED_VALUE"""),0)</f>
        <v>0</v>
      </c>
      <c r="T69" s="53"/>
      <c r="U69" s="51" t="str">
        <f t="shared" ca="1" si="6"/>
        <v/>
      </c>
      <c r="V69" s="53"/>
      <c r="W69" s="51" t="str">
        <f t="shared" ca="1" si="7"/>
        <v/>
      </c>
      <c r="X69" s="53"/>
      <c r="Y69" s="51" t="str">
        <f t="shared" ca="1" si="8"/>
        <v/>
      </c>
      <c r="Z69" s="2"/>
      <c r="AA69" s="2"/>
      <c r="AB69" s="2"/>
      <c r="AC69" s="2"/>
      <c r="AD69" s="2"/>
      <c r="AE69" s="2"/>
    </row>
    <row r="70" spans="1:31" ht="12.75" x14ac:dyDescent="0.2">
      <c r="A70" s="53">
        <f ca="1">IFERROR(__xludf.DUMMYFUNCTION("""COMPUTED_VALUE"""),33)</f>
        <v>33</v>
      </c>
      <c r="B70" s="53" t="str">
        <f ca="1">IFERROR(__xludf.DUMMYFUNCTION("""COMPUTED_VALUE"""),"MN Bông Hoa Nhỏ")</f>
        <v>MN Bông Hoa Nhỏ</v>
      </c>
      <c r="C70" s="53" t="str">
        <f ca="1">IFERROR(__xludf.DUMMYFUNCTION("""COMPUTED_VALUE"""),"Vĩnh Lộc B")</f>
        <v>Vĩnh Lộc B</v>
      </c>
      <c r="D70" s="53" t="str">
        <f ca="1">IFERROR(__xludf.DUMMYFUNCTION("""COMPUTED_VALUE"""),"MN")</f>
        <v>MN</v>
      </c>
      <c r="E70" s="54" t="str">
        <f ca="1">IFERROR(__xludf.DUMMYFUNCTION("""COMPUTED_VALUE"""),"Bình Chánh")</f>
        <v>Bình Chánh</v>
      </c>
      <c r="F70" s="54">
        <f ca="1">IFERROR(__xludf.DUMMYFUNCTION("""COMPUTED_VALUE"""),14)</f>
        <v>14</v>
      </c>
      <c r="G70" s="51" t="str">
        <f t="shared" ref="G70:G78" ca="1" si="9">IFERROR(F70/E70,"")</f>
        <v/>
      </c>
      <c r="H70" s="54">
        <f ca="1">IFERROR(__xludf.DUMMYFUNCTION("""COMPUTED_VALUE"""),14)</f>
        <v>14</v>
      </c>
      <c r="I70" s="51" t="str">
        <f t="shared" ref="I70:I78" ca="1" si="10">IFERROR(H70/E70,"")</f>
        <v/>
      </c>
      <c r="J70" s="54">
        <f ca="1">IFERROR(__xludf.DUMMYFUNCTION("""COMPUTED_VALUE"""),14)</f>
        <v>14</v>
      </c>
      <c r="K70" s="51" t="str">
        <f t="shared" ref="K70:K78" ca="1" si="11">IFERROR(J70/E70,"")</f>
        <v/>
      </c>
      <c r="L70" s="54">
        <f ca="1">IFERROR(__xludf.DUMMYFUNCTION("""COMPUTED_VALUE"""),14)</f>
        <v>14</v>
      </c>
      <c r="M70" s="51" t="str">
        <f t="shared" ref="M70:M78" ca="1" si="12">IFERROR(L70/E70,"")</f>
        <v/>
      </c>
      <c r="N70" s="54">
        <f ca="1">IFERROR(__xludf.DUMMYFUNCTION("""COMPUTED_VALUE"""),0)</f>
        <v>0</v>
      </c>
      <c r="O70" s="54">
        <f ca="1">IFERROR(__xludf.DUMMYFUNCTION("""COMPUTED_VALUE"""),74)</f>
        <v>74</v>
      </c>
      <c r="P70" s="51" t="str">
        <f t="shared" ref="P70:P78" ca="1" si="13">IFERROR(O70/N70,"")</f>
        <v/>
      </c>
      <c r="Q70" s="54">
        <f ca="1">IFERROR(__xludf.DUMMYFUNCTION("""COMPUTED_VALUE"""),8)</f>
        <v>8</v>
      </c>
      <c r="R70" s="51" t="str">
        <f t="shared" ref="R70:R78" ca="1" si="14">IFERROR(Q70/N70,"")</f>
        <v/>
      </c>
      <c r="S70" s="53">
        <f ca="1">IFERROR(__xludf.DUMMYFUNCTION("""COMPUTED_VALUE"""),0)</f>
        <v>0</v>
      </c>
      <c r="T70" s="53"/>
      <c r="U70" s="51" t="str">
        <f t="shared" ref="U70:U78" ca="1" si="15">IFERROR(T70/S70,"")</f>
        <v/>
      </c>
      <c r="V70" s="53"/>
      <c r="W70" s="51" t="str">
        <f t="shared" ref="W70:W78" ca="1" si="16">IFERROR(V70/S70,"")</f>
        <v/>
      </c>
      <c r="X70" s="53"/>
      <c r="Y70" s="51" t="str">
        <f t="shared" ref="Y70:Y78" ca="1" si="17">IFERROR(X70/S70,"")</f>
        <v/>
      </c>
      <c r="Z70" s="2"/>
      <c r="AA70" s="2"/>
      <c r="AB70" s="2"/>
      <c r="AC70" s="2"/>
      <c r="AD70" s="2"/>
      <c r="AE70" s="2"/>
    </row>
    <row r="71" spans="1:31" ht="12.75" x14ac:dyDescent="0.2">
      <c r="A71" s="53">
        <f ca="1">IFERROR(__xludf.DUMMYFUNCTION("""COMPUTED_VALUE"""),34)</f>
        <v>34</v>
      </c>
      <c r="B71" s="53" t="str">
        <f ca="1">IFERROR(__xludf.DUMMYFUNCTION("""COMPUTED_VALUE"""),"MN Việt Mỹ 4")</f>
        <v>MN Việt Mỹ 4</v>
      </c>
      <c r="C71" s="53" t="str">
        <f ca="1">IFERROR(__xludf.DUMMYFUNCTION("""COMPUTED_VALUE"""),"Vĩnh Lộc B")</f>
        <v>Vĩnh Lộc B</v>
      </c>
      <c r="D71" s="53" t="str">
        <f ca="1">IFERROR(__xludf.DUMMYFUNCTION("""COMPUTED_VALUE"""),"MN")</f>
        <v>MN</v>
      </c>
      <c r="E71" s="54" t="str">
        <f ca="1">IFERROR(__xludf.DUMMYFUNCTION("""COMPUTED_VALUE"""),"Bình Chánh")</f>
        <v>Bình Chánh</v>
      </c>
      <c r="F71" s="54">
        <f ca="1">IFERROR(__xludf.DUMMYFUNCTION("""COMPUTED_VALUE"""),29)</f>
        <v>29</v>
      </c>
      <c r="G71" s="51" t="str">
        <f t="shared" ca="1" si="9"/>
        <v/>
      </c>
      <c r="H71" s="54">
        <f ca="1">IFERROR(__xludf.DUMMYFUNCTION("""COMPUTED_VALUE"""),29)</f>
        <v>29</v>
      </c>
      <c r="I71" s="51" t="str">
        <f t="shared" ca="1" si="10"/>
        <v/>
      </c>
      <c r="J71" s="54">
        <f ca="1">IFERROR(__xludf.DUMMYFUNCTION("""COMPUTED_VALUE"""),29)</f>
        <v>29</v>
      </c>
      <c r="K71" s="51" t="str">
        <f t="shared" ca="1" si="11"/>
        <v/>
      </c>
      <c r="L71" s="54">
        <f ca="1">IFERROR(__xludf.DUMMYFUNCTION("""COMPUTED_VALUE"""),29)</f>
        <v>29</v>
      </c>
      <c r="M71" s="51" t="str">
        <f t="shared" ca="1" si="12"/>
        <v/>
      </c>
      <c r="N71" s="54">
        <f ca="1">IFERROR(__xludf.DUMMYFUNCTION("""COMPUTED_VALUE"""),0)</f>
        <v>0</v>
      </c>
      <c r="O71" s="54">
        <f ca="1">IFERROR(__xludf.DUMMYFUNCTION("""COMPUTED_VALUE"""),43)</f>
        <v>43</v>
      </c>
      <c r="P71" s="51" t="str">
        <f t="shared" ca="1" si="13"/>
        <v/>
      </c>
      <c r="Q71" s="54">
        <f ca="1">IFERROR(__xludf.DUMMYFUNCTION("""COMPUTED_VALUE"""),2)</f>
        <v>2</v>
      </c>
      <c r="R71" s="51" t="str">
        <f t="shared" ca="1" si="14"/>
        <v/>
      </c>
      <c r="S71" s="54">
        <f ca="1">IFERROR(__xludf.DUMMYFUNCTION("""COMPUTED_VALUE"""),0)</f>
        <v>0</v>
      </c>
      <c r="T71" s="53"/>
      <c r="U71" s="51" t="str">
        <f t="shared" ca="1" si="15"/>
        <v/>
      </c>
      <c r="V71" s="53"/>
      <c r="W71" s="51" t="str">
        <f t="shared" ca="1" si="16"/>
        <v/>
      </c>
      <c r="X71" s="53"/>
      <c r="Y71" s="51" t="str">
        <f t="shared" ca="1" si="17"/>
        <v/>
      </c>
      <c r="Z71" s="2"/>
      <c r="AA71" s="2"/>
      <c r="AB71" s="2"/>
      <c r="AC71" s="2"/>
      <c r="AD71" s="2"/>
      <c r="AE71" s="2"/>
    </row>
    <row r="72" spans="1:31" ht="12.75" x14ac:dyDescent="0.2">
      <c r="A72" s="53">
        <f ca="1">IFERROR(__xludf.DUMMYFUNCTION("""COMPUTED_VALUE"""),35)</f>
        <v>35</v>
      </c>
      <c r="B72" s="53" t="str">
        <f ca="1">IFERROR(__xludf.DUMMYFUNCTION("""COMPUTED_VALUE"""),"MN Lan Vy")</f>
        <v>MN Lan Vy</v>
      </c>
      <c r="C72" s="53" t="str">
        <f ca="1">IFERROR(__xludf.DUMMYFUNCTION("""COMPUTED_VALUE"""),"Vĩnh Lộc B")</f>
        <v>Vĩnh Lộc B</v>
      </c>
      <c r="D72" s="53" t="str">
        <f ca="1">IFERROR(__xludf.DUMMYFUNCTION("""COMPUTED_VALUE"""),"MN")</f>
        <v>MN</v>
      </c>
      <c r="E72" s="54" t="str">
        <f ca="1">IFERROR(__xludf.DUMMYFUNCTION("""COMPUTED_VALUE"""),"Bình Chánh")</f>
        <v>Bình Chánh</v>
      </c>
      <c r="F72" s="54">
        <f ca="1">IFERROR(__xludf.DUMMYFUNCTION("""COMPUTED_VALUE"""),21)</f>
        <v>21</v>
      </c>
      <c r="G72" s="51" t="str">
        <f t="shared" ca="1" si="9"/>
        <v/>
      </c>
      <c r="H72" s="54">
        <f ca="1">IFERROR(__xludf.DUMMYFUNCTION("""COMPUTED_VALUE"""),21)</f>
        <v>21</v>
      </c>
      <c r="I72" s="51" t="str">
        <f t="shared" ca="1" si="10"/>
        <v/>
      </c>
      <c r="J72" s="54">
        <f ca="1">IFERROR(__xludf.DUMMYFUNCTION("""COMPUTED_VALUE"""),21)</f>
        <v>21</v>
      </c>
      <c r="K72" s="51" t="str">
        <f t="shared" ca="1" si="11"/>
        <v/>
      </c>
      <c r="L72" s="54">
        <f ca="1">IFERROR(__xludf.DUMMYFUNCTION("""COMPUTED_VALUE"""),15)</f>
        <v>15</v>
      </c>
      <c r="M72" s="51" t="str">
        <f t="shared" ca="1" si="12"/>
        <v/>
      </c>
      <c r="N72" s="54">
        <f ca="1">IFERROR(__xludf.DUMMYFUNCTION("""COMPUTED_VALUE"""),0)</f>
        <v>0</v>
      </c>
      <c r="O72" s="54">
        <f ca="1">IFERROR(__xludf.DUMMYFUNCTION("""COMPUTED_VALUE"""),127)</f>
        <v>127</v>
      </c>
      <c r="P72" s="51" t="str">
        <f t="shared" ca="1" si="13"/>
        <v/>
      </c>
      <c r="Q72" s="54">
        <f ca="1">IFERROR(__xludf.DUMMYFUNCTION("""COMPUTED_VALUE"""),19)</f>
        <v>19</v>
      </c>
      <c r="R72" s="51" t="str">
        <f t="shared" ca="1" si="14"/>
        <v/>
      </c>
      <c r="S72" s="54">
        <f ca="1">IFERROR(__xludf.DUMMYFUNCTION("""COMPUTED_VALUE"""),0)</f>
        <v>0</v>
      </c>
      <c r="T72" s="53"/>
      <c r="U72" s="51" t="str">
        <f t="shared" ca="1" si="15"/>
        <v/>
      </c>
      <c r="V72" s="53"/>
      <c r="W72" s="51" t="str">
        <f t="shared" ca="1" si="16"/>
        <v/>
      </c>
      <c r="X72" s="53"/>
      <c r="Y72" s="51" t="str">
        <f t="shared" ca="1" si="17"/>
        <v/>
      </c>
      <c r="Z72" s="2"/>
      <c r="AA72" s="2"/>
      <c r="AB72" s="2"/>
      <c r="AC72" s="2"/>
      <c r="AD72" s="2"/>
      <c r="AE72" s="2"/>
    </row>
    <row r="73" spans="1:31" ht="12.75" x14ac:dyDescent="0.2">
      <c r="A73" s="53">
        <f ca="1">IFERROR(__xludf.DUMMYFUNCTION("""COMPUTED_VALUE"""),36)</f>
        <v>36</v>
      </c>
      <c r="B73" s="53" t="str">
        <f ca="1">IFERROR(__xludf.DUMMYFUNCTION("""COMPUTED_VALUE"""),"MN Anh Duy")</f>
        <v>MN Anh Duy</v>
      </c>
      <c r="C73" s="53" t="str">
        <f ca="1">IFERROR(__xludf.DUMMYFUNCTION("""COMPUTED_VALUE"""),"Phạm Văn Hai")</f>
        <v>Phạm Văn Hai</v>
      </c>
      <c r="D73" s="53" t="str">
        <f ca="1">IFERROR(__xludf.DUMMYFUNCTION("""COMPUTED_VALUE"""),"MN")</f>
        <v>MN</v>
      </c>
      <c r="E73" s="54" t="str">
        <f ca="1">IFERROR(__xludf.DUMMYFUNCTION("""COMPUTED_VALUE"""),"Bình Chánh")</f>
        <v>Bình Chánh</v>
      </c>
      <c r="F73" s="54">
        <f ca="1">IFERROR(__xludf.DUMMYFUNCTION("""COMPUTED_VALUE"""),9)</f>
        <v>9</v>
      </c>
      <c r="G73" s="51" t="str">
        <f t="shared" ca="1" si="9"/>
        <v/>
      </c>
      <c r="H73" s="54">
        <f ca="1">IFERROR(__xludf.DUMMYFUNCTION("""COMPUTED_VALUE"""),9)</f>
        <v>9</v>
      </c>
      <c r="I73" s="51" t="str">
        <f t="shared" ca="1" si="10"/>
        <v/>
      </c>
      <c r="J73" s="54">
        <f ca="1">IFERROR(__xludf.DUMMYFUNCTION("""COMPUTED_VALUE"""),9)</f>
        <v>9</v>
      </c>
      <c r="K73" s="51" t="str">
        <f t="shared" ca="1" si="11"/>
        <v/>
      </c>
      <c r="L73" s="54">
        <f ca="1">IFERROR(__xludf.DUMMYFUNCTION("""COMPUTED_VALUE"""),7)</f>
        <v>7</v>
      </c>
      <c r="M73" s="51" t="str">
        <f t="shared" ca="1" si="12"/>
        <v/>
      </c>
      <c r="N73" s="54">
        <f ca="1">IFERROR(__xludf.DUMMYFUNCTION("""COMPUTED_VALUE"""),0)</f>
        <v>0</v>
      </c>
      <c r="O73" s="54">
        <f ca="1">IFERROR(__xludf.DUMMYFUNCTION("""COMPUTED_VALUE"""),10)</f>
        <v>10</v>
      </c>
      <c r="P73" s="51" t="str">
        <f t="shared" ca="1" si="13"/>
        <v/>
      </c>
      <c r="Q73" s="54">
        <f ca="1">IFERROR(__xludf.DUMMYFUNCTION("""COMPUTED_VALUE"""),7)</f>
        <v>7</v>
      </c>
      <c r="R73" s="51" t="str">
        <f t="shared" ca="1" si="14"/>
        <v/>
      </c>
      <c r="S73" s="54">
        <f ca="1">IFERROR(__xludf.DUMMYFUNCTION("""COMPUTED_VALUE"""),0)</f>
        <v>0</v>
      </c>
      <c r="T73" s="53"/>
      <c r="U73" s="51" t="str">
        <f t="shared" ca="1" si="15"/>
        <v/>
      </c>
      <c r="V73" s="53"/>
      <c r="W73" s="51" t="str">
        <f t="shared" ca="1" si="16"/>
        <v/>
      </c>
      <c r="X73" s="53"/>
      <c r="Y73" s="51" t="str">
        <f t="shared" ca="1" si="17"/>
        <v/>
      </c>
      <c r="Z73" s="2"/>
      <c r="AA73" s="2"/>
      <c r="AB73" s="2"/>
      <c r="AC73" s="2"/>
      <c r="AD73" s="2"/>
      <c r="AE73" s="2"/>
    </row>
    <row r="74" spans="1:31" ht="12.75" x14ac:dyDescent="0.2">
      <c r="A74" s="53">
        <f ca="1">IFERROR(__xludf.DUMMYFUNCTION("""COMPUTED_VALUE"""),37)</f>
        <v>37</v>
      </c>
      <c r="B74" s="53"/>
      <c r="C74" s="53"/>
      <c r="D74" s="53" t="str">
        <f ca="1">IFERROR(__xludf.DUMMYFUNCTION("""COMPUTED_VALUE"""),"MN")</f>
        <v>MN</v>
      </c>
      <c r="E74" s="54" t="str">
        <f ca="1">IFERROR(__xludf.DUMMYFUNCTION("""COMPUTED_VALUE"""),"Bình Chánh")</f>
        <v>Bình Chánh</v>
      </c>
      <c r="F74" s="54">
        <f ca="1">IFERROR(__xludf.DUMMYFUNCTION("""COMPUTED_VALUE"""),10)</f>
        <v>10</v>
      </c>
      <c r="G74" s="51" t="str">
        <f t="shared" ca="1" si="9"/>
        <v/>
      </c>
      <c r="H74" s="54">
        <f ca="1">IFERROR(__xludf.DUMMYFUNCTION("""COMPUTED_VALUE"""),10)</f>
        <v>10</v>
      </c>
      <c r="I74" s="51" t="str">
        <f t="shared" ca="1" si="10"/>
        <v/>
      </c>
      <c r="J74" s="54">
        <f ca="1">IFERROR(__xludf.DUMMYFUNCTION("""COMPUTED_VALUE"""),10)</f>
        <v>10</v>
      </c>
      <c r="K74" s="51" t="str">
        <f t="shared" ca="1" si="11"/>
        <v/>
      </c>
      <c r="L74" s="54">
        <f ca="1">IFERROR(__xludf.DUMMYFUNCTION("""COMPUTED_VALUE"""),10)</f>
        <v>10</v>
      </c>
      <c r="M74" s="51" t="str">
        <f t="shared" ca="1" si="12"/>
        <v/>
      </c>
      <c r="N74" s="54">
        <f ca="1">IFERROR(__xludf.DUMMYFUNCTION("""COMPUTED_VALUE"""),0)</f>
        <v>0</v>
      </c>
      <c r="O74" s="54">
        <f ca="1">IFERROR(__xludf.DUMMYFUNCTION("""COMPUTED_VALUE"""),21)</f>
        <v>21</v>
      </c>
      <c r="P74" s="51" t="str">
        <f t="shared" ca="1" si="13"/>
        <v/>
      </c>
      <c r="Q74" s="54">
        <f ca="1">IFERROR(__xludf.DUMMYFUNCTION("""COMPUTED_VALUE"""),10)</f>
        <v>10</v>
      </c>
      <c r="R74" s="51" t="str">
        <f t="shared" ca="1" si="14"/>
        <v/>
      </c>
      <c r="S74" s="54">
        <f ca="1">IFERROR(__xludf.DUMMYFUNCTION("""COMPUTED_VALUE"""),0)</f>
        <v>0</v>
      </c>
      <c r="T74" s="53"/>
      <c r="U74" s="51" t="str">
        <f t="shared" ca="1" si="15"/>
        <v/>
      </c>
      <c r="V74" s="53"/>
      <c r="W74" s="51" t="str">
        <f t="shared" ca="1" si="16"/>
        <v/>
      </c>
      <c r="X74" s="53"/>
      <c r="Y74" s="51" t="str">
        <f t="shared" ca="1" si="17"/>
        <v/>
      </c>
      <c r="Z74" s="2"/>
      <c r="AA74" s="2"/>
      <c r="AB74" s="2"/>
      <c r="AC74" s="2"/>
      <c r="AD74" s="2"/>
      <c r="AE74" s="2"/>
    </row>
    <row r="75" spans="1:31" ht="12.75" x14ac:dyDescent="0.2">
      <c r="A75" s="55" t="str">
        <f ca="1">IFERROR(__xludf.DUMMYFUNCTION("""COMPUTED_VALUE"""),"Cộng tường TT")</f>
        <v>Cộng tường TT</v>
      </c>
      <c r="B75" s="53"/>
      <c r="C75" s="53"/>
      <c r="D75" s="53"/>
      <c r="E75" s="53"/>
      <c r="F75" s="54">
        <f ca="1">IFERROR(__xludf.DUMMYFUNCTION("""COMPUTED_VALUE"""),822)</f>
        <v>822</v>
      </c>
      <c r="G75" s="51" t="str">
        <f t="shared" ca="1" si="9"/>
        <v/>
      </c>
      <c r="H75" s="54">
        <f ca="1">IFERROR(__xludf.DUMMYFUNCTION("""COMPUTED_VALUE"""),822)</f>
        <v>822</v>
      </c>
      <c r="I75" s="51" t="str">
        <f t="shared" ca="1" si="10"/>
        <v/>
      </c>
      <c r="J75" s="54">
        <f ca="1">IFERROR(__xludf.DUMMYFUNCTION("""COMPUTED_VALUE"""),821)</f>
        <v>821</v>
      </c>
      <c r="K75" s="51" t="str">
        <f t="shared" ca="1" si="11"/>
        <v/>
      </c>
      <c r="L75" s="54">
        <f ca="1">IFERROR(__xludf.DUMMYFUNCTION("""COMPUTED_VALUE"""),744)</f>
        <v>744</v>
      </c>
      <c r="M75" s="51" t="str">
        <f t="shared" ca="1" si="12"/>
        <v/>
      </c>
      <c r="N75" s="54">
        <f ca="1">IFERROR(__xludf.DUMMYFUNCTION("""COMPUTED_VALUE"""),21)</f>
        <v>21</v>
      </c>
      <c r="O75" s="54">
        <f ca="1">IFERROR(__xludf.DUMMYFUNCTION("""COMPUTED_VALUE"""),1948)</f>
        <v>1948</v>
      </c>
      <c r="P75" s="51">
        <f t="shared" ca="1" si="13"/>
        <v>92.761904761904759</v>
      </c>
      <c r="Q75" s="54">
        <f ca="1">IFERROR(__xludf.DUMMYFUNCTION("""COMPUTED_VALUE"""),402)</f>
        <v>402</v>
      </c>
      <c r="R75" s="51">
        <f t="shared" ca="1" si="14"/>
        <v>19.142857142857142</v>
      </c>
      <c r="S75" s="54">
        <f ca="1">IFERROR(__xludf.DUMMYFUNCTION("""COMPUTED_VALUE"""),64)</f>
        <v>64</v>
      </c>
      <c r="T75" s="53"/>
      <c r="U75" s="51">
        <f t="shared" ca="1" si="15"/>
        <v>0</v>
      </c>
      <c r="V75" s="53"/>
      <c r="W75" s="51">
        <f t="shared" ca="1" si="16"/>
        <v>0</v>
      </c>
      <c r="X75" s="53"/>
      <c r="Y75" s="51">
        <f t="shared" ca="1" si="17"/>
        <v>0</v>
      </c>
      <c r="Z75" s="2"/>
      <c r="AA75" s="2"/>
      <c r="AB75" s="2"/>
      <c r="AC75" s="2"/>
      <c r="AD75" s="2"/>
      <c r="AE75" s="2"/>
    </row>
    <row r="76" spans="1:31" ht="12.75" x14ac:dyDescent="0.2">
      <c r="A76" s="53">
        <f ca="1">IFERROR(__xludf.DUMMYFUNCTION("""COMPUTED_VALUE"""),1)</f>
        <v>1</v>
      </c>
      <c r="B76" s="53"/>
      <c r="C76" s="53"/>
      <c r="D76" s="53" t="str">
        <f ca="1">IFERROR(__xludf.DUMMYFUNCTION("""COMPUTED_VALUE"""),"MN")</f>
        <v>MN</v>
      </c>
      <c r="E76" s="54" t="str">
        <f ca="1">IFERROR(__xludf.DUMMYFUNCTION("""COMPUTED_VALUE"""),"Bình Chánh")</f>
        <v>Bình Chánh</v>
      </c>
      <c r="F76" s="54">
        <f ca="1">IFERROR(__xludf.DUMMYFUNCTION("""COMPUTED_VALUE"""),8)</f>
        <v>8</v>
      </c>
      <c r="G76" s="51" t="str">
        <f t="shared" ca="1" si="9"/>
        <v/>
      </c>
      <c r="H76" s="54">
        <f ca="1">IFERROR(__xludf.DUMMYFUNCTION("""COMPUTED_VALUE"""),8)</f>
        <v>8</v>
      </c>
      <c r="I76" s="51" t="str">
        <f t="shared" ca="1" si="10"/>
        <v/>
      </c>
      <c r="J76" s="54">
        <f ca="1">IFERROR(__xludf.DUMMYFUNCTION("""COMPUTED_VALUE"""),8)</f>
        <v>8</v>
      </c>
      <c r="K76" s="51" t="str">
        <f t="shared" ca="1" si="11"/>
        <v/>
      </c>
      <c r="L76" s="54">
        <f ca="1">IFERROR(__xludf.DUMMYFUNCTION("""COMPUTED_VALUE"""),8)</f>
        <v>8</v>
      </c>
      <c r="M76" s="51" t="str">
        <f t="shared" ca="1" si="12"/>
        <v/>
      </c>
      <c r="N76" s="54">
        <f ca="1">IFERROR(__xludf.DUMMYFUNCTION("""COMPUTED_VALUE"""),0)</f>
        <v>0</v>
      </c>
      <c r="O76" s="54">
        <f ca="1">IFERROR(__xludf.DUMMYFUNCTION("""COMPUTED_VALUE"""),23)</f>
        <v>23</v>
      </c>
      <c r="P76" s="51" t="str">
        <f t="shared" ca="1" si="13"/>
        <v/>
      </c>
      <c r="Q76" s="54">
        <f ca="1">IFERROR(__xludf.DUMMYFUNCTION("""COMPUTED_VALUE"""),0)</f>
        <v>0</v>
      </c>
      <c r="R76" s="51" t="str">
        <f t="shared" ca="1" si="14"/>
        <v/>
      </c>
      <c r="S76" s="54">
        <f ca="1">IFERROR(__xludf.DUMMYFUNCTION("""COMPUTED_VALUE"""),0)</f>
        <v>0</v>
      </c>
      <c r="T76" s="53"/>
      <c r="U76" s="51" t="str">
        <f t="shared" ca="1" si="15"/>
        <v/>
      </c>
      <c r="V76" s="53"/>
      <c r="W76" s="51" t="str">
        <f t="shared" ca="1" si="16"/>
        <v/>
      </c>
      <c r="X76" s="53"/>
      <c r="Y76" s="51" t="str">
        <f t="shared" ca="1" si="17"/>
        <v/>
      </c>
      <c r="Z76" s="2"/>
      <c r="AA76" s="2"/>
      <c r="AB76" s="2"/>
      <c r="AC76" s="2"/>
      <c r="AD76" s="2"/>
      <c r="AE76" s="2"/>
    </row>
    <row r="77" spans="1:31" ht="12.75" x14ac:dyDescent="0.2">
      <c r="A77" s="53">
        <f ca="1">IFERROR(__xludf.DUMMYFUNCTION("""COMPUTED_VALUE"""),2)</f>
        <v>2</v>
      </c>
      <c r="B77" s="53" t="str">
        <f ca="1">IFERROR(__xludf.DUMMYFUNCTION("""COMPUTED_VALUE"""),"Lớp MN Đồ Rê Mí")</f>
        <v>Lớp MN Đồ Rê Mí</v>
      </c>
      <c r="C77" s="53" t="str">
        <f ca="1">IFERROR(__xludf.DUMMYFUNCTION("""COMPUTED_VALUE"""),"Bình Hưng")</f>
        <v>Bình Hưng</v>
      </c>
      <c r="D77" s="53" t="str">
        <f ca="1">IFERROR(__xludf.DUMMYFUNCTION("""COMPUTED_VALUE"""),"MN")</f>
        <v>MN</v>
      </c>
      <c r="E77" s="54" t="str">
        <f ca="1">IFERROR(__xludf.DUMMYFUNCTION("""COMPUTED_VALUE"""),"Bình Chánh")</f>
        <v>Bình Chánh</v>
      </c>
      <c r="F77" s="54">
        <f ca="1">IFERROR(__xludf.DUMMYFUNCTION("""COMPUTED_VALUE"""),10)</f>
        <v>10</v>
      </c>
      <c r="G77" s="51" t="str">
        <f t="shared" ca="1" si="9"/>
        <v/>
      </c>
      <c r="H77" s="54">
        <f ca="1">IFERROR(__xludf.DUMMYFUNCTION("""COMPUTED_VALUE"""),10)</f>
        <v>10</v>
      </c>
      <c r="I77" s="51" t="str">
        <f t="shared" ca="1" si="10"/>
        <v/>
      </c>
      <c r="J77" s="54">
        <f ca="1">IFERROR(__xludf.DUMMYFUNCTION("""COMPUTED_VALUE"""),10)</f>
        <v>10</v>
      </c>
      <c r="K77" s="51" t="str">
        <f t="shared" ca="1" si="11"/>
        <v/>
      </c>
      <c r="L77" s="54">
        <f ca="1">IFERROR(__xludf.DUMMYFUNCTION("""COMPUTED_VALUE"""),10)</f>
        <v>10</v>
      </c>
      <c r="M77" s="51" t="str">
        <f t="shared" ca="1" si="12"/>
        <v/>
      </c>
      <c r="N77" s="54">
        <f ca="1">IFERROR(__xludf.DUMMYFUNCTION("""COMPUTED_VALUE"""),0)</f>
        <v>0</v>
      </c>
      <c r="O77" s="54">
        <f ca="1">IFERROR(__xludf.DUMMYFUNCTION("""COMPUTED_VALUE"""),25)</f>
        <v>25</v>
      </c>
      <c r="P77" s="51" t="str">
        <f t="shared" ca="1" si="13"/>
        <v/>
      </c>
      <c r="Q77" s="54">
        <f ca="1">IFERROR(__xludf.DUMMYFUNCTION("""COMPUTED_VALUE"""),0)</f>
        <v>0</v>
      </c>
      <c r="R77" s="51" t="str">
        <f t="shared" ca="1" si="14"/>
        <v/>
      </c>
      <c r="S77" s="54">
        <f ca="1">IFERROR(__xludf.DUMMYFUNCTION("""COMPUTED_VALUE"""),0)</f>
        <v>0</v>
      </c>
      <c r="T77" s="53"/>
      <c r="U77" s="51" t="str">
        <f t="shared" ca="1" si="15"/>
        <v/>
      </c>
      <c r="V77" s="53"/>
      <c r="W77" s="51" t="str">
        <f t="shared" ca="1" si="16"/>
        <v/>
      </c>
      <c r="X77" s="53"/>
      <c r="Y77" s="51" t="str">
        <f t="shared" ca="1" si="17"/>
        <v/>
      </c>
      <c r="Z77" s="2"/>
      <c r="AA77" s="2"/>
      <c r="AB77" s="2"/>
      <c r="AC77" s="2"/>
      <c r="AD77" s="2"/>
      <c r="AE77" s="2"/>
    </row>
    <row r="78" spans="1:31" ht="12.75" x14ac:dyDescent="0.2">
      <c r="A78" s="53">
        <f ca="1">IFERROR(__xludf.DUMMYFUNCTION("""COMPUTED_VALUE"""),3)</f>
        <v>3</v>
      </c>
      <c r="B78" s="53" t="str">
        <f ca="1">IFERROR(__xludf.DUMMYFUNCTION("""COMPUTED_VALUE"""),"Lớp MG Sen Việt")</f>
        <v>Lớp MG Sen Việt</v>
      </c>
      <c r="C78" s="53" t="str">
        <f ca="1">IFERROR(__xludf.DUMMYFUNCTION("""COMPUTED_VALUE"""),"Bình Hưng")</f>
        <v>Bình Hưng</v>
      </c>
      <c r="D78" s="53" t="str">
        <f ca="1">IFERROR(__xludf.DUMMYFUNCTION("""COMPUTED_VALUE"""),"MN")</f>
        <v>MN</v>
      </c>
      <c r="E78" s="54" t="str">
        <f ca="1">IFERROR(__xludf.DUMMYFUNCTION("""COMPUTED_VALUE"""),"Bình Chánh")</f>
        <v>Bình Chánh</v>
      </c>
      <c r="F78" s="54">
        <f ca="1">IFERROR(__xludf.DUMMYFUNCTION("""COMPUTED_VALUE"""),8)</f>
        <v>8</v>
      </c>
      <c r="G78" s="51" t="str">
        <f t="shared" ca="1" si="9"/>
        <v/>
      </c>
      <c r="H78" s="54">
        <f ca="1">IFERROR(__xludf.DUMMYFUNCTION("""COMPUTED_VALUE"""),8)</f>
        <v>8</v>
      </c>
      <c r="I78" s="51" t="str">
        <f t="shared" ca="1" si="10"/>
        <v/>
      </c>
      <c r="J78" s="54">
        <f ca="1">IFERROR(__xludf.DUMMYFUNCTION("""COMPUTED_VALUE"""),8)</f>
        <v>8</v>
      </c>
      <c r="K78" s="51" t="str">
        <f t="shared" ca="1" si="11"/>
        <v/>
      </c>
      <c r="L78" s="54">
        <f ca="1">IFERROR(__xludf.DUMMYFUNCTION("""COMPUTED_VALUE"""),8)</f>
        <v>8</v>
      </c>
      <c r="M78" s="51" t="str">
        <f t="shared" ca="1" si="12"/>
        <v/>
      </c>
      <c r="N78" s="54">
        <f ca="1">IFERROR(__xludf.DUMMYFUNCTION("""COMPUTED_VALUE"""),0)</f>
        <v>0</v>
      </c>
      <c r="O78" s="54">
        <f ca="1">IFERROR(__xludf.DUMMYFUNCTION("""COMPUTED_VALUE"""),6)</f>
        <v>6</v>
      </c>
      <c r="P78" s="51" t="str">
        <f t="shared" ca="1" si="13"/>
        <v/>
      </c>
      <c r="Q78" s="54">
        <f ca="1">IFERROR(__xludf.DUMMYFUNCTION("""COMPUTED_VALUE"""),0)</f>
        <v>0</v>
      </c>
      <c r="R78" s="51" t="str">
        <f t="shared" ca="1" si="14"/>
        <v/>
      </c>
      <c r="S78" s="54">
        <f ca="1">IFERROR(__xludf.DUMMYFUNCTION("""COMPUTED_VALUE"""),0)</f>
        <v>0</v>
      </c>
      <c r="T78" s="53"/>
      <c r="U78" s="51" t="str">
        <f t="shared" ca="1" si="15"/>
        <v/>
      </c>
      <c r="V78" s="53"/>
      <c r="W78" s="51" t="str">
        <f t="shared" ca="1" si="16"/>
        <v/>
      </c>
      <c r="X78" s="53"/>
      <c r="Y78" s="51" t="str">
        <f t="shared" ca="1" si="17"/>
        <v/>
      </c>
      <c r="Z78" s="2"/>
      <c r="AA78" s="2"/>
      <c r="AB78" s="2"/>
      <c r="AC78" s="2"/>
      <c r="AD78" s="2"/>
      <c r="AE78" s="2"/>
    </row>
    <row r="79" spans="1:31" ht="12.75" x14ac:dyDescent="0.2">
      <c r="A79" s="53">
        <f ca="1">IFERROR(__xludf.DUMMYFUNCTION("""COMPUTED_VALUE"""),4)</f>
        <v>4</v>
      </c>
      <c r="B79" s="53" t="str">
        <f ca="1">IFERROR(__xludf.DUMMYFUNCTION("""COMPUTED_VALUE"""),"Lớp MG Ánh Bình Minh")</f>
        <v>Lớp MG Ánh Bình Minh</v>
      </c>
      <c r="C79" s="53" t="str">
        <f ca="1">IFERROR(__xludf.DUMMYFUNCTION("""COMPUTED_VALUE"""),"Bình Hưng")</f>
        <v>Bình Hưng</v>
      </c>
      <c r="D79" s="53" t="str">
        <f ca="1">IFERROR(__xludf.DUMMYFUNCTION("""COMPUTED_VALUE"""),"MN")</f>
        <v>MN</v>
      </c>
      <c r="E79" s="54" t="str">
        <f ca="1">IFERROR(__xludf.DUMMYFUNCTION("""COMPUTED_VALUE"""),"Bình Chánh")</f>
        <v>Bình Chánh</v>
      </c>
      <c r="F79" s="54">
        <f ca="1">IFERROR(__xludf.DUMMYFUNCTION("""COMPUTED_VALUE"""),9)</f>
        <v>9</v>
      </c>
      <c r="G79" s="54"/>
      <c r="H79" s="54">
        <f ca="1">IFERROR(__xludf.DUMMYFUNCTION("""COMPUTED_VALUE"""),9)</f>
        <v>9</v>
      </c>
      <c r="I79" s="54"/>
      <c r="J79" s="54">
        <f ca="1">IFERROR(__xludf.DUMMYFUNCTION("""COMPUTED_VALUE"""),9)</f>
        <v>9</v>
      </c>
      <c r="K79" s="54"/>
      <c r="L79" s="54">
        <f ca="1">IFERROR(__xludf.DUMMYFUNCTION("""COMPUTED_VALUE"""),8)</f>
        <v>8</v>
      </c>
      <c r="M79" s="54"/>
      <c r="N79" s="54">
        <f ca="1">IFERROR(__xludf.DUMMYFUNCTION("""COMPUTED_VALUE"""),0)</f>
        <v>0</v>
      </c>
      <c r="O79" s="54">
        <f ca="1">IFERROR(__xludf.DUMMYFUNCTION("""COMPUTED_VALUE"""),25)</f>
        <v>25</v>
      </c>
      <c r="P79" s="54"/>
      <c r="Q79" s="54">
        <f ca="1">IFERROR(__xludf.DUMMYFUNCTION("""COMPUTED_VALUE"""),3)</f>
        <v>3</v>
      </c>
      <c r="R79" s="54"/>
      <c r="S79" s="53">
        <f ca="1">IFERROR(__xludf.DUMMYFUNCTION("""COMPUTED_VALUE"""),0)</f>
        <v>0</v>
      </c>
      <c r="T79" s="53"/>
      <c r="U79" s="53"/>
      <c r="V79" s="53"/>
      <c r="W79" s="53"/>
      <c r="X79" s="53"/>
      <c r="Y79" s="53"/>
      <c r="Z79" s="2"/>
      <c r="AA79" s="2"/>
      <c r="AB79" s="2"/>
      <c r="AC79" s="2"/>
      <c r="AD79" s="2"/>
      <c r="AE79" s="2"/>
    </row>
    <row r="80" spans="1:31" ht="12.75" x14ac:dyDescent="0.2">
      <c r="A80" s="53">
        <f ca="1">IFERROR(__xludf.DUMMYFUNCTION("""COMPUTED_VALUE"""),5)</f>
        <v>5</v>
      </c>
      <c r="B80" s="53" t="str">
        <f ca="1">IFERROR(__xludf.DUMMYFUNCTION("""COMPUTED_VALUE"""),"Lớp MG Ánh Mai")</f>
        <v>Lớp MG Ánh Mai</v>
      </c>
      <c r="C80" s="53" t="str">
        <f ca="1">IFERROR(__xludf.DUMMYFUNCTION("""COMPUTED_VALUE"""),"Bình Hưng")</f>
        <v>Bình Hưng</v>
      </c>
      <c r="D80" s="53" t="str">
        <f ca="1">IFERROR(__xludf.DUMMYFUNCTION("""COMPUTED_VALUE"""),"MN")</f>
        <v>MN</v>
      </c>
      <c r="E80" s="54" t="str">
        <f ca="1">IFERROR(__xludf.DUMMYFUNCTION("""COMPUTED_VALUE"""),"Bình Chánh")</f>
        <v>Bình Chánh</v>
      </c>
      <c r="F80" s="54">
        <f ca="1">IFERROR(__xludf.DUMMYFUNCTION("""COMPUTED_VALUE"""),3)</f>
        <v>3</v>
      </c>
      <c r="G80" s="54"/>
      <c r="H80" s="54">
        <f ca="1">IFERROR(__xludf.DUMMYFUNCTION("""COMPUTED_VALUE"""),3)</f>
        <v>3</v>
      </c>
      <c r="I80" s="54"/>
      <c r="J80" s="54">
        <f ca="1">IFERROR(__xludf.DUMMYFUNCTION("""COMPUTED_VALUE"""),3)</f>
        <v>3</v>
      </c>
      <c r="K80" s="54"/>
      <c r="L80" s="54">
        <f ca="1">IFERROR(__xludf.DUMMYFUNCTION("""COMPUTED_VALUE"""),3)</f>
        <v>3</v>
      </c>
      <c r="M80" s="54"/>
      <c r="N80" s="54">
        <f ca="1">IFERROR(__xludf.DUMMYFUNCTION("""COMPUTED_VALUE"""),0)</f>
        <v>0</v>
      </c>
      <c r="O80" s="54">
        <f ca="1">IFERROR(__xludf.DUMMYFUNCTION("""COMPUTED_VALUE"""),6)</f>
        <v>6</v>
      </c>
      <c r="P80" s="54"/>
      <c r="Q80" s="54">
        <f ca="1">IFERROR(__xludf.DUMMYFUNCTION("""COMPUTED_VALUE"""),0)</f>
        <v>0</v>
      </c>
      <c r="R80" s="54"/>
      <c r="S80" s="54">
        <f ca="1">IFERROR(__xludf.DUMMYFUNCTION("""COMPUTED_VALUE"""),0)</f>
        <v>0</v>
      </c>
      <c r="T80" s="53"/>
      <c r="U80" s="53"/>
      <c r="V80" s="53"/>
      <c r="W80" s="53"/>
      <c r="X80" s="53"/>
      <c r="Y80" s="53"/>
      <c r="Z80" s="2"/>
      <c r="AA80" s="2"/>
      <c r="AB80" s="2"/>
      <c r="AC80" s="2"/>
      <c r="AD80" s="2"/>
      <c r="AE80" s="2"/>
    </row>
    <row r="81" spans="1:31" ht="12.75" x14ac:dyDescent="0.2">
      <c r="A81" s="53">
        <f ca="1">IFERROR(__xludf.DUMMYFUNCTION("""COMPUTED_VALUE"""),6)</f>
        <v>6</v>
      </c>
      <c r="B81" s="53" t="str">
        <f ca="1">IFERROR(__xludf.DUMMYFUNCTION("""COMPUTED_VALUE"""),"Lớp MG Bé Thiên Thần")</f>
        <v>Lớp MG Bé Thiên Thần</v>
      </c>
      <c r="C81" s="53" t="str">
        <f ca="1">IFERROR(__xludf.DUMMYFUNCTION("""COMPUTED_VALUE"""),"Bình Hưng")</f>
        <v>Bình Hưng</v>
      </c>
      <c r="D81" s="53" t="str">
        <f ca="1">IFERROR(__xludf.DUMMYFUNCTION("""COMPUTED_VALUE"""),"MN")</f>
        <v>MN</v>
      </c>
      <c r="E81" s="54" t="str">
        <f ca="1">IFERROR(__xludf.DUMMYFUNCTION("""COMPUTED_VALUE"""),"Bình Chánh")</f>
        <v>Bình Chánh</v>
      </c>
      <c r="F81" s="54">
        <f ca="1">IFERROR(__xludf.DUMMYFUNCTION("""COMPUTED_VALUE"""),7)</f>
        <v>7</v>
      </c>
      <c r="G81" s="54"/>
      <c r="H81" s="54">
        <f ca="1">IFERROR(__xludf.DUMMYFUNCTION("""COMPUTED_VALUE"""),7)</f>
        <v>7</v>
      </c>
      <c r="I81" s="54"/>
      <c r="J81" s="54">
        <f ca="1">IFERROR(__xludf.DUMMYFUNCTION("""COMPUTED_VALUE"""),7)</f>
        <v>7</v>
      </c>
      <c r="K81" s="54"/>
      <c r="L81" s="54">
        <f ca="1">IFERROR(__xludf.DUMMYFUNCTION("""COMPUTED_VALUE"""),7)</f>
        <v>7</v>
      </c>
      <c r="M81" s="54"/>
      <c r="N81" s="54">
        <f ca="1">IFERROR(__xludf.DUMMYFUNCTION("""COMPUTED_VALUE"""),0)</f>
        <v>0</v>
      </c>
      <c r="O81" s="54">
        <f ca="1">IFERROR(__xludf.DUMMYFUNCTION("""COMPUTED_VALUE"""),0)</f>
        <v>0</v>
      </c>
      <c r="P81" s="54"/>
      <c r="Q81" s="54">
        <f ca="1">IFERROR(__xludf.DUMMYFUNCTION("""COMPUTED_VALUE"""),0)</f>
        <v>0</v>
      </c>
      <c r="R81" s="54"/>
      <c r="S81" s="54">
        <f ca="1">IFERROR(__xludf.DUMMYFUNCTION("""COMPUTED_VALUE"""),0)</f>
        <v>0</v>
      </c>
      <c r="T81" s="53"/>
      <c r="U81" s="53"/>
      <c r="V81" s="53"/>
      <c r="W81" s="53"/>
      <c r="X81" s="53"/>
      <c r="Y81" s="53"/>
      <c r="Z81" s="2"/>
      <c r="AA81" s="2"/>
      <c r="AB81" s="2"/>
      <c r="AC81" s="2"/>
      <c r="AD81" s="2"/>
      <c r="AE81" s="2"/>
    </row>
    <row r="82" spans="1:31" ht="12.75" x14ac:dyDescent="0.2">
      <c r="A82" s="53">
        <f ca="1">IFERROR(__xludf.DUMMYFUNCTION("""COMPUTED_VALUE"""),7)</f>
        <v>7</v>
      </c>
      <c r="B82" s="53" t="str">
        <f ca="1">IFERROR(__xludf.DUMMYFUNCTION("""COMPUTED_VALUE"""),"Lớp MG Á Châu 2")</f>
        <v>Lớp MG Á Châu 2</v>
      </c>
      <c r="C82" s="53" t="str">
        <f ca="1">IFERROR(__xludf.DUMMYFUNCTION("""COMPUTED_VALUE"""),"Bình Hưng")</f>
        <v>Bình Hưng</v>
      </c>
      <c r="D82" s="53" t="str">
        <f ca="1">IFERROR(__xludf.DUMMYFUNCTION("""COMPUTED_VALUE"""),"MN")</f>
        <v>MN</v>
      </c>
      <c r="E82" s="54" t="str">
        <f ca="1">IFERROR(__xludf.DUMMYFUNCTION("""COMPUTED_VALUE"""),"Bình Chánh")</f>
        <v>Bình Chánh</v>
      </c>
      <c r="F82" s="54">
        <f ca="1">IFERROR(__xludf.DUMMYFUNCTION("""COMPUTED_VALUE"""),16)</f>
        <v>16</v>
      </c>
      <c r="G82" s="54"/>
      <c r="H82" s="54">
        <f ca="1">IFERROR(__xludf.DUMMYFUNCTION("""COMPUTED_VALUE"""),13)</f>
        <v>13</v>
      </c>
      <c r="I82" s="54"/>
      <c r="J82" s="54">
        <f ca="1">IFERROR(__xludf.DUMMYFUNCTION("""COMPUTED_VALUE"""),13)</f>
        <v>13</v>
      </c>
      <c r="K82" s="54"/>
      <c r="L82" s="54">
        <f ca="1">IFERROR(__xludf.DUMMYFUNCTION("""COMPUTED_VALUE"""),13)</f>
        <v>13</v>
      </c>
      <c r="M82" s="54"/>
      <c r="N82" s="54">
        <f ca="1">IFERROR(__xludf.DUMMYFUNCTION("""COMPUTED_VALUE"""),0)</f>
        <v>0</v>
      </c>
      <c r="O82" s="54">
        <f ca="1">IFERROR(__xludf.DUMMYFUNCTION("""COMPUTED_VALUE"""),0)</f>
        <v>0</v>
      </c>
      <c r="P82" s="54"/>
      <c r="Q82" s="54">
        <f ca="1">IFERROR(__xludf.DUMMYFUNCTION("""COMPUTED_VALUE"""),0)</f>
        <v>0</v>
      </c>
      <c r="R82" s="54"/>
      <c r="S82" s="54">
        <f ca="1">IFERROR(__xludf.DUMMYFUNCTION("""COMPUTED_VALUE"""),0)</f>
        <v>0</v>
      </c>
      <c r="T82" s="53"/>
      <c r="U82" s="53"/>
      <c r="V82" s="53"/>
      <c r="W82" s="53"/>
      <c r="X82" s="53"/>
      <c r="Y82" s="53"/>
      <c r="Z82" s="2"/>
      <c r="AA82" s="2"/>
      <c r="AB82" s="2"/>
      <c r="AC82" s="2"/>
      <c r="AD82" s="2"/>
      <c r="AE82" s="2"/>
    </row>
    <row r="83" spans="1:31" ht="12.75" x14ac:dyDescent="0.2">
      <c r="A83" s="53">
        <f ca="1">IFERROR(__xludf.DUMMYFUNCTION("""COMPUTED_VALUE"""),8)</f>
        <v>8</v>
      </c>
      <c r="B83" s="53" t="str">
        <f ca="1">IFERROR(__xludf.DUMMYFUNCTION("""COMPUTED_VALUE"""),"Lớp MG Nắng Vàng")</f>
        <v>Lớp MG Nắng Vàng</v>
      </c>
      <c r="C83" s="53" t="str">
        <f ca="1">IFERROR(__xludf.DUMMYFUNCTION("""COMPUTED_VALUE"""),"Bình Hưng")</f>
        <v>Bình Hưng</v>
      </c>
      <c r="D83" s="53" t="str">
        <f ca="1">IFERROR(__xludf.DUMMYFUNCTION("""COMPUTED_VALUE"""),"MN")</f>
        <v>MN</v>
      </c>
      <c r="E83" s="54" t="str">
        <f ca="1">IFERROR(__xludf.DUMMYFUNCTION("""COMPUTED_VALUE"""),"Bình Chánh")</f>
        <v>Bình Chánh</v>
      </c>
      <c r="F83" s="54">
        <f ca="1">IFERROR(__xludf.DUMMYFUNCTION("""COMPUTED_VALUE"""),14)</f>
        <v>14</v>
      </c>
      <c r="G83" s="54"/>
      <c r="H83" s="54">
        <f ca="1">IFERROR(__xludf.DUMMYFUNCTION("""COMPUTED_VALUE"""),14)</f>
        <v>14</v>
      </c>
      <c r="I83" s="54"/>
      <c r="J83" s="54">
        <f ca="1">IFERROR(__xludf.DUMMYFUNCTION("""COMPUTED_VALUE"""),14)</f>
        <v>14</v>
      </c>
      <c r="K83" s="54"/>
      <c r="L83" s="54">
        <f ca="1">IFERROR(__xludf.DUMMYFUNCTION("""COMPUTED_VALUE"""),14)</f>
        <v>14</v>
      </c>
      <c r="M83" s="54"/>
      <c r="N83" s="54">
        <f ca="1">IFERROR(__xludf.DUMMYFUNCTION("""COMPUTED_VALUE"""),0)</f>
        <v>0</v>
      </c>
      <c r="O83" s="54">
        <f ca="1">IFERROR(__xludf.DUMMYFUNCTION("""COMPUTED_VALUE"""),18)</f>
        <v>18</v>
      </c>
      <c r="P83" s="54"/>
      <c r="Q83" s="54">
        <f ca="1">IFERROR(__xludf.DUMMYFUNCTION("""COMPUTED_VALUE"""),10)</f>
        <v>10</v>
      </c>
      <c r="R83" s="54"/>
      <c r="S83" s="54">
        <f ca="1">IFERROR(__xludf.DUMMYFUNCTION("""COMPUTED_VALUE"""),0)</f>
        <v>0</v>
      </c>
      <c r="T83" s="53"/>
      <c r="U83" s="53"/>
      <c r="V83" s="53"/>
      <c r="W83" s="53"/>
      <c r="X83" s="53"/>
      <c r="Y83" s="53"/>
      <c r="Z83" s="2"/>
      <c r="AA83" s="2"/>
      <c r="AB83" s="2"/>
      <c r="AC83" s="2"/>
      <c r="AD83" s="2"/>
      <c r="AE83" s="2"/>
    </row>
    <row r="84" spans="1:31" ht="12.75" x14ac:dyDescent="0.2">
      <c r="A84" s="53">
        <f ca="1">IFERROR(__xludf.DUMMYFUNCTION("""COMPUTED_VALUE"""),9)</f>
        <v>9</v>
      </c>
      <c r="B84" s="53" t="str">
        <f ca="1">IFERROR(__xludf.DUMMYFUNCTION("""COMPUTED_VALUE"""),"Lớp MG Trăng Nhỏ")</f>
        <v>Lớp MG Trăng Nhỏ</v>
      </c>
      <c r="C84" s="53" t="str">
        <f ca="1">IFERROR(__xludf.DUMMYFUNCTION("""COMPUTED_VALUE"""),"Bình Hưng")</f>
        <v>Bình Hưng</v>
      </c>
      <c r="D84" s="53" t="str">
        <f ca="1">IFERROR(__xludf.DUMMYFUNCTION("""COMPUTED_VALUE"""),"MN")</f>
        <v>MN</v>
      </c>
      <c r="E84" s="54" t="str">
        <f ca="1">IFERROR(__xludf.DUMMYFUNCTION("""COMPUTED_VALUE"""),"Bình Chánh")</f>
        <v>Bình Chánh</v>
      </c>
      <c r="F84" s="54">
        <f ca="1">IFERROR(__xludf.DUMMYFUNCTION("""COMPUTED_VALUE"""),6)</f>
        <v>6</v>
      </c>
      <c r="G84" s="54"/>
      <c r="H84" s="54">
        <f ca="1">IFERROR(__xludf.DUMMYFUNCTION("""COMPUTED_VALUE"""),6)</f>
        <v>6</v>
      </c>
      <c r="I84" s="54"/>
      <c r="J84" s="54">
        <f ca="1">IFERROR(__xludf.DUMMYFUNCTION("""COMPUTED_VALUE"""),6)</f>
        <v>6</v>
      </c>
      <c r="K84" s="54"/>
      <c r="L84" s="54">
        <f ca="1">IFERROR(__xludf.DUMMYFUNCTION("""COMPUTED_VALUE"""),6)</f>
        <v>6</v>
      </c>
      <c r="M84" s="54"/>
      <c r="N84" s="54">
        <f ca="1">IFERROR(__xludf.DUMMYFUNCTION("""COMPUTED_VALUE"""),0)</f>
        <v>0</v>
      </c>
      <c r="O84" s="54">
        <f ca="1">IFERROR(__xludf.DUMMYFUNCTION("""COMPUTED_VALUE"""),15)</f>
        <v>15</v>
      </c>
      <c r="P84" s="54"/>
      <c r="Q84" s="54">
        <f ca="1">IFERROR(__xludf.DUMMYFUNCTION("""COMPUTED_VALUE"""),2)</f>
        <v>2</v>
      </c>
      <c r="R84" s="54"/>
      <c r="S84" s="54">
        <f ca="1">IFERROR(__xludf.DUMMYFUNCTION("""COMPUTED_VALUE"""),0)</f>
        <v>0</v>
      </c>
      <c r="T84" s="53"/>
      <c r="U84" s="53"/>
      <c r="V84" s="53"/>
      <c r="W84" s="53"/>
      <c r="X84" s="53"/>
      <c r="Y84" s="53"/>
      <c r="Z84" s="2"/>
      <c r="AA84" s="2"/>
      <c r="AB84" s="2"/>
      <c r="AC84" s="2"/>
      <c r="AD84" s="2"/>
      <c r="AE84" s="2"/>
    </row>
    <row r="85" spans="1:31" ht="12.75" x14ac:dyDescent="0.2">
      <c r="A85" s="53">
        <f ca="1">IFERROR(__xludf.DUMMYFUNCTION("""COMPUTED_VALUE"""),10)</f>
        <v>10</v>
      </c>
      <c r="B85" s="53" t="str">
        <f ca="1">IFERROR(__xludf.DUMMYFUNCTION("""COMPUTED_VALUE"""),"Lớp MG Thông Minh")</f>
        <v>Lớp MG Thông Minh</v>
      </c>
      <c r="C85" s="53" t="str">
        <f ca="1">IFERROR(__xludf.DUMMYFUNCTION("""COMPUTED_VALUE"""),"Bình Hưng")</f>
        <v>Bình Hưng</v>
      </c>
      <c r="D85" s="53" t="str">
        <f ca="1">IFERROR(__xludf.DUMMYFUNCTION("""COMPUTED_VALUE"""),"MN")</f>
        <v>MN</v>
      </c>
      <c r="E85" s="54" t="str">
        <f ca="1">IFERROR(__xludf.DUMMYFUNCTION("""COMPUTED_VALUE"""),"Bình Chánh")</f>
        <v>Bình Chánh</v>
      </c>
      <c r="F85" s="54">
        <f ca="1">IFERROR(__xludf.DUMMYFUNCTION("""COMPUTED_VALUE"""),8)</f>
        <v>8</v>
      </c>
      <c r="G85" s="54"/>
      <c r="H85" s="54">
        <f ca="1">IFERROR(__xludf.DUMMYFUNCTION("""COMPUTED_VALUE"""),8)</f>
        <v>8</v>
      </c>
      <c r="I85" s="54"/>
      <c r="J85" s="54">
        <f ca="1">IFERROR(__xludf.DUMMYFUNCTION("""COMPUTED_VALUE"""),8)</f>
        <v>8</v>
      </c>
      <c r="K85" s="54"/>
      <c r="L85" s="54">
        <f ca="1">IFERROR(__xludf.DUMMYFUNCTION("""COMPUTED_VALUE"""),8)</f>
        <v>8</v>
      </c>
      <c r="M85" s="54"/>
      <c r="N85" s="54">
        <f ca="1">IFERROR(__xludf.DUMMYFUNCTION("""COMPUTED_VALUE"""),0)</f>
        <v>0</v>
      </c>
      <c r="O85" s="54">
        <f ca="1">IFERROR(__xludf.DUMMYFUNCTION("""COMPUTED_VALUE"""),24)</f>
        <v>24</v>
      </c>
      <c r="P85" s="54"/>
      <c r="Q85" s="54">
        <f ca="1">IFERROR(__xludf.DUMMYFUNCTION("""COMPUTED_VALUE"""),5)</f>
        <v>5</v>
      </c>
      <c r="R85" s="54"/>
      <c r="S85" s="54">
        <f ca="1">IFERROR(__xludf.DUMMYFUNCTION("""COMPUTED_VALUE"""),0)</f>
        <v>0</v>
      </c>
      <c r="T85" s="53"/>
      <c r="U85" s="53"/>
      <c r="V85" s="53"/>
      <c r="W85" s="53"/>
      <c r="X85" s="53"/>
      <c r="Y85" s="53"/>
      <c r="Z85" s="2"/>
      <c r="AA85" s="2"/>
      <c r="AB85" s="2"/>
      <c r="AC85" s="2"/>
      <c r="AD85" s="2"/>
      <c r="AE85" s="2"/>
    </row>
    <row r="86" spans="1:31" ht="12.75" x14ac:dyDescent="0.2">
      <c r="A86" s="53">
        <f ca="1">IFERROR(__xludf.DUMMYFUNCTION("""COMPUTED_VALUE"""),11)</f>
        <v>11</v>
      </c>
      <c r="B86" s="53" t="str">
        <f ca="1">IFERROR(__xludf.DUMMYFUNCTION("""COMPUTED_VALUE"""),"Lớp MG Thiên An 2")</f>
        <v>Lớp MG Thiên An 2</v>
      </c>
      <c r="C86" s="53" t="str">
        <f ca="1">IFERROR(__xludf.DUMMYFUNCTION("""COMPUTED_VALUE"""),"Bình Hưng")</f>
        <v>Bình Hưng</v>
      </c>
      <c r="D86" s="53" t="str">
        <f ca="1">IFERROR(__xludf.DUMMYFUNCTION("""COMPUTED_VALUE"""),"MN")</f>
        <v>MN</v>
      </c>
      <c r="E86" s="54" t="str">
        <f ca="1">IFERROR(__xludf.DUMMYFUNCTION("""COMPUTED_VALUE"""),"Bình Chánh")</f>
        <v>Bình Chánh</v>
      </c>
      <c r="F86" s="54">
        <f ca="1">IFERROR(__xludf.DUMMYFUNCTION("""COMPUTED_VALUE"""),7)</f>
        <v>7</v>
      </c>
      <c r="G86" s="54"/>
      <c r="H86" s="54">
        <f ca="1">IFERROR(__xludf.DUMMYFUNCTION("""COMPUTED_VALUE"""),7)</f>
        <v>7</v>
      </c>
      <c r="I86" s="54"/>
      <c r="J86" s="54">
        <f ca="1">IFERROR(__xludf.DUMMYFUNCTION("""COMPUTED_VALUE"""),7)</f>
        <v>7</v>
      </c>
      <c r="K86" s="54"/>
      <c r="L86" s="54">
        <f ca="1">IFERROR(__xludf.DUMMYFUNCTION("""COMPUTED_VALUE"""),7)</f>
        <v>7</v>
      </c>
      <c r="M86" s="54"/>
      <c r="N86" s="54">
        <f ca="1">IFERROR(__xludf.DUMMYFUNCTION("""COMPUTED_VALUE"""),0)</f>
        <v>0</v>
      </c>
      <c r="O86" s="54">
        <f ca="1">IFERROR(__xludf.DUMMYFUNCTION("""COMPUTED_VALUE"""),4)</f>
        <v>4</v>
      </c>
      <c r="P86" s="54"/>
      <c r="Q86" s="54">
        <f ca="1">IFERROR(__xludf.DUMMYFUNCTION("""COMPUTED_VALUE"""),2)</f>
        <v>2</v>
      </c>
      <c r="R86" s="54"/>
      <c r="S86" s="54">
        <f ca="1">IFERROR(__xludf.DUMMYFUNCTION("""COMPUTED_VALUE"""),0)</f>
        <v>0</v>
      </c>
      <c r="T86" s="53"/>
      <c r="U86" s="53"/>
      <c r="V86" s="53"/>
      <c r="W86" s="53"/>
      <c r="X86" s="53"/>
      <c r="Y86" s="53"/>
      <c r="Z86" s="2"/>
      <c r="AA86" s="2"/>
      <c r="AB86" s="2"/>
      <c r="AC86" s="2"/>
      <c r="AD86" s="2"/>
      <c r="AE86" s="2"/>
    </row>
    <row r="87" spans="1:31" ht="12.75" x14ac:dyDescent="0.2">
      <c r="A87" s="53">
        <f ca="1">IFERROR(__xludf.DUMMYFUNCTION("""COMPUTED_VALUE"""),12)</f>
        <v>12</v>
      </c>
      <c r="B87" s="53" t="str">
        <f ca="1">IFERROR(__xludf.DUMMYFUNCTION("""COMPUTED_VALUE"""),"Nhóm trẻ Cầu Vồng")</f>
        <v>Nhóm trẻ Cầu Vồng</v>
      </c>
      <c r="C87" s="53" t="str">
        <f ca="1">IFERROR(__xludf.DUMMYFUNCTION("""COMPUTED_VALUE"""),"Bình Hưng")</f>
        <v>Bình Hưng</v>
      </c>
      <c r="D87" s="53" t="str">
        <f ca="1">IFERROR(__xludf.DUMMYFUNCTION("""COMPUTED_VALUE"""),"MN")</f>
        <v>MN</v>
      </c>
      <c r="E87" s="54" t="str">
        <f ca="1">IFERROR(__xludf.DUMMYFUNCTION("""COMPUTED_VALUE"""),"Bình Chánh")</f>
        <v>Bình Chánh</v>
      </c>
      <c r="F87" s="54">
        <f ca="1">IFERROR(__xludf.DUMMYFUNCTION("""COMPUTED_VALUE"""),0)</f>
        <v>0</v>
      </c>
      <c r="G87" s="54"/>
      <c r="H87" s="54">
        <f ca="1">IFERROR(__xludf.DUMMYFUNCTION("""COMPUTED_VALUE"""),0)</f>
        <v>0</v>
      </c>
      <c r="I87" s="54"/>
      <c r="J87" s="54">
        <f ca="1">IFERROR(__xludf.DUMMYFUNCTION("""COMPUTED_VALUE"""),0)</f>
        <v>0</v>
      </c>
      <c r="K87" s="54"/>
      <c r="L87" s="54">
        <f ca="1">IFERROR(__xludf.DUMMYFUNCTION("""COMPUTED_VALUE"""),0)</f>
        <v>0</v>
      </c>
      <c r="M87" s="54"/>
      <c r="N87" s="54">
        <f ca="1">IFERROR(__xludf.DUMMYFUNCTION("""COMPUTED_VALUE"""),0)</f>
        <v>0</v>
      </c>
      <c r="O87" s="54">
        <f ca="1">IFERROR(__xludf.DUMMYFUNCTION("""COMPUTED_VALUE"""),0)</f>
        <v>0</v>
      </c>
      <c r="P87" s="54"/>
      <c r="Q87" s="54">
        <f ca="1">IFERROR(__xludf.DUMMYFUNCTION("""COMPUTED_VALUE"""),0)</f>
        <v>0</v>
      </c>
      <c r="R87" s="54"/>
      <c r="S87" s="54">
        <f ca="1">IFERROR(__xludf.DUMMYFUNCTION("""COMPUTED_VALUE"""),0)</f>
        <v>0</v>
      </c>
      <c r="T87" s="53"/>
      <c r="U87" s="53"/>
      <c r="V87" s="53"/>
      <c r="W87" s="53"/>
      <c r="X87" s="53"/>
      <c r="Y87" s="53"/>
      <c r="Z87" s="2"/>
      <c r="AA87" s="2"/>
      <c r="AB87" s="2"/>
      <c r="AC87" s="2"/>
      <c r="AD87" s="2"/>
      <c r="AE87" s="2"/>
    </row>
    <row r="88" spans="1:31" ht="12.75" x14ac:dyDescent="0.2">
      <c r="A88" s="53">
        <f ca="1">IFERROR(__xludf.DUMMYFUNCTION("""COMPUTED_VALUE"""),13)</f>
        <v>13</v>
      </c>
      <c r="B88" s="53" t="str">
        <f ca="1">IFERROR(__xludf.DUMMYFUNCTION("""COMPUTED_VALUE"""),"Lớp MG Tia Sáng")</f>
        <v>Lớp MG Tia Sáng</v>
      </c>
      <c r="C88" s="53" t="str">
        <f ca="1">IFERROR(__xludf.DUMMYFUNCTION("""COMPUTED_VALUE"""),"Bình Hưng")</f>
        <v>Bình Hưng</v>
      </c>
      <c r="D88" s="53" t="str">
        <f ca="1">IFERROR(__xludf.DUMMYFUNCTION("""COMPUTED_VALUE"""),"MN")</f>
        <v>MN</v>
      </c>
      <c r="E88" s="54" t="str">
        <f ca="1">IFERROR(__xludf.DUMMYFUNCTION("""COMPUTED_VALUE"""),"Bình Chánh")</f>
        <v>Bình Chánh</v>
      </c>
      <c r="F88" s="54">
        <f ca="1">IFERROR(__xludf.DUMMYFUNCTION("""COMPUTED_VALUE"""),7)</f>
        <v>7</v>
      </c>
      <c r="G88" s="54"/>
      <c r="H88" s="54">
        <f ca="1">IFERROR(__xludf.DUMMYFUNCTION("""COMPUTED_VALUE"""),7)</f>
        <v>7</v>
      </c>
      <c r="I88" s="54"/>
      <c r="J88" s="54">
        <f ca="1">IFERROR(__xludf.DUMMYFUNCTION("""COMPUTED_VALUE"""),7)</f>
        <v>7</v>
      </c>
      <c r="K88" s="54"/>
      <c r="L88" s="54">
        <f ca="1">IFERROR(__xludf.DUMMYFUNCTION("""COMPUTED_VALUE"""),7)</f>
        <v>7</v>
      </c>
      <c r="M88" s="54"/>
      <c r="N88" s="54">
        <f ca="1">IFERROR(__xludf.DUMMYFUNCTION("""COMPUTED_VALUE"""),0)</f>
        <v>0</v>
      </c>
      <c r="O88" s="54">
        <f ca="1">IFERROR(__xludf.DUMMYFUNCTION("""COMPUTED_VALUE"""),0)</f>
        <v>0</v>
      </c>
      <c r="P88" s="54"/>
      <c r="Q88" s="54">
        <f ca="1">IFERROR(__xludf.DUMMYFUNCTION("""COMPUTED_VALUE"""),0)</f>
        <v>0</v>
      </c>
      <c r="R88" s="54"/>
      <c r="S88" s="53">
        <f ca="1">IFERROR(__xludf.DUMMYFUNCTION("""COMPUTED_VALUE"""),0)</f>
        <v>0</v>
      </c>
      <c r="T88" s="53"/>
      <c r="U88" s="53"/>
      <c r="V88" s="53"/>
      <c r="W88" s="53"/>
      <c r="X88" s="53"/>
      <c r="Y88" s="53"/>
      <c r="Z88" s="2"/>
      <c r="AA88" s="2"/>
      <c r="AB88" s="2"/>
      <c r="AC88" s="2"/>
      <c r="AD88" s="2"/>
      <c r="AE88" s="2"/>
    </row>
    <row r="89" spans="1:31" ht="12.75" x14ac:dyDescent="0.2">
      <c r="A89" s="53">
        <f ca="1">IFERROR(__xludf.DUMMYFUNCTION("""COMPUTED_VALUE"""),14)</f>
        <v>14</v>
      </c>
      <c r="B89" s="53" t="str">
        <f ca="1">IFERROR(__xludf.DUMMYFUNCTION("""COMPUTED_VALUE"""),"Lớp MG Cây Con")</f>
        <v>Lớp MG Cây Con</v>
      </c>
      <c r="C89" s="53" t="str">
        <f ca="1">IFERROR(__xludf.DUMMYFUNCTION("""COMPUTED_VALUE"""),"Bình Hưng")</f>
        <v>Bình Hưng</v>
      </c>
      <c r="D89" s="53" t="str">
        <f ca="1">IFERROR(__xludf.DUMMYFUNCTION("""COMPUTED_VALUE"""),"MN")</f>
        <v>MN</v>
      </c>
      <c r="E89" s="54" t="str">
        <f ca="1">IFERROR(__xludf.DUMMYFUNCTION("""COMPUTED_VALUE"""),"Bình Chánh")</f>
        <v>Bình Chánh</v>
      </c>
      <c r="F89" s="54">
        <f ca="1">IFERROR(__xludf.DUMMYFUNCTION("""COMPUTED_VALUE"""),16)</f>
        <v>16</v>
      </c>
      <c r="G89" s="54"/>
      <c r="H89" s="54">
        <f ca="1">IFERROR(__xludf.DUMMYFUNCTION("""COMPUTED_VALUE"""),16)</f>
        <v>16</v>
      </c>
      <c r="I89" s="54"/>
      <c r="J89" s="54">
        <f ca="1">IFERROR(__xludf.DUMMYFUNCTION("""COMPUTED_VALUE"""),16)</f>
        <v>16</v>
      </c>
      <c r="K89" s="54"/>
      <c r="L89" s="54">
        <f ca="1">IFERROR(__xludf.DUMMYFUNCTION("""COMPUTED_VALUE"""),16)</f>
        <v>16</v>
      </c>
      <c r="M89" s="54"/>
      <c r="N89" s="54">
        <f ca="1">IFERROR(__xludf.DUMMYFUNCTION("""COMPUTED_VALUE"""),0)</f>
        <v>0</v>
      </c>
      <c r="O89" s="54">
        <f ca="1">IFERROR(__xludf.DUMMYFUNCTION("""COMPUTED_VALUE"""),4)</f>
        <v>4</v>
      </c>
      <c r="P89" s="54"/>
      <c r="Q89" s="54">
        <f ca="1">IFERROR(__xludf.DUMMYFUNCTION("""COMPUTED_VALUE"""),0)</f>
        <v>0</v>
      </c>
      <c r="R89" s="54"/>
      <c r="S89" s="54">
        <f ca="1">IFERROR(__xludf.DUMMYFUNCTION("""COMPUTED_VALUE"""),0)</f>
        <v>0</v>
      </c>
      <c r="T89" s="53"/>
      <c r="U89" s="53"/>
      <c r="V89" s="53"/>
      <c r="W89" s="53"/>
      <c r="X89" s="53"/>
      <c r="Y89" s="53"/>
      <c r="Z89" s="2"/>
      <c r="AA89" s="2"/>
      <c r="AB89" s="2"/>
      <c r="AC89" s="2"/>
      <c r="AD89" s="2"/>
      <c r="AE89" s="2"/>
    </row>
    <row r="90" spans="1:31" ht="12.75" x14ac:dyDescent="0.2">
      <c r="A90" s="53">
        <f ca="1">IFERROR(__xludf.DUMMYFUNCTION("""COMPUTED_VALUE"""),15)</f>
        <v>15</v>
      </c>
      <c r="B90" s="53" t="str">
        <f ca="1">IFERROR(__xludf.DUMMYFUNCTION("""COMPUTED_VALUE"""),"Lớp MG Trúc Xanh")</f>
        <v>Lớp MG Trúc Xanh</v>
      </c>
      <c r="C90" s="53" t="str">
        <f ca="1">IFERROR(__xludf.DUMMYFUNCTION("""COMPUTED_VALUE"""),"Phong Phú")</f>
        <v>Phong Phú</v>
      </c>
      <c r="D90" s="53" t="str">
        <f ca="1">IFERROR(__xludf.DUMMYFUNCTION("""COMPUTED_VALUE"""),"MN")</f>
        <v>MN</v>
      </c>
      <c r="E90" s="54" t="str">
        <f ca="1">IFERROR(__xludf.DUMMYFUNCTION("""COMPUTED_VALUE"""),"Bình Chánh")</f>
        <v>Bình Chánh</v>
      </c>
      <c r="F90" s="54">
        <f ca="1">IFERROR(__xludf.DUMMYFUNCTION("""COMPUTED_VALUE"""),8)</f>
        <v>8</v>
      </c>
      <c r="G90" s="54"/>
      <c r="H90" s="54">
        <f ca="1">IFERROR(__xludf.DUMMYFUNCTION("""COMPUTED_VALUE"""),8)</f>
        <v>8</v>
      </c>
      <c r="I90" s="54"/>
      <c r="J90" s="54">
        <f ca="1">IFERROR(__xludf.DUMMYFUNCTION("""COMPUTED_VALUE"""),8)</f>
        <v>8</v>
      </c>
      <c r="K90" s="54"/>
      <c r="L90" s="54">
        <f ca="1">IFERROR(__xludf.DUMMYFUNCTION("""COMPUTED_VALUE"""),8)</f>
        <v>8</v>
      </c>
      <c r="M90" s="54"/>
      <c r="N90" s="54">
        <f ca="1">IFERROR(__xludf.DUMMYFUNCTION("""COMPUTED_VALUE"""),0)</f>
        <v>0</v>
      </c>
      <c r="O90" s="54">
        <f ca="1">IFERROR(__xludf.DUMMYFUNCTION("""COMPUTED_VALUE"""),21)</f>
        <v>21</v>
      </c>
      <c r="P90" s="54"/>
      <c r="Q90" s="54">
        <f ca="1">IFERROR(__xludf.DUMMYFUNCTION("""COMPUTED_VALUE"""),7)</f>
        <v>7</v>
      </c>
      <c r="R90" s="54"/>
      <c r="S90" s="54">
        <f ca="1">IFERROR(__xludf.DUMMYFUNCTION("""COMPUTED_VALUE"""),0)</f>
        <v>0</v>
      </c>
      <c r="T90" s="53"/>
      <c r="U90" s="53"/>
      <c r="V90" s="53"/>
      <c r="W90" s="53"/>
      <c r="X90" s="53"/>
      <c r="Y90" s="53"/>
      <c r="Z90" s="2"/>
      <c r="AA90" s="2"/>
      <c r="AB90" s="2"/>
      <c r="AC90" s="2"/>
      <c r="AD90" s="2"/>
      <c r="AE90" s="2"/>
    </row>
    <row r="91" spans="1:31" ht="12.75" x14ac:dyDescent="0.2">
      <c r="A91" s="53">
        <f ca="1">IFERROR(__xludf.DUMMYFUNCTION("""COMPUTED_VALUE"""),16)</f>
        <v>16</v>
      </c>
      <c r="B91" s="53" t="str">
        <f ca="1">IFERROR(__xludf.DUMMYFUNCTION("""COMPUTED_VALUE"""),"Lớp MG Kim Ngân")</f>
        <v>Lớp MG Kim Ngân</v>
      </c>
      <c r="C91" s="53" t="str">
        <f ca="1">IFERROR(__xludf.DUMMYFUNCTION("""COMPUTED_VALUE"""),"Phong Phú")</f>
        <v>Phong Phú</v>
      </c>
      <c r="D91" s="53" t="str">
        <f ca="1">IFERROR(__xludf.DUMMYFUNCTION("""COMPUTED_VALUE"""),"MN")</f>
        <v>MN</v>
      </c>
      <c r="E91" s="54" t="str">
        <f ca="1">IFERROR(__xludf.DUMMYFUNCTION("""COMPUTED_VALUE"""),"Bình Chánh")</f>
        <v>Bình Chánh</v>
      </c>
      <c r="F91" s="54">
        <f ca="1">IFERROR(__xludf.DUMMYFUNCTION("""COMPUTED_VALUE"""),7)</f>
        <v>7</v>
      </c>
      <c r="G91" s="54"/>
      <c r="H91" s="54">
        <f ca="1">IFERROR(__xludf.DUMMYFUNCTION("""COMPUTED_VALUE"""),7)</f>
        <v>7</v>
      </c>
      <c r="I91" s="54"/>
      <c r="J91" s="54">
        <f ca="1">IFERROR(__xludf.DUMMYFUNCTION("""COMPUTED_VALUE"""),7)</f>
        <v>7</v>
      </c>
      <c r="K91" s="54"/>
      <c r="L91" s="54">
        <f ca="1">IFERROR(__xludf.DUMMYFUNCTION("""COMPUTED_VALUE"""),7)</f>
        <v>7</v>
      </c>
      <c r="M91" s="54"/>
      <c r="N91" s="54">
        <f ca="1">IFERROR(__xludf.DUMMYFUNCTION("""COMPUTED_VALUE"""),0)</f>
        <v>0</v>
      </c>
      <c r="O91" s="54">
        <f ca="1">IFERROR(__xludf.DUMMYFUNCTION("""COMPUTED_VALUE"""),43)</f>
        <v>43</v>
      </c>
      <c r="P91" s="54"/>
      <c r="Q91" s="54">
        <f ca="1">IFERROR(__xludf.DUMMYFUNCTION("""COMPUTED_VALUE"""),6)</f>
        <v>6</v>
      </c>
      <c r="R91" s="54"/>
      <c r="S91" s="54">
        <f ca="1">IFERROR(__xludf.DUMMYFUNCTION("""COMPUTED_VALUE"""),0)</f>
        <v>0</v>
      </c>
      <c r="T91" s="53"/>
      <c r="U91" s="53"/>
      <c r="V91" s="53"/>
      <c r="W91" s="53"/>
      <c r="X91" s="53"/>
      <c r="Y91" s="53"/>
      <c r="Z91" s="2"/>
      <c r="AA91" s="2"/>
      <c r="AB91" s="2"/>
      <c r="AC91" s="2"/>
      <c r="AD91" s="2"/>
      <c r="AE91" s="2"/>
    </row>
    <row r="92" spans="1:31" ht="12.75" x14ac:dyDescent="0.2">
      <c r="A92" s="53">
        <f ca="1">IFERROR(__xludf.DUMMYFUNCTION("""COMPUTED_VALUE"""),17)</f>
        <v>17</v>
      </c>
      <c r="B92" s="53" t="str">
        <f ca="1">IFERROR(__xludf.DUMMYFUNCTION("""COMPUTED_VALUE"""),"Nhóm trẻ Vườn Mặt Trời")</f>
        <v>Nhóm trẻ Vườn Mặt Trời</v>
      </c>
      <c r="C92" s="53" t="str">
        <f ca="1">IFERROR(__xludf.DUMMYFUNCTION("""COMPUTED_VALUE"""),"Phong Phú")</f>
        <v>Phong Phú</v>
      </c>
      <c r="D92" s="53" t="str">
        <f ca="1">IFERROR(__xludf.DUMMYFUNCTION("""COMPUTED_VALUE"""),"MN")</f>
        <v>MN</v>
      </c>
      <c r="E92" s="54" t="str">
        <f ca="1">IFERROR(__xludf.DUMMYFUNCTION("""COMPUTED_VALUE"""),"Bình Chánh")</f>
        <v>Bình Chánh</v>
      </c>
      <c r="F92" s="54">
        <f ca="1">IFERROR(__xludf.DUMMYFUNCTION("""COMPUTED_VALUE"""),8)</f>
        <v>8</v>
      </c>
      <c r="G92" s="54"/>
      <c r="H92" s="54">
        <f ca="1">IFERROR(__xludf.DUMMYFUNCTION("""COMPUTED_VALUE"""),8)</f>
        <v>8</v>
      </c>
      <c r="I92" s="54"/>
      <c r="J92" s="54">
        <f ca="1">IFERROR(__xludf.DUMMYFUNCTION("""COMPUTED_VALUE"""),8)</f>
        <v>8</v>
      </c>
      <c r="K92" s="54"/>
      <c r="L92" s="54">
        <f ca="1">IFERROR(__xludf.DUMMYFUNCTION("""COMPUTED_VALUE"""),8)</f>
        <v>8</v>
      </c>
      <c r="M92" s="54"/>
      <c r="N92" s="54">
        <f ca="1">IFERROR(__xludf.DUMMYFUNCTION("""COMPUTED_VALUE"""),6)</f>
        <v>6</v>
      </c>
      <c r="O92" s="54">
        <f ca="1">IFERROR(__xludf.DUMMYFUNCTION("""COMPUTED_VALUE"""),0)</f>
        <v>0</v>
      </c>
      <c r="P92" s="54"/>
      <c r="Q92" s="54">
        <f ca="1">IFERROR(__xludf.DUMMYFUNCTION("""COMPUTED_VALUE"""),0)</f>
        <v>0</v>
      </c>
      <c r="R92" s="54"/>
      <c r="S92" s="53">
        <f ca="1">IFERROR(__xludf.DUMMYFUNCTION("""COMPUTED_VALUE"""),0)</f>
        <v>0</v>
      </c>
      <c r="T92" s="53"/>
      <c r="U92" s="53"/>
      <c r="V92" s="53"/>
      <c r="W92" s="53"/>
      <c r="X92" s="53"/>
      <c r="Y92" s="53"/>
      <c r="Z92" s="2"/>
      <c r="AA92" s="2"/>
      <c r="AB92" s="2"/>
      <c r="AC92" s="2"/>
      <c r="AD92" s="2"/>
      <c r="AE92" s="2"/>
    </row>
    <row r="93" spans="1:31" ht="12.75" x14ac:dyDescent="0.2">
      <c r="A93" s="53">
        <f ca="1">IFERROR(__xludf.DUMMYFUNCTION("""COMPUTED_VALUE"""),18)</f>
        <v>18</v>
      </c>
      <c r="B93" s="53" t="str">
        <f ca="1">IFERROR(__xludf.DUMMYFUNCTION("""COMPUTED_VALUE"""),"Lớp MG Tuổi Thơ Xanh")</f>
        <v>Lớp MG Tuổi Thơ Xanh</v>
      </c>
      <c r="C93" s="53" t="str">
        <f ca="1">IFERROR(__xludf.DUMMYFUNCTION("""COMPUTED_VALUE"""),"Phong Phú")</f>
        <v>Phong Phú</v>
      </c>
      <c r="D93" s="53" t="str">
        <f ca="1">IFERROR(__xludf.DUMMYFUNCTION("""COMPUTED_VALUE"""),"MN")</f>
        <v>MN</v>
      </c>
      <c r="E93" s="54" t="str">
        <f ca="1">IFERROR(__xludf.DUMMYFUNCTION("""COMPUTED_VALUE"""),"Bình Chánh")</f>
        <v>Bình Chánh</v>
      </c>
      <c r="F93" s="54">
        <f ca="1">IFERROR(__xludf.DUMMYFUNCTION("""COMPUTED_VALUE"""),6)</f>
        <v>6</v>
      </c>
      <c r="G93" s="54"/>
      <c r="H93" s="54">
        <f ca="1">IFERROR(__xludf.DUMMYFUNCTION("""COMPUTED_VALUE"""),6)</f>
        <v>6</v>
      </c>
      <c r="I93" s="54"/>
      <c r="J93" s="54">
        <f ca="1">IFERROR(__xludf.DUMMYFUNCTION("""COMPUTED_VALUE"""),6)</f>
        <v>6</v>
      </c>
      <c r="K93" s="54"/>
      <c r="L93" s="54">
        <f ca="1">IFERROR(__xludf.DUMMYFUNCTION("""COMPUTED_VALUE"""),6)</f>
        <v>6</v>
      </c>
      <c r="M93" s="54"/>
      <c r="N93" s="54">
        <f ca="1">IFERROR(__xludf.DUMMYFUNCTION("""COMPUTED_VALUE"""),0)</f>
        <v>0</v>
      </c>
      <c r="O93" s="54">
        <f ca="1">IFERROR(__xludf.DUMMYFUNCTION("""COMPUTED_VALUE"""),0)</f>
        <v>0</v>
      </c>
      <c r="P93" s="54"/>
      <c r="Q93" s="53">
        <f ca="1">IFERROR(__xludf.DUMMYFUNCTION("""COMPUTED_VALUE"""),0)</f>
        <v>0</v>
      </c>
      <c r="R93" s="53"/>
      <c r="S93" s="53">
        <f ca="1">IFERROR(__xludf.DUMMYFUNCTION("""COMPUTED_VALUE"""),0)</f>
        <v>0</v>
      </c>
      <c r="T93" s="53"/>
      <c r="U93" s="53"/>
      <c r="V93" s="53"/>
      <c r="W93" s="53"/>
      <c r="X93" s="53"/>
      <c r="Y93" s="53"/>
      <c r="Z93" s="2"/>
      <c r="AA93" s="2"/>
      <c r="AB93" s="2"/>
      <c r="AC93" s="2"/>
      <c r="AD93" s="2"/>
      <c r="AE93" s="2"/>
    </row>
    <row r="94" spans="1:31" ht="12.75" x14ac:dyDescent="0.2">
      <c r="A94" s="53">
        <f ca="1">IFERROR(__xludf.DUMMYFUNCTION("""COMPUTED_VALUE"""),19)</f>
        <v>19</v>
      </c>
      <c r="B94" s="53" t="str">
        <f ca="1">IFERROR(__xludf.DUMMYFUNCTION("""COMPUTED_VALUE"""),"Nhóm Trẻ Thỏ Trắng")</f>
        <v>Nhóm Trẻ Thỏ Trắng</v>
      </c>
      <c r="C94" s="53" t="str">
        <f ca="1">IFERROR(__xludf.DUMMYFUNCTION("""COMPUTED_VALUE"""),"Phong Phú")</f>
        <v>Phong Phú</v>
      </c>
      <c r="D94" s="53" t="str">
        <f ca="1">IFERROR(__xludf.DUMMYFUNCTION("""COMPUTED_VALUE"""),"MN")</f>
        <v>MN</v>
      </c>
      <c r="E94" s="54" t="str">
        <f ca="1">IFERROR(__xludf.DUMMYFUNCTION("""COMPUTED_VALUE"""),"Bình Chánh")</f>
        <v>Bình Chánh</v>
      </c>
      <c r="F94" s="54">
        <f ca="1">IFERROR(__xludf.DUMMYFUNCTION("""COMPUTED_VALUE"""),9)</f>
        <v>9</v>
      </c>
      <c r="G94" s="54"/>
      <c r="H94" s="54">
        <f ca="1">IFERROR(__xludf.DUMMYFUNCTION("""COMPUTED_VALUE"""),9)</f>
        <v>9</v>
      </c>
      <c r="I94" s="54"/>
      <c r="J94" s="54">
        <f ca="1">IFERROR(__xludf.DUMMYFUNCTION("""COMPUTED_VALUE"""),9)</f>
        <v>9</v>
      </c>
      <c r="K94" s="54"/>
      <c r="L94" s="54">
        <f ca="1">IFERROR(__xludf.DUMMYFUNCTION("""COMPUTED_VALUE"""),8)</f>
        <v>8</v>
      </c>
      <c r="M94" s="54"/>
      <c r="N94" s="54">
        <f ca="1">IFERROR(__xludf.DUMMYFUNCTION("""COMPUTED_VALUE"""),0)</f>
        <v>0</v>
      </c>
      <c r="O94" s="54">
        <f ca="1">IFERROR(__xludf.DUMMYFUNCTION("""COMPUTED_VALUE"""),0)</f>
        <v>0</v>
      </c>
      <c r="P94" s="54"/>
      <c r="Q94" s="53">
        <f ca="1">IFERROR(__xludf.DUMMYFUNCTION("""COMPUTED_VALUE"""),0)</f>
        <v>0</v>
      </c>
      <c r="R94" s="53"/>
      <c r="S94" s="53">
        <f ca="1">IFERROR(__xludf.DUMMYFUNCTION("""COMPUTED_VALUE"""),0)</f>
        <v>0</v>
      </c>
      <c r="T94" s="53"/>
      <c r="U94" s="53"/>
      <c r="V94" s="53"/>
      <c r="W94" s="53"/>
      <c r="X94" s="53"/>
      <c r="Y94" s="53"/>
      <c r="Z94" s="2"/>
      <c r="AA94" s="2"/>
      <c r="AB94" s="2"/>
      <c r="AC94" s="2"/>
      <c r="AD94" s="2"/>
      <c r="AE94" s="2"/>
    </row>
    <row r="95" spans="1:31" ht="12.75" x14ac:dyDescent="0.2">
      <c r="A95" s="53">
        <f ca="1">IFERROR(__xludf.DUMMYFUNCTION("""COMPUTED_VALUE"""),20)</f>
        <v>20</v>
      </c>
      <c r="B95" s="53" t="str">
        <f ca="1">IFERROR(__xludf.DUMMYFUNCTION("""COMPUTED_VALUE"""),"Lớp MG Hoa Cúc vàng 2")</f>
        <v>Lớp MG Hoa Cúc vàng 2</v>
      </c>
      <c r="C95" s="53" t="str">
        <f ca="1">IFERROR(__xludf.DUMMYFUNCTION("""COMPUTED_VALUE"""),"Đa Phước")</f>
        <v>Đa Phước</v>
      </c>
      <c r="D95" s="53" t="str">
        <f ca="1">IFERROR(__xludf.DUMMYFUNCTION("""COMPUTED_VALUE"""),"MN")</f>
        <v>MN</v>
      </c>
      <c r="E95" s="54" t="str">
        <f ca="1">IFERROR(__xludf.DUMMYFUNCTION("""COMPUTED_VALUE"""),"Bình Chánh")</f>
        <v>Bình Chánh</v>
      </c>
      <c r="F95" s="54">
        <f ca="1">IFERROR(__xludf.DUMMYFUNCTION("""COMPUTED_VALUE"""),9)</f>
        <v>9</v>
      </c>
      <c r="G95" s="54"/>
      <c r="H95" s="54">
        <f ca="1">IFERROR(__xludf.DUMMYFUNCTION("""COMPUTED_VALUE"""),9)</f>
        <v>9</v>
      </c>
      <c r="I95" s="54"/>
      <c r="J95" s="54">
        <f ca="1">IFERROR(__xludf.DUMMYFUNCTION("""COMPUTED_VALUE"""),9)</f>
        <v>9</v>
      </c>
      <c r="K95" s="54"/>
      <c r="L95" s="54">
        <f ca="1">IFERROR(__xludf.DUMMYFUNCTION("""COMPUTED_VALUE"""),9)</f>
        <v>9</v>
      </c>
      <c r="M95" s="54"/>
      <c r="N95" s="54">
        <f ca="1">IFERROR(__xludf.DUMMYFUNCTION("""COMPUTED_VALUE"""),0)</f>
        <v>0</v>
      </c>
      <c r="O95" s="54">
        <f ca="1">IFERROR(__xludf.DUMMYFUNCTION("""COMPUTED_VALUE"""),14)</f>
        <v>14</v>
      </c>
      <c r="P95" s="54"/>
      <c r="Q95" s="54">
        <f ca="1">IFERROR(__xludf.DUMMYFUNCTION("""COMPUTED_VALUE"""),6)</f>
        <v>6</v>
      </c>
      <c r="R95" s="54"/>
      <c r="S95" s="54">
        <f ca="1">IFERROR(__xludf.DUMMYFUNCTION("""COMPUTED_VALUE"""),0)</f>
        <v>0</v>
      </c>
      <c r="T95" s="53"/>
      <c r="U95" s="53"/>
      <c r="V95" s="53"/>
      <c r="W95" s="53"/>
      <c r="X95" s="53"/>
      <c r="Y95" s="53"/>
      <c r="Z95" s="2"/>
      <c r="AA95" s="2"/>
      <c r="AB95" s="2"/>
      <c r="AC95" s="2"/>
      <c r="AD95" s="2"/>
      <c r="AE95" s="2"/>
    </row>
    <row r="96" spans="1:31" ht="12.75" x14ac:dyDescent="0.2">
      <c r="A96" s="53">
        <f ca="1">IFERROR(__xludf.DUMMYFUNCTION("""COMPUTED_VALUE"""),21)</f>
        <v>21</v>
      </c>
      <c r="B96" s="53" t="str">
        <f ca="1">IFERROR(__xludf.DUMMYFUNCTION("""COMPUTED_VALUE"""),"Lớp MG Hương Xuân")</f>
        <v>Lớp MG Hương Xuân</v>
      </c>
      <c r="C96" s="53" t="str">
        <f ca="1">IFERROR(__xludf.DUMMYFUNCTION("""COMPUTED_VALUE"""),"Đa Phước")</f>
        <v>Đa Phước</v>
      </c>
      <c r="D96" s="53" t="str">
        <f ca="1">IFERROR(__xludf.DUMMYFUNCTION("""COMPUTED_VALUE"""),"MN")</f>
        <v>MN</v>
      </c>
      <c r="E96" s="54" t="str">
        <f ca="1">IFERROR(__xludf.DUMMYFUNCTION("""COMPUTED_VALUE"""),"Bình Chánh")</f>
        <v>Bình Chánh</v>
      </c>
      <c r="F96" s="54">
        <f ca="1">IFERROR(__xludf.DUMMYFUNCTION("""COMPUTED_VALUE"""),5)</f>
        <v>5</v>
      </c>
      <c r="G96" s="54"/>
      <c r="H96" s="54">
        <f ca="1">IFERROR(__xludf.DUMMYFUNCTION("""COMPUTED_VALUE"""),5)</f>
        <v>5</v>
      </c>
      <c r="I96" s="54"/>
      <c r="J96" s="54">
        <f ca="1">IFERROR(__xludf.DUMMYFUNCTION("""COMPUTED_VALUE"""),5)</f>
        <v>5</v>
      </c>
      <c r="K96" s="54"/>
      <c r="L96" s="54">
        <f ca="1">IFERROR(__xludf.DUMMYFUNCTION("""COMPUTED_VALUE"""),5)</f>
        <v>5</v>
      </c>
      <c r="M96" s="54"/>
      <c r="N96" s="54">
        <f ca="1">IFERROR(__xludf.DUMMYFUNCTION("""COMPUTED_VALUE"""),0)</f>
        <v>0</v>
      </c>
      <c r="O96" s="54">
        <f ca="1">IFERROR(__xludf.DUMMYFUNCTION("""COMPUTED_VALUE"""),17)</f>
        <v>17</v>
      </c>
      <c r="P96" s="54"/>
      <c r="Q96" s="54">
        <f ca="1">IFERROR(__xludf.DUMMYFUNCTION("""COMPUTED_VALUE"""),12)</f>
        <v>12</v>
      </c>
      <c r="R96" s="54"/>
      <c r="S96" s="54">
        <f ca="1">IFERROR(__xludf.DUMMYFUNCTION("""COMPUTED_VALUE"""),0)</f>
        <v>0</v>
      </c>
      <c r="T96" s="53"/>
      <c r="U96" s="53"/>
      <c r="V96" s="53"/>
      <c r="W96" s="53"/>
      <c r="X96" s="53"/>
      <c r="Y96" s="53"/>
      <c r="Z96" s="2"/>
      <c r="AA96" s="2"/>
      <c r="AB96" s="2"/>
      <c r="AC96" s="2"/>
      <c r="AD96" s="2"/>
      <c r="AE96" s="2"/>
    </row>
    <row r="97" spans="1:31" ht="12.75" x14ac:dyDescent="0.2">
      <c r="A97" s="53">
        <f ca="1">IFERROR(__xludf.DUMMYFUNCTION("""COMPUTED_VALUE"""),22)</f>
        <v>22</v>
      </c>
      <c r="B97" s="53" t="str">
        <f ca="1">IFERROR(__xludf.DUMMYFUNCTION("""COMPUTED_VALUE"""),"Lớp MG Nụ Cười Hồng")</f>
        <v>Lớp MG Nụ Cười Hồng</v>
      </c>
      <c r="C97" s="53" t="str">
        <f ca="1">IFERROR(__xludf.DUMMYFUNCTION("""COMPUTED_VALUE"""),"Đa Phước")</f>
        <v>Đa Phước</v>
      </c>
      <c r="D97" s="53" t="str">
        <f ca="1">IFERROR(__xludf.DUMMYFUNCTION("""COMPUTED_VALUE"""),"MN")</f>
        <v>MN</v>
      </c>
      <c r="E97" s="54" t="str">
        <f ca="1">IFERROR(__xludf.DUMMYFUNCTION("""COMPUTED_VALUE"""),"Bình Chánh")</f>
        <v>Bình Chánh</v>
      </c>
      <c r="F97" s="54">
        <f ca="1">IFERROR(__xludf.DUMMYFUNCTION("""COMPUTED_VALUE"""),5)</f>
        <v>5</v>
      </c>
      <c r="G97" s="54"/>
      <c r="H97" s="54">
        <f ca="1">IFERROR(__xludf.DUMMYFUNCTION("""COMPUTED_VALUE"""),5)</f>
        <v>5</v>
      </c>
      <c r="I97" s="54"/>
      <c r="J97" s="54">
        <f ca="1">IFERROR(__xludf.DUMMYFUNCTION("""COMPUTED_VALUE"""),5)</f>
        <v>5</v>
      </c>
      <c r="K97" s="54"/>
      <c r="L97" s="54">
        <f ca="1">IFERROR(__xludf.DUMMYFUNCTION("""COMPUTED_VALUE"""),5)</f>
        <v>5</v>
      </c>
      <c r="M97" s="54"/>
      <c r="N97" s="54">
        <f ca="1">IFERROR(__xludf.DUMMYFUNCTION("""COMPUTED_VALUE"""),0)</f>
        <v>0</v>
      </c>
      <c r="O97" s="54">
        <f ca="1">IFERROR(__xludf.DUMMYFUNCTION("""COMPUTED_VALUE"""),11)</f>
        <v>11</v>
      </c>
      <c r="P97" s="54"/>
      <c r="Q97" s="54">
        <f ca="1">IFERROR(__xludf.DUMMYFUNCTION("""COMPUTED_VALUE"""),0)</f>
        <v>0</v>
      </c>
      <c r="R97" s="54"/>
      <c r="S97" s="54">
        <f ca="1">IFERROR(__xludf.DUMMYFUNCTION("""COMPUTED_VALUE"""),0)</f>
        <v>0</v>
      </c>
      <c r="T97" s="53"/>
      <c r="U97" s="53"/>
      <c r="V97" s="53"/>
      <c r="W97" s="53"/>
      <c r="X97" s="53"/>
      <c r="Y97" s="53"/>
      <c r="Z97" s="2"/>
      <c r="AA97" s="2"/>
      <c r="AB97" s="2"/>
      <c r="AC97" s="2"/>
      <c r="AD97" s="2"/>
      <c r="AE97" s="2"/>
    </row>
    <row r="98" spans="1:31" ht="12.75" x14ac:dyDescent="0.2">
      <c r="A98" s="53">
        <f ca="1">IFERROR(__xludf.DUMMYFUNCTION("""COMPUTED_VALUE"""),23)</f>
        <v>23</v>
      </c>
      <c r="B98" s="53" t="str">
        <f ca="1">IFERROR(__xludf.DUMMYFUNCTION("""COMPUTED_VALUE"""),"Lớp MG Mai Phương")</f>
        <v>Lớp MG Mai Phương</v>
      </c>
      <c r="C98" s="53" t="str">
        <f ca="1">IFERROR(__xludf.DUMMYFUNCTION("""COMPUTED_VALUE"""),"Hưng Long")</f>
        <v>Hưng Long</v>
      </c>
      <c r="D98" s="53" t="str">
        <f ca="1">IFERROR(__xludf.DUMMYFUNCTION("""COMPUTED_VALUE"""),"MN")</f>
        <v>MN</v>
      </c>
      <c r="E98" s="54" t="str">
        <f ca="1">IFERROR(__xludf.DUMMYFUNCTION("""COMPUTED_VALUE"""),"Bình Chánh")</f>
        <v>Bình Chánh</v>
      </c>
      <c r="F98" s="54">
        <f ca="1">IFERROR(__xludf.DUMMYFUNCTION("""COMPUTED_VALUE"""),8)</f>
        <v>8</v>
      </c>
      <c r="G98" s="54"/>
      <c r="H98" s="54">
        <f ca="1">IFERROR(__xludf.DUMMYFUNCTION("""COMPUTED_VALUE"""),8)</f>
        <v>8</v>
      </c>
      <c r="I98" s="54"/>
      <c r="J98" s="54">
        <f ca="1">IFERROR(__xludf.DUMMYFUNCTION("""COMPUTED_VALUE"""),8)</f>
        <v>8</v>
      </c>
      <c r="K98" s="54"/>
      <c r="L98" s="54">
        <f ca="1">IFERROR(__xludf.DUMMYFUNCTION("""COMPUTED_VALUE"""),6)</f>
        <v>6</v>
      </c>
      <c r="M98" s="54"/>
      <c r="N98" s="54">
        <f ca="1">IFERROR(__xludf.DUMMYFUNCTION("""COMPUTED_VALUE"""),0)</f>
        <v>0</v>
      </c>
      <c r="O98" s="54">
        <f ca="1">IFERROR(__xludf.DUMMYFUNCTION("""COMPUTED_VALUE"""),22)</f>
        <v>22</v>
      </c>
      <c r="P98" s="54"/>
      <c r="Q98" s="54">
        <f ca="1">IFERROR(__xludf.DUMMYFUNCTION("""COMPUTED_VALUE"""),12)</f>
        <v>12</v>
      </c>
      <c r="R98" s="54"/>
      <c r="S98" s="54">
        <f ca="1">IFERROR(__xludf.DUMMYFUNCTION("""COMPUTED_VALUE"""),0)</f>
        <v>0</v>
      </c>
      <c r="T98" s="53"/>
      <c r="U98" s="53"/>
      <c r="V98" s="53"/>
      <c r="W98" s="53"/>
      <c r="X98" s="53"/>
      <c r="Y98" s="53"/>
      <c r="Z98" s="2"/>
      <c r="AA98" s="2"/>
      <c r="AB98" s="2"/>
      <c r="AC98" s="2"/>
      <c r="AD98" s="2"/>
      <c r="AE98" s="2"/>
    </row>
    <row r="99" spans="1:31" ht="12.75" x14ac:dyDescent="0.2">
      <c r="A99" s="53">
        <f ca="1">IFERROR(__xludf.DUMMYFUNCTION("""COMPUTED_VALUE"""),24)</f>
        <v>24</v>
      </c>
      <c r="B99" s="53" t="str">
        <f ca="1">IFERROR(__xludf.DUMMYFUNCTION("""COMPUTED_VALUE"""),"Lớp MG Trúc Lam")</f>
        <v>Lớp MG Trúc Lam</v>
      </c>
      <c r="C99" s="53" t="str">
        <f ca="1">IFERROR(__xludf.DUMMYFUNCTION("""COMPUTED_VALUE"""),"Hưng Long")</f>
        <v>Hưng Long</v>
      </c>
      <c r="D99" s="53" t="str">
        <f ca="1">IFERROR(__xludf.DUMMYFUNCTION("""COMPUTED_VALUE"""),"MN")</f>
        <v>MN</v>
      </c>
      <c r="E99" s="54" t="str">
        <f ca="1">IFERROR(__xludf.DUMMYFUNCTION("""COMPUTED_VALUE"""),"Bình Chánh")</f>
        <v>Bình Chánh</v>
      </c>
      <c r="F99" s="54">
        <f ca="1">IFERROR(__xludf.DUMMYFUNCTION("""COMPUTED_VALUE"""),9)</f>
        <v>9</v>
      </c>
      <c r="G99" s="54"/>
      <c r="H99" s="54">
        <f ca="1">IFERROR(__xludf.DUMMYFUNCTION("""COMPUTED_VALUE"""),9)</f>
        <v>9</v>
      </c>
      <c r="I99" s="54"/>
      <c r="J99" s="54">
        <f ca="1">IFERROR(__xludf.DUMMYFUNCTION("""COMPUTED_VALUE"""),9)</f>
        <v>9</v>
      </c>
      <c r="K99" s="54"/>
      <c r="L99" s="54">
        <f ca="1">IFERROR(__xludf.DUMMYFUNCTION("""COMPUTED_VALUE"""),9)</f>
        <v>9</v>
      </c>
      <c r="M99" s="54"/>
      <c r="N99" s="54">
        <f ca="1">IFERROR(__xludf.DUMMYFUNCTION("""COMPUTED_VALUE"""),0)</f>
        <v>0</v>
      </c>
      <c r="O99" s="54">
        <f ca="1">IFERROR(__xludf.DUMMYFUNCTION("""COMPUTED_VALUE"""),59)</f>
        <v>59</v>
      </c>
      <c r="P99" s="54"/>
      <c r="Q99" s="54">
        <f ca="1">IFERROR(__xludf.DUMMYFUNCTION("""COMPUTED_VALUE"""),45)</f>
        <v>45</v>
      </c>
      <c r="R99" s="54"/>
      <c r="S99" s="53">
        <f ca="1">IFERROR(__xludf.DUMMYFUNCTION("""COMPUTED_VALUE"""),0)</f>
        <v>0</v>
      </c>
      <c r="T99" s="53"/>
      <c r="U99" s="53"/>
      <c r="V99" s="53"/>
      <c r="W99" s="53"/>
      <c r="X99" s="53"/>
      <c r="Y99" s="53"/>
      <c r="Z99" s="2"/>
      <c r="AA99" s="2"/>
      <c r="AB99" s="2"/>
      <c r="AC99" s="2"/>
      <c r="AD99" s="2"/>
      <c r="AE99" s="2"/>
    </row>
    <row r="100" spans="1:31" ht="12.75" x14ac:dyDescent="0.2">
      <c r="A100" s="53">
        <f ca="1">IFERROR(__xludf.DUMMYFUNCTION("""COMPUTED_VALUE"""),25)</f>
        <v>25</v>
      </c>
      <c r="B100" s="53" t="str">
        <f ca="1">IFERROR(__xludf.DUMMYFUNCTION("""COMPUTED_VALUE"""),"Lớp MG Bình An")</f>
        <v>Lớp MG Bình An</v>
      </c>
      <c r="C100" s="53" t="str">
        <f ca="1">IFERROR(__xludf.DUMMYFUNCTION("""COMPUTED_VALUE"""),"Hưng Long")</f>
        <v>Hưng Long</v>
      </c>
      <c r="D100" s="53" t="str">
        <f ca="1">IFERROR(__xludf.DUMMYFUNCTION("""COMPUTED_VALUE"""),"MN")</f>
        <v>MN</v>
      </c>
      <c r="E100" s="54" t="str">
        <f ca="1">IFERROR(__xludf.DUMMYFUNCTION("""COMPUTED_VALUE"""),"Bình Chánh")</f>
        <v>Bình Chánh</v>
      </c>
      <c r="F100" s="54">
        <f ca="1">IFERROR(__xludf.DUMMYFUNCTION("""COMPUTED_VALUE"""),8)</f>
        <v>8</v>
      </c>
      <c r="G100" s="54"/>
      <c r="H100" s="54">
        <f ca="1">IFERROR(__xludf.DUMMYFUNCTION("""COMPUTED_VALUE"""),8)</f>
        <v>8</v>
      </c>
      <c r="I100" s="54"/>
      <c r="J100" s="54">
        <f ca="1">IFERROR(__xludf.DUMMYFUNCTION("""COMPUTED_VALUE"""),8)</f>
        <v>8</v>
      </c>
      <c r="K100" s="54"/>
      <c r="L100" s="54">
        <f ca="1">IFERROR(__xludf.DUMMYFUNCTION("""COMPUTED_VALUE"""),8)</f>
        <v>8</v>
      </c>
      <c r="M100" s="54"/>
      <c r="N100" s="54">
        <f ca="1">IFERROR(__xludf.DUMMYFUNCTION("""COMPUTED_VALUE"""),0)</f>
        <v>0</v>
      </c>
      <c r="O100" s="54">
        <f ca="1">IFERROR(__xludf.DUMMYFUNCTION("""COMPUTED_VALUE"""),46)</f>
        <v>46</v>
      </c>
      <c r="P100" s="54"/>
      <c r="Q100" s="54">
        <f ca="1">IFERROR(__xludf.DUMMYFUNCTION("""COMPUTED_VALUE"""),36)</f>
        <v>36</v>
      </c>
      <c r="R100" s="54"/>
      <c r="S100" s="54">
        <f ca="1">IFERROR(__xludf.DUMMYFUNCTION("""COMPUTED_VALUE"""),0)</f>
        <v>0</v>
      </c>
      <c r="T100" s="53"/>
      <c r="U100" s="53"/>
      <c r="V100" s="53"/>
      <c r="W100" s="53"/>
      <c r="X100" s="53"/>
      <c r="Y100" s="53"/>
      <c r="Z100" s="2"/>
      <c r="AA100" s="2"/>
      <c r="AB100" s="2"/>
      <c r="AC100" s="2"/>
      <c r="AD100" s="2"/>
      <c r="AE100" s="2"/>
    </row>
    <row r="101" spans="1:31" ht="12.75" x14ac:dyDescent="0.2">
      <c r="A101" s="53">
        <f ca="1">IFERROR(__xludf.DUMMYFUNCTION("""COMPUTED_VALUE"""),26)</f>
        <v>26</v>
      </c>
      <c r="B101" s="53" t="str">
        <f ca="1">IFERROR(__xludf.DUMMYFUNCTION("""COMPUTED_VALUE"""),"Lớp MG Ánh Sao")</f>
        <v>Lớp MG Ánh Sao</v>
      </c>
      <c r="C101" s="53" t="str">
        <f ca="1">IFERROR(__xludf.DUMMYFUNCTION("""COMPUTED_VALUE"""),"Tân Quý Tây")</f>
        <v>Tân Quý Tây</v>
      </c>
      <c r="D101" s="53" t="str">
        <f ca="1">IFERROR(__xludf.DUMMYFUNCTION("""COMPUTED_VALUE"""),"MN")</f>
        <v>MN</v>
      </c>
      <c r="E101" s="54" t="str">
        <f ca="1">IFERROR(__xludf.DUMMYFUNCTION("""COMPUTED_VALUE"""),"Bình Chánh")</f>
        <v>Bình Chánh</v>
      </c>
      <c r="F101" s="54">
        <f ca="1">IFERROR(__xludf.DUMMYFUNCTION("""COMPUTED_VALUE"""),16)</f>
        <v>16</v>
      </c>
      <c r="G101" s="54"/>
      <c r="H101" s="54">
        <f ca="1">IFERROR(__xludf.DUMMYFUNCTION("""COMPUTED_VALUE"""),16)</f>
        <v>16</v>
      </c>
      <c r="I101" s="54"/>
      <c r="J101" s="54">
        <f ca="1">IFERROR(__xludf.DUMMYFUNCTION("""COMPUTED_VALUE"""),7)</f>
        <v>7</v>
      </c>
      <c r="K101" s="54"/>
      <c r="L101" s="54">
        <f ca="1">IFERROR(__xludf.DUMMYFUNCTION("""COMPUTED_VALUE"""),7)</f>
        <v>7</v>
      </c>
      <c r="M101" s="54"/>
      <c r="N101" s="54">
        <f ca="1">IFERROR(__xludf.DUMMYFUNCTION("""COMPUTED_VALUE"""),2)</f>
        <v>2</v>
      </c>
      <c r="O101" s="54">
        <f ca="1">IFERROR(__xludf.DUMMYFUNCTION("""COMPUTED_VALUE"""),10)</f>
        <v>10</v>
      </c>
      <c r="P101" s="54"/>
      <c r="Q101" s="54">
        <f ca="1">IFERROR(__xludf.DUMMYFUNCTION("""COMPUTED_VALUE"""),6)</f>
        <v>6</v>
      </c>
      <c r="R101" s="54"/>
      <c r="S101" s="54">
        <f ca="1">IFERROR(__xludf.DUMMYFUNCTION("""COMPUTED_VALUE"""),0)</f>
        <v>0</v>
      </c>
      <c r="T101" s="53"/>
      <c r="U101" s="53"/>
      <c r="V101" s="53"/>
      <c r="W101" s="53"/>
      <c r="X101" s="53"/>
      <c r="Y101" s="53"/>
      <c r="Z101" s="2"/>
      <c r="AA101" s="2"/>
      <c r="AB101" s="2"/>
      <c r="AC101" s="2"/>
      <c r="AD101" s="2"/>
      <c r="AE101" s="2"/>
    </row>
    <row r="102" spans="1:31" ht="12.75" x14ac:dyDescent="0.2">
      <c r="A102" s="53">
        <f ca="1">IFERROR(__xludf.DUMMYFUNCTION("""COMPUTED_VALUE"""),27)</f>
        <v>27</v>
      </c>
      <c r="B102" s="53" t="str">
        <f ca="1">IFERROR(__xludf.DUMMYFUNCTION("""COMPUTED_VALUE"""),"Nhóm trẻ Hương Thủy")</f>
        <v>Nhóm trẻ Hương Thủy</v>
      </c>
      <c r="C102" s="53" t="str">
        <f ca="1">IFERROR(__xludf.DUMMYFUNCTION("""COMPUTED_VALUE"""),"Tân Quý Tây")</f>
        <v>Tân Quý Tây</v>
      </c>
      <c r="D102" s="53" t="str">
        <f ca="1">IFERROR(__xludf.DUMMYFUNCTION("""COMPUTED_VALUE"""),"MN")</f>
        <v>MN</v>
      </c>
      <c r="E102" s="54" t="str">
        <f ca="1">IFERROR(__xludf.DUMMYFUNCTION("""COMPUTED_VALUE"""),"Bình Chánh")</f>
        <v>Bình Chánh</v>
      </c>
      <c r="F102" s="54">
        <f ca="1">IFERROR(__xludf.DUMMYFUNCTION("""COMPUTED_VALUE"""),4)</f>
        <v>4</v>
      </c>
      <c r="G102" s="54"/>
      <c r="H102" s="54">
        <f ca="1">IFERROR(__xludf.DUMMYFUNCTION("""COMPUTED_VALUE"""),4)</f>
        <v>4</v>
      </c>
      <c r="I102" s="54"/>
      <c r="J102" s="54">
        <f ca="1">IFERROR(__xludf.DUMMYFUNCTION("""COMPUTED_VALUE"""),4)</f>
        <v>4</v>
      </c>
      <c r="K102" s="54"/>
      <c r="L102" s="54">
        <f ca="1">IFERROR(__xludf.DUMMYFUNCTION("""COMPUTED_VALUE"""),3)</f>
        <v>3</v>
      </c>
      <c r="M102" s="54"/>
      <c r="N102" s="54">
        <f ca="1">IFERROR(__xludf.DUMMYFUNCTION("""COMPUTED_VALUE"""),0)</f>
        <v>0</v>
      </c>
      <c r="O102" s="54">
        <f ca="1">IFERROR(__xludf.DUMMYFUNCTION("""COMPUTED_VALUE"""),0)</f>
        <v>0</v>
      </c>
      <c r="P102" s="54"/>
      <c r="Q102" s="54">
        <f ca="1">IFERROR(__xludf.DUMMYFUNCTION("""COMPUTED_VALUE"""),0)</f>
        <v>0</v>
      </c>
      <c r="R102" s="54"/>
      <c r="S102" s="54">
        <f ca="1">IFERROR(__xludf.DUMMYFUNCTION("""COMPUTED_VALUE"""),0)</f>
        <v>0</v>
      </c>
      <c r="T102" s="53"/>
      <c r="U102" s="53"/>
      <c r="V102" s="53"/>
      <c r="W102" s="53"/>
      <c r="X102" s="53"/>
      <c r="Y102" s="53"/>
      <c r="Z102" s="2"/>
      <c r="AA102" s="2"/>
      <c r="AB102" s="2"/>
      <c r="AC102" s="2"/>
      <c r="AD102" s="2"/>
      <c r="AE102" s="2"/>
    </row>
    <row r="103" spans="1:31" ht="12.75" x14ac:dyDescent="0.2">
      <c r="A103" s="53">
        <f ca="1">IFERROR(__xludf.DUMMYFUNCTION("""COMPUTED_VALUE"""),28)</f>
        <v>28</v>
      </c>
      <c r="B103" s="53" t="str">
        <f ca="1">IFERROR(__xludf.DUMMYFUNCTION("""COMPUTED_VALUE"""),"Lớp MG Họa Mi 3")</f>
        <v>Lớp MG Họa Mi 3</v>
      </c>
      <c r="C103" s="53" t="str">
        <f ca="1">IFERROR(__xludf.DUMMYFUNCTION("""COMPUTED_VALUE"""),"Tân Quý Tây")</f>
        <v>Tân Quý Tây</v>
      </c>
      <c r="D103" s="53" t="str">
        <f ca="1">IFERROR(__xludf.DUMMYFUNCTION("""COMPUTED_VALUE"""),"MN")</f>
        <v>MN</v>
      </c>
      <c r="E103" s="54" t="str">
        <f ca="1">IFERROR(__xludf.DUMMYFUNCTION("""COMPUTED_VALUE"""),"Bình Chánh")</f>
        <v>Bình Chánh</v>
      </c>
      <c r="F103" s="54">
        <f ca="1">IFERROR(__xludf.DUMMYFUNCTION("""COMPUTED_VALUE"""),8)</f>
        <v>8</v>
      </c>
      <c r="G103" s="54"/>
      <c r="H103" s="54">
        <f ca="1">IFERROR(__xludf.DUMMYFUNCTION("""COMPUTED_VALUE"""),8)</f>
        <v>8</v>
      </c>
      <c r="I103" s="54"/>
      <c r="J103" s="54">
        <f ca="1">IFERROR(__xludf.DUMMYFUNCTION("""COMPUTED_VALUE"""),8)</f>
        <v>8</v>
      </c>
      <c r="K103" s="54"/>
      <c r="L103" s="54">
        <f ca="1">IFERROR(__xludf.DUMMYFUNCTION("""COMPUTED_VALUE"""),8)</f>
        <v>8</v>
      </c>
      <c r="M103" s="54"/>
      <c r="N103" s="54">
        <f ca="1">IFERROR(__xludf.DUMMYFUNCTION("""COMPUTED_VALUE"""),0)</f>
        <v>0</v>
      </c>
      <c r="O103" s="54">
        <f ca="1">IFERROR(__xludf.DUMMYFUNCTION("""COMPUTED_VALUE"""),0)</f>
        <v>0</v>
      </c>
      <c r="P103" s="54"/>
      <c r="Q103" s="54">
        <f ca="1">IFERROR(__xludf.DUMMYFUNCTION("""COMPUTED_VALUE"""),0)</f>
        <v>0</v>
      </c>
      <c r="R103" s="54"/>
      <c r="S103" s="53">
        <f ca="1">IFERROR(__xludf.DUMMYFUNCTION("""COMPUTED_VALUE"""),0)</f>
        <v>0</v>
      </c>
      <c r="T103" s="53"/>
      <c r="U103" s="53"/>
      <c r="V103" s="53"/>
      <c r="W103" s="53"/>
      <c r="X103" s="53"/>
      <c r="Y103" s="53"/>
      <c r="Z103" s="2"/>
      <c r="AA103" s="2"/>
      <c r="AB103" s="2"/>
      <c r="AC103" s="2"/>
      <c r="AD103" s="2"/>
      <c r="AE103" s="2"/>
    </row>
    <row r="104" spans="1:31" ht="12.75" x14ac:dyDescent="0.2">
      <c r="A104" s="53">
        <f ca="1">IFERROR(__xludf.DUMMYFUNCTION("""COMPUTED_VALUE"""),29)</f>
        <v>29</v>
      </c>
      <c r="B104" s="53" t="str">
        <f ca="1">IFERROR(__xludf.DUMMYFUNCTION("""COMPUTED_VALUE"""),"Lớp MG Thảo Quyên")</f>
        <v>Lớp MG Thảo Quyên</v>
      </c>
      <c r="C104" s="53" t="str">
        <f ca="1">IFERROR(__xludf.DUMMYFUNCTION("""COMPUTED_VALUE"""),"Bình Chánh")</f>
        <v>Bình Chánh</v>
      </c>
      <c r="D104" s="53" t="str">
        <f ca="1">IFERROR(__xludf.DUMMYFUNCTION("""COMPUTED_VALUE"""),"MN")</f>
        <v>MN</v>
      </c>
      <c r="E104" s="54" t="str">
        <f ca="1">IFERROR(__xludf.DUMMYFUNCTION("""COMPUTED_VALUE"""),"Bình Chánh")</f>
        <v>Bình Chánh</v>
      </c>
      <c r="F104" s="54">
        <f ca="1">IFERROR(__xludf.DUMMYFUNCTION("""COMPUTED_VALUE"""),5)</f>
        <v>5</v>
      </c>
      <c r="G104" s="54"/>
      <c r="H104" s="54">
        <f ca="1">IFERROR(__xludf.DUMMYFUNCTION("""COMPUTED_VALUE"""),5)</f>
        <v>5</v>
      </c>
      <c r="I104" s="54"/>
      <c r="J104" s="54">
        <f ca="1">IFERROR(__xludf.DUMMYFUNCTION("""COMPUTED_VALUE"""),5)</f>
        <v>5</v>
      </c>
      <c r="K104" s="54"/>
      <c r="L104" s="54">
        <f ca="1">IFERROR(__xludf.DUMMYFUNCTION("""COMPUTED_VALUE"""),5)</f>
        <v>5</v>
      </c>
      <c r="M104" s="54"/>
      <c r="N104" s="54">
        <f ca="1">IFERROR(__xludf.DUMMYFUNCTION("""COMPUTED_VALUE"""),0)</f>
        <v>0</v>
      </c>
      <c r="O104" s="54">
        <f ca="1">IFERROR(__xludf.DUMMYFUNCTION("""COMPUTED_VALUE"""),0)</f>
        <v>0</v>
      </c>
      <c r="P104" s="54"/>
      <c r="Q104" s="54">
        <f ca="1">IFERROR(__xludf.DUMMYFUNCTION("""COMPUTED_VALUE"""),0)</f>
        <v>0</v>
      </c>
      <c r="R104" s="54"/>
      <c r="S104" s="54">
        <f ca="1">IFERROR(__xludf.DUMMYFUNCTION("""COMPUTED_VALUE"""),0)</f>
        <v>0</v>
      </c>
      <c r="T104" s="53"/>
      <c r="U104" s="53"/>
      <c r="V104" s="53"/>
      <c r="W104" s="53"/>
      <c r="X104" s="53"/>
      <c r="Y104" s="53"/>
      <c r="Z104" s="2"/>
      <c r="AA104" s="2"/>
      <c r="AB104" s="2"/>
      <c r="AC104" s="2"/>
      <c r="AD104" s="2"/>
      <c r="AE104" s="2"/>
    </row>
    <row r="105" spans="1:31" ht="12.75" x14ac:dyDescent="0.2">
      <c r="A105" s="53">
        <f ca="1">IFERROR(__xludf.DUMMYFUNCTION("""COMPUTED_VALUE"""),30)</f>
        <v>30</v>
      </c>
      <c r="B105" s="53" t="str">
        <f ca="1">IFERROR(__xludf.DUMMYFUNCTION("""COMPUTED_VALUE"""),"Lớp MG Thanh Nghi")</f>
        <v>Lớp MG Thanh Nghi</v>
      </c>
      <c r="C105" s="53" t="str">
        <f ca="1">IFERROR(__xludf.DUMMYFUNCTION("""COMPUTED_VALUE"""),"Bình Chánh")</f>
        <v>Bình Chánh</v>
      </c>
      <c r="D105" s="53" t="str">
        <f ca="1">IFERROR(__xludf.DUMMYFUNCTION("""COMPUTED_VALUE"""),"MN")</f>
        <v>MN</v>
      </c>
      <c r="E105" s="54" t="str">
        <f ca="1">IFERROR(__xludf.DUMMYFUNCTION("""COMPUTED_VALUE"""),"Bình Chánh")</f>
        <v>Bình Chánh</v>
      </c>
      <c r="F105" s="54">
        <f ca="1">IFERROR(__xludf.DUMMYFUNCTION("""COMPUTED_VALUE"""),4)</f>
        <v>4</v>
      </c>
      <c r="G105" s="54"/>
      <c r="H105" s="54">
        <f ca="1">IFERROR(__xludf.DUMMYFUNCTION("""COMPUTED_VALUE"""),4)</f>
        <v>4</v>
      </c>
      <c r="I105" s="54"/>
      <c r="J105" s="54">
        <f ca="1">IFERROR(__xludf.DUMMYFUNCTION("""COMPUTED_VALUE"""),4)</f>
        <v>4</v>
      </c>
      <c r="K105" s="54"/>
      <c r="L105" s="54">
        <f ca="1">IFERROR(__xludf.DUMMYFUNCTION("""COMPUTED_VALUE"""),4)</f>
        <v>4</v>
      </c>
      <c r="M105" s="54"/>
      <c r="N105" s="54">
        <f ca="1">IFERROR(__xludf.DUMMYFUNCTION("""COMPUTED_VALUE"""),0)</f>
        <v>0</v>
      </c>
      <c r="O105" s="54">
        <f ca="1">IFERROR(__xludf.DUMMYFUNCTION("""COMPUTED_VALUE"""),0)</f>
        <v>0</v>
      </c>
      <c r="P105" s="54"/>
      <c r="Q105" s="54">
        <f ca="1">IFERROR(__xludf.DUMMYFUNCTION("""COMPUTED_VALUE"""),0)</f>
        <v>0</v>
      </c>
      <c r="R105" s="54"/>
      <c r="S105" s="53">
        <f ca="1">IFERROR(__xludf.DUMMYFUNCTION("""COMPUTED_VALUE"""),0)</f>
        <v>0</v>
      </c>
      <c r="T105" s="53"/>
      <c r="U105" s="53"/>
      <c r="V105" s="53"/>
      <c r="W105" s="53"/>
      <c r="X105" s="53"/>
      <c r="Y105" s="53"/>
      <c r="Z105" s="2"/>
      <c r="AA105" s="2"/>
      <c r="AB105" s="2"/>
      <c r="AC105" s="2"/>
      <c r="AD105" s="2"/>
      <c r="AE105" s="2"/>
    </row>
    <row r="106" spans="1:31" ht="12.75" x14ac:dyDescent="0.2">
      <c r="A106" s="53">
        <f ca="1">IFERROR(__xludf.DUMMYFUNCTION("""COMPUTED_VALUE"""),31)</f>
        <v>31</v>
      </c>
      <c r="B106" s="53" t="str">
        <f ca="1">IFERROR(__xludf.DUMMYFUNCTION("""COMPUTED_VALUE"""),"Nhóm trẻ Gia Ơn")</f>
        <v>Nhóm trẻ Gia Ơn</v>
      </c>
      <c r="C106" s="53" t="str">
        <f ca="1">IFERROR(__xludf.DUMMYFUNCTION("""COMPUTED_VALUE"""),"Bình Chánh")</f>
        <v>Bình Chánh</v>
      </c>
      <c r="D106" s="53" t="str">
        <f ca="1">IFERROR(__xludf.DUMMYFUNCTION("""COMPUTED_VALUE"""),"MN")</f>
        <v>MN</v>
      </c>
      <c r="E106" s="54" t="str">
        <f ca="1">IFERROR(__xludf.DUMMYFUNCTION("""COMPUTED_VALUE"""),"Bình Chánh")</f>
        <v>Bình Chánh</v>
      </c>
      <c r="F106" s="54">
        <f ca="1">IFERROR(__xludf.DUMMYFUNCTION("""COMPUTED_VALUE"""),6)</f>
        <v>6</v>
      </c>
      <c r="G106" s="54"/>
      <c r="H106" s="54">
        <f ca="1">IFERROR(__xludf.DUMMYFUNCTION("""COMPUTED_VALUE"""),6)</f>
        <v>6</v>
      </c>
      <c r="I106" s="54"/>
      <c r="J106" s="54">
        <f ca="1">IFERROR(__xludf.DUMMYFUNCTION("""COMPUTED_VALUE"""),6)</f>
        <v>6</v>
      </c>
      <c r="K106" s="54"/>
      <c r="L106" s="54">
        <f ca="1">IFERROR(__xludf.DUMMYFUNCTION("""COMPUTED_VALUE"""),6)</f>
        <v>6</v>
      </c>
      <c r="M106" s="54"/>
      <c r="N106" s="54">
        <f ca="1">IFERROR(__xludf.DUMMYFUNCTION("""COMPUTED_VALUE"""),0)</f>
        <v>0</v>
      </c>
      <c r="O106" s="54">
        <f ca="1">IFERROR(__xludf.DUMMYFUNCTION("""COMPUTED_VALUE"""),0)</f>
        <v>0</v>
      </c>
      <c r="P106" s="54"/>
      <c r="Q106" s="54">
        <f ca="1">IFERROR(__xludf.DUMMYFUNCTION("""COMPUTED_VALUE"""),0)</f>
        <v>0</v>
      </c>
      <c r="R106" s="54"/>
      <c r="S106" s="54">
        <f ca="1">IFERROR(__xludf.DUMMYFUNCTION("""COMPUTED_VALUE"""),0)</f>
        <v>0</v>
      </c>
      <c r="T106" s="53"/>
      <c r="U106" s="53"/>
      <c r="V106" s="53"/>
      <c r="W106" s="53"/>
      <c r="X106" s="53"/>
      <c r="Y106" s="53"/>
      <c r="Z106" s="2"/>
      <c r="AA106" s="2"/>
      <c r="AB106" s="2"/>
      <c r="AC106" s="2"/>
      <c r="AD106" s="2"/>
      <c r="AE106" s="2"/>
    </row>
    <row r="107" spans="1:31" ht="12.75" x14ac:dyDescent="0.2">
      <c r="A107" s="53">
        <f ca="1">IFERROR(__xludf.DUMMYFUNCTION("""COMPUTED_VALUE"""),32)</f>
        <v>32</v>
      </c>
      <c r="B107" s="53" t="str">
        <f ca="1">IFERROR(__xludf.DUMMYFUNCTION("""COMPUTED_VALUE"""),"Lớp MG Thỏ Ngọc")</f>
        <v>Lớp MG Thỏ Ngọc</v>
      </c>
      <c r="C107" s="53" t="str">
        <f ca="1">IFERROR(__xludf.DUMMYFUNCTION("""COMPUTED_VALUE"""),"Bình Chánh")</f>
        <v>Bình Chánh</v>
      </c>
      <c r="D107" s="53" t="str">
        <f ca="1">IFERROR(__xludf.DUMMYFUNCTION("""COMPUTED_VALUE"""),"MN")</f>
        <v>MN</v>
      </c>
      <c r="E107" s="54" t="str">
        <f ca="1">IFERROR(__xludf.DUMMYFUNCTION("""COMPUTED_VALUE"""),"Bình Chánh")</f>
        <v>Bình Chánh</v>
      </c>
      <c r="F107" s="54">
        <f ca="1">IFERROR(__xludf.DUMMYFUNCTION("""COMPUTED_VALUE"""),7)</f>
        <v>7</v>
      </c>
      <c r="G107" s="54"/>
      <c r="H107" s="54">
        <f ca="1">IFERROR(__xludf.DUMMYFUNCTION("""COMPUTED_VALUE"""),7)</f>
        <v>7</v>
      </c>
      <c r="I107" s="54"/>
      <c r="J107" s="54">
        <f ca="1">IFERROR(__xludf.DUMMYFUNCTION("""COMPUTED_VALUE"""),7)</f>
        <v>7</v>
      </c>
      <c r="K107" s="54"/>
      <c r="L107" s="54">
        <f ca="1">IFERROR(__xludf.DUMMYFUNCTION("""COMPUTED_VALUE"""),7)</f>
        <v>7</v>
      </c>
      <c r="M107" s="54"/>
      <c r="N107" s="54">
        <f ca="1">IFERROR(__xludf.DUMMYFUNCTION("""COMPUTED_VALUE"""),0)</f>
        <v>0</v>
      </c>
      <c r="O107" s="54">
        <f ca="1">IFERROR(__xludf.DUMMYFUNCTION("""COMPUTED_VALUE"""),0)</f>
        <v>0</v>
      </c>
      <c r="P107" s="54"/>
      <c r="Q107" s="54">
        <f ca="1">IFERROR(__xludf.DUMMYFUNCTION("""COMPUTED_VALUE"""),0)</f>
        <v>0</v>
      </c>
      <c r="R107" s="54"/>
      <c r="S107" s="54">
        <f ca="1">IFERROR(__xludf.DUMMYFUNCTION("""COMPUTED_VALUE"""),0)</f>
        <v>0</v>
      </c>
      <c r="T107" s="53"/>
      <c r="U107" s="53"/>
      <c r="V107" s="53"/>
      <c r="W107" s="53"/>
      <c r="X107" s="53"/>
      <c r="Y107" s="53"/>
      <c r="Z107" s="2"/>
      <c r="AA107" s="2"/>
      <c r="AB107" s="2"/>
      <c r="AC107" s="2"/>
      <c r="AD107" s="2"/>
      <c r="AE107" s="2"/>
    </row>
    <row r="108" spans="1:31" ht="12.75" x14ac:dyDescent="0.2">
      <c r="A108" s="53">
        <f ca="1">IFERROR(__xludf.DUMMYFUNCTION("""COMPUTED_VALUE"""),33)</f>
        <v>33</v>
      </c>
      <c r="B108" s="53" t="str">
        <f ca="1">IFERROR(__xludf.DUMMYFUNCTION("""COMPUTED_VALUE"""),"Lớp MG Anh Thư")</f>
        <v>Lớp MG Anh Thư</v>
      </c>
      <c r="C108" s="53" t="str">
        <f ca="1">IFERROR(__xludf.DUMMYFUNCTION("""COMPUTED_VALUE"""),"Bình Chánh")</f>
        <v>Bình Chánh</v>
      </c>
      <c r="D108" s="53" t="str">
        <f ca="1">IFERROR(__xludf.DUMMYFUNCTION("""COMPUTED_VALUE"""),"MN")</f>
        <v>MN</v>
      </c>
      <c r="E108" s="54" t="str">
        <f ca="1">IFERROR(__xludf.DUMMYFUNCTION("""COMPUTED_VALUE"""),"Bình Chánh")</f>
        <v>Bình Chánh</v>
      </c>
      <c r="F108" s="54">
        <f ca="1">IFERROR(__xludf.DUMMYFUNCTION("""COMPUTED_VALUE"""),4)</f>
        <v>4</v>
      </c>
      <c r="G108" s="54"/>
      <c r="H108" s="54">
        <f ca="1">IFERROR(__xludf.DUMMYFUNCTION("""COMPUTED_VALUE"""),4)</f>
        <v>4</v>
      </c>
      <c r="I108" s="54"/>
      <c r="J108" s="54">
        <f ca="1">IFERROR(__xludf.DUMMYFUNCTION("""COMPUTED_VALUE"""),4)</f>
        <v>4</v>
      </c>
      <c r="K108" s="54"/>
      <c r="L108" s="54">
        <f ca="1">IFERROR(__xludf.DUMMYFUNCTION("""COMPUTED_VALUE"""),4)</f>
        <v>4</v>
      </c>
      <c r="M108" s="54"/>
      <c r="N108" s="54">
        <f ca="1">IFERROR(__xludf.DUMMYFUNCTION("""COMPUTED_VALUE"""),0)</f>
        <v>0</v>
      </c>
      <c r="O108" s="54">
        <f ca="1">IFERROR(__xludf.DUMMYFUNCTION("""COMPUTED_VALUE"""),0)</f>
        <v>0</v>
      </c>
      <c r="P108" s="54"/>
      <c r="Q108" s="54">
        <f ca="1">IFERROR(__xludf.DUMMYFUNCTION("""COMPUTED_VALUE"""),0)</f>
        <v>0</v>
      </c>
      <c r="R108" s="54"/>
      <c r="S108" s="54">
        <f ca="1">IFERROR(__xludf.DUMMYFUNCTION("""COMPUTED_VALUE"""),0)</f>
        <v>0</v>
      </c>
      <c r="T108" s="53"/>
      <c r="U108" s="53"/>
      <c r="V108" s="53"/>
      <c r="W108" s="53"/>
      <c r="X108" s="53"/>
      <c r="Y108" s="53"/>
      <c r="Z108" s="2"/>
      <c r="AA108" s="2"/>
      <c r="AB108" s="2"/>
      <c r="AC108" s="2"/>
      <c r="AD108" s="2"/>
      <c r="AE108" s="2"/>
    </row>
    <row r="109" spans="1:31" ht="12.75" x14ac:dyDescent="0.2">
      <c r="A109" s="53">
        <f ca="1">IFERROR(__xludf.DUMMYFUNCTION("""COMPUTED_VALUE"""),34)</f>
        <v>34</v>
      </c>
      <c r="B109" s="53" t="str">
        <f ca="1">IFERROR(__xludf.DUMMYFUNCTION("""COMPUTED_VALUE"""),"Lớp MG Hoàng Yến")</f>
        <v>Lớp MG Hoàng Yến</v>
      </c>
      <c r="C109" s="53" t="str">
        <f ca="1">IFERROR(__xludf.DUMMYFUNCTION("""COMPUTED_VALUE"""),"Bình Chánh")</f>
        <v>Bình Chánh</v>
      </c>
      <c r="D109" s="53" t="str">
        <f ca="1">IFERROR(__xludf.DUMMYFUNCTION("""COMPUTED_VALUE"""),"MN")</f>
        <v>MN</v>
      </c>
      <c r="E109" s="54" t="str">
        <f ca="1">IFERROR(__xludf.DUMMYFUNCTION("""COMPUTED_VALUE"""),"Bình Chánh")</f>
        <v>Bình Chánh</v>
      </c>
      <c r="F109" s="54">
        <f ca="1">IFERROR(__xludf.DUMMYFUNCTION("""COMPUTED_VALUE"""),4)</f>
        <v>4</v>
      </c>
      <c r="G109" s="54"/>
      <c r="H109" s="54">
        <f ca="1">IFERROR(__xludf.DUMMYFUNCTION("""COMPUTED_VALUE"""),4)</f>
        <v>4</v>
      </c>
      <c r="I109" s="54"/>
      <c r="J109" s="54">
        <f ca="1">IFERROR(__xludf.DUMMYFUNCTION("""COMPUTED_VALUE"""),4)</f>
        <v>4</v>
      </c>
      <c r="K109" s="54"/>
      <c r="L109" s="54">
        <f ca="1">IFERROR(__xludf.DUMMYFUNCTION("""COMPUTED_VALUE"""),4)</f>
        <v>4</v>
      </c>
      <c r="M109" s="54"/>
      <c r="N109" s="54">
        <f ca="1">IFERROR(__xludf.DUMMYFUNCTION("""COMPUTED_VALUE"""),0)</f>
        <v>0</v>
      </c>
      <c r="O109" s="54">
        <f ca="1">IFERROR(__xludf.DUMMYFUNCTION("""COMPUTED_VALUE"""),0)</f>
        <v>0</v>
      </c>
      <c r="P109" s="54"/>
      <c r="Q109" s="54">
        <f ca="1">IFERROR(__xludf.DUMMYFUNCTION("""COMPUTED_VALUE"""),0)</f>
        <v>0</v>
      </c>
      <c r="R109" s="54"/>
      <c r="S109" s="54">
        <f ca="1">IFERROR(__xludf.DUMMYFUNCTION("""COMPUTED_VALUE"""),0)</f>
        <v>0</v>
      </c>
      <c r="T109" s="53"/>
      <c r="U109" s="53"/>
      <c r="V109" s="53"/>
      <c r="W109" s="53"/>
      <c r="X109" s="53"/>
      <c r="Y109" s="53"/>
      <c r="Z109" s="2"/>
      <c r="AA109" s="2"/>
      <c r="AB109" s="2"/>
      <c r="AC109" s="2"/>
      <c r="AD109" s="2"/>
      <c r="AE109" s="2"/>
    </row>
    <row r="110" spans="1:31" ht="12.75" x14ac:dyDescent="0.2">
      <c r="A110" s="53">
        <f ca="1">IFERROR(__xludf.DUMMYFUNCTION("""COMPUTED_VALUE"""),35)</f>
        <v>35</v>
      </c>
      <c r="B110" s="53" t="str">
        <f ca="1">IFERROR(__xludf.DUMMYFUNCTION("""COMPUTED_VALUE"""),"Nhóm trẻ Hương Sen")</f>
        <v>Nhóm trẻ Hương Sen</v>
      </c>
      <c r="C110" s="53" t="str">
        <f ca="1">IFERROR(__xludf.DUMMYFUNCTION("""COMPUTED_VALUE"""),"Bình Chánh")</f>
        <v>Bình Chánh</v>
      </c>
      <c r="D110" s="53" t="str">
        <f ca="1">IFERROR(__xludf.DUMMYFUNCTION("""COMPUTED_VALUE"""),"MN")</f>
        <v>MN</v>
      </c>
      <c r="E110" s="54" t="str">
        <f ca="1">IFERROR(__xludf.DUMMYFUNCTION("""COMPUTED_VALUE"""),"Bình Chánh")</f>
        <v>Bình Chánh</v>
      </c>
      <c r="F110" s="54">
        <f ca="1">IFERROR(__xludf.DUMMYFUNCTION("""COMPUTED_VALUE"""),2)</f>
        <v>2</v>
      </c>
      <c r="G110" s="54"/>
      <c r="H110" s="54">
        <f ca="1">IFERROR(__xludf.DUMMYFUNCTION("""COMPUTED_VALUE"""),2)</f>
        <v>2</v>
      </c>
      <c r="I110" s="54"/>
      <c r="J110" s="54">
        <f ca="1">IFERROR(__xludf.DUMMYFUNCTION("""COMPUTED_VALUE"""),2)</f>
        <v>2</v>
      </c>
      <c r="K110" s="54"/>
      <c r="L110" s="54">
        <f ca="1">IFERROR(__xludf.DUMMYFUNCTION("""COMPUTED_VALUE"""),1)</f>
        <v>1</v>
      </c>
      <c r="M110" s="54"/>
      <c r="N110" s="54">
        <f ca="1">IFERROR(__xludf.DUMMYFUNCTION("""COMPUTED_VALUE"""),0)</f>
        <v>0</v>
      </c>
      <c r="O110" s="54">
        <f ca="1">IFERROR(__xludf.DUMMYFUNCTION("""COMPUTED_VALUE"""),0)</f>
        <v>0</v>
      </c>
      <c r="P110" s="54"/>
      <c r="Q110" s="54">
        <f ca="1">IFERROR(__xludf.DUMMYFUNCTION("""COMPUTED_VALUE"""),0)</f>
        <v>0</v>
      </c>
      <c r="R110" s="54"/>
      <c r="S110" s="54">
        <f ca="1">IFERROR(__xludf.DUMMYFUNCTION("""COMPUTED_VALUE"""),0)</f>
        <v>0</v>
      </c>
      <c r="T110" s="53"/>
      <c r="U110" s="53"/>
      <c r="V110" s="53"/>
      <c r="W110" s="53"/>
      <c r="X110" s="53"/>
      <c r="Y110" s="53"/>
      <c r="Z110" s="2"/>
      <c r="AA110" s="2"/>
      <c r="AB110" s="2"/>
      <c r="AC110" s="2"/>
      <c r="AD110" s="2"/>
      <c r="AE110" s="2"/>
    </row>
    <row r="111" spans="1:31" ht="12.75" x14ac:dyDescent="0.2">
      <c r="A111" s="53">
        <f ca="1">IFERROR(__xludf.DUMMYFUNCTION("""COMPUTED_VALUE"""),36)</f>
        <v>36</v>
      </c>
      <c r="B111" s="53" t="str">
        <f ca="1">IFERROR(__xludf.DUMMYFUNCTION("""COMPUTED_VALUE"""),"Lớp MG Hoa Mặt Trời")</f>
        <v>Lớp MG Hoa Mặt Trời</v>
      </c>
      <c r="C111" s="53" t="str">
        <f ca="1">IFERROR(__xludf.DUMMYFUNCTION("""COMPUTED_VALUE"""),"Bình Chánh")</f>
        <v>Bình Chánh</v>
      </c>
      <c r="D111" s="53" t="str">
        <f ca="1">IFERROR(__xludf.DUMMYFUNCTION("""COMPUTED_VALUE"""),"MN")</f>
        <v>MN</v>
      </c>
      <c r="E111" s="54" t="str">
        <f ca="1">IFERROR(__xludf.DUMMYFUNCTION("""COMPUTED_VALUE"""),"Bình Chánh")</f>
        <v>Bình Chánh</v>
      </c>
      <c r="F111" s="54">
        <f ca="1">IFERROR(__xludf.DUMMYFUNCTION("""COMPUTED_VALUE"""),4)</f>
        <v>4</v>
      </c>
      <c r="G111" s="54"/>
      <c r="H111" s="54">
        <f ca="1">IFERROR(__xludf.DUMMYFUNCTION("""COMPUTED_VALUE"""),4)</f>
        <v>4</v>
      </c>
      <c r="I111" s="54"/>
      <c r="J111" s="54">
        <f ca="1">IFERROR(__xludf.DUMMYFUNCTION("""COMPUTED_VALUE"""),4)</f>
        <v>4</v>
      </c>
      <c r="K111" s="54"/>
      <c r="L111" s="54">
        <f ca="1">IFERROR(__xludf.DUMMYFUNCTION("""COMPUTED_VALUE"""),4)</f>
        <v>4</v>
      </c>
      <c r="M111" s="54"/>
      <c r="N111" s="54">
        <f ca="1">IFERROR(__xludf.DUMMYFUNCTION("""COMPUTED_VALUE"""),0)</f>
        <v>0</v>
      </c>
      <c r="O111" s="54">
        <f ca="1">IFERROR(__xludf.DUMMYFUNCTION("""COMPUTED_VALUE"""),0)</f>
        <v>0</v>
      </c>
      <c r="P111" s="54"/>
      <c r="Q111" s="54">
        <f ca="1">IFERROR(__xludf.DUMMYFUNCTION("""COMPUTED_VALUE"""),0)</f>
        <v>0</v>
      </c>
      <c r="R111" s="54"/>
      <c r="S111" s="54">
        <f ca="1">IFERROR(__xludf.DUMMYFUNCTION("""COMPUTED_VALUE"""),0)</f>
        <v>0</v>
      </c>
      <c r="T111" s="53"/>
      <c r="U111" s="53"/>
      <c r="V111" s="53"/>
      <c r="W111" s="53"/>
      <c r="X111" s="53"/>
      <c r="Y111" s="53"/>
      <c r="Z111" s="2"/>
      <c r="AA111" s="2"/>
      <c r="AB111" s="2"/>
      <c r="AC111" s="2"/>
      <c r="AD111" s="2"/>
      <c r="AE111" s="2"/>
    </row>
    <row r="112" spans="1:31" ht="12.75" x14ac:dyDescent="0.2">
      <c r="A112" s="53">
        <f ca="1">IFERROR(__xludf.DUMMYFUNCTION("""COMPUTED_VALUE"""),37)</f>
        <v>37</v>
      </c>
      <c r="B112" s="53" t="str">
        <f ca="1">IFERROR(__xludf.DUMMYFUNCTION("""COMPUTED_VALUE"""),"Lớp MG Tuổi Thơ")</f>
        <v>Lớp MG Tuổi Thơ</v>
      </c>
      <c r="C112" s="53" t="str">
        <f ca="1">IFERROR(__xludf.DUMMYFUNCTION("""COMPUTED_VALUE"""),"An Phú Tây")</f>
        <v>An Phú Tây</v>
      </c>
      <c r="D112" s="53" t="str">
        <f ca="1">IFERROR(__xludf.DUMMYFUNCTION("""COMPUTED_VALUE"""),"MN")</f>
        <v>MN</v>
      </c>
      <c r="E112" s="54" t="str">
        <f ca="1">IFERROR(__xludf.DUMMYFUNCTION("""COMPUTED_VALUE"""),"Bình Chánh")</f>
        <v>Bình Chánh</v>
      </c>
      <c r="F112" s="54">
        <f ca="1">IFERROR(__xludf.DUMMYFUNCTION("""COMPUTED_VALUE"""),4)</f>
        <v>4</v>
      </c>
      <c r="G112" s="54"/>
      <c r="H112" s="54">
        <f ca="1">IFERROR(__xludf.DUMMYFUNCTION("""COMPUTED_VALUE"""),4)</f>
        <v>4</v>
      </c>
      <c r="I112" s="54"/>
      <c r="J112" s="54">
        <f ca="1">IFERROR(__xludf.DUMMYFUNCTION("""COMPUTED_VALUE"""),4)</f>
        <v>4</v>
      </c>
      <c r="K112" s="54"/>
      <c r="L112" s="54">
        <f ca="1">IFERROR(__xludf.DUMMYFUNCTION("""COMPUTED_VALUE"""),4)</f>
        <v>4</v>
      </c>
      <c r="M112" s="54"/>
      <c r="N112" s="54">
        <f ca="1">IFERROR(__xludf.DUMMYFUNCTION("""COMPUTED_VALUE"""),0)</f>
        <v>0</v>
      </c>
      <c r="O112" s="54">
        <f ca="1">IFERROR(__xludf.DUMMYFUNCTION("""COMPUTED_VALUE"""),0)</f>
        <v>0</v>
      </c>
      <c r="P112" s="54"/>
      <c r="Q112" s="54">
        <f ca="1">IFERROR(__xludf.DUMMYFUNCTION("""COMPUTED_VALUE"""),0)</f>
        <v>0</v>
      </c>
      <c r="R112" s="54"/>
      <c r="S112" s="53">
        <f ca="1">IFERROR(__xludf.DUMMYFUNCTION("""COMPUTED_VALUE"""),0)</f>
        <v>0</v>
      </c>
      <c r="T112" s="53"/>
      <c r="U112" s="53"/>
      <c r="V112" s="53"/>
      <c r="W112" s="53"/>
      <c r="X112" s="53"/>
      <c r="Y112" s="53"/>
      <c r="Z112" s="2"/>
      <c r="AA112" s="2"/>
      <c r="AB112" s="2"/>
      <c r="AC112" s="2"/>
      <c r="AD112" s="2"/>
      <c r="AE112" s="2"/>
    </row>
    <row r="113" spans="1:31" ht="12.75" x14ac:dyDescent="0.2">
      <c r="A113" s="53">
        <f ca="1">IFERROR(__xludf.DUMMYFUNCTION("""COMPUTED_VALUE"""),38)</f>
        <v>38</v>
      </c>
      <c r="B113" s="53" t="str">
        <f ca="1">IFERROR(__xludf.DUMMYFUNCTION("""COMPUTED_VALUE"""),"Lớp MG Việt Anh")</f>
        <v>Lớp MG Việt Anh</v>
      </c>
      <c r="C113" s="53" t="str">
        <f ca="1">IFERROR(__xludf.DUMMYFUNCTION("""COMPUTED_VALUE"""),"An Phú Tây")</f>
        <v>An Phú Tây</v>
      </c>
      <c r="D113" s="53" t="str">
        <f ca="1">IFERROR(__xludf.DUMMYFUNCTION("""COMPUTED_VALUE"""),"MN")</f>
        <v>MN</v>
      </c>
      <c r="E113" s="54" t="str">
        <f ca="1">IFERROR(__xludf.DUMMYFUNCTION("""COMPUTED_VALUE"""),"Bình Chánh")</f>
        <v>Bình Chánh</v>
      </c>
      <c r="F113" s="54">
        <f ca="1">IFERROR(__xludf.DUMMYFUNCTION("""COMPUTED_VALUE"""),7)</f>
        <v>7</v>
      </c>
      <c r="G113" s="54"/>
      <c r="H113" s="54">
        <f ca="1">IFERROR(__xludf.DUMMYFUNCTION("""COMPUTED_VALUE"""),7)</f>
        <v>7</v>
      </c>
      <c r="I113" s="54"/>
      <c r="J113" s="54">
        <f ca="1">IFERROR(__xludf.DUMMYFUNCTION("""COMPUTED_VALUE"""),7)</f>
        <v>7</v>
      </c>
      <c r="K113" s="54"/>
      <c r="L113" s="54">
        <f ca="1">IFERROR(__xludf.DUMMYFUNCTION("""COMPUTED_VALUE"""),7)</f>
        <v>7</v>
      </c>
      <c r="M113" s="54"/>
      <c r="N113" s="54">
        <f ca="1">IFERROR(__xludf.DUMMYFUNCTION("""COMPUTED_VALUE"""),0)</f>
        <v>0</v>
      </c>
      <c r="O113" s="54">
        <f ca="1">IFERROR(__xludf.DUMMYFUNCTION("""COMPUTED_VALUE"""),34)</f>
        <v>34</v>
      </c>
      <c r="P113" s="54"/>
      <c r="Q113" s="54">
        <f ca="1">IFERROR(__xludf.DUMMYFUNCTION("""COMPUTED_VALUE"""),14)</f>
        <v>14</v>
      </c>
      <c r="R113" s="54"/>
      <c r="S113" s="54">
        <f ca="1">IFERROR(__xludf.DUMMYFUNCTION("""COMPUTED_VALUE"""),3)</f>
        <v>3</v>
      </c>
      <c r="T113" s="53"/>
      <c r="U113" s="53"/>
      <c r="V113" s="53"/>
      <c r="W113" s="53"/>
      <c r="X113" s="53"/>
      <c r="Y113" s="53"/>
      <c r="Z113" s="2"/>
      <c r="AA113" s="2"/>
      <c r="AB113" s="2"/>
      <c r="AC113" s="2"/>
      <c r="AD113" s="2"/>
      <c r="AE113" s="2"/>
    </row>
    <row r="114" spans="1:31" ht="12.75" x14ac:dyDescent="0.2">
      <c r="A114" s="53">
        <f ca="1">IFERROR(__xludf.DUMMYFUNCTION("""COMPUTED_VALUE"""),39)</f>
        <v>39</v>
      </c>
      <c r="B114" s="53" t="str">
        <f ca="1">IFERROR(__xludf.DUMMYFUNCTION("""COMPUTED_VALUE"""),"Lớp MG Ánh Nhi")</f>
        <v>Lớp MG Ánh Nhi</v>
      </c>
      <c r="C114" s="53" t="str">
        <f ca="1">IFERROR(__xludf.DUMMYFUNCTION("""COMPUTED_VALUE"""),"An Phú Tây")</f>
        <v>An Phú Tây</v>
      </c>
      <c r="D114" s="53" t="str">
        <f ca="1">IFERROR(__xludf.DUMMYFUNCTION("""COMPUTED_VALUE"""),"MN")</f>
        <v>MN</v>
      </c>
      <c r="E114" s="54" t="str">
        <f ca="1">IFERROR(__xludf.DUMMYFUNCTION("""COMPUTED_VALUE"""),"Bình Chánh")</f>
        <v>Bình Chánh</v>
      </c>
      <c r="F114" s="54">
        <f ca="1">IFERROR(__xludf.DUMMYFUNCTION("""COMPUTED_VALUE"""),4)</f>
        <v>4</v>
      </c>
      <c r="G114" s="54"/>
      <c r="H114" s="54">
        <f ca="1">IFERROR(__xludf.DUMMYFUNCTION("""COMPUTED_VALUE"""),4)</f>
        <v>4</v>
      </c>
      <c r="I114" s="54"/>
      <c r="J114" s="54">
        <f ca="1">IFERROR(__xludf.DUMMYFUNCTION("""COMPUTED_VALUE"""),4)</f>
        <v>4</v>
      </c>
      <c r="K114" s="54"/>
      <c r="L114" s="54">
        <f ca="1">IFERROR(__xludf.DUMMYFUNCTION("""COMPUTED_VALUE"""),4)</f>
        <v>4</v>
      </c>
      <c r="M114" s="54"/>
      <c r="N114" s="54">
        <f ca="1">IFERROR(__xludf.DUMMYFUNCTION("""COMPUTED_VALUE"""),0)</f>
        <v>0</v>
      </c>
      <c r="O114" s="54">
        <f ca="1">IFERROR(__xludf.DUMMYFUNCTION("""COMPUTED_VALUE"""),0)</f>
        <v>0</v>
      </c>
      <c r="P114" s="54"/>
      <c r="Q114" s="54">
        <f ca="1">IFERROR(__xludf.DUMMYFUNCTION("""COMPUTED_VALUE"""),0)</f>
        <v>0</v>
      </c>
      <c r="R114" s="54"/>
      <c r="S114" s="54">
        <f ca="1">IFERROR(__xludf.DUMMYFUNCTION("""COMPUTED_VALUE"""),0)</f>
        <v>0</v>
      </c>
      <c r="T114" s="53"/>
      <c r="U114" s="53"/>
      <c r="V114" s="53"/>
      <c r="W114" s="53"/>
      <c r="X114" s="53"/>
      <c r="Y114" s="53"/>
      <c r="Z114" s="2"/>
      <c r="AA114" s="2"/>
      <c r="AB114" s="2"/>
      <c r="AC114" s="2"/>
      <c r="AD114" s="2"/>
      <c r="AE114" s="2"/>
    </row>
    <row r="115" spans="1:31" ht="12.75" x14ac:dyDescent="0.2">
      <c r="A115" s="53">
        <f ca="1">IFERROR(__xludf.DUMMYFUNCTION("""COMPUTED_VALUE"""),40)</f>
        <v>40</v>
      </c>
      <c r="B115" s="53" t="str">
        <f ca="1">IFERROR(__xludf.DUMMYFUNCTION("""COMPUTED_VALUE"""),"Lớp MG Chú Rồng Nhỏ")</f>
        <v>Lớp MG Chú Rồng Nhỏ</v>
      </c>
      <c r="C115" s="53" t="str">
        <f ca="1">IFERROR(__xludf.DUMMYFUNCTION("""COMPUTED_VALUE"""),"An Phú Tây")</f>
        <v>An Phú Tây</v>
      </c>
      <c r="D115" s="53" t="str">
        <f ca="1">IFERROR(__xludf.DUMMYFUNCTION("""COMPUTED_VALUE"""),"MN")</f>
        <v>MN</v>
      </c>
      <c r="E115" s="54" t="str">
        <f ca="1">IFERROR(__xludf.DUMMYFUNCTION("""COMPUTED_VALUE"""),"Bình Chánh")</f>
        <v>Bình Chánh</v>
      </c>
      <c r="F115" s="54">
        <f ca="1">IFERROR(__xludf.DUMMYFUNCTION("""COMPUTED_VALUE"""),4)</f>
        <v>4</v>
      </c>
      <c r="G115" s="54"/>
      <c r="H115" s="54">
        <f ca="1">IFERROR(__xludf.DUMMYFUNCTION("""COMPUTED_VALUE"""),4)</f>
        <v>4</v>
      </c>
      <c r="I115" s="54"/>
      <c r="J115" s="54">
        <f ca="1">IFERROR(__xludf.DUMMYFUNCTION("""COMPUTED_VALUE"""),4)</f>
        <v>4</v>
      </c>
      <c r="K115" s="54"/>
      <c r="L115" s="54">
        <f ca="1">IFERROR(__xludf.DUMMYFUNCTION("""COMPUTED_VALUE"""),4)</f>
        <v>4</v>
      </c>
      <c r="M115" s="54"/>
      <c r="N115" s="54">
        <f ca="1">IFERROR(__xludf.DUMMYFUNCTION("""COMPUTED_VALUE"""),0)</f>
        <v>0</v>
      </c>
      <c r="O115" s="54">
        <f ca="1">IFERROR(__xludf.DUMMYFUNCTION("""COMPUTED_VALUE"""),0)</f>
        <v>0</v>
      </c>
      <c r="P115" s="54"/>
      <c r="Q115" s="54">
        <f ca="1">IFERROR(__xludf.DUMMYFUNCTION("""COMPUTED_VALUE"""),0)</f>
        <v>0</v>
      </c>
      <c r="R115" s="54"/>
      <c r="S115" s="54">
        <f ca="1">IFERROR(__xludf.DUMMYFUNCTION("""COMPUTED_VALUE"""),0)</f>
        <v>0</v>
      </c>
      <c r="T115" s="53"/>
      <c r="U115" s="53"/>
      <c r="V115" s="53"/>
      <c r="W115" s="53"/>
      <c r="X115" s="53"/>
      <c r="Y115" s="53"/>
      <c r="Z115" s="2"/>
      <c r="AA115" s="2"/>
      <c r="AB115" s="2"/>
      <c r="AC115" s="2"/>
      <c r="AD115" s="2"/>
      <c r="AE115" s="2"/>
    </row>
    <row r="116" spans="1:31" ht="12.75" x14ac:dyDescent="0.2">
      <c r="A116" s="53">
        <f ca="1">IFERROR(__xludf.DUMMYFUNCTION("""COMPUTED_VALUE"""),41)</f>
        <v>41</v>
      </c>
      <c r="B116" s="53" t="str">
        <f ca="1">IFERROR(__xludf.DUMMYFUNCTION("""COMPUTED_VALUE"""),"Lớp MG Hải Âu")</f>
        <v>Lớp MG Hải Âu</v>
      </c>
      <c r="C116" s="53" t="str">
        <f ca="1">IFERROR(__xludf.DUMMYFUNCTION("""COMPUTED_VALUE"""),"Tân Túc")</f>
        <v>Tân Túc</v>
      </c>
      <c r="D116" s="53" t="str">
        <f ca="1">IFERROR(__xludf.DUMMYFUNCTION("""COMPUTED_VALUE"""),"MN")</f>
        <v>MN</v>
      </c>
      <c r="E116" s="54" t="str">
        <f ca="1">IFERROR(__xludf.DUMMYFUNCTION("""COMPUTED_VALUE"""),"Bình Chánh")</f>
        <v>Bình Chánh</v>
      </c>
      <c r="F116" s="54">
        <f ca="1">IFERROR(__xludf.DUMMYFUNCTION("""COMPUTED_VALUE"""),8)</f>
        <v>8</v>
      </c>
      <c r="G116" s="54"/>
      <c r="H116" s="54">
        <f ca="1">IFERROR(__xludf.DUMMYFUNCTION("""COMPUTED_VALUE"""),8)</f>
        <v>8</v>
      </c>
      <c r="I116" s="54"/>
      <c r="J116" s="54">
        <f ca="1">IFERROR(__xludf.DUMMYFUNCTION("""COMPUTED_VALUE"""),8)</f>
        <v>8</v>
      </c>
      <c r="K116" s="54"/>
      <c r="L116" s="54">
        <f ca="1">IFERROR(__xludf.DUMMYFUNCTION("""COMPUTED_VALUE"""),7)</f>
        <v>7</v>
      </c>
      <c r="M116" s="54"/>
      <c r="N116" s="54">
        <f ca="1">IFERROR(__xludf.DUMMYFUNCTION("""COMPUTED_VALUE"""),0)</f>
        <v>0</v>
      </c>
      <c r="O116" s="54">
        <f ca="1">IFERROR(__xludf.DUMMYFUNCTION("""COMPUTED_VALUE"""),34)</f>
        <v>34</v>
      </c>
      <c r="P116" s="54"/>
      <c r="Q116" s="54">
        <f ca="1">IFERROR(__xludf.DUMMYFUNCTION("""COMPUTED_VALUE"""),17)</f>
        <v>17</v>
      </c>
      <c r="R116" s="54"/>
      <c r="S116" s="54">
        <f ca="1">IFERROR(__xludf.DUMMYFUNCTION("""COMPUTED_VALUE"""),0)</f>
        <v>0</v>
      </c>
      <c r="T116" s="53"/>
      <c r="U116" s="53"/>
      <c r="V116" s="53"/>
      <c r="W116" s="53"/>
      <c r="X116" s="53"/>
      <c r="Y116" s="53"/>
      <c r="Z116" s="2"/>
      <c r="AA116" s="2"/>
      <c r="AB116" s="2"/>
      <c r="AC116" s="2"/>
      <c r="AD116" s="2"/>
      <c r="AE116" s="2"/>
    </row>
    <row r="117" spans="1:31" ht="12.75" x14ac:dyDescent="0.2">
      <c r="A117" s="53">
        <f ca="1">IFERROR(__xludf.DUMMYFUNCTION("""COMPUTED_VALUE"""),42)</f>
        <v>42</v>
      </c>
      <c r="B117" s="53" t="str">
        <f ca="1">IFERROR(__xludf.DUMMYFUNCTION("""COMPUTED_VALUE"""),"Lớp MG Minh Anh")</f>
        <v>Lớp MG Minh Anh</v>
      </c>
      <c r="C117" s="53" t="str">
        <f ca="1">IFERROR(__xludf.DUMMYFUNCTION("""COMPUTED_VALUE"""),"Tân Túc")</f>
        <v>Tân Túc</v>
      </c>
      <c r="D117" s="53" t="str">
        <f ca="1">IFERROR(__xludf.DUMMYFUNCTION("""COMPUTED_VALUE"""),"MN")</f>
        <v>MN</v>
      </c>
      <c r="E117" s="54" t="str">
        <f ca="1">IFERROR(__xludf.DUMMYFUNCTION("""COMPUTED_VALUE"""),"Bình Chánh")</f>
        <v>Bình Chánh</v>
      </c>
      <c r="F117" s="54">
        <f ca="1">IFERROR(__xludf.DUMMYFUNCTION("""COMPUTED_VALUE"""),8)</f>
        <v>8</v>
      </c>
      <c r="G117" s="54"/>
      <c r="H117" s="54">
        <f ca="1">IFERROR(__xludf.DUMMYFUNCTION("""COMPUTED_VALUE"""),8)</f>
        <v>8</v>
      </c>
      <c r="I117" s="54"/>
      <c r="J117" s="54">
        <f ca="1">IFERROR(__xludf.DUMMYFUNCTION("""COMPUTED_VALUE"""),8)</f>
        <v>8</v>
      </c>
      <c r="K117" s="54"/>
      <c r="L117" s="54">
        <f ca="1">IFERROR(__xludf.DUMMYFUNCTION("""COMPUTED_VALUE"""),6)</f>
        <v>6</v>
      </c>
      <c r="M117" s="54"/>
      <c r="N117" s="54">
        <f ca="1">IFERROR(__xludf.DUMMYFUNCTION("""COMPUTED_VALUE"""),0)</f>
        <v>0</v>
      </c>
      <c r="O117" s="54">
        <f ca="1">IFERROR(__xludf.DUMMYFUNCTION("""COMPUTED_VALUE"""),22)</f>
        <v>22</v>
      </c>
      <c r="P117" s="54"/>
      <c r="Q117" s="54">
        <f ca="1">IFERROR(__xludf.DUMMYFUNCTION("""COMPUTED_VALUE"""),9)</f>
        <v>9</v>
      </c>
      <c r="R117" s="54"/>
      <c r="S117" s="54">
        <f ca="1">IFERROR(__xludf.DUMMYFUNCTION("""COMPUTED_VALUE"""),0)</f>
        <v>0</v>
      </c>
      <c r="T117" s="53"/>
      <c r="U117" s="53"/>
      <c r="V117" s="53"/>
      <c r="W117" s="53"/>
      <c r="X117" s="53"/>
      <c r="Y117" s="53"/>
      <c r="Z117" s="2"/>
      <c r="AA117" s="2"/>
      <c r="AB117" s="2"/>
      <c r="AC117" s="2"/>
      <c r="AD117" s="2"/>
      <c r="AE117" s="2"/>
    </row>
    <row r="118" spans="1:31" ht="12.75" x14ac:dyDescent="0.2">
      <c r="A118" s="53">
        <f ca="1">IFERROR(__xludf.DUMMYFUNCTION("""COMPUTED_VALUE"""),43)</f>
        <v>43</v>
      </c>
      <c r="B118" s="53" t="str">
        <f ca="1">IFERROR(__xludf.DUMMYFUNCTION("""COMPUTED_VALUE"""),"Lớp MG Ngôi Sao")</f>
        <v>Lớp MG Ngôi Sao</v>
      </c>
      <c r="C118" s="53" t="str">
        <f ca="1">IFERROR(__xludf.DUMMYFUNCTION("""COMPUTED_VALUE"""),"Tân Túc")</f>
        <v>Tân Túc</v>
      </c>
      <c r="D118" s="53" t="str">
        <f ca="1">IFERROR(__xludf.DUMMYFUNCTION("""COMPUTED_VALUE"""),"MN")</f>
        <v>MN</v>
      </c>
      <c r="E118" s="54" t="str">
        <f ca="1">IFERROR(__xludf.DUMMYFUNCTION("""COMPUTED_VALUE"""),"Bình Chánh")</f>
        <v>Bình Chánh</v>
      </c>
      <c r="F118" s="54">
        <f ca="1">IFERROR(__xludf.DUMMYFUNCTION("""COMPUTED_VALUE"""),10)</f>
        <v>10</v>
      </c>
      <c r="G118" s="54"/>
      <c r="H118" s="54">
        <f ca="1">IFERROR(__xludf.DUMMYFUNCTION("""COMPUTED_VALUE"""),10)</f>
        <v>10</v>
      </c>
      <c r="I118" s="54"/>
      <c r="J118" s="54">
        <f ca="1">IFERROR(__xludf.DUMMYFUNCTION("""COMPUTED_VALUE"""),10)</f>
        <v>10</v>
      </c>
      <c r="K118" s="54"/>
      <c r="L118" s="54">
        <f ca="1">IFERROR(__xludf.DUMMYFUNCTION("""COMPUTED_VALUE"""),10)</f>
        <v>10</v>
      </c>
      <c r="M118" s="54"/>
      <c r="N118" s="54">
        <f ca="1">IFERROR(__xludf.DUMMYFUNCTION("""COMPUTED_VALUE"""),0)</f>
        <v>0</v>
      </c>
      <c r="O118" s="54">
        <f ca="1">IFERROR(__xludf.DUMMYFUNCTION("""COMPUTED_VALUE"""),18)</f>
        <v>18</v>
      </c>
      <c r="P118" s="54"/>
      <c r="Q118" s="54">
        <f ca="1">IFERROR(__xludf.DUMMYFUNCTION("""COMPUTED_VALUE"""),12)</f>
        <v>12</v>
      </c>
      <c r="R118" s="54"/>
      <c r="S118" s="54">
        <f ca="1">IFERROR(__xludf.DUMMYFUNCTION("""COMPUTED_VALUE"""),0)</f>
        <v>0</v>
      </c>
      <c r="T118" s="53"/>
      <c r="U118" s="53"/>
      <c r="V118" s="53"/>
      <c r="W118" s="53"/>
      <c r="X118" s="53"/>
      <c r="Y118" s="53"/>
      <c r="Z118" s="2"/>
      <c r="AA118" s="2"/>
      <c r="AB118" s="2"/>
      <c r="AC118" s="2"/>
      <c r="AD118" s="2"/>
      <c r="AE118" s="2"/>
    </row>
    <row r="119" spans="1:31" ht="12.75" x14ac:dyDescent="0.2">
      <c r="A119" s="53">
        <f ca="1">IFERROR(__xludf.DUMMYFUNCTION("""COMPUTED_VALUE"""),44)</f>
        <v>44</v>
      </c>
      <c r="B119" s="53" t="str">
        <f ca="1">IFERROR(__xludf.DUMMYFUNCTION("""COMPUTED_VALUE"""),"Lớp MG Thỏ Nâu")</f>
        <v>Lớp MG Thỏ Nâu</v>
      </c>
      <c r="C119" s="53" t="str">
        <f ca="1">IFERROR(__xludf.DUMMYFUNCTION("""COMPUTED_VALUE"""),"Tân Túc")</f>
        <v>Tân Túc</v>
      </c>
      <c r="D119" s="53" t="str">
        <f ca="1">IFERROR(__xludf.DUMMYFUNCTION("""COMPUTED_VALUE"""),"MN")</f>
        <v>MN</v>
      </c>
      <c r="E119" s="54" t="str">
        <f ca="1">IFERROR(__xludf.DUMMYFUNCTION("""COMPUTED_VALUE"""),"Bình Chánh")</f>
        <v>Bình Chánh</v>
      </c>
      <c r="F119" s="54">
        <f ca="1">IFERROR(__xludf.DUMMYFUNCTION("""COMPUTED_VALUE"""),10)</f>
        <v>10</v>
      </c>
      <c r="G119" s="54"/>
      <c r="H119" s="54">
        <f ca="1">IFERROR(__xludf.DUMMYFUNCTION("""COMPUTED_VALUE"""),10)</f>
        <v>10</v>
      </c>
      <c r="I119" s="54"/>
      <c r="J119" s="54">
        <f ca="1">IFERROR(__xludf.DUMMYFUNCTION("""COMPUTED_VALUE"""),10)</f>
        <v>10</v>
      </c>
      <c r="K119" s="54"/>
      <c r="L119" s="54">
        <f ca="1">IFERROR(__xludf.DUMMYFUNCTION("""COMPUTED_VALUE"""),10)</f>
        <v>10</v>
      </c>
      <c r="M119" s="54"/>
      <c r="N119" s="54">
        <f ca="1">IFERROR(__xludf.DUMMYFUNCTION("""COMPUTED_VALUE"""),0)</f>
        <v>0</v>
      </c>
      <c r="O119" s="54">
        <f ca="1">IFERROR(__xludf.DUMMYFUNCTION("""COMPUTED_VALUE"""),51)</f>
        <v>51</v>
      </c>
      <c r="P119" s="54"/>
      <c r="Q119" s="54">
        <f ca="1">IFERROR(__xludf.DUMMYFUNCTION("""COMPUTED_VALUE"""),45)</f>
        <v>45</v>
      </c>
      <c r="R119" s="54"/>
      <c r="S119" s="54">
        <f ca="1">IFERROR(__xludf.DUMMYFUNCTION("""COMPUTED_VALUE"""),0)</f>
        <v>0</v>
      </c>
      <c r="T119" s="53"/>
      <c r="U119" s="53"/>
      <c r="V119" s="53"/>
      <c r="W119" s="53"/>
      <c r="X119" s="53"/>
      <c r="Y119" s="53"/>
      <c r="Z119" s="2"/>
      <c r="AA119" s="2"/>
      <c r="AB119" s="2"/>
      <c r="AC119" s="2"/>
      <c r="AD119" s="2"/>
      <c r="AE119" s="2"/>
    </row>
    <row r="120" spans="1:31" ht="12.75" x14ac:dyDescent="0.2">
      <c r="A120" s="53">
        <f ca="1">IFERROR(__xludf.DUMMYFUNCTION("""COMPUTED_VALUE"""),45)</f>
        <v>45</v>
      </c>
      <c r="B120" s="53" t="str">
        <f ca="1">IFERROR(__xludf.DUMMYFUNCTION("""COMPUTED_VALUE"""),"Lớp MG Ngọc Bích")</f>
        <v>Lớp MG Ngọc Bích</v>
      </c>
      <c r="C120" s="53" t="str">
        <f ca="1">IFERROR(__xludf.DUMMYFUNCTION("""COMPUTED_VALUE"""),"Tân Túc")</f>
        <v>Tân Túc</v>
      </c>
      <c r="D120" s="53" t="str">
        <f ca="1">IFERROR(__xludf.DUMMYFUNCTION("""COMPUTED_VALUE"""),"MN")</f>
        <v>MN</v>
      </c>
      <c r="E120" s="54" t="str">
        <f ca="1">IFERROR(__xludf.DUMMYFUNCTION("""COMPUTED_VALUE"""),"Bình Chánh")</f>
        <v>Bình Chánh</v>
      </c>
      <c r="F120" s="54">
        <f ca="1">IFERROR(__xludf.DUMMYFUNCTION("""COMPUTED_VALUE"""),8)</f>
        <v>8</v>
      </c>
      <c r="G120" s="54"/>
      <c r="H120" s="54">
        <f ca="1">IFERROR(__xludf.DUMMYFUNCTION("""COMPUTED_VALUE"""),8)</f>
        <v>8</v>
      </c>
      <c r="I120" s="54"/>
      <c r="J120" s="54">
        <f ca="1">IFERROR(__xludf.DUMMYFUNCTION("""COMPUTED_VALUE"""),8)</f>
        <v>8</v>
      </c>
      <c r="K120" s="54"/>
      <c r="L120" s="54">
        <f ca="1">IFERROR(__xludf.DUMMYFUNCTION("""COMPUTED_VALUE"""),8)</f>
        <v>8</v>
      </c>
      <c r="M120" s="54"/>
      <c r="N120" s="54">
        <f ca="1">IFERROR(__xludf.DUMMYFUNCTION("""COMPUTED_VALUE"""),0)</f>
        <v>0</v>
      </c>
      <c r="O120" s="54">
        <f ca="1">IFERROR(__xludf.DUMMYFUNCTION("""COMPUTED_VALUE"""),40)</f>
        <v>40</v>
      </c>
      <c r="P120" s="54"/>
      <c r="Q120" s="54">
        <f ca="1">IFERROR(__xludf.DUMMYFUNCTION("""COMPUTED_VALUE"""),4)</f>
        <v>4</v>
      </c>
      <c r="R120" s="54"/>
      <c r="S120" s="53">
        <f ca="1">IFERROR(__xludf.DUMMYFUNCTION("""COMPUTED_VALUE"""),0)</f>
        <v>0</v>
      </c>
      <c r="T120" s="53"/>
      <c r="U120" s="53"/>
      <c r="V120" s="53"/>
      <c r="W120" s="53"/>
      <c r="X120" s="53"/>
      <c r="Y120" s="53"/>
      <c r="Z120" s="2"/>
      <c r="AA120" s="2"/>
      <c r="AB120" s="2"/>
      <c r="AC120" s="2"/>
      <c r="AD120" s="2"/>
      <c r="AE120" s="2"/>
    </row>
    <row r="121" spans="1:31" ht="12.75" x14ac:dyDescent="0.2">
      <c r="A121" s="53">
        <f ca="1">IFERROR(__xludf.DUMMYFUNCTION("""COMPUTED_VALUE"""),46)</f>
        <v>46</v>
      </c>
      <c r="B121" s="53" t="str">
        <f ca="1">IFERROR(__xludf.DUMMYFUNCTION("""COMPUTED_VALUE"""),"Lớp MG Hoa Phượng Vĩ")</f>
        <v>Lớp MG Hoa Phượng Vĩ</v>
      </c>
      <c r="C121" s="53" t="str">
        <f ca="1">IFERROR(__xludf.DUMMYFUNCTION("""COMPUTED_VALUE"""),"Tân Túc")</f>
        <v>Tân Túc</v>
      </c>
      <c r="D121" s="53" t="str">
        <f ca="1">IFERROR(__xludf.DUMMYFUNCTION("""COMPUTED_VALUE"""),"MN")</f>
        <v>MN</v>
      </c>
      <c r="E121" s="54" t="str">
        <f ca="1">IFERROR(__xludf.DUMMYFUNCTION("""COMPUTED_VALUE"""),"Bình Chánh")</f>
        <v>Bình Chánh</v>
      </c>
      <c r="F121" s="54">
        <f ca="1">IFERROR(__xludf.DUMMYFUNCTION("""COMPUTED_VALUE"""),11)</f>
        <v>11</v>
      </c>
      <c r="G121" s="54"/>
      <c r="H121" s="54">
        <f ca="1">IFERROR(__xludf.DUMMYFUNCTION("""COMPUTED_VALUE"""),11)</f>
        <v>11</v>
      </c>
      <c r="I121" s="54"/>
      <c r="J121" s="54">
        <f ca="1">IFERROR(__xludf.DUMMYFUNCTION("""COMPUTED_VALUE"""),11)</f>
        <v>11</v>
      </c>
      <c r="K121" s="54"/>
      <c r="L121" s="54">
        <f ca="1">IFERROR(__xludf.DUMMYFUNCTION("""COMPUTED_VALUE"""),6)</f>
        <v>6</v>
      </c>
      <c r="M121" s="54"/>
      <c r="N121" s="54">
        <f ca="1">IFERROR(__xludf.DUMMYFUNCTION("""COMPUTED_VALUE"""),0)</f>
        <v>0</v>
      </c>
      <c r="O121" s="54">
        <f ca="1">IFERROR(__xludf.DUMMYFUNCTION("""COMPUTED_VALUE"""),5)</f>
        <v>5</v>
      </c>
      <c r="P121" s="54"/>
      <c r="Q121" s="54">
        <f ca="1">IFERROR(__xludf.DUMMYFUNCTION("""COMPUTED_VALUE"""),1)</f>
        <v>1</v>
      </c>
      <c r="R121" s="54"/>
      <c r="S121" s="54">
        <f ca="1">IFERROR(__xludf.DUMMYFUNCTION("""COMPUTED_VALUE"""),0)</f>
        <v>0</v>
      </c>
      <c r="T121" s="53"/>
      <c r="U121" s="53"/>
      <c r="V121" s="53"/>
      <c r="W121" s="53"/>
      <c r="X121" s="53"/>
      <c r="Y121" s="53"/>
      <c r="Z121" s="2"/>
      <c r="AA121" s="2"/>
      <c r="AB121" s="2"/>
      <c r="AC121" s="2"/>
      <c r="AD121" s="2"/>
      <c r="AE121" s="2"/>
    </row>
    <row r="122" spans="1:31" ht="12.75" x14ac:dyDescent="0.2">
      <c r="A122" s="53">
        <f ca="1">IFERROR(__xludf.DUMMYFUNCTION("""COMPUTED_VALUE"""),47)</f>
        <v>47</v>
      </c>
      <c r="B122" s="53" t="str">
        <f ca="1">IFERROR(__xludf.DUMMYFUNCTION("""COMPUTED_VALUE"""),"Lớp MG Thiên Kim")</f>
        <v>Lớp MG Thiên Kim</v>
      </c>
      <c r="C122" s="53" t="str">
        <f ca="1">IFERROR(__xludf.DUMMYFUNCTION("""COMPUTED_VALUE"""),"Tân Nhựt")</f>
        <v>Tân Nhựt</v>
      </c>
      <c r="D122" s="53" t="str">
        <f ca="1">IFERROR(__xludf.DUMMYFUNCTION("""COMPUTED_VALUE"""),"MN")</f>
        <v>MN</v>
      </c>
      <c r="E122" s="54" t="str">
        <f ca="1">IFERROR(__xludf.DUMMYFUNCTION("""COMPUTED_VALUE"""),"Bình Chánh")</f>
        <v>Bình Chánh</v>
      </c>
      <c r="F122" s="54">
        <f ca="1">IFERROR(__xludf.DUMMYFUNCTION("""COMPUTED_VALUE"""),10)</f>
        <v>10</v>
      </c>
      <c r="G122" s="54"/>
      <c r="H122" s="54">
        <f ca="1">IFERROR(__xludf.DUMMYFUNCTION("""COMPUTED_VALUE"""),10)</f>
        <v>10</v>
      </c>
      <c r="I122" s="54"/>
      <c r="J122" s="54">
        <f ca="1">IFERROR(__xludf.DUMMYFUNCTION("""COMPUTED_VALUE"""),10)</f>
        <v>10</v>
      </c>
      <c r="K122" s="54"/>
      <c r="L122" s="54">
        <f ca="1">IFERROR(__xludf.DUMMYFUNCTION("""COMPUTED_VALUE"""),8)</f>
        <v>8</v>
      </c>
      <c r="M122" s="54"/>
      <c r="N122" s="54">
        <f ca="1">IFERROR(__xludf.DUMMYFUNCTION("""COMPUTED_VALUE"""),0)</f>
        <v>0</v>
      </c>
      <c r="O122" s="54">
        <f ca="1">IFERROR(__xludf.DUMMYFUNCTION("""COMPUTED_VALUE"""),8)</f>
        <v>8</v>
      </c>
      <c r="P122" s="54"/>
      <c r="Q122" s="54">
        <f ca="1">IFERROR(__xludf.DUMMYFUNCTION("""COMPUTED_VALUE"""),0)</f>
        <v>0</v>
      </c>
      <c r="R122" s="54"/>
      <c r="S122" s="54">
        <f ca="1">IFERROR(__xludf.DUMMYFUNCTION("""COMPUTED_VALUE"""),0)</f>
        <v>0</v>
      </c>
      <c r="T122" s="53"/>
      <c r="U122" s="53"/>
      <c r="V122" s="53"/>
      <c r="W122" s="53"/>
      <c r="X122" s="53"/>
      <c r="Y122" s="53"/>
      <c r="Z122" s="2"/>
      <c r="AA122" s="2"/>
      <c r="AB122" s="2"/>
      <c r="AC122" s="2"/>
      <c r="AD122" s="2"/>
      <c r="AE122" s="2"/>
    </row>
    <row r="123" spans="1:31" ht="12.75" x14ac:dyDescent="0.2">
      <c r="A123" s="53">
        <f ca="1">IFERROR(__xludf.DUMMYFUNCTION("""COMPUTED_VALUE"""),48)</f>
        <v>48</v>
      </c>
      <c r="B123" s="53" t="str">
        <f ca="1">IFERROR(__xludf.DUMMYFUNCTION("""COMPUTED_VALUE"""),"Lớp MG Thiên An")</f>
        <v>Lớp MG Thiên An</v>
      </c>
      <c r="C123" s="53" t="str">
        <f ca="1">IFERROR(__xludf.DUMMYFUNCTION("""COMPUTED_VALUE"""),"Tân Nhựt")</f>
        <v>Tân Nhựt</v>
      </c>
      <c r="D123" s="53" t="str">
        <f ca="1">IFERROR(__xludf.DUMMYFUNCTION("""COMPUTED_VALUE"""),"MN")</f>
        <v>MN</v>
      </c>
      <c r="E123" s="54" t="str">
        <f ca="1">IFERROR(__xludf.DUMMYFUNCTION("""COMPUTED_VALUE"""),"Bình Chánh")</f>
        <v>Bình Chánh</v>
      </c>
      <c r="F123" s="54">
        <f ca="1">IFERROR(__xludf.DUMMYFUNCTION("""COMPUTED_VALUE"""),8)</f>
        <v>8</v>
      </c>
      <c r="G123" s="54"/>
      <c r="H123" s="54">
        <f ca="1">IFERROR(__xludf.DUMMYFUNCTION("""COMPUTED_VALUE"""),8)</f>
        <v>8</v>
      </c>
      <c r="I123" s="54"/>
      <c r="J123" s="54">
        <f ca="1">IFERROR(__xludf.DUMMYFUNCTION("""COMPUTED_VALUE"""),8)</f>
        <v>8</v>
      </c>
      <c r="K123" s="54"/>
      <c r="L123" s="54">
        <f ca="1">IFERROR(__xludf.DUMMYFUNCTION("""COMPUTED_VALUE"""),8)</f>
        <v>8</v>
      </c>
      <c r="M123" s="54"/>
      <c r="N123" s="54">
        <f ca="1">IFERROR(__xludf.DUMMYFUNCTION("""COMPUTED_VALUE"""),0)</f>
        <v>0</v>
      </c>
      <c r="O123" s="54">
        <f ca="1">IFERROR(__xludf.DUMMYFUNCTION("""COMPUTED_VALUE"""),19)</f>
        <v>19</v>
      </c>
      <c r="P123" s="54"/>
      <c r="Q123" s="54">
        <f ca="1">IFERROR(__xludf.DUMMYFUNCTION("""COMPUTED_VALUE"""),5)</f>
        <v>5</v>
      </c>
      <c r="R123" s="54"/>
      <c r="S123" s="54">
        <f ca="1">IFERROR(__xludf.DUMMYFUNCTION("""COMPUTED_VALUE"""),0)</f>
        <v>0</v>
      </c>
      <c r="T123" s="53"/>
      <c r="U123" s="53"/>
      <c r="V123" s="53"/>
      <c r="W123" s="53"/>
      <c r="X123" s="53"/>
      <c r="Y123" s="53"/>
      <c r="Z123" s="2"/>
      <c r="AA123" s="2"/>
      <c r="AB123" s="2"/>
      <c r="AC123" s="2"/>
      <c r="AD123" s="2"/>
      <c r="AE123" s="2"/>
    </row>
    <row r="124" spans="1:31" ht="12.75" x14ac:dyDescent="0.2">
      <c r="A124" s="53">
        <f ca="1">IFERROR(__xludf.DUMMYFUNCTION("""COMPUTED_VALUE"""),49)</f>
        <v>49</v>
      </c>
      <c r="B124" s="53" t="str">
        <f ca="1">IFERROR(__xludf.DUMMYFUNCTION("""COMPUTED_VALUE"""),"Lớp MG Hải Yến")</f>
        <v>Lớp MG Hải Yến</v>
      </c>
      <c r="C124" s="53" t="str">
        <f ca="1">IFERROR(__xludf.DUMMYFUNCTION("""COMPUTED_VALUE"""),"Tân Nhựt")</f>
        <v>Tân Nhựt</v>
      </c>
      <c r="D124" s="53" t="str">
        <f ca="1">IFERROR(__xludf.DUMMYFUNCTION("""COMPUTED_VALUE"""),"MN")</f>
        <v>MN</v>
      </c>
      <c r="E124" s="54" t="str">
        <f ca="1">IFERROR(__xludf.DUMMYFUNCTION("""COMPUTED_VALUE"""),"Bình Chánh")</f>
        <v>Bình Chánh</v>
      </c>
      <c r="F124" s="54">
        <f ca="1">IFERROR(__xludf.DUMMYFUNCTION("""COMPUTED_VALUE"""),6)</f>
        <v>6</v>
      </c>
      <c r="G124" s="54"/>
      <c r="H124" s="54">
        <f ca="1">IFERROR(__xludf.DUMMYFUNCTION("""COMPUTED_VALUE"""),6)</f>
        <v>6</v>
      </c>
      <c r="I124" s="54"/>
      <c r="J124" s="54">
        <f ca="1">IFERROR(__xludf.DUMMYFUNCTION("""COMPUTED_VALUE"""),6)</f>
        <v>6</v>
      </c>
      <c r="K124" s="54"/>
      <c r="L124" s="54">
        <f ca="1">IFERROR(__xludf.DUMMYFUNCTION("""COMPUTED_VALUE"""),6)</f>
        <v>6</v>
      </c>
      <c r="M124" s="54"/>
      <c r="N124" s="54">
        <f ca="1">IFERROR(__xludf.DUMMYFUNCTION("""COMPUTED_VALUE"""),0)</f>
        <v>0</v>
      </c>
      <c r="O124" s="54">
        <f ca="1">IFERROR(__xludf.DUMMYFUNCTION("""COMPUTED_VALUE"""),2)</f>
        <v>2</v>
      </c>
      <c r="P124" s="54"/>
      <c r="Q124" s="54">
        <f ca="1">IFERROR(__xludf.DUMMYFUNCTION("""COMPUTED_VALUE"""),1)</f>
        <v>1</v>
      </c>
      <c r="R124" s="54"/>
      <c r="S124" s="54">
        <f ca="1">IFERROR(__xludf.DUMMYFUNCTION("""COMPUTED_VALUE"""),0)</f>
        <v>0</v>
      </c>
      <c r="T124" s="53"/>
      <c r="U124" s="53"/>
      <c r="V124" s="53"/>
      <c r="W124" s="53"/>
      <c r="X124" s="53"/>
      <c r="Y124" s="53"/>
      <c r="Z124" s="2"/>
      <c r="AA124" s="2"/>
      <c r="AB124" s="2"/>
      <c r="AC124" s="2"/>
      <c r="AD124" s="2"/>
      <c r="AE124" s="2"/>
    </row>
    <row r="125" spans="1:31" ht="12.75" x14ac:dyDescent="0.2">
      <c r="A125" s="53">
        <f ca="1">IFERROR(__xludf.DUMMYFUNCTION("""COMPUTED_VALUE"""),50)</f>
        <v>50</v>
      </c>
      <c r="B125" s="53" t="str">
        <f ca="1">IFERROR(__xludf.DUMMYFUNCTION("""COMPUTED_VALUE"""),"Lớp MN Nai Ngọc")</f>
        <v>Lớp MN Nai Ngọc</v>
      </c>
      <c r="C125" s="53" t="str">
        <f ca="1">IFERROR(__xludf.DUMMYFUNCTION("""COMPUTED_VALUE"""),"Tân Kiên")</f>
        <v>Tân Kiên</v>
      </c>
      <c r="D125" s="53" t="str">
        <f ca="1">IFERROR(__xludf.DUMMYFUNCTION("""COMPUTED_VALUE"""),"MN")</f>
        <v>MN</v>
      </c>
      <c r="E125" s="54" t="str">
        <f ca="1">IFERROR(__xludf.DUMMYFUNCTION("""COMPUTED_VALUE"""),"Bình Chánh")</f>
        <v>Bình Chánh</v>
      </c>
      <c r="F125" s="54">
        <f ca="1">IFERROR(__xludf.DUMMYFUNCTION("""COMPUTED_VALUE"""),5)</f>
        <v>5</v>
      </c>
      <c r="G125" s="54"/>
      <c r="H125" s="54">
        <f ca="1">IFERROR(__xludf.DUMMYFUNCTION("""COMPUTED_VALUE"""),5)</f>
        <v>5</v>
      </c>
      <c r="I125" s="54"/>
      <c r="J125" s="54">
        <f ca="1">IFERROR(__xludf.DUMMYFUNCTION("""COMPUTED_VALUE"""),5)</f>
        <v>5</v>
      </c>
      <c r="K125" s="54"/>
      <c r="L125" s="54">
        <f ca="1">IFERROR(__xludf.DUMMYFUNCTION("""COMPUTED_VALUE"""),4)</f>
        <v>4</v>
      </c>
      <c r="M125" s="54"/>
      <c r="N125" s="54">
        <f ca="1">IFERROR(__xludf.DUMMYFUNCTION("""COMPUTED_VALUE"""),0)</f>
        <v>0</v>
      </c>
      <c r="O125" s="54">
        <f ca="1">IFERROR(__xludf.DUMMYFUNCTION("""COMPUTED_VALUE"""),15)</f>
        <v>15</v>
      </c>
      <c r="P125" s="54"/>
      <c r="Q125" s="54">
        <f ca="1">IFERROR(__xludf.DUMMYFUNCTION("""COMPUTED_VALUE"""),14)</f>
        <v>14</v>
      </c>
      <c r="R125" s="54"/>
      <c r="S125" s="54">
        <f ca="1">IFERROR(__xludf.DUMMYFUNCTION("""COMPUTED_VALUE"""),0)</f>
        <v>0</v>
      </c>
      <c r="T125" s="53"/>
      <c r="U125" s="53"/>
      <c r="V125" s="53"/>
      <c r="W125" s="53"/>
      <c r="X125" s="53"/>
      <c r="Y125" s="53"/>
      <c r="Z125" s="2"/>
      <c r="AA125" s="2"/>
      <c r="AB125" s="2"/>
      <c r="AC125" s="2"/>
      <c r="AD125" s="2"/>
      <c r="AE125" s="2"/>
    </row>
    <row r="126" spans="1:31" ht="12.75" x14ac:dyDescent="0.2">
      <c r="A126" s="53">
        <f ca="1">IFERROR(__xludf.DUMMYFUNCTION("""COMPUTED_VALUE"""),51)</f>
        <v>51</v>
      </c>
      <c r="B126" s="53" t="str">
        <f ca="1">IFERROR(__xludf.DUMMYFUNCTION("""COMPUTED_VALUE"""),"Lớp MG Bảo Ngọc")</f>
        <v>Lớp MG Bảo Ngọc</v>
      </c>
      <c r="C126" s="53" t="str">
        <f ca="1">IFERROR(__xludf.DUMMYFUNCTION("""COMPUTED_VALUE"""),"Tân Kiên")</f>
        <v>Tân Kiên</v>
      </c>
      <c r="D126" s="53" t="str">
        <f ca="1">IFERROR(__xludf.DUMMYFUNCTION("""COMPUTED_VALUE"""),"MN")</f>
        <v>MN</v>
      </c>
      <c r="E126" s="54" t="str">
        <f ca="1">IFERROR(__xludf.DUMMYFUNCTION("""COMPUTED_VALUE"""),"Bình Chánh")</f>
        <v>Bình Chánh</v>
      </c>
      <c r="F126" s="54">
        <f ca="1">IFERROR(__xludf.DUMMYFUNCTION("""COMPUTED_VALUE"""),12)</f>
        <v>12</v>
      </c>
      <c r="G126" s="54"/>
      <c r="H126" s="54">
        <f ca="1">IFERROR(__xludf.DUMMYFUNCTION("""COMPUTED_VALUE"""),12)</f>
        <v>12</v>
      </c>
      <c r="I126" s="54"/>
      <c r="J126" s="54">
        <f ca="1">IFERROR(__xludf.DUMMYFUNCTION("""COMPUTED_VALUE"""),12)</f>
        <v>12</v>
      </c>
      <c r="K126" s="54"/>
      <c r="L126" s="54">
        <f ca="1">IFERROR(__xludf.DUMMYFUNCTION("""COMPUTED_VALUE"""),12)</f>
        <v>12</v>
      </c>
      <c r="M126" s="54"/>
      <c r="N126" s="54">
        <f ca="1">IFERROR(__xludf.DUMMYFUNCTION("""COMPUTED_VALUE"""),0)</f>
        <v>0</v>
      </c>
      <c r="O126" s="54">
        <f ca="1">IFERROR(__xludf.DUMMYFUNCTION("""COMPUTED_VALUE"""),32)</f>
        <v>32</v>
      </c>
      <c r="P126" s="54"/>
      <c r="Q126" s="53">
        <f ca="1">IFERROR(__xludf.DUMMYFUNCTION("""COMPUTED_VALUE"""),32)</f>
        <v>32</v>
      </c>
      <c r="R126" s="53"/>
      <c r="S126" s="53">
        <f ca="1">IFERROR(__xludf.DUMMYFUNCTION("""COMPUTED_VALUE"""),0)</f>
        <v>0</v>
      </c>
      <c r="T126" s="53"/>
      <c r="U126" s="53"/>
      <c r="V126" s="53"/>
      <c r="W126" s="53"/>
      <c r="X126" s="53"/>
      <c r="Y126" s="53"/>
      <c r="Z126" s="2"/>
      <c r="AA126" s="2"/>
      <c r="AB126" s="2"/>
      <c r="AC126" s="2"/>
      <c r="AD126" s="2"/>
      <c r="AE126" s="2"/>
    </row>
    <row r="127" spans="1:31" ht="12.75" x14ac:dyDescent="0.2">
      <c r="A127" s="53">
        <f ca="1">IFERROR(__xludf.DUMMYFUNCTION("""COMPUTED_VALUE"""),52)</f>
        <v>52</v>
      </c>
      <c r="B127" s="53" t="str">
        <f ca="1">IFERROR(__xludf.DUMMYFUNCTION("""COMPUTED_VALUE"""),"Lớp MG Tân Kiên")</f>
        <v>Lớp MG Tân Kiên</v>
      </c>
      <c r="C127" s="53" t="str">
        <f ca="1">IFERROR(__xludf.DUMMYFUNCTION("""COMPUTED_VALUE"""),"Tân Kiên")</f>
        <v>Tân Kiên</v>
      </c>
      <c r="D127" s="53" t="str">
        <f ca="1">IFERROR(__xludf.DUMMYFUNCTION("""COMPUTED_VALUE"""),"MN")</f>
        <v>MN</v>
      </c>
      <c r="E127" s="54" t="str">
        <f ca="1">IFERROR(__xludf.DUMMYFUNCTION("""COMPUTED_VALUE"""),"Bình Chánh")</f>
        <v>Bình Chánh</v>
      </c>
      <c r="F127" s="54">
        <f ca="1">IFERROR(__xludf.DUMMYFUNCTION("""COMPUTED_VALUE"""),11)</f>
        <v>11</v>
      </c>
      <c r="G127" s="54"/>
      <c r="H127" s="54">
        <f ca="1">IFERROR(__xludf.DUMMYFUNCTION("""COMPUTED_VALUE"""),11)</f>
        <v>11</v>
      </c>
      <c r="I127" s="54"/>
      <c r="J127" s="54">
        <f ca="1">IFERROR(__xludf.DUMMYFUNCTION("""COMPUTED_VALUE"""),11)</f>
        <v>11</v>
      </c>
      <c r="K127" s="54"/>
      <c r="L127" s="54">
        <f ca="1">IFERROR(__xludf.DUMMYFUNCTION("""COMPUTED_VALUE"""),11)</f>
        <v>11</v>
      </c>
      <c r="M127" s="54"/>
      <c r="N127" s="54">
        <f ca="1">IFERROR(__xludf.DUMMYFUNCTION("""COMPUTED_VALUE"""),0)</f>
        <v>0</v>
      </c>
      <c r="O127" s="54">
        <f ca="1">IFERROR(__xludf.DUMMYFUNCTION("""COMPUTED_VALUE"""),28)</f>
        <v>28</v>
      </c>
      <c r="P127" s="54"/>
      <c r="Q127" s="54">
        <f ca="1">IFERROR(__xludf.DUMMYFUNCTION("""COMPUTED_VALUE"""),28)</f>
        <v>28</v>
      </c>
      <c r="R127" s="54"/>
      <c r="S127" s="54">
        <f ca="1">IFERROR(__xludf.DUMMYFUNCTION("""COMPUTED_VALUE"""),0)</f>
        <v>0</v>
      </c>
      <c r="T127" s="53"/>
      <c r="U127" s="53"/>
      <c r="V127" s="53"/>
      <c r="W127" s="53"/>
      <c r="X127" s="53"/>
      <c r="Y127" s="53"/>
      <c r="Z127" s="2"/>
      <c r="AA127" s="2"/>
      <c r="AB127" s="2"/>
      <c r="AC127" s="2"/>
      <c r="AD127" s="2"/>
      <c r="AE127" s="2"/>
    </row>
    <row r="128" spans="1:31" ht="12.75" x14ac:dyDescent="0.2">
      <c r="A128" s="53">
        <f ca="1">IFERROR(__xludf.DUMMYFUNCTION("""COMPUTED_VALUE"""),53)</f>
        <v>53</v>
      </c>
      <c r="B128" s="53" t="str">
        <f ca="1">IFERROR(__xludf.DUMMYFUNCTION("""COMPUTED_VALUE"""),"Lớp MG Thiên Ngọc")</f>
        <v>Lớp MG Thiên Ngọc</v>
      </c>
      <c r="C128" s="53" t="str">
        <f ca="1">IFERROR(__xludf.DUMMYFUNCTION("""COMPUTED_VALUE"""),"Tân Kiên")</f>
        <v>Tân Kiên</v>
      </c>
      <c r="D128" s="53" t="str">
        <f ca="1">IFERROR(__xludf.DUMMYFUNCTION("""COMPUTED_VALUE"""),"MN")</f>
        <v>MN</v>
      </c>
      <c r="E128" s="54" t="str">
        <f ca="1">IFERROR(__xludf.DUMMYFUNCTION("""COMPUTED_VALUE"""),"Bình Chánh")</f>
        <v>Bình Chánh</v>
      </c>
      <c r="F128" s="54">
        <f ca="1">IFERROR(__xludf.DUMMYFUNCTION("""COMPUTED_VALUE"""),10)</f>
        <v>10</v>
      </c>
      <c r="G128" s="54"/>
      <c r="H128" s="54">
        <f ca="1">IFERROR(__xludf.DUMMYFUNCTION("""COMPUTED_VALUE"""),10)</f>
        <v>10</v>
      </c>
      <c r="I128" s="54"/>
      <c r="J128" s="54">
        <f ca="1">IFERROR(__xludf.DUMMYFUNCTION("""COMPUTED_VALUE"""),10)</f>
        <v>10</v>
      </c>
      <c r="K128" s="54"/>
      <c r="L128" s="54">
        <f ca="1">IFERROR(__xludf.DUMMYFUNCTION("""COMPUTED_VALUE"""),10)</f>
        <v>10</v>
      </c>
      <c r="M128" s="54"/>
      <c r="N128" s="54">
        <f ca="1">IFERROR(__xludf.DUMMYFUNCTION("""COMPUTED_VALUE"""),0)</f>
        <v>0</v>
      </c>
      <c r="O128" s="54">
        <f ca="1">IFERROR(__xludf.DUMMYFUNCTION("""COMPUTED_VALUE"""),22)</f>
        <v>22</v>
      </c>
      <c r="P128" s="54"/>
      <c r="Q128" s="54">
        <f ca="1">IFERROR(__xludf.DUMMYFUNCTION("""COMPUTED_VALUE"""),6)</f>
        <v>6</v>
      </c>
      <c r="R128" s="54"/>
      <c r="S128" s="54">
        <f ca="1">IFERROR(__xludf.DUMMYFUNCTION("""COMPUTED_VALUE"""),0)</f>
        <v>0</v>
      </c>
      <c r="T128" s="53"/>
      <c r="U128" s="53"/>
      <c r="V128" s="53"/>
      <c r="W128" s="53"/>
      <c r="X128" s="53"/>
      <c r="Y128" s="53"/>
      <c r="Z128" s="2"/>
      <c r="AA128" s="2"/>
      <c r="AB128" s="2"/>
      <c r="AC128" s="2"/>
      <c r="AD128" s="2"/>
      <c r="AE128" s="2"/>
    </row>
    <row r="129" spans="1:31" ht="12.75" x14ac:dyDescent="0.2">
      <c r="A129" s="53">
        <f ca="1">IFERROR(__xludf.DUMMYFUNCTION("""COMPUTED_VALUE"""),54)</f>
        <v>54</v>
      </c>
      <c r="B129" s="53" t="str">
        <f ca="1">IFERROR(__xludf.DUMMYFUNCTION("""COMPUTED_VALUE"""),"Lớp MG KaKy")</f>
        <v>Lớp MG KaKy</v>
      </c>
      <c r="C129" s="53" t="str">
        <f ca="1">IFERROR(__xludf.DUMMYFUNCTION("""COMPUTED_VALUE"""),"Tân Kiên")</f>
        <v>Tân Kiên</v>
      </c>
      <c r="D129" s="53" t="str">
        <f ca="1">IFERROR(__xludf.DUMMYFUNCTION("""COMPUTED_VALUE"""),"MN")</f>
        <v>MN</v>
      </c>
      <c r="E129" s="54" t="str">
        <f ca="1">IFERROR(__xludf.DUMMYFUNCTION("""COMPUTED_VALUE"""),"Bình Chánh")</f>
        <v>Bình Chánh</v>
      </c>
      <c r="F129" s="54">
        <f ca="1">IFERROR(__xludf.DUMMYFUNCTION("""COMPUTED_VALUE"""),6)</f>
        <v>6</v>
      </c>
      <c r="G129" s="54"/>
      <c r="H129" s="54">
        <f ca="1">IFERROR(__xludf.DUMMYFUNCTION("""COMPUTED_VALUE"""),6)</f>
        <v>6</v>
      </c>
      <c r="I129" s="54"/>
      <c r="J129" s="54">
        <f ca="1">IFERROR(__xludf.DUMMYFUNCTION("""COMPUTED_VALUE"""),6)</f>
        <v>6</v>
      </c>
      <c r="K129" s="54"/>
      <c r="L129" s="54">
        <f ca="1">IFERROR(__xludf.DUMMYFUNCTION("""COMPUTED_VALUE"""),6)</f>
        <v>6</v>
      </c>
      <c r="M129" s="54"/>
      <c r="N129" s="54">
        <f ca="1">IFERROR(__xludf.DUMMYFUNCTION("""COMPUTED_VALUE"""),0)</f>
        <v>0</v>
      </c>
      <c r="O129" s="54">
        <f ca="1">IFERROR(__xludf.DUMMYFUNCTION("""COMPUTED_VALUE"""),20)</f>
        <v>20</v>
      </c>
      <c r="P129" s="54"/>
      <c r="Q129" s="54">
        <f ca="1">IFERROR(__xludf.DUMMYFUNCTION("""COMPUTED_VALUE"""),0)</f>
        <v>0</v>
      </c>
      <c r="R129" s="54"/>
      <c r="S129" s="54">
        <f ca="1">IFERROR(__xludf.DUMMYFUNCTION("""COMPUTED_VALUE"""),0)</f>
        <v>0</v>
      </c>
      <c r="T129" s="53"/>
      <c r="U129" s="53"/>
      <c r="V129" s="53"/>
      <c r="W129" s="53"/>
      <c r="X129" s="53"/>
      <c r="Y129" s="53"/>
      <c r="Z129" s="2"/>
      <c r="AA129" s="2"/>
      <c r="AB129" s="2"/>
      <c r="AC129" s="2"/>
      <c r="AD129" s="2"/>
      <c r="AE129" s="2"/>
    </row>
    <row r="130" spans="1:31" ht="12.75" x14ac:dyDescent="0.2">
      <c r="A130" s="53">
        <f ca="1">IFERROR(__xludf.DUMMYFUNCTION("""COMPUTED_VALUE"""),55)</f>
        <v>55</v>
      </c>
      <c r="B130" s="53" t="str">
        <f ca="1">IFERROR(__xludf.DUMMYFUNCTION("""COMPUTED_VALUE"""),"Lớp MG Phượng Vĩ")</f>
        <v>Lớp MG Phượng Vĩ</v>
      </c>
      <c r="C130" s="53" t="str">
        <f ca="1">IFERROR(__xludf.DUMMYFUNCTION("""COMPUTED_VALUE"""),"Tân Kiên")</f>
        <v>Tân Kiên</v>
      </c>
      <c r="D130" s="53" t="str">
        <f ca="1">IFERROR(__xludf.DUMMYFUNCTION("""COMPUTED_VALUE"""),"MN")</f>
        <v>MN</v>
      </c>
      <c r="E130" s="54" t="str">
        <f ca="1">IFERROR(__xludf.DUMMYFUNCTION("""COMPUTED_VALUE"""),"Bình Chánh")</f>
        <v>Bình Chánh</v>
      </c>
      <c r="F130" s="54">
        <f ca="1">IFERROR(__xludf.DUMMYFUNCTION("""COMPUTED_VALUE"""),6)</f>
        <v>6</v>
      </c>
      <c r="G130" s="54"/>
      <c r="H130" s="54">
        <f ca="1">IFERROR(__xludf.DUMMYFUNCTION("""COMPUTED_VALUE"""),6)</f>
        <v>6</v>
      </c>
      <c r="I130" s="54"/>
      <c r="J130" s="54">
        <f ca="1">IFERROR(__xludf.DUMMYFUNCTION("""COMPUTED_VALUE"""),6)</f>
        <v>6</v>
      </c>
      <c r="K130" s="54"/>
      <c r="L130" s="54">
        <f ca="1">IFERROR(__xludf.DUMMYFUNCTION("""COMPUTED_VALUE"""),6)</f>
        <v>6</v>
      </c>
      <c r="M130" s="54"/>
      <c r="N130" s="54">
        <f ca="1">IFERROR(__xludf.DUMMYFUNCTION("""COMPUTED_VALUE"""),0)</f>
        <v>0</v>
      </c>
      <c r="O130" s="54">
        <f ca="1">IFERROR(__xludf.DUMMYFUNCTION("""COMPUTED_VALUE"""),33)</f>
        <v>33</v>
      </c>
      <c r="P130" s="54"/>
      <c r="Q130" s="54">
        <f ca="1">IFERROR(__xludf.DUMMYFUNCTION("""COMPUTED_VALUE"""),12)</f>
        <v>12</v>
      </c>
      <c r="R130" s="54"/>
      <c r="S130" s="53">
        <f ca="1">IFERROR(__xludf.DUMMYFUNCTION("""COMPUTED_VALUE"""),0)</f>
        <v>0</v>
      </c>
      <c r="T130" s="53"/>
      <c r="U130" s="53"/>
      <c r="V130" s="53"/>
      <c r="W130" s="53"/>
      <c r="X130" s="53"/>
      <c r="Y130" s="53"/>
      <c r="Z130" s="2"/>
      <c r="AA130" s="2"/>
      <c r="AB130" s="2"/>
      <c r="AC130" s="2"/>
      <c r="AD130" s="2"/>
      <c r="AE130" s="2"/>
    </row>
    <row r="131" spans="1:31" ht="12.75" x14ac:dyDescent="0.2">
      <c r="A131" s="53">
        <f ca="1">IFERROR(__xludf.DUMMYFUNCTION("""COMPUTED_VALUE"""),56)</f>
        <v>56</v>
      </c>
      <c r="B131" s="53" t="str">
        <f ca="1">IFERROR(__xludf.DUMMYFUNCTION("""COMPUTED_VALUE"""),"Lớp MG Sao Vàng")</f>
        <v>Lớp MG Sao Vàng</v>
      </c>
      <c r="C131" s="53" t="str">
        <f ca="1">IFERROR(__xludf.DUMMYFUNCTION("""COMPUTED_VALUE"""),"Tân Kiên")</f>
        <v>Tân Kiên</v>
      </c>
      <c r="D131" s="53" t="str">
        <f ca="1">IFERROR(__xludf.DUMMYFUNCTION("""COMPUTED_VALUE"""),"MN")</f>
        <v>MN</v>
      </c>
      <c r="E131" s="54" t="str">
        <f ca="1">IFERROR(__xludf.DUMMYFUNCTION("""COMPUTED_VALUE"""),"Bình Chánh")</f>
        <v>Bình Chánh</v>
      </c>
      <c r="F131" s="54">
        <f ca="1">IFERROR(__xludf.DUMMYFUNCTION("""COMPUTED_VALUE"""),0)</f>
        <v>0</v>
      </c>
      <c r="G131" s="54"/>
      <c r="H131" s="54">
        <f ca="1">IFERROR(__xludf.DUMMYFUNCTION("""COMPUTED_VALUE"""),0)</f>
        <v>0</v>
      </c>
      <c r="I131" s="54"/>
      <c r="J131" s="54">
        <f ca="1">IFERROR(__xludf.DUMMYFUNCTION("""COMPUTED_VALUE"""),0)</f>
        <v>0</v>
      </c>
      <c r="K131" s="54"/>
      <c r="L131" s="54">
        <f ca="1">IFERROR(__xludf.DUMMYFUNCTION("""COMPUTED_VALUE"""),0)</f>
        <v>0</v>
      </c>
      <c r="M131" s="54"/>
      <c r="N131" s="54">
        <f ca="1">IFERROR(__xludf.DUMMYFUNCTION("""COMPUTED_VALUE"""),0)</f>
        <v>0</v>
      </c>
      <c r="O131" s="54">
        <f ca="1">IFERROR(__xludf.DUMMYFUNCTION("""COMPUTED_VALUE"""),16)</f>
        <v>16</v>
      </c>
      <c r="P131" s="54"/>
      <c r="Q131" s="54">
        <f ca="1">IFERROR(__xludf.DUMMYFUNCTION("""COMPUTED_VALUE"""),0)</f>
        <v>0</v>
      </c>
      <c r="R131" s="54"/>
      <c r="S131" s="53">
        <f ca="1">IFERROR(__xludf.DUMMYFUNCTION("""COMPUTED_VALUE"""),0)</f>
        <v>0</v>
      </c>
      <c r="T131" s="53"/>
      <c r="U131" s="53"/>
      <c r="V131" s="53"/>
      <c r="W131" s="53"/>
      <c r="X131" s="53"/>
      <c r="Y131" s="53"/>
      <c r="Z131" s="2"/>
      <c r="AA131" s="2"/>
      <c r="AB131" s="2"/>
      <c r="AC131" s="2"/>
      <c r="AD131" s="2"/>
      <c r="AE131" s="2"/>
    </row>
    <row r="132" spans="1:31" ht="12.75" x14ac:dyDescent="0.2">
      <c r="A132" s="53">
        <f ca="1">IFERROR(__xludf.DUMMYFUNCTION("""COMPUTED_VALUE"""),57)</f>
        <v>57</v>
      </c>
      <c r="B132" s="53" t="str">
        <f ca="1">IFERROR(__xludf.DUMMYFUNCTION("""COMPUTED_VALUE"""),"Lớp MG Anh Huy")</f>
        <v>Lớp MG Anh Huy</v>
      </c>
      <c r="C132" s="53" t="str">
        <f ca="1">IFERROR(__xludf.DUMMYFUNCTION("""COMPUTED_VALUE"""),"Lê Minh Xuân")</f>
        <v>Lê Minh Xuân</v>
      </c>
      <c r="D132" s="53" t="str">
        <f ca="1">IFERROR(__xludf.DUMMYFUNCTION("""COMPUTED_VALUE"""),"MN")</f>
        <v>MN</v>
      </c>
      <c r="E132" s="54" t="str">
        <f ca="1">IFERROR(__xludf.DUMMYFUNCTION("""COMPUTED_VALUE"""),"Bình Chánh")</f>
        <v>Bình Chánh</v>
      </c>
      <c r="F132" s="54">
        <f ca="1">IFERROR(__xludf.DUMMYFUNCTION("""COMPUTED_VALUE"""),13)</f>
        <v>13</v>
      </c>
      <c r="G132" s="54"/>
      <c r="H132" s="54">
        <f ca="1">IFERROR(__xludf.DUMMYFUNCTION("""COMPUTED_VALUE"""),13)</f>
        <v>13</v>
      </c>
      <c r="I132" s="54"/>
      <c r="J132" s="54">
        <f ca="1">IFERROR(__xludf.DUMMYFUNCTION("""COMPUTED_VALUE"""),13)</f>
        <v>13</v>
      </c>
      <c r="K132" s="54"/>
      <c r="L132" s="54">
        <f ca="1">IFERROR(__xludf.DUMMYFUNCTION("""COMPUTED_VALUE"""),11)</f>
        <v>11</v>
      </c>
      <c r="M132" s="54"/>
      <c r="N132" s="54">
        <f ca="1">IFERROR(__xludf.DUMMYFUNCTION("""COMPUTED_VALUE"""),0)</f>
        <v>0</v>
      </c>
      <c r="O132" s="54">
        <f ca="1">IFERROR(__xludf.DUMMYFUNCTION("""COMPUTED_VALUE"""),32)</f>
        <v>32</v>
      </c>
      <c r="P132" s="54"/>
      <c r="Q132" s="54">
        <f ca="1">IFERROR(__xludf.DUMMYFUNCTION("""COMPUTED_VALUE"""),13)</f>
        <v>13</v>
      </c>
      <c r="R132" s="54"/>
      <c r="S132" s="53">
        <f ca="1">IFERROR(__xludf.DUMMYFUNCTION("""COMPUTED_VALUE"""),0)</f>
        <v>0</v>
      </c>
      <c r="T132" s="53"/>
      <c r="U132" s="53"/>
      <c r="V132" s="53"/>
      <c r="W132" s="53"/>
      <c r="X132" s="53"/>
      <c r="Y132" s="53"/>
      <c r="Z132" s="2"/>
      <c r="AA132" s="2"/>
      <c r="AB132" s="2"/>
      <c r="AC132" s="2"/>
      <c r="AD132" s="2"/>
      <c r="AE132" s="2"/>
    </row>
    <row r="133" spans="1:31" ht="12.75" x14ac:dyDescent="0.2">
      <c r="A133" s="53">
        <f ca="1">IFERROR(__xludf.DUMMYFUNCTION("""COMPUTED_VALUE"""),58)</f>
        <v>58</v>
      </c>
      <c r="B133" s="53" t="str">
        <f ca="1">IFERROR(__xludf.DUMMYFUNCTION("""COMPUTED_VALUE"""),"Lớp MG Họa Mi 2")</f>
        <v>Lớp MG Họa Mi 2</v>
      </c>
      <c r="C133" s="53" t="str">
        <f ca="1">IFERROR(__xludf.DUMMYFUNCTION("""COMPUTED_VALUE"""),"Lê Minh Xuân")</f>
        <v>Lê Minh Xuân</v>
      </c>
      <c r="D133" s="53" t="str">
        <f ca="1">IFERROR(__xludf.DUMMYFUNCTION("""COMPUTED_VALUE"""),"MN")</f>
        <v>MN</v>
      </c>
      <c r="E133" s="54" t="str">
        <f ca="1">IFERROR(__xludf.DUMMYFUNCTION("""COMPUTED_VALUE"""),"Bình Chánh")</f>
        <v>Bình Chánh</v>
      </c>
      <c r="F133" s="54">
        <f ca="1">IFERROR(__xludf.DUMMYFUNCTION("""COMPUTED_VALUE"""),7)</f>
        <v>7</v>
      </c>
      <c r="G133" s="54"/>
      <c r="H133" s="54">
        <f ca="1">IFERROR(__xludf.DUMMYFUNCTION("""COMPUTED_VALUE"""),7)</f>
        <v>7</v>
      </c>
      <c r="I133" s="54"/>
      <c r="J133" s="54">
        <f ca="1">IFERROR(__xludf.DUMMYFUNCTION("""COMPUTED_VALUE"""),7)</f>
        <v>7</v>
      </c>
      <c r="K133" s="54"/>
      <c r="L133" s="54">
        <f ca="1">IFERROR(__xludf.DUMMYFUNCTION("""COMPUTED_VALUE"""),7)</f>
        <v>7</v>
      </c>
      <c r="M133" s="54"/>
      <c r="N133" s="54">
        <f ca="1">IFERROR(__xludf.DUMMYFUNCTION("""COMPUTED_VALUE"""),0)</f>
        <v>0</v>
      </c>
      <c r="O133" s="54">
        <f ca="1">IFERROR(__xludf.DUMMYFUNCTION("""COMPUTED_VALUE"""),31)</f>
        <v>31</v>
      </c>
      <c r="P133" s="54"/>
      <c r="Q133" s="54">
        <f ca="1">IFERROR(__xludf.DUMMYFUNCTION("""COMPUTED_VALUE"""),0)</f>
        <v>0</v>
      </c>
      <c r="R133" s="54"/>
      <c r="S133" s="54">
        <f ca="1">IFERROR(__xludf.DUMMYFUNCTION("""COMPUTED_VALUE"""),0)</f>
        <v>0</v>
      </c>
      <c r="T133" s="53"/>
      <c r="U133" s="53"/>
      <c r="V133" s="53"/>
      <c r="W133" s="53"/>
      <c r="X133" s="53"/>
      <c r="Y133" s="53"/>
      <c r="Z133" s="2"/>
      <c r="AA133" s="2"/>
      <c r="AB133" s="2"/>
      <c r="AC133" s="2"/>
      <c r="AD133" s="2"/>
      <c r="AE133" s="2"/>
    </row>
    <row r="134" spans="1:31" ht="12.75" x14ac:dyDescent="0.2">
      <c r="A134" s="53">
        <f ca="1">IFERROR(__xludf.DUMMYFUNCTION("""COMPUTED_VALUE"""),59)</f>
        <v>59</v>
      </c>
      <c r="B134" s="53" t="str">
        <f ca="1">IFERROR(__xludf.DUMMYFUNCTION("""COMPUTED_VALUE"""),"Lớp MG Tâm Tâm")</f>
        <v>Lớp MG Tâm Tâm</v>
      </c>
      <c r="C134" s="53" t="str">
        <f ca="1">IFERROR(__xludf.DUMMYFUNCTION("""COMPUTED_VALUE"""),"Lê Minh Xuân")</f>
        <v>Lê Minh Xuân</v>
      </c>
      <c r="D134" s="53" t="str">
        <f ca="1">IFERROR(__xludf.DUMMYFUNCTION("""COMPUTED_VALUE"""),"MN")</f>
        <v>MN</v>
      </c>
      <c r="E134" s="54" t="str">
        <f ca="1">IFERROR(__xludf.DUMMYFUNCTION("""COMPUTED_VALUE"""),"Bình Chánh")</f>
        <v>Bình Chánh</v>
      </c>
      <c r="F134" s="54">
        <f ca="1">IFERROR(__xludf.DUMMYFUNCTION("""COMPUTED_VALUE"""),6)</f>
        <v>6</v>
      </c>
      <c r="G134" s="54"/>
      <c r="H134" s="54">
        <f ca="1">IFERROR(__xludf.DUMMYFUNCTION("""COMPUTED_VALUE"""),6)</f>
        <v>6</v>
      </c>
      <c r="I134" s="54"/>
      <c r="J134" s="54">
        <f ca="1">IFERROR(__xludf.DUMMYFUNCTION("""COMPUTED_VALUE"""),6)</f>
        <v>6</v>
      </c>
      <c r="K134" s="54"/>
      <c r="L134" s="54">
        <f ca="1">IFERROR(__xludf.DUMMYFUNCTION("""COMPUTED_VALUE"""),6)</f>
        <v>6</v>
      </c>
      <c r="M134" s="54"/>
      <c r="N134" s="54">
        <f ca="1">IFERROR(__xludf.DUMMYFUNCTION("""COMPUTED_VALUE"""),0)</f>
        <v>0</v>
      </c>
      <c r="O134" s="54">
        <f ca="1">IFERROR(__xludf.DUMMYFUNCTION("""COMPUTED_VALUE"""),18)</f>
        <v>18</v>
      </c>
      <c r="P134" s="54"/>
      <c r="Q134" s="54">
        <f ca="1">IFERROR(__xludf.DUMMYFUNCTION("""COMPUTED_VALUE"""),11)</f>
        <v>11</v>
      </c>
      <c r="R134" s="54"/>
      <c r="S134" s="54">
        <f ca="1">IFERROR(__xludf.DUMMYFUNCTION("""COMPUTED_VALUE"""),0)</f>
        <v>0</v>
      </c>
      <c r="T134" s="53"/>
      <c r="U134" s="53"/>
      <c r="V134" s="53"/>
      <c r="W134" s="53"/>
      <c r="X134" s="53"/>
      <c r="Y134" s="53"/>
      <c r="Z134" s="2"/>
      <c r="AA134" s="2"/>
      <c r="AB134" s="2"/>
      <c r="AC134" s="2"/>
      <c r="AD134" s="2"/>
      <c r="AE134" s="2"/>
    </row>
    <row r="135" spans="1:31" ht="12.75" x14ac:dyDescent="0.2">
      <c r="A135" s="53">
        <f ca="1">IFERROR(__xludf.DUMMYFUNCTION("""COMPUTED_VALUE"""),60)</f>
        <v>60</v>
      </c>
      <c r="B135" s="53" t="str">
        <f ca="1">IFERROR(__xludf.DUMMYFUNCTION("""COMPUTED_VALUE"""),"Lớp MG Hoàng My")</f>
        <v>Lớp MG Hoàng My</v>
      </c>
      <c r="C135" s="53" t="str">
        <f ca="1">IFERROR(__xludf.DUMMYFUNCTION("""COMPUTED_VALUE"""),"Lê Minh Xuân")</f>
        <v>Lê Minh Xuân</v>
      </c>
      <c r="D135" s="53" t="str">
        <f ca="1">IFERROR(__xludf.DUMMYFUNCTION("""COMPUTED_VALUE"""),"MN")</f>
        <v>MN</v>
      </c>
      <c r="E135" s="54" t="str">
        <f ca="1">IFERROR(__xludf.DUMMYFUNCTION("""COMPUTED_VALUE"""),"Bình Chánh")</f>
        <v>Bình Chánh</v>
      </c>
      <c r="F135" s="54">
        <f ca="1">IFERROR(__xludf.DUMMYFUNCTION("""COMPUTED_VALUE"""),9)</f>
        <v>9</v>
      </c>
      <c r="G135" s="54"/>
      <c r="H135" s="54">
        <f ca="1">IFERROR(__xludf.DUMMYFUNCTION("""COMPUTED_VALUE"""),9)</f>
        <v>9</v>
      </c>
      <c r="I135" s="54"/>
      <c r="J135" s="54">
        <f ca="1">IFERROR(__xludf.DUMMYFUNCTION("""COMPUTED_VALUE"""),9)</f>
        <v>9</v>
      </c>
      <c r="K135" s="54"/>
      <c r="L135" s="54">
        <f ca="1">IFERROR(__xludf.DUMMYFUNCTION("""COMPUTED_VALUE"""),9)</f>
        <v>9</v>
      </c>
      <c r="M135" s="54"/>
      <c r="N135" s="54">
        <f ca="1">IFERROR(__xludf.DUMMYFUNCTION("""COMPUTED_VALUE"""),0)</f>
        <v>0</v>
      </c>
      <c r="O135" s="54">
        <f ca="1">IFERROR(__xludf.DUMMYFUNCTION("""COMPUTED_VALUE"""),39)</f>
        <v>39</v>
      </c>
      <c r="P135" s="54"/>
      <c r="Q135" s="54">
        <f ca="1">IFERROR(__xludf.DUMMYFUNCTION("""COMPUTED_VALUE"""),34)</f>
        <v>34</v>
      </c>
      <c r="R135" s="54"/>
      <c r="S135" s="54">
        <f ca="1">IFERROR(__xludf.DUMMYFUNCTION("""COMPUTED_VALUE"""),0)</f>
        <v>0</v>
      </c>
      <c r="T135" s="53"/>
      <c r="U135" s="53"/>
      <c r="V135" s="53"/>
      <c r="W135" s="53"/>
      <c r="X135" s="53"/>
      <c r="Y135" s="53"/>
      <c r="Z135" s="2"/>
      <c r="AA135" s="2"/>
      <c r="AB135" s="2"/>
      <c r="AC135" s="2"/>
      <c r="AD135" s="2"/>
      <c r="AE135" s="2"/>
    </row>
    <row r="136" spans="1:31" ht="12.75" x14ac:dyDescent="0.2">
      <c r="A136" s="53">
        <f ca="1">IFERROR(__xludf.DUMMYFUNCTION("""COMPUTED_VALUE"""),61)</f>
        <v>61</v>
      </c>
      <c r="B136" s="53" t="str">
        <f ca="1">IFERROR(__xludf.DUMMYFUNCTION("""COMPUTED_VALUE"""),"Lớp MG Sen Vàng")</f>
        <v>Lớp MG Sen Vàng</v>
      </c>
      <c r="C136" s="53" t="str">
        <f ca="1">IFERROR(__xludf.DUMMYFUNCTION("""COMPUTED_VALUE"""),"Lê Minh Xuân")</f>
        <v>Lê Minh Xuân</v>
      </c>
      <c r="D136" s="53" t="str">
        <f ca="1">IFERROR(__xludf.DUMMYFUNCTION("""COMPUTED_VALUE"""),"MN")</f>
        <v>MN</v>
      </c>
      <c r="E136" s="54" t="str">
        <f ca="1">IFERROR(__xludf.DUMMYFUNCTION("""COMPUTED_VALUE"""),"Bình Chánh")</f>
        <v>Bình Chánh</v>
      </c>
      <c r="F136" s="54">
        <f ca="1">IFERROR(__xludf.DUMMYFUNCTION("""COMPUTED_VALUE"""),6)</f>
        <v>6</v>
      </c>
      <c r="G136" s="54"/>
      <c r="H136" s="54">
        <f ca="1">IFERROR(__xludf.DUMMYFUNCTION("""COMPUTED_VALUE"""),6)</f>
        <v>6</v>
      </c>
      <c r="I136" s="54"/>
      <c r="J136" s="54">
        <f ca="1">IFERROR(__xludf.DUMMYFUNCTION("""COMPUTED_VALUE"""),6)</f>
        <v>6</v>
      </c>
      <c r="K136" s="54"/>
      <c r="L136" s="54">
        <f ca="1">IFERROR(__xludf.DUMMYFUNCTION("""COMPUTED_VALUE"""),6)</f>
        <v>6</v>
      </c>
      <c r="M136" s="54"/>
      <c r="N136" s="54">
        <f ca="1">IFERROR(__xludf.DUMMYFUNCTION("""COMPUTED_VALUE"""),0)</f>
        <v>0</v>
      </c>
      <c r="O136" s="54">
        <f ca="1">IFERROR(__xludf.DUMMYFUNCTION("""COMPUTED_VALUE"""),4)</f>
        <v>4</v>
      </c>
      <c r="P136" s="54"/>
      <c r="Q136" s="54">
        <f ca="1">IFERROR(__xludf.DUMMYFUNCTION("""COMPUTED_VALUE"""),0)</f>
        <v>0</v>
      </c>
      <c r="R136" s="54"/>
      <c r="S136" s="54">
        <f ca="1">IFERROR(__xludf.DUMMYFUNCTION("""COMPUTED_VALUE"""),0)</f>
        <v>0</v>
      </c>
      <c r="T136" s="53"/>
      <c r="U136" s="53"/>
      <c r="V136" s="53"/>
      <c r="W136" s="53"/>
      <c r="X136" s="53"/>
      <c r="Y136" s="53"/>
      <c r="Z136" s="2"/>
      <c r="AA136" s="2"/>
      <c r="AB136" s="2"/>
      <c r="AC136" s="2"/>
      <c r="AD136" s="2"/>
      <c r="AE136" s="2"/>
    </row>
    <row r="137" spans="1:31" ht="12.75" x14ac:dyDescent="0.2">
      <c r="A137" s="53">
        <f ca="1">IFERROR(__xludf.DUMMYFUNCTION("""COMPUTED_VALUE"""),62)</f>
        <v>62</v>
      </c>
      <c r="B137" s="53" t="str">
        <f ca="1">IFERROR(__xludf.DUMMYFUNCTION("""COMPUTED_VALUE"""),"Lớp MN Thiên Thần Nhỏ")</f>
        <v>Lớp MN Thiên Thần Nhỏ</v>
      </c>
      <c r="C137" s="53" t="str">
        <f ca="1">IFERROR(__xludf.DUMMYFUNCTION("""COMPUTED_VALUE"""),"Vĩnh Lộc A")</f>
        <v>Vĩnh Lộc A</v>
      </c>
      <c r="D137" s="53" t="str">
        <f ca="1">IFERROR(__xludf.DUMMYFUNCTION("""COMPUTED_VALUE"""),"MN")</f>
        <v>MN</v>
      </c>
      <c r="E137" s="54" t="str">
        <f ca="1">IFERROR(__xludf.DUMMYFUNCTION("""COMPUTED_VALUE"""),"Bình Chánh")</f>
        <v>Bình Chánh</v>
      </c>
      <c r="F137" s="54">
        <f ca="1">IFERROR(__xludf.DUMMYFUNCTION("""COMPUTED_VALUE"""),12)</f>
        <v>12</v>
      </c>
      <c r="G137" s="54"/>
      <c r="H137" s="54">
        <f ca="1">IFERROR(__xludf.DUMMYFUNCTION("""COMPUTED_VALUE"""),12)</f>
        <v>12</v>
      </c>
      <c r="I137" s="54"/>
      <c r="J137" s="54">
        <f ca="1">IFERROR(__xludf.DUMMYFUNCTION("""COMPUTED_VALUE"""),12)</f>
        <v>12</v>
      </c>
      <c r="K137" s="54"/>
      <c r="L137" s="54">
        <f ca="1">IFERROR(__xludf.DUMMYFUNCTION("""COMPUTED_VALUE"""),12)</f>
        <v>12</v>
      </c>
      <c r="M137" s="54"/>
      <c r="N137" s="54">
        <f ca="1">IFERROR(__xludf.DUMMYFUNCTION("""COMPUTED_VALUE"""),0)</f>
        <v>0</v>
      </c>
      <c r="O137" s="54">
        <f ca="1">IFERROR(__xludf.DUMMYFUNCTION("""COMPUTED_VALUE"""),33)</f>
        <v>33</v>
      </c>
      <c r="P137" s="54"/>
      <c r="Q137" s="54">
        <f ca="1">IFERROR(__xludf.DUMMYFUNCTION("""COMPUTED_VALUE"""),9)</f>
        <v>9</v>
      </c>
      <c r="R137" s="54"/>
      <c r="S137" s="53">
        <f ca="1">IFERROR(__xludf.DUMMYFUNCTION("""COMPUTED_VALUE"""),0)</f>
        <v>0</v>
      </c>
      <c r="T137" s="53"/>
      <c r="U137" s="53"/>
      <c r="V137" s="53"/>
      <c r="W137" s="53"/>
      <c r="X137" s="53"/>
      <c r="Y137" s="53"/>
      <c r="Z137" s="2"/>
      <c r="AA137" s="2"/>
      <c r="AB137" s="2"/>
      <c r="AC137" s="2"/>
      <c r="AD137" s="2"/>
      <c r="AE137" s="2"/>
    </row>
    <row r="138" spans="1:31" ht="12.75" x14ac:dyDescent="0.2">
      <c r="A138" s="53">
        <f ca="1">IFERROR(__xludf.DUMMYFUNCTION("""COMPUTED_VALUE"""),63)</f>
        <v>63</v>
      </c>
      <c r="B138" s="53" t="str">
        <f ca="1">IFERROR(__xludf.DUMMYFUNCTION("""COMPUTED_VALUE"""),"Lớp MG Vành Khuyên")</f>
        <v>Lớp MG Vành Khuyên</v>
      </c>
      <c r="C138" s="53" t="str">
        <f ca="1">IFERROR(__xludf.DUMMYFUNCTION("""COMPUTED_VALUE"""),"Vĩnh Lộc A")</f>
        <v>Vĩnh Lộc A</v>
      </c>
      <c r="D138" s="53" t="str">
        <f ca="1">IFERROR(__xludf.DUMMYFUNCTION("""COMPUTED_VALUE"""),"MN")</f>
        <v>MN</v>
      </c>
      <c r="E138" s="54" t="str">
        <f ca="1">IFERROR(__xludf.DUMMYFUNCTION("""COMPUTED_VALUE"""),"Bình Chánh")</f>
        <v>Bình Chánh</v>
      </c>
      <c r="F138" s="54">
        <f ca="1">IFERROR(__xludf.DUMMYFUNCTION("""COMPUTED_VALUE"""),8)</f>
        <v>8</v>
      </c>
      <c r="G138" s="54"/>
      <c r="H138" s="54">
        <f ca="1">IFERROR(__xludf.DUMMYFUNCTION("""COMPUTED_VALUE"""),8)</f>
        <v>8</v>
      </c>
      <c r="I138" s="54"/>
      <c r="J138" s="54">
        <f ca="1">IFERROR(__xludf.DUMMYFUNCTION("""COMPUTED_VALUE"""),8)</f>
        <v>8</v>
      </c>
      <c r="K138" s="54"/>
      <c r="L138" s="54">
        <f ca="1">IFERROR(__xludf.DUMMYFUNCTION("""COMPUTED_VALUE"""),7)</f>
        <v>7</v>
      </c>
      <c r="M138" s="54"/>
      <c r="N138" s="54">
        <f ca="1">IFERROR(__xludf.DUMMYFUNCTION("""COMPUTED_VALUE"""),0)</f>
        <v>0</v>
      </c>
      <c r="O138" s="54">
        <f ca="1">IFERROR(__xludf.DUMMYFUNCTION("""COMPUTED_VALUE"""),31)</f>
        <v>31</v>
      </c>
      <c r="P138" s="54"/>
      <c r="Q138" s="54">
        <f ca="1">IFERROR(__xludf.DUMMYFUNCTION("""COMPUTED_VALUE"""),8)</f>
        <v>8</v>
      </c>
      <c r="R138" s="54"/>
      <c r="S138" s="54">
        <f ca="1">IFERROR(__xludf.DUMMYFUNCTION("""COMPUTED_VALUE"""),0)</f>
        <v>0</v>
      </c>
      <c r="T138" s="53"/>
      <c r="U138" s="53"/>
      <c r="V138" s="53"/>
      <c r="W138" s="53"/>
      <c r="X138" s="53"/>
      <c r="Y138" s="53"/>
      <c r="Z138" s="2"/>
      <c r="AA138" s="2"/>
      <c r="AB138" s="2"/>
      <c r="AC138" s="2"/>
      <c r="AD138" s="2"/>
      <c r="AE138" s="2"/>
    </row>
    <row r="139" spans="1:31" ht="12.75" x14ac:dyDescent="0.2">
      <c r="A139" s="53">
        <f ca="1">IFERROR(__xludf.DUMMYFUNCTION("""COMPUTED_VALUE"""),64)</f>
        <v>64</v>
      </c>
      <c r="B139" s="53" t="str">
        <f ca="1">IFERROR(__xludf.DUMMYFUNCTION("""COMPUTED_VALUE"""),"Lớp MN Vĩnh Lộc")</f>
        <v>Lớp MN Vĩnh Lộc</v>
      </c>
      <c r="C139" s="53" t="str">
        <f ca="1">IFERROR(__xludf.DUMMYFUNCTION("""COMPUTED_VALUE"""),"Vĩnh Lộc A")</f>
        <v>Vĩnh Lộc A</v>
      </c>
      <c r="D139" s="53" t="str">
        <f ca="1">IFERROR(__xludf.DUMMYFUNCTION("""COMPUTED_VALUE"""),"MN")</f>
        <v>MN</v>
      </c>
      <c r="E139" s="54" t="str">
        <f ca="1">IFERROR(__xludf.DUMMYFUNCTION("""COMPUTED_VALUE"""),"Bình Chánh")</f>
        <v>Bình Chánh</v>
      </c>
      <c r="F139" s="54">
        <f ca="1">IFERROR(__xludf.DUMMYFUNCTION("""COMPUTED_VALUE"""),0)</f>
        <v>0</v>
      </c>
      <c r="G139" s="54"/>
      <c r="H139" s="54">
        <f ca="1">IFERROR(__xludf.DUMMYFUNCTION("""COMPUTED_VALUE"""),0)</f>
        <v>0</v>
      </c>
      <c r="I139" s="54"/>
      <c r="J139" s="54">
        <f ca="1">IFERROR(__xludf.DUMMYFUNCTION("""COMPUTED_VALUE"""),0)</f>
        <v>0</v>
      </c>
      <c r="K139" s="54"/>
      <c r="L139" s="54">
        <f ca="1">IFERROR(__xludf.DUMMYFUNCTION("""COMPUTED_VALUE"""),0)</f>
        <v>0</v>
      </c>
      <c r="M139" s="54"/>
      <c r="N139" s="54">
        <f ca="1">IFERROR(__xludf.DUMMYFUNCTION("""COMPUTED_VALUE"""),0)</f>
        <v>0</v>
      </c>
      <c r="O139" s="54">
        <f ca="1">IFERROR(__xludf.DUMMYFUNCTION("""COMPUTED_VALUE"""),15)</f>
        <v>15</v>
      </c>
      <c r="P139" s="54"/>
      <c r="Q139" s="54">
        <f ca="1">IFERROR(__xludf.DUMMYFUNCTION("""COMPUTED_VALUE"""),0)</f>
        <v>0</v>
      </c>
      <c r="R139" s="54"/>
      <c r="S139" s="54">
        <f ca="1">IFERROR(__xludf.DUMMYFUNCTION("""COMPUTED_VALUE"""),0)</f>
        <v>0</v>
      </c>
      <c r="T139" s="53"/>
      <c r="U139" s="53"/>
      <c r="V139" s="53"/>
      <c r="W139" s="53"/>
      <c r="X139" s="53"/>
      <c r="Y139" s="53"/>
      <c r="Z139" s="2"/>
      <c r="AA139" s="2"/>
      <c r="AB139" s="2"/>
      <c r="AC139" s="2"/>
      <c r="AD139" s="2"/>
      <c r="AE139" s="2"/>
    </row>
    <row r="140" spans="1:31" ht="12.75" x14ac:dyDescent="0.2">
      <c r="A140" s="53">
        <f ca="1">IFERROR(__xludf.DUMMYFUNCTION("""COMPUTED_VALUE"""),65)</f>
        <v>65</v>
      </c>
      <c r="B140" s="53" t="str">
        <f ca="1">IFERROR(__xludf.DUMMYFUNCTION("""COMPUTED_VALUE"""),"Lớp MG Tin Tin")</f>
        <v>Lớp MG Tin Tin</v>
      </c>
      <c r="C140" s="53" t="str">
        <f ca="1">IFERROR(__xludf.DUMMYFUNCTION("""COMPUTED_VALUE"""),"Vĩnh Lộc A")</f>
        <v>Vĩnh Lộc A</v>
      </c>
      <c r="D140" s="53" t="str">
        <f ca="1">IFERROR(__xludf.DUMMYFUNCTION("""COMPUTED_VALUE"""),"MN")</f>
        <v>MN</v>
      </c>
      <c r="E140" s="54" t="str">
        <f ca="1">IFERROR(__xludf.DUMMYFUNCTION("""COMPUTED_VALUE"""),"Bình Chánh")</f>
        <v>Bình Chánh</v>
      </c>
      <c r="F140" s="54">
        <f ca="1">IFERROR(__xludf.DUMMYFUNCTION("""COMPUTED_VALUE"""),10)</f>
        <v>10</v>
      </c>
      <c r="G140" s="54"/>
      <c r="H140" s="54">
        <f ca="1">IFERROR(__xludf.DUMMYFUNCTION("""COMPUTED_VALUE"""),10)</f>
        <v>10</v>
      </c>
      <c r="I140" s="54"/>
      <c r="J140" s="54">
        <f ca="1">IFERROR(__xludf.DUMMYFUNCTION("""COMPUTED_VALUE"""),10)</f>
        <v>10</v>
      </c>
      <c r="K140" s="54"/>
      <c r="L140" s="54">
        <f ca="1">IFERROR(__xludf.DUMMYFUNCTION("""COMPUTED_VALUE"""),9)</f>
        <v>9</v>
      </c>
      <c r="M140" s="54"/>
      <c r="N140" s="54">
        <f ca="1">IFERROR(__xludf.DUMMYFUNCTION("""COMPUTED_VALUE"""),2)</f>
        <v>2</v>
      </c>
      <c r="O140" s="54">
        <f ca="1">IFERROR(__xludf.DUMMYFUNCTION("""COMPUTED_VALUE"""),15)</f>
        <v>15</v>
      </c>
      <c r="P140" s="54"/>
      <c r="Q140" s="54">
        <f ca="1">IFERROR(__xludf.DUMMYFUNCTION("""COMPUTED_VALUE"""),5)</f>
        <v>5</v>
      </c>
      <c r="R140" s="54"/>
      <c r="S140" s="54">
        <f ca="1">IFERROR(__xludf.DUMMYFUNCTION("""COMPUTED_VALUE"""),12)</f>
        <v>12</v>
      </c>
      <c r="T140" s="53"/>
      <c r="U140" s="53"/>
      <c r="V140" s="53"/>
      <c r="W140" s="53"/>
      <c r="X140" s="53"/>
      <c r="Y140" s="53"/>
      <c r="Z140" s="2"/>
      <c r="AA140" s="2"/>
      <c r="AB140" s="2"/>
      <c r="AC140" s="2"/>
      <c r="AD140" s="2"/>
      <c r="AE140" s="2"/>
    </row>
    <row r="141" spans="1:31" ht="12.75" x14ac:dyDescent="0.2">
      <c r="A141" s="53">
        <f ca="1">IFERROR(__xludf.DUMMYFUNCTION("""COMPUTED_VALUE"""),66)</f>
        <v>66</v>
      </c>
      <c r="B141" s="53" t="str">
        <f ca="1">IFERROR(__xludf.DUMMYFUNCTION("""COMPUTED_VALUE"""),"Lớp MG Bảo Thư")</f>
        <v>Lớp MG Bảo Thư</v>
      </c>
      <c r="C141" s="53" t="str">
        <f ca="1">IFERROR(__xludf.DUMMYFUNCTION("""COMPUTED_VALUE"""),"Vĩnh Lộc A")</f>
        <v>Vĩnh Lộc A</v>
      </c>
      <c r="D141" s="53" t="str">
        <f ca="1">IFERROR(__xludf.DUMMYFUNCTION("""COMPUTED_VALUE"""),"MN")</f>
        <v>MN</v>
      </c>
      <c r="E141" s="54" t="str">
        <f ca="1">IFERROR(__xludf.DUMMYFUNCTION("""COMPUTED_VALUE"""),"Bình Chánh")</f>
        <v>Bình Chánh</v>
      </c>
      <c r="F141" s="54">
        <f ca="1">IFERROR(__xludf.DUMMYFUNCTION("""COMPUTED_VALUE"""),6)</f>
        <v>6</v>
      </c>
      <c r="G141" s="54"/>
      <c r="H141" s="54">
        <f ca="1">IFERROR(__xludf.DUMMYFUNCTION("""COMPUTED_VALUE"""),6)</f>
        <v>6</v>
      </c>
      <c r="I141" s="54"/>
      <c r="J141" s="54">
        <f ca="1">IFERROR(__xludf.DUMMYFUNCTION("""COMPUTED_VALUE"""),6)</f>
        <v>6</v>
      </c>
      <c r="K141" s="54"/>
      <c r="L141" s="54">
        <f ca="1">IFERROR(__xludf.DUMMYFUNCTION("""COMPUTED_VALUE"""),6)</f>
        <v>6</v>
      </c>
      <c r="M141" s="54"/>
      <c r="N141" s="54">
        <f ca="1">IFERROR(__xludf.DUMMYFUNCTION("""COMPUTED_VALUE"""),0)</f>
        <v>0</v>
      </c>
      <c r="O141" s="54">
        <f ca="1">IFERROR(__xludf.DUMMYFUNCTION("""COMPUTED_VALUE"""),21)</f>
        <v>21</v>
      </c>
      <c r="P141" s="54"/>
      <c r="Q141" s="54">
        <f ca="1">IFERROR(__xludf.DUMMYFUNCTION("""COMPUTED_VALUE"""),7)</f>
        <v>7</v>
      </c>
      <c r="R141" s="54"/>
      <c r="S141" s="54">
        <f ca="1">IFERROR(__xludf.DUMMYFUNCTION("""COMPUTED_VALUE"""),0)</f>
        <v>0</v>
      </c>
      <c r="T141" s="53"/>
      <c r="U141" s="53"/>
      <c r="V141" s="53"/>
      <c r="W141" s="53"/>
      <c r="X141" s="53"/>
      <c r="Y141" s="53"/>
      <c r="Z141" s="2"/>
      <c r="AA141" s="2"/>
      <c r="AB141" s="2"/>
      <c r="AC141" s="2"/>
      <c r="AD141" s="2"/>
      <c r="AE141" s="2"/>
    </row>
    <row r="142" spans="1:31" ht="12.75" x14ac:dyDescent="0.2">
      <c r="A142" s="53">
        <f ca="1">IFERROR(__xludf.DUMMYFUNCTION("""COMPUTED_VALUE"""),67)</f>
        <v>67</v>
      </c>
      <c r="B142" s="53" t="str">
        <f ca="1">IFERROR(__xludf.DUMMYFUNCTION("""COMPUTED_VALUE"""),"Lớp MG P. Đ. Phương")</f>
        <v>Lớp MG P. Đ. Phương</v>
      </c>
      <c r="C142" s="53" t="str">
        <f ca="1">IFERROR(__xludf.DUMMYFUNCTION("""COMPUTED_VALUE"""),"Vĩnh Lộc A")</f>
        <v>Vĩnh Lộc A</v>
      </c>
      <c r="D142" s="53" t="str">
        <f ca="1">IFERROR(__xludf.DUMMYFUNCTION("""COMPUTED_VALUE"""),"MN")</f>
        <v>MN</v>
      </c>
      <c r="E142" s="54" t="str">
        <f ca="1">IFERROR(__xludf.DUMMYFUNCTION("""COMPUTED_VALUE"""),"Bình Chánh")</f>
        <v>Bình Chánh</v>
      </c>
      <c r="F142" s="54">
        <f ca="1">IFERROR(__xludf.DUMMYFUNCTION("""COMPUTED_VALUE"""),8)</f>
        <v>8</v>
      </c>
      <c r="G142" s="54"/>
      <c r="H142" s="54">
        <f ca="1">IFERROR(__xludf.DUMMYFUNCTION("""COMPUTED_VALUE"""),8)</f>
        <v>8</v>
      </c>
      <c r="I142" s="54"/>
      <c r="J142" s="54">
        <f ca="1">IFERROR(__xludf.DUMMYFUNCTION("""COMPUTED_VALUE"""),8)</f>
        <v>8</v>
      </c>
      <c r="K142" s="54"/>
      <c r="L142" s="54">
        <f ca="1">IFERROR(__xludf.DUMMYFUNCTION("""COMPUTED_VALUE"""),8)</f>
        <v>8</v>
      </c>
      <c r="M142" s="54"/>
      <c r="N142" s="54">
        <f ca="1">IFERROR(__xludf.DUMMYFUNCTION("""COMPUTED_VALUE"""),0)</f>
        <v>0</v>
      </c>
      <c r="O142" s="54">
        <f ca="1">IFERROR(__xludf.DUMMYFUNCTION("""COMPUTED_VALUE"""),31)</f>
        <v>31</v>
      </c>
      <c r="P142" s="54"/>
      <c r="Q142" s="54">
        <f ca="1">IFERROR(__xludf.DUMMYFUNCTION("""COMPUTED_VALUE"""),7)</f>
        <v>7</v>
      </c>
      <c r="R142" s="54"/>
      <c r="S142" s="54">
        <f ca="1">IFERROR(__xludf.DUMMYFUNCTION("""COMPUTED_VALUE"""),0)</f>
        <v>0</v>
      </c>
      <c r="T142" s="53"/>
      <c r="U142" s="53"/>
      <c r="V142" s="53"/>
      <c r="W142" s="53"/>
      <c r="X142" s="53"/>
      <c r="Y142" s="53"/>
      <c r="Z142" s="2"/>
      <c r="AA142" s="2"/>
      <c r="AB142" s="2"/>
      <c r="AC142" s="2"/>
      <c r="AD142" s="2"/>
      <c r="AE142" s="2"/>
    </row>
    <row r="143" spans="1:31" ht="12.75" x14ac:dyDescent="0.2">
      <c r="A143" s="53">
        <f ca="1">IFERROR(__xludf.DUMMYFUNCTION("""COMPUTED_VALUE"""),68)</f>
        <v>68</v>
      </c>
      <c r="B143" s="53" t="str">
        <f ca="1">IFERROR(__xludf.DUMMYFUNCTION("""COMPUTED_VALUE"""),"Lớp MG Ngày Mới")</f>
        <v>Lớp MG Ngày Mới</v>
      </c>
      <c r="C143" s="53" t="str">
        <f ca="1">IFERROR(__xludf.DUMMYFUNCTION("""COMPUTED_VALUE"""),"Vĩnh Lộc A")</f>
        <v>Vĩnh Lộc A</v>
      </c>
      <c r="D143" s="53" t="str">
        <f ca="1">IFERROR(__xludf.DUMMYFUNCTION("""COMPUTED_VALUE"""),"MN")</f>
        <v>MN</v>
      </c>
      <c r="E143" s="54" t="str">
        <f ca="1">IFERROR(__xludf.DUMMYFUNCTION("""COMPUTED_VALUE"""),"Bình Chánh")</f>
        <v>Bình Chánh</v>
      </c>
      <c r="F143" s="54">
        <f ca="1">IFERROR(__xludf.DUMMYFUNCTION("""COMPUTED_VALUE"""),8)</f>
        <v>8</v>
      </c>
      <c r="G143" s="54"/>
      <c r="H143" s="54">
        <f ca="1">IFERROR(__xludf.DUMMYFUNCTION("""COMPUTED_VALUE"""),8)</f>
        <v>8</v>
      </c>
      <c r="I143" s="54"/>
      <c r="J143" s="54">
        <f ca="1">IFERROR(__xludf.DUMMYFUNCTION("""COMPUTED_VALUE"""),8)</f>
        <v>8</v>
      </c>
      <c r="K143" s="54"/>
      <c r="L143" s="54">
        <f ca="1">IFERROR(__xludf.DUMMYFUNCTION("""COMPUTED_VALUE"""),7)</f>
        <v>7</v>
      </c>
      <c r="M143" s="54"/>
      <c r="N143" s="54">
        <f ca="1">IFERROR(__xludf.DUMMYFUNCTION("""COMPUTED_VALUE"""),0)</f>
        <v>0</v>
      </c>
      <c r="O143" s="54">
        <f ca="1">IFERROR(__xludf.DUMMYFUNCTION("""COMPUTED_VALUE"""),45)</f>
        <v>45</v>
      </c>
      <c r="P143" s="54"/>
      <c r="Q143" s="54">
        <f ca="1">IFERROR(__xludf.DUMMYFUNCTION("""COMPUTED_VALUE"""),7)</f>
        <v>7</v>
      </c>
      <c r="R143" s="54"/>
      <c r="S143" s="54">
        <f ca="1">IFERROR(__xludf.DUMMYFUNCTION("""COMPUTED_VALUE"""),0)</f>
        <v>0</v>
      </c>
      <c r="T143" s="53"/>
      <c r="U143" s="53"/>
      <c r="V143" s="53"/>
      <c r="W143" s="53"/>
      <c r="X143" s="53"/>
      <c r="Y143" s="53"/>
      <c r="Z143" s="2"/>
      <c r="AA143" s="2"/>
      <c r="AB143" s="2"/>
      <c r="AC143" s="2"/>
      <c r="AD143" s="2"/>
      <c r="AE143" s="2"/>
    </row>
    <row r="144" spans="1:31" ht="12.75" x14ac:dyDescent="0.2">
      <c r="A144" s="53">
        <f ca="1">IFERROR(__xludf.DUMMYFUNCTION("""COMPUTED_VALUE"""),69)</f>
        <v>69</v>
      </c>
      <c r="B144" s="53" t="str">
        <f ca="1">IFERROR(__xludf.DUMMYFUNCTION("""COMPUTED_VALUE"""),"Lớp MG Hoa Mận")</f>
        <v>Lớp MG Hoa Mận</v>
      </c>
      <c r="C144" s="53" t="str">
        <f ca="1">IFERROR(__xludf.DUMMYFUNCTION("""COMPUTED_VALUE"""),"Vĩnh Lộc A")</f>
        <v>Vĩnh Lộc A</v>
      </c>
      <c r="D144" s="53" t="str">
        <f ca="1">IFERROR(__xludf.DUMMYFUNCTION("""COMPUTED_VALUE"""),"MN")</f>
        <v>MN</v>
      </c>
      <c r="E144" s="54" t="str">
        <f ca="1">IFERROR(__xludf.DUMMYFUNCTION("""COMPUTED_VALUE"""),"Bình Chánh")</f>
        <v>Bình Chánh</v>
      </c>
      <c r="F144" s="54">
        <f ca="1">IFERROR(__xludf.DUMMYFUNCTION("""COMPUTED_VALUE"""),8)</f>
        <v>8</v>
      </c>
      <c r="G144" s="54"/>
      <c r="H144" s="54">
        <f ca="1">IFERROR(__xludf.DUMMYFUNCTION("""COMPUTED_VALUE"""),8)</f>
        <v>8</v>
      </c>
      <c r="I144" s="54"/>
      <c r="J144" s="54">
        <f ca="1">IFERROR(__xludf.DUMMYFUNCTION("""COMPUTED_VALUE"""),8)</f>
        <v>8</v>
      </c>
      <c r="K144" s="54"/>
      <c r="L144" s="54">
        <f ca="1">IFERROR(__xludf.DUMMYFUNCTION("""COMPUTED_VALUE"""),8)</f>
        <v>8</v>
      </c>
      <c r="M144" s="54"/>
      <c r="N144" s="54">
        <f ca="1">IFERROR(__xludf.DUMMYFUNCTION("""COMPUTED_VALUE"""),0)</f>
        <v>0</v>
      </c>
      <c r="O144" s="54">
        <f ca="1">IFERROR(__xludf.DUMMYFUNCTION("""COMPUTED_VALUE"""),15)</f>
        <v>15</v>
      </c>
      <c r="P144" s="54"/>
      <c r="Q144" s="54">
        <f ca="1">IFERROR(__xludf.DUMMYFUNCTION("""COMPUTED_VALUE"""),4)</f>
        <v>4</v>
      </c>
      <c r="R144" s="54"/>
      <c r="S144" s="53">
        <f ca="1">IFERROR(__xludf.DUMMYFUNCTION("""COMPUTED_VALUE"""),0)</f>
        <v>0</v>
      </c>
      <c r="T144" s="53"/>
      <c r="U144" s="53"/>
      <c r="V144" s="53"/>
      <c r="W144" s="53"/>
      <c r="X144" s="53"/>
      <c r="Y144" s="53"/>
      <c r="Z144" s="2"/>
      <c r="AA144" s="2"/>
      <c r="AB144" s="2"/>
      <c r="AC144" s="2"/>
      <c r="AD144" s="2"/>
      <c r="AE144" s="2"/>
    </row>
    <row r="145" spans="1:31" ht="12.75" x14ac:dyDescent="0.2">
      <c r="A145" s="53">
        <f ca="1">IFERROR(__xludf.DUMMYFUNCTION("""COMPUTED_VALUE"""),70)</f>
        <v>70</v>
      </c>
      <c r="B145" s="53" t="str">
        <f ca="1">IFERROR(__xludf.DUMMYFUNCTION("""COMPUTED_VALUE"""),"Lớp MG My My 2")</f>
        <v>Lớp MG My My 2</v>
      </c>
      <c r="C145" s="53" t="str">
        <f ca="1">IFERROR(__xludf.DUMMYFUNCTION("""COMPUTED_VALUE"""),"Vĩnh Lộc A")</f>
        <v>Vĩnh Lộc A</v>
      </c>
      <c r="D145" s="53" t="str">
        <f ca="1">IFERROR(__xludf.DUMMYFUNCTION("""COMPUTED_VALUE"""),"MN")</f>
        <v>MN</v>
      </c>
      <c r="E145" s="54" t="str">
        <f ca="1">IFERROR(__xludf.DUMMYFUNCTION("""COMPUTED_VALUE"""),"Bình Chánh")</f>
        <v>Bình Chánh</v>
      </c>
      <c r="F145" s="54">
        <f ca="1">IFERROR(__xludf.DUMMYFUNCTION("""COMPUTED_VALUE"""),0)</f>
        <v>0</v>
      </c>
      <c r="G145" s="54"/>
      <c r="H145" s="54">
        <f ca="1">IFERROR(__xludf.DUMMYFUNCTION("""COMPUTED_VALUE"""),0)</f>
        <v>0</v>
      </c>
      <c r="I145" s="54"/>
      <c r="J145" s="54">
        <f ca="1">IFERROR(__xludf.DUMMYFUNCTION("""COMPUTED_VALUE"""),0)</f>
        <v>0</v>
      </c>
      <c r="K145" s="54"/>
      <c r="L145" s="54">
        <f ca="1">IFERROR(__xludf.DUMMYFUNCTION("""COMPUTED_VALUE"""),0)</f>
        <v>0</v>
      </c>
      <c r="M145" s="54"/>
      <c r="N145" s="54">
        <f ca="1">IFERROR(__xludf.DUMMYFUNCTION("""COMPUTED_VALUE"""),0)</f>
        <v>0</v>
      </c>
      <c r="O145" s="54">
        <f ca="1">IFERROR(__xludf.DUMMYFUNCTION("""COMPUTED_VALUE"""),13)</f>
        <v>13</v>
      </c>
      <c r="P145" s="54"/>
      <c r="Q145" s="54">
        <f ca="1">IFERROR(__xludf.DUMMYFUNCTION("""COMPUTED_VALUE"""),0)</f>
        <v>0</v>
      </c>
      <c r="R145" s="54"/>
      <c r="S145" s="53">
        <f ca="1">IFERROR(__xludf.DUMMYFUNCTION("""COMPUTED_VALUE"""),0)</f>
        <v>0</v>
      </c>
      <c r="T145" s="53"/>
      <c r="U145" s="53"/>
      <c r="V145" s="53"/>
      <c r="W145" s="53"/>
      <c r="X145" s="53"/>
      <c r="Y145" s="53"/>
      <c r="Z145" s="2"/>
      <c r="AA145" s="2"/>
      <c r="AB145" s="2"/>
      <c r="AC145" s="2"/>
      <c r="AD145" s="2"/>
      <c r="AE145" s="2"/>
    </row>
    <row r="146" spans="1:31" ht="12.75" x14ac:dyDescent="0.2">
      <c r="A146" s="53">
        <f ca="1">IFERROR(__xludf.DUMMYFUNCTION("""COMPUTED_VALUE"""),71)</f>
        <v>71</v>
      </c>
      <c r="B146" s="53" t="str">
        <f ca="1">IFERROR(__xludf.DUMMYFUNCTION("""COMPUTED_VALUE"""),"Lớp MG Quỳnh Chi")</f>
        <v>Lớp MG Quỳnh Chi</v>
      </c>
      <c r="C146" s="53" t="str">
        <f ca="1">IFERROR(__xludf.DUMMYFUNCTION("""COMPUTED_VALUE"""),"Vĩnh Lộc A")</f>
        <v>Vĩnh Lộc A</v>
      </c>
      <c r="D146" s="53" t="str">
        <f ca="1">IFERROR(__xludf.DUMMYFUNCTION("""COMPUTED_VALUE"""),"MN")</f>
        <v>MN</v>
      </c>
      <c r="E146" s="54" t="str">
        <f ca="1">IFERROR(__xludf.DUMMYFUNCTION("""COMPUTED_VALUE"""),"Bình Chánh")</f>
        <v>Bình Chánh</v>
      </c>
      <c r="F146" s="54">
        <f ca="1">IFERROR(__xludf.DUMMYFUNCTION("""COMPUTED_VALUE"""),8)</f>
        <v>8</v>
      </c>
      <c r="G146" s="54"/>
      <c r="H146" s="54">
        <f ca="1">IFERROR(__xludf.DUMMYFUNCTION("""COMPUTED_VALUE"""),8)</f>
        <v>8</v>
      </c>
      <c r="I146" s="54"/>
      <c r="J146" s="54">
        <f ca="1">IFERROR(__xludf.DUMMYFUNCTION("""COMPUTED_VALUE"""),8)</f>
        <v>8</v>
      </c>
      <c r="K146" s="54"/>
      <c r="L146" s="54">
        <f ca="1">IFERROR(__xludf.DUMMYFUNCTION("""COMPUTED_VALUE"""),8)</f>
        <v>8</v>
      </c>
      <c r="M146" s="54"/>
      <c r="N146" s="54">
        <f ca="1">IFERROR(__xludf.DUMMYFUNCTION("""COMPUTED_VALUE"""),0)</f>
        <v>0</v>
      </c>
      <c r="O146" s="54">
        <f ca="1">IFERROR(__xludf.DUMMYFUNCTION("""COMPUTED_VALUE"""),22)</f>
        <v>22</v>
      </c>
      <c r="P146" s="54"/>
      <c r="Q146" s="54">
        <f ca="1">IFERROR(__xludf.DUMMYFUNCTION("""COMPUTED_VALUE"""),0)</f>
        <v>0</v>
      </c>
      <c r="R146" s="54"/>
      <c r="S146" s="54">
        <f ca="1">IFERROR(__xludf.DUMMYFUNCTION("""COMPUTED_VALUE"""),0)</f>
        <v>0</v>
      </c>
      <c r="T146" s="53"/>
      <c r="U146" s="53"/>
      <c r="V146" s="53"/>
      <c r="W146" s="53"/>
      <c r="X146" s="53"/>
      <c r="Y146" s="53"/>
      <c r="Z146" s="2"/>
      <c r="AA146" s="2"/>
      <c r="AB146" s="2"/>
      <c r="AC146" s="2"/>
      <c r="AD146" s="2"/>
      <c r="AE146" s="2"/>
    </row>
    <row r="147" spans="1:31" ht="12.75" x14ac:dyDescent="0.2">
      <c r="A147" s="53">
        <f ca="1">IFERROR(__xludf.DUMMYFUNCTION("""COMPUTED_VALUE"""),72)</f>
        <v>72</v>
      </c>
      <c r="B147" s="53" t="str">
        <f ca="1">IFERROR(__xludf.DUMMYFUNCTION("""COMPUTED_VALUE"""),"Lớp MN Việt Úc")</f>
        <v>Lớp MN Việt Úc</v>
      </c>
      <c r="C147" s="53" t="str">
        <f ca="1">IFERROR(__xludf.DUMMYFUNCTION("""COMPUTED_VALUE"""),"Vĩnh Lộc A")</f>
        <v>Vĩnh Lộc A</v>
      </c>
      <c r="D147" s="53" t="str">
        <f ca="1">IFERROR(__xludf.DUMMYFUNCTION("""COMPUTED_VALUE"""),"MN")</f>
        <v>MN</v>
      </c>
      <c r="E147" s="53" t="str">
        <f ca="1">IFERROR(__xludf.DUMMYFUNCTION("""COMPUTED_VALUE"""),"Bình Chánh")</f>
        <v>Bình Chánh</v>
      </c>
      <c r="F147" s="53">
        <f ca="1">IFERROR(__xludf.DUMMYFUNCTION("""COMPUTED_VALUE"""),0)</f>
        <v>0</v>
      </c>
      <c r="G147" s="53"/>
      <c r="H147" s="53">
        <f ca="1">IFERROR(__xludf.DUMMYFUNCTION("""COMPUTED_VALUE"""),0)</f>
        <v>0</v>
      </c>
      <c r="I147" s="53"/>
      <c r="J147" s="53">
        <f ca="1">IFERROR(__xludf.DUMMYFUNCTION("""COMPUTED_VALUE"""),0)</f>
        <v>0</v>
      </c>
      <c r="K147" s="53"/>
      <c r="L147" s="53">
        <f ca="1">IFERROR(__xludf.DUMMYFUNCTION("""COMPUTED_VALUE"""),0)</f>
        <v>0</v>
      </c>
      <c r="M147" s="53"/>
      <c r="N147" s="54">
        <f ca="1">IFERROR(__xludf.DUMMYFUNCTION("""COMPUTED_VALUE"""),0)</f>
        <v>0</v>
      </c>
      <c r="O147" s="54">
        <f ca="1">IFERROR(__xludf.DUMMYFUNCTION("""COMPUTED_VALUE"""),5)</f>
        <v>5</v>
      </c>
      <c r="P147" s="54"/>
      <c r="Q147" s="54">
        <f ca="1">IFERROR(__xludf.DUMMYFUNCTION("""COMPUTED_VALUE"""),0)</f>
        <v>0</v>
      </c>
      <c r="R147" s="54"/>
      <c r="S147" s="54">
        <f ca="1">IFERROR(__xludf.DUMMYFUNCTION("""COMPUTED_VALUE"""),0)</f>
        <v>0</v>
      </c>
      <c r="T147" s="53"/>
      <c r="U147" s="53"/>
      <c r="V147" s="53"/>
      <c r="W147" s="53"/>
      <c r="X147" s="53"/>
      <c r="Y147" s="53"/>
      <c r="Z147" s="2"/>
      <c r="AA147" s="2"/>
      <c r="AB147" s="2"/>
      <c r="AC147" s="2"/>
      <c r="AD147" s="2"/>
      <c r="AE147" s="2"/>
    </row>
    <row r="148" spans="1:31" ht="12.75" x14ac:dyDescent="0.2">
      <c r="A148" s="53">
        <f ca="1">IFERROR(__xludf.DUMMYFUNCTION("""COMPUTED_VALUE"""),73)</f>
        <v>73</v>
      </c>
      <c r="B148" s="53" t="str">
        <f ca="1">IFERROR(__xludf.DUMMYFUNCTION("""COMPUTED_VALUE"""),"Lớp MG Vườn Nai")</f>
        <v>Lớp MG Vườn Nai</v>
      </c>
      <c r="C148" s="53" t="str">
        <f ca="1">IFERROR(__xludf.DUMMYFUNCTION("""COMPUTED_VALUE"""),"Vĩnh Lộc A")</f>
        <v>Vĩnh Lộc A</v>
      </c>
      <c r="D148" s="53" t="str">
        <f ca="1">IFERROR(__xludf.DUMMYFUNCTION("""COMPUTED_VALUE"""),"MN")</f>
        <v>MN</v>
      </c>
      <c r="E148" s="54" t="str">
        <f ca="1">IFERROR(__xludf.DUMMYFUNCTION("""COMPUTED_VALUE"""),"Bình Chánh")</f>
        <v>Bình Chánh</v>
      </c>
      <c r="F148" s="54">
        <f ca="1">IFERROR(__xludf.DUMMYFUNCTION("""COMPUTED_VALUE"""),7)</f>
        <v>7</v>
      </c>
      <c r="G148" s="54"/>
      <c r="H148" s="54">
        <f ca="1">IFERROR(__xludf.DUMMYFUNCTION("""COMPUTED_VALUE"""),7)</f>
        <v>7</v>
      </c>
      <c r="I148" s="54"/>
      <c r="J148" s="54">
        <f ca="1">IFERROR(__xludf.DUMMYFUNCTION("""COMPUTED_VALUE"""),7)</f>
        <v>7</v>
      </c>
      <c r="K148" s="54"/>
      <c r="L148" s="54">
        <f ca="1">IFERROR(__xludf.DUMMYFUNCTION("""COMPUTED_VALUE"""),7)</f>
        <v>7</v>
      </c>
      <c r="M148" s="54"/>
      <c r="N148" s="54">
        <f ca="1">IFERROR(__xludf.DUMMYFUNCTION("""COMPUTED_VALUE"""),0)</f>
        <v>0</v>
      </c>
      <c r="O148" s="54">
        <f ca="1">IFERROR(__xludf.DUMMYFUNCTION("""COMPUTED_VALUE"""),21)</f>
        <v>21</v>
      </c>
      <c r="P148" s="54"/>
      <c r="Q148" s="54">
        <f ca="1">IFERROR(__xludf.DUMMYFUNCTION("""COMPUTED_VALUE"""),9)</f>
        <v>9</v>
      </c>
      <c r="R148" s="54"/>
      <c r="S148" s="54">
        <f ca="1">IFERROR(__xludf.DUMMYFUNCTION("""COMPUTED_VALUE"""),0)</f>
        <v>0</v>
      </c>
      <c r="T148" s="53"/>
      <c r="U148" s="53"/>
      <c r="V148" s="53"/>
      <c r="W148" s="53"/>
      <c r="X148" s="53"/>
      <c r="Y148" s="53"/>
      <c r="Z148" s="2"/>
      <c r="AA148" s="2"/>
      <c r="AB148" s="2"/>
      <c r="AC148" s="2"/>
      <c r="AD148" s="2"/>
      <c r="AE148" s="2"/>
    </row>
    <row r="149" spans="1:31" ht="12.75" x14ac:dyDescent="0.2">
      <c r="A149" s="53">
        <f ca="1">IFERROR(__xludf.DUMMYFUNCTION("""COMPUTED_VALUE"""),74)</f>
        <v>74</v>
      </c>
      <c r="B149" s="53" t="str">
        <f ca="1">IFERROR(__xludf.DUMMYFUNCTION("""COMPUTED_VALUE"""),"Lớp MN Thành Tâm")</f>
        <v>Lớp MN Thành Tâm</v>
      </c>
      <c r="C149" s="53" t="str">
        <f ca="1">IFERROR(__xludf.DUMMYFUNCTION("""COMPUTED_VALUE"""),"Vĩnh Lộc A")</f>
        <v>Vĩnh Lộc A</v>
      </c>
      <c r="D149" s="53" t="str">
        <f ca="1">IFERROR(__xludf.DUMMYFUNCTION("""COMPUTED_VALUE"""),"MN")</f>
        <v>MN</v>
      </c>
      <c r="E149" s="54" t="str">
        <f ca="1">IFERROR(__xludf.DUMMYFUNCTION("""COMPUTED_VALUE"""),"Bình Chánh")</f>
        <v>Bình Chánh</v>
      </c>
      <c r="F149" s="54">
        <f ca="1">IFERROR(__xludf.DUMMYFUNCTION("""COMPUTED_VALUE"""),0)</f>
        <v>0</v>
      </c>
      <c r="G149" s="54"/>
      <c r="H149" s="54">
        <f ca="1">IFERROR(__xludf.DUMMYFUNCTION("""COMPUTED_VALUE"""),0)</f>
        <v>0</v>
      </c>
      <c r="I149" s="54"/>
      <c r="J149" s="54">
        <f ca="1">IFERROR(__xludf.DUMMYFUNCTION("""COMPUTED_VALUE"""),0)</f>
        <v>0</v>
      </c>
      <c r="K149" s="54"/>
      <c r="L149" s="54">
        <f ca="1">IFERROR(__xludf.DUMMYFUNCTION("""COMPUTED_VALUE"""),0)</f>
        <v>0</v>
      </c>
      <c r="M149" s="54"/>
      <c r="N149" s="54">
        <f ca="1">IFERROR(__xludf.DUMMYFUNCTION("""COMPUTED_VALUE"""),0)</f>
        <v>0</v>
      </c>
      <c r="O149" s="54">
        <f ca="1">IFERROR(__xludf.DUMMYFUNCTION("""COMPUTED_VALUE"""),45)</f>
        <v>45</v>
      </c>
      <c r="P149" s="54"/>
      <c r="Q149" s="54">
        <f ca="1">IFERROR(__xludf.DUMMYFUNCTION("""COMPUTED_VALUE"""),0)</f>
        <v>0</v>
      </c>
      <c r="R149" s="54"/>
      <c r="S149" s="54">
        <f ca="1">IFERROR(__xludf.DUMMYFUNCTION("""COMPUTED_VALUE"""),0)</f>
        <v>0</v>
      </c>
      <c r="T149" s="53"/>
      <c r="U149" s="53"/>
      <c r="V149" s="53"/>
      <c r="W149" s="53"/>
      <c r="X149" s="53"/>
      <c r="Y149" s="53"/>
      <c r="Z149" s="2"/>
      <c r="AA149" s="2"/>
      <c r="AB149" s="2"/>
      <c r="AC149" s="2"/>
      <c r="AD149" s="2"/>
      <c r="AE149" s="2"/>
    </row>
    <row r="150" spans="1:31" ht="12.75" x14ac:dyDescent="0.2">
      <c r="A150" s="53">
        <f ca="1">IFERROR(__xludf.DUMMYFUNCTION("""COMPUTED_VALUE"""),75)</f>
        <v>75</v>
      </c>
      <c r="B150" s="53" t="str">
        <f ca="1">IFERROR(__xludf.DUMMYFUNCTION("""COMPUTED_VALUE"""),"Lớp MG Tân Việt Mỹ")</f>
        <v>Lớp MG Tân Việt Mỹ</v>
      </c>
      <c r="C150" s="53" t="str">
        <f ca="1">IFERROR(__xludf.DUMMYFUNCTION("""COMPUTED_VALUE"""),"Vĩnh Lộc A")</f>
        <v>Vĩnh Lộc A</v>
      </c>
      <c r="D150" s="53" t="str">
        <f ca="1">IFERROR(__xludf.DUMMYFUNCTION("""COMPUTED_VALUE"""),"MN")</f>
        <v>MN</v>
      </c>
      <c r="E150" s="54" t="str">
        <f ca="1">IFERROR(__xludf.DUMMYFUNCTION("""COMPUTED_VALUE"""),"Bình Chánh")</f>
        <v>Bình Chánh</v>
      </c>
      <c r="F150" s="54">
        <f ca="1">IFERROR(__xludf.DUMMYFUNCTION("""COMPUTED_VALUE"""),0)</f>
        <v>0</v>
      </c>
      <c r="G150" s="54"/>
      <c r="H150" s="54">
        <f ca="1">IFERROR(__xludf.DUMMYFUNCTION("""COMPUTED_VALUE"""),0)</f>
        <v>0</v>
      </c>
      <c r="I150" s="54"/>
      <c r="J150" s="54">
        <f ca="1">IFERROR(__xludf.DUMMYFUNCTION("""COMPUTED_VALUE"""),0)</f>
        <v>0</v>
      </c>
      <c r="K150" s="54"/>
      <c r="L150" s="54">
        <f ca="1">IFERROR(__xludf.DUMMYFUNCTION("""COMPUTED_VALUE"""),0)</f>
        <v>0</v>
      </c>
      <c r="M150" s="54"/>
      <c r="N150" s="54">
        <f ca="1">IFERROR(__xludf.DUMMYFUNCTION("""COMPUTED_VALUE"""),0)</f>
        <v>0</v>
      </c>
      <c r="O150" s="54">
        <f ca="1">IFERROR(__xludf.DUMMYFUNCTION("""COMPUTED_VALUE"""),62)</f>
        <v>62</v>
      </c>
      <c r="P150" s="54"/>
      <c r="Q150" s="54">
        <f ca="1">IFERROR(__xludf.DUMMYFUNCTION("""COMPUTED_VALUE"""),0)</f>
        <v>0</v>
      </c>
      <c r="R150" s="54"/>
      <c r="S150" s="54">
        <f ca="1">IFERROR(__xludf.DUMMYFUNCTION("""COMPUTED_VALUE"""),0)</f>
        <v>0</v>
      </c>
      <c r="T150" s="53"/>
      <c r="U150" s="53"/>
      <c r="V150" s="53"/>
      <c r="W150" s="53"/>
      <c r="X150" s="53"/>
      <c r="Y150" s="53"/>
      <c r="Z150" s="2"/>
      <c r="AA150" s="2"/>
      <c r="AB150" s="2"/>
      <c r="AC150" s="2"/>
      <c r="AD150" s="2"/>
      <c r="AE150" s="2"/>
    </row>
    <row r="151" spans="1:31" ht="12.75" x14ac:dyDescent="0.2">
      <c r="A151" s="53">
        <f ca="1">IFERROR(__xludf.DUMMYFUNCTION("""COMPUTED_VALUE"""),76)</f>
        <v>76</v>
      </c>
      <c r="B151" s="53" t="str">
        <f ca="1">IFERROR(__xludf.DUMMYFUNCTION("""COMPUTED_VALUE"""),"Lớp MG Anh Vân")</f>
        <v>Lớp MG Anh Vân</v>
      </c>
      <c r="C151" s="53" t="str">
        <f ca="1">IFERROR(__xludf.DUMMYFUNCTION("""COMPUTED_VALUE"""),"Vĩnh Lộc A")</f>
        <v>Vĩnh Lộc A</v>
      </c>
      <c r="D151" s="53" t="str">
        <f ca="1">IFERROR(__xludf.DUMMYFUNCTION("""COMPUTED_VALUE"""),"MN")</f>
        <v>MN</v>
      </c>
      <c r="E151" s="54" t="str">
        <f ca="1">IFERROR(__xludf.DUMMYFUNCTION("""COMPUTED_VALUE"""),"Bình Chánh")</f>
        <v>Bình Chánh</v>
      </c>
      <c r="F151" s="54">
        <f ca="1">IFERROR(__xludf.DUMMYFUNCTION("""COMPUTED_VALUE"""),8)</f>
        <v>8</v>
      </c>
      <c r="G151" s="54"/>
      <c r="H151" s="54">
        <f ca="1">IFERROR(__xludf.DUMMYFUNCTION("""COMPUTED_VALUE"""),8)</f>
        <v>8</v>
      </c>
      <c r="I151" s="54"/>
      <c r="J151" s="54">
        <f ca="1">IFERROR(__xludf.DUMMYFUNCTION("""COMPUTED_VALUE"""),8)</f>
        <v>8</v>
      </c>
      <c r="K151" s="54"/>
      <c r="L151" s="54">
        <f ca="1">IFERROR(__xludf.DUMMYFUNCTION("""COMPUTED_VALUE"""),8)</f>
        <v>8</v>
      </c>
      <c r="M151" s="54"/>
      <c r="N151" s="54">
        <f ca="1">IFERROR(__xludf.DUMMYFUNCTION("""COMPUTED_VALUE"""),0)</f>
        <v>0</v>
      </c>
      <c r="O151" s="54">
        <f ca="1">IFERROR(__xludf.DUMMYFUNCTION("""COMPUTED_VALUE"""),22)</f>
        <v>22</v>
      </c>
      <c r="P151" s="54"/>
      <c r="Q151" s="54">
        <f ca="1">IFERROR(__xludf.DUMMYFUNCTION("""COMPUTED_VALUE"""),10)</f>
        <v>10</v>
      </c>
      <c r="R151" s="54"/>
      <c r="S151" s="54">
        <f ca="1">IFERROR(__xludf.DUMMYFUNCTION("""COMPUTED_VALUE"""),0)</f>
        <v>0</v>
      </c>
      <c r="T151" s="53"/>
      <c r="U151" s="53"/>
      <c r="V151" s="53"/>
      <c r="W151" s="53"/>
      <c r="X151" s="53"/>
      <c r="Y151" s="53"/>
      <c r="Z151" s="2"/>
      <c r="AA151" s="2"/>
      <c r="AB151" s="2"/>
      <c r="AC151" s="2"/>
      <c r="AD151" s="2"/>
      <c r="AE151" s="2"/>
    </row>
    <row r="152" spans="1:31" ht="12.75" x14ac:dyDescent="0.2">
      <c r="A152" s="53">
        <f ca="1">IFERROR(__xludf.DUMMYFUNCTION("""COMPUTED_VALUE"""),77)</f>
        <v>77</v>
      </c>
      <c r="B152" s="53" t="str">
        <f ca="1">IFERROR(__xludf.DUMMYFUNCTION("""COMPUTED_VALUE"""),"Lớp MG Hoa Vàng")</f>
        <v>Lớp MG Hoa Vàng</v>
      </c>
      <c r="C152" s="53" t="str">
        <f ca="1">IFERROR(__xludf.DUMMYFUNCTION("""COMPUTED_VALUE"""),"Vĩnh Lộc A")</f>
        <v>Vĩnh Lộc A</v>
      </c>
      <c r="D152" s="53" t="str">
        <f ca="1">IFERROR(__xludf.DUMMYFUNCTION("""COMPUTED_VALUE"""),"MN")</f>
        <v>MN</v>
      </c>
      <c r="E152" s="54" t="str">
        <f ca="1">IFERROR(__xludf.DUMMYFUNCTION("""COMPUTED_VALUE"""),"Bình Chánh")</f>
        <v>Bình Chánh</v>
      </c>
      <c r="F152" s="54">
        <f ca="1">IFERROR(__xludf.DUMMYFUNCTION("""COMPUTED_VALUE"""),8)</f>
        <v>8</v>
      </c>
      <c r="G152" s="54"/>
      <c r="H152" s="54">
        <f ca="1">IFERROR(__xludf.DUMMYFUNCTION("""COMPUTED_VALUE"""),8)</f>
        <v>8</v>
      </c>
      <c r="I152" s="54"/>
      <c r="J152" s="54">
        <f ca="1">IFERROR(__xludf.DUMMYFUNCTION("""COMPUTED_VALUE"""),8)</f>
        <v>8</v>
      </c>
      <c r="K152" s="54"/>
      <c r="L152" s="54">
        <f ca="1">IFERROR(__xludf.DUMMYFUNCTION("""COMPUTED_VALUE"""),8)</f>
        <v>8</v>
      </c>
      <c r="M152" s="54"/>
      <c r="N152" s="54">
        <f ca="1">IFERROR(__xludf.DUMMYFUNCTION("""COMPUTED_VALUE"""),0)</f>
        <v>0</v>
      </c>
      <c r="O152" s="54">
        <f ca="1">IFERROR(__xludf.DUMMYFUNCTION("""COMPUTED_VALUE"""),20)</f>
        <v>20</v>
      </c>
      <c r="P152" s="54"/>
      <c r="Q152" s="54">
        <f ca="1">IFERROR(__xludf.DUMMYFUNCTION("""COMPUTED_VALUE"""),1)</f>
        <v>1</v>
      </c>
      <c r="R152" s="54"/>
      <c r="S152" s="54">
        <f ca="1">IFERROR(__xludf.DUMMYFUNCTION("""COMPUTED_VALUE"""),0)</f>
        <v>0</v>
      </c>
      <c r="T152" s="53"/>
      <c r="U152" s="53"/>
      <c r="V152" s="53"/>
      <c r="W152" s="53"/>
      <c r="X152" s="53"/>
      <c r="Y152" s="53"/>
      <c r="Z152" s="2"/>
      <c r="AA152" s="2"/>
      <c r="AB152" s="2"/>
      <c r="AC152" s="2"/>
      <c r="AD152" s="2"/>
      <c r="AE152" s="2"/>
    </row>
    <row r="153" spans="1:31" ht="12.75" x14ac:dyDescent="0.2">
      <c r="A153" s="53">
        <f ca="1">IFERROR(__xludf.DUMMYFUNCTION("""COMPUTED_VALUE"""),78)</f>
        <v>78</v>
      </c>
      <c r="B153" s="53" t="str">
        <f ca="1">IFERROR(__xludf.DUMMYFUNCTION("""COMPUTED_VALUE"""),"Lớp MG Á Châu")</f>
        <v>Lớp MG Á Châu</v>
      </c>
      <c r="C153" s="53" t="str">
        <f ca="1">IFERROR(__xludf.DUMMYFUNCTION("""COMPUTED_VALUE"""),"Vĩnh Lộc A")</f>
        <v>Vĩnh Lộc A</v>
      </c>
      <c r="D153" s="53" t="str">
        <f ca="1">IFERROR(__xludf.DUMMYFUNCTION("""COMPUTED_VALUE"""),"MN")</f>
        <v>MN</v>
      </c>
      <c r="E153" s="54" t="str">
        <f ca="1">IFERROR(__xludf.DUMMYFUNCTION("""COMPUTED_VALUE"""),"Bình Chánh")</f>
        <v>Bình Chánh</v>
      </c>
      <c r="F153" s="54">
        <f ca="1">IFERROR(__xludf.DUMMYFUNCTION("""COMPUTED_VALUE"""),9)</f>
        <v>9</v>
      </c>
      <c r="G153" s="54"/>
      <c r="H153" s="54">
        <f ca="1">IFERROR(__xludf.DUMMYFUNCTION("""COMPUTED_VALUE"""),9)</f>
        <v>9</v>
      </c>
      <c r="I153" s="54"/>
      <c r="J153" s="54">
        <f ca="1">IFERROR(__xludf.DUMMYFUNCTION("""COMPUTED_VALUE"""),9)</f>
        <v>9</v>
      </c>
      <c r="K153" s="54"/>
      <c r="L153" s="54">
        <f ca="1">IFERROR(__xludf.DUMMYFUNCTION("""COMPUTED_VALUE"""),9)</f>
        <v>9</v>
      </c>
      <c r="M153" s="54"/>
      <c r="N153" s="54">
        <f ca="1">IFERROR(__xludf.DUMMYFUNCTION("""COMPUTED_VALUE"""),0)</f>
        <v>0</v>
      </c>
      <c r="O153" s="54">
        <f ca="1">IFERROR(__xludf.DUMMYFUNCTION("""COMPUTED_VALUE"""),0)</f>
        <v>0</v>
      </c>
      <c r="P153" s="54"/>
      <c r="Q153" s="54">
        <f ca="1">IFERROR(__xludf.DUMMYFUNCTION("""COMPUTED_VALUE"""),0)</f>
        <v>0</v>
      </c>
      <c r="R153" s="54"/>
      <c r="S153" s="54">
        <f ca="1">IFERROR(__xludf.DUMMYFUNCTION("""COMPUTED_VALUE"""),0)</f>
        <v>0</v>
      </c>
      <c r="T153" s="53"/>
      <c r="U153" s="53"/>
      <c r="V153" s="53"/>
      <c r="W153" s="53"/>
      <c r="X153" s="53"/>
      <c r="Y153" s="53"/>
      <c r="Z153" s="2"/>
      <c r="AA153" s="2"/>
      <c r="AB153" s="2"/>
      <c r="AC153" s="2"/>
      <c r="AD153" s="2"/>
      <c r="AE153" s="2"/>
    </row>
    <row r="154" spans="1:31" ht="12.75" x14ac:dyDescent="0.2">
      <c r="A154" s="53">
        <f ca="1">IFERROR(__xludf.DUMMYFUNCTION("""COMPUTED_VALUE"""),79)</f>
        <v>79</v>
      </c>
      <c r="B154" s="53" t="str">
        <f ca="1">IFERROR(__xludf.DUMMYFUNCTION("""COMPUTED_VALUE"""),"Lớp MG RuBi")</f>
        <v>Lớp MG RuBi</v>
      </c>
      <c r="C154" s="53" t="str">
        <f ca="1">IFERROR(__xludf.DUMMYFUNCTION("""COMPUTED_VALUE"""),"Vĩnh Lộc A")</f>
        <v>Vĩnh Lộc A</v>
      </c>
      <c r="D154" s="53" t="str">
        <f ca="1">IFERROR(__xludf.DUMMYFUNCTION("""COMPUTED_VALUE"""),"MN")</f>
        <v>MN</v>
      </c>
      <c r="E154" s="54" t="str">
        <f ca="1">IFERROR(__xludf.DUMMYFUNCTION("""COMPUTED_VALUE"""),"Bình Chánh")</f>
        <v>Bình Chánh</v>
      </c>
      <c r="F154" s="54">
        <f ca="1">IFERROR(__xludf.DUMMYFUNCTION("""COMPUTED_VALUE"""),7)</f>
        <v>7</v>
      </c>
      <c r="G154" s="54"/>
      <c r="H154" s="54">
        <f ca="1">IFERROR(__xludf.DUMMYFUNCTION("""COMPUTED_VALUE"""),7)</f>
        <v>7</v>
      </c>
      <c r="I154" s="54"/>
      <c r="J154" s="54">
        <f ca="1">IFERROR(__xludf.DUMMYFUNCTION("""COMPUTED_VALUE"""),7)</f>
        <v>7</v>
      </c>
      <c r="K154" s="54"/>
      <c r="L154" s="54">
        <f ca="1">IFERROR(__xludf.DUMMYFUNCTION("""COMPUTED_VALUE"""),6)</f>
        <v>6</v>
      </c>
      <c r="M154" s="54"/>
      <c r="N154" s="54">
        <f ca="1">IFERROR(__xludf.DUMMYFUNCTION("""COMPUTED_VALUE"""),0)</f>
        <v>0</v>
      </c>
      <c r="O154" s="54">
        <f ca="1">IFERROR(__xludf.DUMMYFUNCTION("""COMPUTED_VALUE"""),20)</f>
        <v>20</v>
      </c>
      <c r="P154" s="54"/>
      <c r="Q154" s="54">
        <f ca="1">IFERROR(__xludf.DUMMYFUNCTION("""COMPUTED_VALUE"""),6)</f>
        <v>6</v>
      </c>
      <c r="R154" s="54"/>
      <c r="S154" s="54">
        <f ca="1">IFERROR(__xludf.DUMMYFUNCTION("""COMPUTED_VALUE"""),0)</f>
        <v>0</v>
      </c>
      <c r="T154" s="53"/>
      <c r="U154" s="53"/>
      <c r="V154" s="53"/>
      <c r="W154" s="53"/>
      <c r="X154" s="53"/>
      <c r="Y154" s="53"/>
      <c r="Z154" s="2"/>
      <c r="AA154" s="2"/>
      <c r="AB154" s="2"/>
      <c r="AC154" s="2"/>
      <c r="AD154" s="2"/>
      <c r="AE154" s="2"/>
    </row>
    <row r="155" spans="1:31" ht="12.75" x14ac:dyDescent="0.2">
      <c r="A155" s="53">
        <f ca="1">IFERROR(__xludf.DUMMYFUNCTION("""COMPUTED_VALUE"""),80)</f>
        <v>80</v>
      </c>
      <c r="B155" s="53" t="str">
        <f ca="1">IFERROR(__xludf.DUMMYFUNCTION("""COMPUTED_VALUE"""),"Lớp MG Hoàng Linh")</f>
        <v>Lớp MG Hoàng Linh</v>
      </c>
      <c r="C155" s="53" t="str">
        <f ca="1">IFERROR(__xludf.DUMMYFUNCTION("""COMPUTED_VALUE"""),"Vĩnh Lộc A")</f>
        <v>Vĩnh Lộc A</v>
      </c>
      <c r="D155" s="53" t="str">
        <f ca="1">IFERROR(__xludf.DUMMYFUNCTION("""COMPUTED_VALUE"""),"MN")</f>
        <v>MN</v>
      </c>
      <c r="E155" s="54" t="str">
        <f ca="1">IFERROR(__xludf.DUMMYFUNCTION("""COMPUTED_VALUE"""),"Bình Chánh")</f>
        <v>Bình Chánh</v>
      </c>
      <c r="F155" s="54">
        <f ca="1">IFERROR(__xludf.DUMMYFUNCTION("""COMPUTED_VALUE"""),0)</f>
        <v>0</v>
      </c>
      <c r="G155" s="54"/>
      <c r="H155" s="54">
        <f ca="1">IFERROR(__xludf.DUMMYFUNCTION("""COMPUTED_VALUE"""),0)</f>
        <v>0</v>
      </c>
      <c r="I155" s="54"/>
      <c r="J155" s="54">
        <f ca="1">IFERROR(__xludf.DUMMYFUNCTION("""COMPUTED_VALUE"""),0)</f>
        <v>0</v>
      </c>
      <c r="K155" s="54"/>
      <c r="L155" s="54">
        <f ca="1">IFERROR(__xludf.DUMMYFUNCTION("""COMPUTED_VALUE"""),0)</f>
        <v>0</v>
      </c>
      <c r="M155" s="54"/>
      <c r="N155" s="54">
        <f ca="1">IFERROR(__xludf.DUMMYFUNCTION("""COMPUTED_VALUE"""),0)</f>
        <v>0</v>
      </c>
      <c r="O155" s="54">
        <f ca="1">IFERROR(__xludf.DUMMYFUNCTION("""COMPUTED_VALUE"""),64)</f>
        <v>64</v>
      </c>
      <c r="P155" s="54"/>
      <c r="Q155" s="54">
        <f ca="1">IFERROR(__xludf.DUMMYFUNCTION("""COMPUTED_VALUE"""),0)</f>
        <v>0</v>
      </c>
      <c r="R155" s="54"/>
      <c r="S155" s="54">
        <f ca="1">IFERROR(__xludf.DUMMYFUNCTION("""COMPUTED_VALUE"""),0)</f>
        <v>0</v>
      </c>
      <c r="T155" s="53"/>
      <c r="U155" s="53"/>
      <c r="V155" s="53"/>
      <c r="W155" s="53"/>
      <c r="X155" s="53"/>
      <c r="Y155" s="53"/>
      <c r="Z155" s="2"/>
      <c r="AA155" s="2"/>
      <c r="AB155" s="2"/>
      <c r="AC155" s="2"/>
      <c r="AD155" s="2"/>
      <c r="AE155" s="2"/>
    </row>
    <row r="156" spans="1:31" ht="12.75" x14ac:dyDescent="0.2">
      <c r="A156" s="53">
        <f ca="1">IFERROR(__xludf.DUMMYFUNCTION("""COMPUTED_VALUE"""),81)</f>
        <v>81</v>
      </c>
      <c r="B156" s="53" t="str">
        <f ca="1">IFERROR(__xludf.DUMMYFUNCTION("""COMPUTED_VALUE"""),"Lớp MG Bích Chi")</f>
        <v>Lớp MG Bích Chi</v>
      </c>
      <c r="C156" s="53" t="str">
        <f ca="1">IFERROR(__xludf.DUMMYFUNCTION("""COMPUTED_VALUE"""),"Vĩnh Lộc A")</f>
        <v>Vĩnh Lộc A</v>
      </c>
      <c r="D156" s="53" t="str">
        <f ca="1">IFERROR(__xludf.DUMMYFUNCTION("""COMPUTED_VALUE"""),"MN")</f>
        <v>MN</v>
      </c>
      <c r="E156" s="54" t="str">
        <f ca="1">IFERROR(__xludf.DUMMYFUNCTION("""COMPUTED_VALUE"""),"Bình Chánh")</f>
        <v>Bình Chánh</v>
      </c>
      <c r="F156" s="54">
        <f ca="1">IFERROR(__xludf.DUMMYFUNCTION("""COMPUTED_VALUE"""),9)</f>
        <v>9</v>
      </c>
      <c r="G156" s="54"/>
      <c r="H156" s="54">
        <f ca="1">IFERROR(__xludf.DUMMYFUNCTION("""COMPUTED_VALUE"""),9)</f>
        <v>9</v>
      </c>
      <c r="I156" s="54"/>
      <c r="J156" s="54">
        <f ca="1">IFERROR(__xludf.DUMMYFUNCTION("""COMPUTED_VALUE"""),9)</f>
        <v>9</v>
      </c>
      <c r="K156" s="54"/>
      <c r="L156" s="54">
        <f ca="1">IFERROR(__xludf.DUMMYFUNCTION("""COMPUTED_VALUE"""),3)</f>
        <v>3</v>
      </c>
      <c r="M156" s="54"/>
      <c r="N156" s="54">
        <f ca="1">IFERROR(__xludf.DUMMYFUNCTION("""COMPUTED_VALUE"""),0)</f>
        <v>0</v>
      </c>
      <c r="O156" s="54">
        <f ca="1">IFERROR(__xludf.DUMMYFUNCTION("""COMPUTED_VALUE"""),56)</f>
        <v>56</v>
      </c>
      <c r="P156" s="54"/>
      <c r="Q156" s="54">
        <f ca="1">IFERROR(__xludf.DUMMYFUNCTION("""COMPUTED_VALUE"""),11)</f>
        <v>11</v>
      </c>
      <c r="R156" s="54"/>
      <c r="S156" s="54">
        <f ca="1">IFERROR(__xludf.DUMMYFUNCTION("""COMPUTED_VALUE"""),0)</f>
        <v>0</v>
      </c>
      <c r="T156" s="53"/>
      <c r="U156" s="53"/>
      <c r="V156" s="53"/>
      <c r="W156" s="53"/>
      <c r="X156" s="53"/>
      <c r="Y156" s="53"/>
      <c r="Z156" s="2"/>
      <c r="AA156" s="2"/>
      <c r="AB156" s="2"/>
      <c r="AC156" s="2"/>
      <c r="AD156" s="2"/>
      <c r="AE156" s="2"/>
    </row>
    <row r="157" spans="1:31" ht="12.75" x14ac:dyDescent="0.2">
      <c r="A157" s="53">
        <f ca="1">IFERROR(__xludf.DUMMYFUNCTION("""COMPUTED_VALUE"""),82)</f>
        <v>82</v>
      </c>
      <c r="B157" s="53" t="str">
        <f ca="1">IFERROR(__xludf.DUMMYFUNCTION("""COMPUTED_VALUE"""),"Lớp MG Mặt Trời Nhỏ")</f>
        <v>Lớp MG Mặt Trời Nhỏ</v>
      </c>
      <c r="C157" s="53" t="str">
        <f ca="1">IFERROR(__xludf.DUMMYFUNCTION("""COMPUTED_VALUE"""),"Vĩnh Lộc A")</f>
        <v>Vĩnh Lộc A</v>
      </c>
      <c r="D157" s="53" t="str">
        <f ca="1">IFERROR(__xludf.DUMMYFUNCTION("""COMPUTED_VALUE"""),"MN")</f>
        <v>MN</v>
      </c>
      <c r="E157" s="54" t="str">
        <f ca="1">IFERROR(__xludf.DUMMYFUNCTION("""COMPUTED_VALUE"""),"Bình Chánh")</f>
        <v>Bình Chánh</v>
      </c>
      <c r="F157" s="54">
        <f ca="1">IFERROR(__xludf.DUMMYFUNCTION("""COMPUTED_VALUE"""),9)</f>
        <v>9</v>
      </c>
      <c r="G157" s="54"/>
      <c r="H157" s="54">
        <f ca="1">IFERROR(__xludf.DUMMYFUNCTION("""COMPUTED_VALUE"""),9)</f>
        <v>9</v>
      </c>
      <c r="I157" s="54"/>
      <c r="J157" s="54">
        <f ca="1">IFERROR(__xludf.DUMMYFUNCTION("""COMPUTED_VALUE"""),9)</f>
        <v>9</v>
      </c>
      <c r="K157" s="54"/>
      <c r="L157" s="54">
        <f ca="1">IFERROR(__xludf.DUMMYFUNCTION("""COMPUTED_VALUE"""),9)</f>
        <v>9</v>
      </c>
      <c r="M157" s="54"/>
      <c r="N157" s="54">
        <f ca="1">IFERROR(__xludf.DUMMYFUNCTION("""COMPUTED_VALUE"""),0)</f>
        <v>0</v>
      </c>
      <c r="O157" s="54">
        <f ca="1">IFERROR(__xludf.DUMMYFUNCTION("""COMPUTED_VALUE"""),20)</f>
        <v>20</v>
      </c>
      <c r="P157" s="54"/>
      <c r="Q157" s="54">
        <f ca="1">IFERROR(__xludf.DUMMYFUNCTION("""COMPUTED_VALUE"""),1)</f>
        <v>1</v>
      </c>
      <c r="R157" s="54"/>
      <c r="S157" s="54">
        <f ca="1">IFERROR(__xludf.DUMMYFUNCTION("""COMPUTED_VALUE"""),0)</f>
        <v>0</v>
      </c>
      <c r="T157" s="53"/>
      <c r="U157" s="53"/>
      <c r="V157" s="53"/>
      <c r="W157" s="53"/>
      <c r="X157" s="53"/>
      <c r="Y157" s="53"/>
      <c r="Z157" s="2"/>
      <c r="AA157" s="2"/>
      <c r="AB157" s="2"/>
      <c r="AC157" s="2"/>
      <c r="AD157" s="2"/>
      <c r="AE157" s="2"/>
    </row>
    <row r="158" spans="1:31" ht="12.75" x14ac:dyDescent="0.2">
      <c r="A158" s="53">
        <f ca="1">IFERROR(__xludf.DUMMYFUNCTION("""COMPUTED_VALUE"""),83)</f>
        <v>83</v>
      </c>
      <c r="B158" s="53" t="str">
        <f ca="1">IFERROR(__xludf.DUMMYFUNCTION("""COMPUTED_VALUE"""),"Lớp MG Kim Anh")</f>
        <v>Lớp MG Kim Anh</v>
      </c>
      <c r="C158" s="53" t="str">
        <f ca="1">IFERROR(__xludf.DUMMYFUNCTION("""COMPUTED_VALUE"""),"Vĩnh Lộc A")</f>
        <v>Vĩnh Lộc A</v>
      </c>
      <c r="D158" s="53" t="str">
        <f ca="1">IFERROR(__xludf.DUMMYFUNCTION("""COMPUTED_VALUE"""),"MN")</f>
        <v>MN</v>
      </c>
      <c r="E158" s="54" t="str">
        <f ca="1">IFERROR(__xludf.DUMMYFUNCTION("""COMPUTED_VALUE"""),"Bình Chánh")</f>
        <v>Bình Chánh</v>
      </c>
      <c r="F158" s="54">
        <f ca="1">IFERROR(__xludf.DUMMYFUNCTION("""COMPUTED_VALUE"""),8)</f>
        <v>8</v>
      </c>
      <c r="G158" s="54"/>
      <c r="H158" s="54">
        <f ca="1">IFERROR(__xludf.DUMMYFUNCTION("""COMPUTED_VALUE"""),8)</f>
        <v>8</v>
      </c>
      <c r="I158" s="54"/>
      <c r="J158" s="54">
        <f ca="1">IFERROR(__xludf.DUMMYFUNCTION("""COMPUTED_VALUE"""),8)</f>
        <v>8</v>
      </c>
      <c r="K158" s="54"/>
      <c r="L158" s="54">
        <f ca="1">IFERROR(__xludf.DUMMYFUNCTION("""COMPUTED_VALUE"""),8)</f>
        <v>8</v>
      </c>
      <c r="M158" s="54"/>
      <c r="N158" s="54">
        <f ca="1">IFERROR(__xludf.DUMMYFUNCTION("""COMPUTED_VALUE"""),0)</f>
        <v>0</v>
      </c>
      <c r="O158" s="54">
        <f ca="1">IFERROR(__xludf.DUMMYFUNCTION("""COMPUTED_VALUE"""),21)</f>
        <v>21</v>
      </c>
      <c r="P158" s="54"/>
      <c r="Q158" s="54">
        <f ca="1">IFERROR(__xludf.DUMMYFUNCTION("""COMPUTED_VALUE"""),15)</f>
        <v>15</v>
      </c>
      <c r="R158" s="54"/>
      <c r="S158" s="54">
        <f ca="1">IFERROR(__xludf.DUMMYFUNCTION("""COMPUTED_VALUE"""),0)</f>
        <v>0</v>
      </c>
      <c r="T158" s="53"/>
      <c r="U158" s="53"/>
      <c r="V158" s="53"/>
      <c r="W158" s="53"/>
      <c r="X158" s="53"/>
      <c r="Y158" s="53"/>
      <c r="Z158" s="2"/>
      <c r="AA158" s="2"/>
      <c r="AB158" s="2"/>
      <c r="AC158" s="2"/>
      <c r="AD158" s="2"/>
      <c r="AE158" s="2"/>
    </row>
    <row r="159" spans="1:31" ht="12.75" x14ac:dyDescent="0.2">
      <c r="A159" s="53">
        <f ca="1">IFERROR(__xludf.DUMMYFUNCTION("""COMPUTED_VALUE"""),84)</f>
        <v>84</v>
      </c>
      <c r="B159" s="53" t="str">
        <f ca="1">IFERROR(__xludf.DUMMYFUNCTION("""COMPUTED_VALUE"""),"Lớp MG Hạnh Phúc")</f>
        <v>Lớp MG Hạnh Phúc</v>
      </c>
      <c r="C159" s="53" t="str">
        <f ca="1">IFERROR(__xludf.DUMMYFUNCTION("""COMPUTED_VALUE"""),"Vĩnh Lộc A")</f>
        <v>Vĩnh Lộc A</v>
      </c>
      <c r="D159" s="53" t="str">
        <f ca="1">IFERROR(__xludf.DUMMYFUNCTION("""COMPUTED_VALUE"""),"MN")</f>
        <v>MN</v>
      </c>
      <c r="E159" s="54" t="str">
        <f ca="1">IFERROR(__xludf.DUMMYFUNCTION("""COMPUTED_VALUE"""),"Bình Chánh")</f>
        <v>Bình Chánh</v>
      </c>
      <c r="F159" s="54">
        <f ca="1">IFERROR(__xludf.DUMMYFUNCTION("""COMPUTED_VALUE"""),11)</f>
        <v>11</v>
      </c>
      <c r="G159" s="54"/>
      <c r="H159" s="54">
        <f ca="1">IFERROR(__xludf.DUMMYFUNCTION("""COMPUTED_VALUE"""),11)</f>
        <v>11</v>
      </c>
      <c r="I159" s="54"/>
      <c r="J159" s="54">
        <f ca="1">IFERROR(__xludf.DUMMYFUNCTION("""COMPUTED_VALUE"""),11)</f>
        <v>11</v>
      </c>
      <c r="K159" s="54"/>
      <c r="L159" s="54">
        <f ca="1">IFERROR(__xludf.DUMMYFUNCTION("""COMPUTED_VALUE"""),10)</f>
        <v>10</v>
      </c>
      <c r="M159" s="54"/>
      <c r="N159" s="54">
        <f ca="1">IFERROR(__xludf.DUMMYFUNCTION("""COMPUTED_VALUE"""),0)</f>
        <v>0</v>
      </c>
      <c r="O159" s="54">
        <f ca="1">IFERROR(__xludf.DUMMYFUNCTION("""COMPUTED_VALUE"""),61)</f>
        <v>61</v>
      </c>
      <c r="P159" s="54"/>
      <c r="Q159" s="54">
        <f ca="1">IFERROR(__xludf.DUMMYFUNCTION("""COMPUTED_VALUE"""),17)</f>
        <v>17</v>
      </c>
      <c r="R159" s="54"/>
      <c r="S159" s="54">
        <f ca="1">IFERROR(__xludf.DUMMYFUNCTION("""COMPUTED_VALUE"""),0)</f>
        <v>0</v>
      </c>
      <c r="T159" s="53"/>
      <c r="U159" s="53"/>
      <c r="V159" s="53"/>
      <c r="W159" s="53"/>
      <c r="X159" s="53"/>
      <c r="Y159" s="53"/>
      <c r="Z159" s="2"/>
      <c r="AA159" s="2"/>
      <c r="AB159" s="2"/>
      <c r="AC159" s="2"/>
      <c r="AD159" s="2"/>
      <c r="AE159" s="2"/>
    </row>
    <row r="160" spans="1:31" ht="12.75" x14ac:dyDescent="0.2">
      <c r="A160" s="53">
        <f ca="1">IFERROR(__xludf.DUMMYFUNCTION("""COMPUTED_VALUE"""),85)</f>
        <v>85</v>
      </c>
      <c r="B160" s="53" t="str">
        <f ca="1">IFERROR(__xludf.DUMMYFUNCTION("""COMPUTED_VALUE"""),"Lớp MG Ngôi Sao Xanh")</f>
        <v>Lớp MG Ngôi Sao Xanh</v>
      </c>
      <c r="C160" s="53" t="str">
        <f ca="1">IFERROR(__xludf.DUMMYFUNCTION("""COMPUTED_VALUE"""),"Vĩnh Lộc A")</f>
        <v>Vĩnh Lộc A</v>
      </c>
      <c r="D160" s="53" t="str">
        <f ca="1">IFERROR(__xludf.DUMMYFUNCTION("""COMPUTED_VALUE"""),"MN")</f>
        <v>MN</v>
      </c>
      <c r="E160" s="54" t="str">
        <f ca="1">IFERROR(__xludf.DUMMYFUNCTION("""COMPUTED_VALUE"""),"Bình Chánh")</f>
        <v>Bình Chánh</v>
      </c>
      <c r="F160" s="54">
        <f ca="1">IFERROR(__xludf.DUMMYFUNCTION("""COMPUTED_VALUE"""),8)</f>
        <v>8</v>
      </c>
      <c r="G160" s="54"/>
      <c r="H160" s="54">
        <f ca="1">IFERROR(__xludf.DUMMYFUNCTION("""COMPUTED_VALUE"""),8)</f>
        <v>8</v>
      </c>
      <c r="I160" s="54"/>
      <c r="J160" s="54">
        <f ca="1">IFERROR(__xludf.DUMMYFUNCTION("""COMPUTED_VALUE"""),8)</f>
        <v>8</v>
      </c>
      <c r="K160" s="54"/>
      <c r="L160" s="54">
        <f ca="1">IFERROR(__xludf.DUMMYFUNCTION("""COMPUTED_VALUE"""),8)</f>
        <v>8</v>
      </c>
      <c r="M160" s="54"/>
      <c r="N160" s="54">
        <f ca="1">IFERROR(__xludf.DUMMYFUNCTION("""COMPUTED_VALUE"""),0)</f>
        <v>0</v>
      </c>
      <c r="O160" s="54">
        <f ca="1">IFERROR(__xludf.DUMMYFUNCTION("""COMPUTED_VALUE"""),25)</f>
        <v>25</v>
      </c>
      <c r="P160" s="54"/>
      <c r="Q160" s="54">
        <f ca="1">IFERROR(__xludf.DUMMYFUNCTION("""COMPUTED_VALUE"""),13)</f>
        <v>13</v>
      </c>
      <c r="R160" s="54"/>
      <c r="S160" s="53">
        <f ca="1">IFERROR(__xludf.DUMMYFUNCTION("""COMPUTED_VALUE"""),0)</f>
        <v>0</v>
      </c>
      <c r="T160" s="53"/>
      <c r="U160" s="53"/>
      <c r="V160" s="53"/>
      <c r="W160" s="53"/>
      <c r="X160" s="53"/>
      <c r="Y160" s="53"/>
      <c r="Z160" s="2"/>
      <c r="AA160" s="2"/>
      <c r="AB160" s="2"/>
      <c r="AC160" s="2"/>
      <c r="AD160" s="2"/>
      <c r="AE160" s="2"/>
    </row>
    <row r="161" spans="1:31" ht="12.75" x14ac:dyDescent="0.2">
      <c r="A161" s="53">
        <f ca="1">IFERROR(__xludf.DUMMYFUNCTION("""COMPUTED_VALUE"""),86)</f>
        <v>86</v>
      </c>
      <c r="B161" s="53" t="str">
        <f ca="1">IFERROR(__xludf.DUMMYFUNCTION("""COMPUTED_VALUE"""),"Lớp MG Mầm Xanh")</f>
        <v>Lớp MG Mầm Xanh</v>
      </c>
      <c r="C161" s="53" t="str">
        <f ca="1">IFERROR(__xludf.DUMMYFUNCTION("""COMPUTED_VALUE"""),"Vĩnh Lộc A")</f>
        <v>Vĩnh Lộc A</v>
      </c>
      <c r="D161" s="53" t="str">
        <f ca="1">IFERROR(__xludf.DUMMYFUNCTION("""COMPUTED_VALUE"""),"MN")</f>
        <v>MN</v>
      </c>
      <c r="E161" s="54" t="str">
        <f ca="1">IFERROR(__xludf.DUMMYFUNCTION("""COMPUTED_VALUE"""),"Bình Chánh")</f>
        <v>Bình Chánh</v>
      </c>
      <c r="F161" s="54">
        <f ca="1">IFERROR(__xludf.DUMMYFUNCTION("""COMPUTED_VALUE"""),9)</f>
        <v>9</v>
      </c>
      <c r="G161" s="54"/>
      <c r="H161" s="54">
        <f ca="1">IFERROR(__xludf.DUMMYFUNCTION("""COMPUTED_VALUE"""),9)</f>
        <v>9</v>
      </c>
      <c r="I161" s="54"/>
      <c r="J161" s="54">
        <f ca="1">IFERROR(__xludf.DUMMYFUNCTION("""COMPUTED_VALUE"""),9)</f>
        <v>9</v>
      </c>
      <c r="K161" s="54"/>
      <c r="L161" s="54">
        <f ca="1">IFERROR(__xludf.DUMMYFUNCTION("""COMPUTED_VALUE"""),9)</f>
        <v>9</v>
      </c>
      <c r="M161" s="54"/>
      <c r="N161" s="54">
        <f ca="1">IFERROR(__xludf.DUMMYFUNCTION("""COMPUTED_VALUE"""),0)</f>
        <v>0</v>
      </c>
      <c r="O161" s="54">
        <f ca="1">IFERROR(__xludf.DUMMYFUNCTION("""COMPUTED_VALUE"""),54)</f>
        <v>54</v>
      </c>
      <c r="P161" s="54"/>
      <c r="Q161" s="54">
        <f ca="1">IFERROR(__xludf.DUMMYFUNCTION("""COMPUTED_VALUE"""),0)</f>
        <v>0</v>
      </c>
      <c r="R161" s="54"/>
      <c r="S161" s="54">
        <f ca="1">IFERROR(__xludf.DUMMYFUNCTION("""COMPUTED_VALUE"""),0)</f>
        <v>0</v>
      </c>
      <c r="T161" s="53"/>
      <c r="U161" s="53"/>
      <c r="V161" s="53"/>
      <c r="W161" s="53"/>
      <c r="X161" s="53"/>
      <c r="Y161" s="53"/>
      <c r="Z161" s="2"/>
      <c r="AA161" s="2"/>
      <c r="AB161" s="2"/>
      <c r="AC161" s="2"/>
      <c r="AD161" s="2"/>
      <c r="AE161" s="2"/>
    </row>
    <row r="162" spans="1:31" ht="12.75" x14ac:dyDescent="0.2">
      <c r="A162" s="53">
        <f ca="1">IFERROR(__xludf.DUMMYFUNCTION("""COMPUTED_VALUE"""),87)</f>
        <v>87</v>
      </c>
      <c r="B162" s="53" t="str">
        <f ca="1">IFERROR(__xludf.DUMMYFUNCTION("""COMPUTED_VALUE"""),"Lớp MG Măng Non")</f>
        <v>Lớp MG Măng Non</v>
      </c>
      <c r="C162" s="53" t="str">
        <f ca="1">IFERROR(__xludf.DUMMYFUNCTION("""COMPUTED_VALUE"""),"Vĩnh Lộc A")</f>
        <v>Vĩnh Lộc A</v>
      </c>
      <c r="D162" s="53" t="str">
        <f ca="1">IFERROR(__xludf.DUMMYFUNCTION("""COMPUTED_VALUE"""),"MN")</f>
        <v>MN</v>
      </c>
      <c r="E162" s="54" t="str">
        <f ca="1">IFERROR(__xludf.DUMMYFUNCTION("""COMPUTED_VALUE"""),"Bình Chánh")</f>
        <v>Bình Chánh</v>
      </c>
      <c r="F162" s="54">
        <f ca="1">IFERROR(__xludf.DUMMYFUNCTION("""COMPUTED_VALUE"""),8)</f>
        <v>8</v>
      </c>
      <c r="G162" s="54"/>
      <c r="H162" s="54">
        <f ca="1">IFERROR(__xludf.DUMMYFUNCTION("""COMPUTED_VALUE"""),8)</f>
        <v>8</v>
      </c>
      <c r="I162" s="54"/>
      <c r="J162" s="54">
        <f ca="1">IFERROR(__xludf.DUMMYFUNCTION("""COMPUTED_VALUE"""),8)</f>
        <v>8</v>
      </c>
      <c r="K162" s="54"/>
      <c r="L162" s="54">
        <f ca="1">IFERROR(__xludf.DUMMYFUNCTION("""COMPUTED_VALUE"""),8)</f>
        <v>8</v>
      </c>
      <c r="M162" s="54"/>
      <c r="N162" s="54">
        <f ca="1">IFERROR(__xludf.DUMMYFUNCTION("""COMPUTED_VALUE"""),0)</f>
        <v>0</v>
      </c>
      <c r="O162" s="54">
        <f ca="1">IFERROR(__xludf.DUMMYFUNCTION("""COMPUTED_VALUE"""),45)</f>
        <v>45</v>
      </c>
      <c r="P162" s="54"/>
      <c r="Q162" s="54">
        <f ca="1">IFERROR(__xludf.DUMMYFUNCTION("""COMPUTED_VALUE"""),5)</f>
        <v>5</v>
      </c>
      <c r="R162" s="54"/>
      <c r="S162" s="54">
        <f ca="1">IFERROR(__xludf.DUMMYFUNCTION("""COMPUTED_VALUE"""),0)</f>
        <v>0</v>
      </c>
      <c r="T162" s="53"/>
      <c r="U162" s="53"/>
      <c r="V162" s="53"/>
      <c r="W162" s="53"/>
      <c r="X162" s="53"/>
      <c r="Y162" s="53"/>
      <c r="Z162" s="2"/>
      <c r="AA162" s="2"/>
      <c r="AB162" s="2"/>
      <c r="AC162" s="2"/>
      <c r="AD162" s="2"/>
      <c r="AE162" s="2"/>
    </row>
    <row r="163" spans="1:31" ht="12.75" x14ac:dyDescent="0.2">
      <c r="A163" s="53">
        <f ca="1">IFERROR(__xludf.DUMMYFUNCTION("""COMPUTED_VALUE"""),88)</f>
        <v>88</v>
      </c>
      <c r="B163" s="53" t="str">
        <f ca="1">IFERROR(__xludf.DUMMYFUNCTION("""COMPUTED_VALUE"""),"Lớp MG Ánh Dương")</f>
        <v>Lớp MG Ánh Dương</v>
      </c>
      <c r="C163" s="53" t="str">
        <f ca="1">IFERROR(__xludf.DUMMYFUNCTION("""COMPUTED_VALUE"""),"Vĩnh Lộc A")</f>
        <v>Vĩnh Lộc A</v>
      </c>
      <c r="D163" s="53" t="str">
        <f ca="1">IFERROR(__xludf.DUMMYFUNCTION("""COMPUTED_VALUE"""),"MN")</f>
        <v>MN</v>
      </c>
      <c r="E163" s="54" t="str">
        <f ca="1">IFERROR(__xludf.DUMMYFUNCTION("""COMPUTED_VALUE"""),"Bình Chánh")</f>
        <v>Bình Chánh</v>
      </c>
      <c r="F163" s="54">
        <f ca="1">IFERROR(__xludf.DUMMYFUNCTION("""COMPUTED_VALUE"""),9)</f>
        <v>9</v>
      </c>
      <c r="G163" s="54"/>
      <c r="H163" s="54">
        <f ca="1">IFERROR(__xludf.DUMMYFUNCTION("""COMPUTED_VALUE"""),9)</f>
        <v>9</v>
      </c>
      <c r="I163" s="54"/>
      <c r="J163" s="54">
        <f ca="1">IFERROR(__xludf.DUMMYFUNCTION("""COMPUTED_VALUE"""),9)</f>
        <v>9</v>
      </c>
      <c r="K163" s="54"/>
      <c r="L163" s="54">
        <f ca="1">IFERROR(__xludf.DUMMYFUNCTION("""COMPUTED_VALUE"""),8)</f>
        <v>8</v>
      </c>
      <c r="M163" s="54"/>
      <c r="N163" s="54">
        <f ca="1">IFERROR(__xludf.DUMMYFUNCTION("""COMPUTED_VALUE"""),0)</f>
        <v>0</v>
      </c>
      <c r="O163" s="54">
        <f ca="1">IFERROR(__xludf.DUMMYFUNCTION("""COMPUTED_VALUE"""),32)</f>
        <v>32</v>
      </c>
      <c r="P163" s="54"/>
      <c r="Q163" s="54">
        <f ca="1">IFERROR(__xludf.DUMMYFUNCTION("""COMPUTED_VALUE"""),7)</f>
        <v>7</v>
      </c>
      <c r="R163" s="54"/>
      <c r="S163" s="54">
        <f ca="1">IFERROR(__xludf.DUMMYFUNCTION("""COMPUTED_VALUE"""),0)</f>
        <v>0</v>
      </c>
      <c r="T163" s="53"/>
      <c r="U163" s="53"/>
      <c r="V163" s="53"/>
      <c r="W163" s="53"/>
      <c r="X163" s="53"/>
      <c r="Y163" s="53"/>
      <c r="Z163" s="2"/>
      <c r="AA163" s="2"/>
      <c r="AB163" s="2"/>
      <c r="AC163" s="2"/>
      <c r="AD163" s="2"/>
      <c r="AE163" s="2"/>
    </row>
    <row r="164" spans="1:31" ht="12.75" x14ac:dyDescent="0.2">
      <c r="A164" s="53">
        <f ca="1">IFERROR(__xludf.DUMMYFUNCTION("""COMPUTED_VALUE"""),89)</f>
        <v>89</v>
      </c>
      <c r="B164" s="53" t="str">
        <f ca="1">IFERROR(__xludf.DUMMYFUNCTION("""COMPUTED_VALUE"""),"Lớp MG Lá Sen")</f>
        <v>Lớp MG Lá Sen</v>
      </c>
      <c r="C164" s="53" t="str">
        <f ca="1">IFERROR(__xludf.DUMMYFUNCTION("""COMPUTED_VALUE"""),"Vĩnh Lộc A")</f>
        <v>Vĩnh Lộc A</v>
      </c>
      <c r="D164" s="53" t="str">
        <f ca="1">IFERROR(__xludf.DUMMYFUNCTION("""COMPUTED_VALUE"""),"MN")</f>
        <v>MN</v>
      </c>
      <c r="E164" s="54" t="str">
        <f ca="1">IFERROR(__xludf.DUMMYFUNCTION("""COMPUTED_VALUE"""),"Bình Chánh")</f>
        <v>Bình Chánh</v>
      </c>
      <c r="F164" s="54">
        <f ca="1">IFERROR(__xludf.DUMMYFUNCTION("""COMPUTED_VALUE"""),4)</f>
        <v>4</v>
      </c>
      <c r="G164" s="54"/>
      <c r="H164" s="54">
        <f ca="1">IFERROR(__xludf.DUMMYFUNCTION("""COMPUTED_VALUE"""),4)</f>
        <v>4</v>
      </c>
      <c r="I164" s="54"/>
      <c r="J164" s="54">
        <f ca="1">IFERROR(__xludf.DUMMYFUNCTION("""COMPUTED_VALUE"""),4)</f>
        <v>4</v>
      </c>
      <c r="K164" s="54"/>
      <c r="L164" s="54">
        <f ca="1">IFERROR(__xludf.DUMMYFUNCTION("""COMPUTED_VALUE"""),3)</f>
        <v>3</v>
      </c>
      <c r="M164" s="54"/>
      <c r="N164" s="54">
        <f ca="1">IFERROR(__xludf.DUMMYFUNCTION("""COMPUTED_VALUE"""),0)</f>
        <v>0</v>
      </c>
      <c r="O164" s="54">
        <f ca="1">IFERROR(__xludf.DUMMYFUNCTION("""COMPUTED_VALUE"""),0)</f>
        <v>0</v>
      </c>
      <c r="P164" s="54"/>
      <c r="Q164" s="54">
        <f ca="1">IFERROR(__xludf.DUMMYFUNCTION("""COMPUTED_VALUE"""),0)</f>
        <v>0</v>
      </c>
      <c r="R164" s="54"/>
      <c r="S164" s="54">
        <f ca="1">IFERROR(__xludf.DUMMYFUNCTION("""COMPUTED_VALUE"""),0)</f>
        <v>0</v>
      </c>
      <c r="T164" s="53"/>
      <c r="U164" s="53"/>
      <c r="V164" s="53"/>
      <c r="W164" s="53"/>
      <c r="X164" s="53"/>
      <c r="Y164" s="53"/>
      <c r="Z164" s="2"/>
      <c r="AA164" s="2"/>
      <c r="AB164" s="2"/>
      <c r="AC164" s="2"/>
      <c r="AD164" s="2"/>
      <c r="AE164" s="2"/>
    </row>
    <row r="165" spans="1:31" ht="12.75" x14ac:dyDescent="0.2">
      <c r="A165" s="53">
        <f ca="1">IFERROR(__xludf.DUMMYFUNCTION("""COMPUTED_VALUE"""),90)</f>
        <v>90</v>
      </c>
      <c r="B165" s="53" t="str">
        <f ca="1">IFERROR(__xludf.DUMMYFUNCTION("""COMPUTED_VALUE"""),"Lớp MG Hoa Nhi Lam")</f>
        <v>Lớp MG Hoa Nhi Lam</v>
      </c>
      <c r="C165" s="53" t="str">
        <f ca="1">IFERROR(__xludf.DUMMYFUNCTION("""COMPUTED_VALUE"""),"Vĩnh Lộc A")</f>
        <v>Vĩnh Lộc A</v>
      </c>
      <c r="D165" s="53" t="str">
        <f ca="1">IFERROR(__xludf.DUMMYFUNCTION("""COMPUTED_VALUE"""),"MN")</f>
        <v>MN</v>
      </c>
      <c r="E165" s="54" t="str">
        <f ca="1">IFERROR(__xludf.DUMMYFUNCTION("""COMPUTED_VALUE"""),"Bình Chánh")</f>
        <v>Bình Chánh</v>
      </c>
      <c r="F165" s="54">
        <f ca="1">IFERROR(__xludf.DUMMYFUNCTION("""COMPUTED_VALUE"""),9)</f>
        <v>9</v>
      </c>
      <c r="G165" s="54"/>
      <c r="H165" s="54">
        <f ca="1">IFERROR(__xludf.DUMMYFUNCTION("""COMPUTED_VALUE"""),9)</f>
        <v>9</v>
      </c>
      <c r="I165" s="54"/>
      <c r="J165" s="54">
        <f ca="1">IFERROR(__xludf.DUMMYFUNCTION("""COMPUTED_VALUE"""),9)</f>
        <v>9</v>
      </c>
      <c r="K165" s="54"/>
      <c r="L165" s="54">
        <f ca="1">IFERROR(__xludf.DUMMYFUNCTION("""COMPUTED_VALUE"""),9)</f>
        <v>9</v>
      </c>
      <c r="M165" s="54"/>
      <c r="N165" s="54">
        <f ca="1">IFERROR(__xludf.DUMMYFUNCTION("""COMPUTED_VALUE"""),0)</f>
        <v>0</v>
      </c>
      <c r="O165" s="54">
        <f ca="1">IFERROR(__xludf.DUMMYFUNCTION("""COMPUTED_VALUE"""),50)</f>
        <v>50</v>
      </c>
      <c r="P165" s="54"/>
      <c r="Q165" s="54">
        <f ca="1">IFERROR(__xludf.DUMMYFUNCTION("""COMPUTED_VALUE"""),2)</f>
        <v>2</v>
      </c>
      <c r="R165" s="54"/>
      <c r="S165" s="53">
        <f ca="1">IFERROR(__xludf.DUMMYFUNCTION("""COMPUTED_VALUE"""),0)</f>
        <v>0</v>
      </c>
      <c r="T165" s="53"/>
      <c r="U165" s="53"/>
      <c r="V165" s="53"/>
      <c r="W165" s="53"/>
      <c r="X165" s="53"/>
      <c r="Y165" s="53"/>
      <c r="Z165" s="2"/>
      <c r="AA165" s="2"/>
      <c r="AB165" s="2"/>
      <c r="AC165" s="2"/>
      <c r="AD165" s="2"/>
      <c r="AE165" s="2"/>
    </row>
    <row r="166" spans="1:31" ht="12.75" x14ac:dyDescent="0.2">
      <c r="A166" s="53">
        <f ca="1">IFERROR(__xludf.DUMMYFUNCTION("""COMPUTED_VALUE"""),91)</f>
        <v>91</v>
      </c>
      <c r="B166" s="53" t="str">
        <f ca="1">IFERROR(__xludf.DUMMYFUNCTION("""COMPUTED_VALUE"""),"Lớp MG Bé Ngoan 1")</f>
        <v>Lớp MG Bé Ngoan 1</v>
      </c>
      <c r="C166" s="53" t="str">
        <f ca="1">IFERROR(__xludf.DUMMYFUNCTION("""COMPUTED_VALUE"""),"Vĩnh Lộc A")</f>
        <v>Vĩnh Lộc A</v>
      </c>
      <c r="D166" s="53" t="str">
        <f ca="1">IFERROR(__xludf.DUMMYFUNCTION("""COMPUTED_VALUE"""),"MN")</f>
        <v>MN</v>
      </c>
      <c r="E166" s="54" t="str">
        <f ca="1">IFERROR(__xludf.DUMMYFUNCTION("""COMPUTED_VALUE"""),"Bình Chánh")</f>
        <v>Bình Chánh</v>
      </c>
      <c r="F166" s="54">
        <f ca="1">IFERROR(__xludf.DUMMYFUNCTION("""COMPUTED_VALUE"""),5)</f>
        <v>5</v>
      </c>
      <c r="G166" s="54"/>
      <c r="H166" s="54">
        <f ca="1">IFERROR(__xludf.DUMMYFUNCTION("""COMPUTED_VALUE"""),5)</f>
        <v>5</v>
      </c>
      <c r="I166" s="54"/>
      <c r="J166" s="54">
        <f ca="1">IFERROR(__xludf.DUMMYFUNCTION("""COMPUTED_VALUE"""),5)</f>
        <v>5</v>
      </c>
      <c r="K166" s="54"/>
      <c r="L166" s="54">
        <f ca="1">IFERROR(__xludf.DUMMYFUNCTION("""COMPUTED_VALUE"""),5)</f>
        <v>5</v>
      </c>
      <c r="M166" s="54"/>
      <c r="N166" s="54">
        <f ca="1">IFERROR(__xludf.DUMMYFUNCTION("""COMPUTED_VALUE"""),0)</f>
        <v>0</v>
      </c>
      <c r="O166" s="54">
        <f ca="1">IFERROR(__xludf.DUMMYFUNCTION("""COMPUTED_VALUE"""),3)</f>
        <v>3</v>
      </c>
      <c r="P166" s="54"/>
      <c r="Q166" s="54">
        <f ca="1">IFERROR(__xludf.DUMMYFUNCTION("""COMPUTED_VALUE"""),0)</f>
        <v>0</v>
      </c>
      <c r="R166" s="54"/>
      <c r="S166" s="54">
        <f ca="1">IFERROR(__xludf.DUMMYFUNCTION("""COMPUTED_VALUE"""),0)</f>
        <v>0</v>
      </c>
      <c r="T166" s="53"/>
      <c r="U166" s="53"/>
      <c r="V166" s="53"/>
      <c r="W166" s="53"/>
      <c r="X166" s="53"/>
      <c r="Y166" s="53"/>
      <c r="Z166" s="2"/>
      <c r="AA166" s="2"/>
      <c r="AB166" s="2"/>
      <c r="AC166" s="2"/>
      <c r="AD166" s="2"/>
      <c r="AE166" s="2"/>
    </row>
    <row r="167" spans="1:31" ht="12.75" x14ac:dyDescent="0.2">
      <c r="A167" s="53">
        <f ca="1">IFERROR(__xludf.DUMMYFUNCTION("""COMPUTED_VALUE"""),92)</f>
        <v>92</v>
      </c>
      <c r="B167" s="53" t="str">
        <f ca="1">IFERROR(__xludf.DUMMYFUNCTION("""COMPUTED_VALUE"""),"Lớp MG Thành Đô")</f>
        <v>Lớp MG Thành Đô</v>
      </c>
      <c r="C167" s="53" t="str">
        <f ca="1">IFERROR(__xludf.DUMMYFUNCTION("""COMPUTED_VALUE"""),"Vĩnh Lộc A")</f>
        <v>Vĩnh Lộc A</v>
      </c>
      <c r="D167" s="53" t="str">
        <f ca="1">IFERROR(__xludf.DUMMYFUNCTION("""COMPUTED_VALUE"""),"MN")</f>
        <v>MN</v>
      </c>
      <c r="E167" s="54" t="str">
        <f ca="1">IFERROR(__xludf.DUMMYFUNCTION("""COMPUTED_VALUE"""),"Bình Chánh")</f>
        <v>Bình Chánh</v>
      </c>
      <c r="F167" s="54">
        <f ca="1">IFERROR(__xludf.DUMMYFUNCTION("""COMPUTED_VALUE"""),6)</f>
        <v>6</v>
      </c>
      <c r="G167" s="54"/>
      <c r="H167" s="54">
        <f ca="1">IFERROR(__xludf.DUMMYFUNCTION("""COMPUTED_VALUE"""),6)</f>
        <v>6</v>
      </c>
      <c r="I167" s="54"/>
      <c r="J167" s="54">
        <f ca="1">IFERROR(__xludf.DUMMYFUNCTION("""COMPUTED_VALUE"""),6)</f>
        <v>6</v>
      </c>
      <c r="K167" s="54"/>
      <c r="L167" s="54">
        <f ca="1">IFERROR(__xludf.DUMMYFUNCTION("""COMPUTED_VALUE"""),6)</f>
        <v>6</v>
      </c>
      <c r="M167" s="54"/>
      <c r="N167" s="54">
        <f ca="1">IFERROR(__xludf.DUMMYFUNCTION("""COMPUTED_VALUE"""),0)</f>
        <v>0</v>
      </c>
      <c r="O167" s="54">
        <f ca="1">IFERROR(__xludf.DUMMYFUNCTION("""COMPUTED_VALUE"""),25)</f>
        <v>25</v>
      </c>
      <c r="P167" s="54"/>
      <c r="Q167" s="54">
        <f ca="1">IFERROR(__xludf.DUMMYFUNCTION("""COMPUTED_VALUE"""),0)</f>
        <v>0</v>
      </c>
      <c r="R167" s="54"/>
      <c r="S167" s="53">
        <f ca="1">IFERROR(__xludf.DUMMYFUNCTION("""COMPUTED_VALUE"""),0)</f>
        <v>0</v>
      </c>
      <c r="T167" s="53"/>
      <c r="U167" s="53"/>
      <c r="V167" s="53"/>
      <c r="W167" s="53"/>
      <c r="X167" s="53"/>
      <c r="Y167" s="53"/>
      <c r="Z167" s="2"/>
      <c r="AA167" s="2"/>
      <c r="AB167" s="2"/>
      <c r="AC167" s="2"/>
      <c r="AD167" s="2"/>
      <c r="AE167" s="2"/>
    </row>
    <row r="168" spans="1:31" ht="12.75" x14ac:dyDescent="0.2">
      <c r="A168" s="53">
        <f ca="1">IFERROR(__xludf.DUMMYFUNCTION("""COMPUTED_VALUE"""),93)</f>
        <v>93</v>
      </c>
      <c r="B168" s="53" t="str">
        <f ca="1">IFERROR(__xludf.DUMMYFUNCTION("""COMPUTED_VALUE"""),"Lớp MG Ánh Sáng")</f>
        <v>Lớp MG Ánh Sáng</v>
      </c>
      <c r="C168" s="53" t="str">
        <f ca="1">IFERROR(__xludf.DUMMYFUNCTION("""COMPUTED_VALUE"""),"Vĩnh Lộc A")</f>
        <v>Vĩnh Lộc A</v>
      </c>
      <c r="D168" s="53" t="str">
        <f ca="1">IFERROR(__xludf.DUMMYFUNCTION("""COMPUTED_VALUE"""),"MN")</f>
        <v>MN</v>
      </c>
      <c r="E168" s="54" t="str">
        <f ca="1">IFERROR(__xludf.DUMMYFUNCTION("""COMPUTED_VALUE"""),"Bình Chánh")</f>
        <v>Bình Chánh</v>
      </c>
      <c r="F168" s="54">
        <f ca="1">IFERROR(__xludf.DUMMYFUNCTION("""COMPUTED_VALUE"""),8)</f>
        <v>8</v>
      </c>
      <c r="G168" s="54"/>
      <c r="H168" s="54">
        <f ca="1">IFERROR(__xludf.DUMMYFUNCTION("""COMPUTED_VALUE"""),8)</f>
        <v>8</v>
      </c>
      <c r="I168" s="54"/>
      <c r="J168" s="54">
        <f ca="1">IFERROR(__xludf.DUMMYFUNCTION("""COMPUTED_VALUE"""),8)</f>
        <v>8</v>
      </c>
      <c r="K168" s="54"/>
      <c r="L168" s="54">
        <f ca="1">IFERROR(__xludf.DUMMYFUNCTION("""COMPUTED_VALUE"""),8)</f>
        <v>8</v>
      </c>
      <c r="M168" s="54"/>
      <c r="N168" s="54">
        <f ca="1">IFERROR(__xludf.DUMMYFUNCTION("""COMPUTED_VALUE"""),0)</f>
        <v>0</v>
      </c>
      <c r="O168" s="54">
        <f ca="1">IFERROR(__xludf.DUMMYFUNCTION("""COMPUTED_VALUE"""),26)</f>
        <v>26</v>
      </c>
      <c r="P168" s="54"/>
      <c r="Q168" s="54">
        <f ca="1">IFERROR(__xludf.DUMMYFUNCTION("""COMPUTED_VALUE"""),2)</f>
        <v>2</v>
      </c>
      <c r="R168" s="54"/>
      <c r="S168" s="53">
        <f ca="1">IFERROR(__xludf.DUMMYFUNCTION("""COMPUTED_VALUE"""),0)</f>
        <v>0</v>
      </c>
      <c r="T168" s="53"/>
      <c r="U168" s="53"/>
      <c r="V168" s="53"/>
      <c r="W168" s="53"/>
      <c r="X168" s="53"/>
      <c r="Y168" s="53"/>
      <c r="Z168" s="2"/>
      <c r="AA168" s="2"/>
      <c r="AB168" s="2"/>
      <c r="AC168" s="2"/>
      <c r="AD168" s="2"/>
      <c r="AE168" s="2"/>
    </row>
    <row r="169" spans="1:31" ht="12.75" x14ac:dyDescent="0.2">
      <c r="A169" s="53">
        <f ca="1">IFERROR(__xludf.DUMMYFUNCTION("""COMPUTED_VALUE"""),94)</f>
        <v>94</v>
      </c>
      <c r="B169" s="53" t="str">
        <f ca="1">IFERROR(__xludf.DUMMYFUNCTION("""COMPUTED_VALUE"""),"Lớp MG Mai Khôi")</f>
        <v>Lớp MG Mai Khôi</v>
      </c>
      <c r="C169" s="53" t="str">
        <f ca="1">IFERROR(__xludf.DUMMYFUNCTION("""COMPUTED_VALUE"""),"Vĩnh Lộc B")</f>
        <v>Vĩnh Lộc B</v>
      </c>
      <c r="D169" s="53" t="str">
        <f ca="1">IFERROR(__xludf.DUMMYFUNCTION("""COMPUTED_VALUE"""),"MN")</f>
        <v>MN</v>
      </c>
      <c r="E169" s="54" t="str">
        <f ca="1">IFERROR(__xludf.DUMMYFUNCTION("""COMPUTED_VALUE"""),"Bình Chánh")</f>
        <v>Bình Chánh</v>
      </c>
      <c r="F169" s="54">
        <f ca="1">IFERROR(__xludf.DUMMYFUNCTION("""COMPUTED_VALUE"""),8)</f>
        <v>8</v>
      </c>
      <c r="G169" s="54"/>
      <c r="H169" s="54">
        <f ca="1">IFERROR(__xludf.DUMMYFUNCTION("""COMPUTED_VALUE"""),8)</f>
        <v>8</v>
      </c>
      <c r="I169" s="54"/>
      <c r="J169" s="54">
        <f ca="1">IFERROR(__xludf.DUMMYFUNCTION("""COMPUTED_VALUE"""),8)</f>
        <v>8</v>
      </c>
      <c r="K169" s="54"/>
      <c r="L169" s="54">
        <f ca="1">IFERROR(__xludf.DUMMYFUNCTION("""COMPUTED_VALUE"""),8)</f>
        <v>8</v>
      </c>
      <c r="M169" s="54"/>
      <c r="N169" s="54">
        <f ca="1">IFERROR(__xludf.DUMMYFUNCTION("""COMPUTED_VALUE"""),0)</f>
        <v>0</v>
      </c>
      <c r="O169" s="54">
        <f ca="1">IFERROR(__xludf.DUMMYFUNCTION("""COMPUTED_VALUE"""),34)</f>
        <v>34</v>
      </c>
      <c r="P169" s="54"/>
      <c r="Q169" s="54">
        <f ca="1">IFERROR(__xludf.DUMMYFUNCTION("""COMPUTED_VALUE"""),1)</f>
        <v>1</v>
      </c>
      <c r="R169" s="54"/>
      <c r="S169" s="54">
        <f ca="1">IFERROR(__xludf.DUMMYFUNCTION("""COMPUTED_VALUE"""),12)</f>
        <v>12</v>
      </c>
      <c r="T169" s="53"/>
      <c r="U169" s="53"/>
      <c r="V169" s="53"/>
      <c r="W169" s="53"/>
      <c r="X169" s="53"/>
      <c r="Y169" s="53"/>
      <c r="Z169" s="2"/>
      <c r="AA169" s="2"/>
      <c r="AB169" s="2"/>
      <c r="AC169" s="2"/>
      <c r="AD169" s="2"/>
      <c r="AE169" s="2"/>
    </row>
    <row r="170" spans="1:31" ht="12.75" x14ac:dyDescent="0.2">
      <c r="A170" s="53">
        <f ca="1">IFERROR(__xludf.DUMMYFUNCTION("""COMPUTED_VALUE"""),95)</f>
        <v>95</v>
      </c>
      <c r="B170" s="53" t="str">
        <f ca="1">IFERROR(__xludf.DUMMYFUNCTION("""COMPUTED_VALUE"""),"Lớp MG Búp Sen")</f>
        <v>Lớp MG Búp Sen</v>
      </c>
      <c r="C170" s="53" t="str">
        <f ca="1">IFERROR(__xludf.DUMMYFUNCTION("""COMPUTED_VALUE"""),"Vĩnh Lộc B")</f>
        <v>Vĩnh Lộc B</v>
      </c>
      <c r="D170" s="53" t="str">
        <f ca="1">IFERROR(__xludf.DUMMYFUNCTION("""COMPUTED_VALUE"""),"MN")</f>
        <v>MN</v>
      </c>
      <c r="E170" s="54" t="str">
        <f ca="1">IFERROR(__xludf.DUMMYFUNCTION("""COMPUTED_VALUE"""),"Bình Chánh")</f>
        <v>Bình Chánh</v>
      </c>
      <c r="F170" s="54">
        <f ca="1">IFERROR(__xludf.DUMMYFUNCTION("""COMPUTED_VALUE"""),7)</f>
        <v>7</v>
      </c>
      <c r="G170" s="54"/>
      <c r="H170" s="54">
        <f ca="1">IFERROR(__xludf.DUMMYFUNCTION("""COMPUTED_VALUE"""),7)</f>
        <v>7</v>
      </c>
      <c r="I170" s="54"/>
      <c r="J170" s="54">
        <f ca="1">IFERROR(__xludf.DUMMYFUNCTION("""COMPUTED_VALUE"""),7)</f>
        <v>7</v>
      </c>
      <c r="K170" s="54"/>
      <c r="L170" s="54">
        <f ca="1">IFERROR(__xludf.DUMMYFUNCTION("""COMPUTED_VALUE"""),7)</f>
        <v>7</v>
      </c>
      <c r="M170" s="54"/>
      <c r="N170" s="54">
        <f ca="1">IFERROR(__xludf.DUMMYFUNCTION("""COMPUTED_VALUE"""),0)</f>
        <v>0</v>
      </c>
      <c r="O170" s="54">
        <f ca="1">IFERROR(__xludf.DUMMYFUNCTION("""COMPUTED_VALUE"""),16)</f>
        <v>16</v>
      </c>
      <c r="P170" s="54"/>
      <c r="Q170" s="54">
        <f ca="1">IFERROR(__xludf.DUMMYFUNCTION("""COMPUTED_VALUE"""),9)</f>
        <v>9</v>
      </c>
      <c r="R170" s="54"/>
      <c r="S170" s="54">
        <f ca="1">IFERROR(__xludf.DUMMYFUNCTION("""COMPUTED_VALUE"""),0)</f>
        <v>0</v>
      </c>
      <c r="T170" s="53"/>
      <c r="U170" s="53"/>
      <c r="V170" s="53"/>
      <c r="W170" s="53"/>
      <c r="X170" s="53"/>
      <c r="Y170" s="53"/>
      <c r="Z170" s="2"/>
      <c r="AA170" s="2"/>
      <c r="AB170" s="2"/>
      <c r="AC170" s="2"/>
      <c r="AD170" s="2"/>
      <c r="AE170" s="2"/>
    </row>
    <row r="171" spans="1:31" ht="12.75" x14ac:dyDescent="0.2">
      <c r="A171" s="53">
        <f ca="1">IFERROR(__xludf.DUMMYFUNCTION("""COMPUTED_VALUE"""),96)</f>
        <v>96</v>
      </c>
      <c r="B171" s="53" t="str">
        <f ca="1">IFERROR(__xludf.DUMMYFUNCTION("""COMPUTED_VALUE"""),"Lớp MG Phúc Nguyên")</f>
        <v>Lớp MG Phúc Nguyên</v>
      </c>
      <c r="C171" s="53" t="str">
        <f ca="1">IFERROR(__xludf.DUMMYFUNCTION("""COMPUTED_VALUE"""),"Vĩnh Lộc B")</f>
        <v>Vĩnh Lộc B</v>
      </c>
      <c r="D171" s="53" t="str">
        <f ca="1">IFERROR(__xludf.DUMMYFUNCTION("""COMPUTED_VALUE"""),"MN")</f>
        <v>MN</v>
      </c>
      <c r="E171" s="54" t="str">
        <f ca="1">IFERROR(__xludf.DUMMYFUNCTION("""COMPUTED_VALUE"""),"Bình Chánh")</f>
        <v>Bình Chánh</v>
      </c>
      <c r="F171" s="54">
        <f ca="1">IFERROR(__xludf.DUMMYFUNCTION("""COMPUTED_VALUE"""),22)</f>
        <v>22</v>
      </c>
      <c r="G171" s="54"/>
      <c r="H171" s="54">
        <f ca="1">IFERROR(__xludf.DUMMYFUNCTION("""COMPUTED_VALUE"""),22)</f>
        <v>22</v>
      </c>
      <c r="I171" s="54"/>
      <c r="J171" s="54">
        <f ca="1">IFERROR(__xludf.DUMMYFUNCTION("""COMPUTED_VALUE"""),16)</f>
        <v>16</v>
      </c>
      <c r="K171" s="54"/>
      <c r="L171" s="54">
        <f ca="1">IFERROR(__xludf.DUMMYFUNCTION("""COMPUTED_VALUE"""),10)</f>
        <v>10</v>
      </c>
      <c r="M171" s="54"/>
      <c r="N171" s="54">
        <f ca="1">IFERROR(__xludf.DUMMYFUNCTION("""COMPUTED_VALUE"""),0)</f>
        <v>0</v>
      </c>
      <c r="O171" s="53">
        <f ca="1">IFERROR(__xludf.DUMMYFUNCTION("""COMPUTED_VALUE"""),12)</f>
        <v>12</v>
      </c>
      <c r="P171" s="53"/>
      <c r="Q171" s="54">
        <f ca="1">IFERROR(__xludf.DUMMYFUNCTION("""COMPUTED_VALUE"""),5)</f>
        <v>5</v>
      </c>
      <c r="R171" s="54"/>
      <c r="S171" s="54">
        <f ca="1">IFERROR(__xludf.DUMMYFUNCTION("""COMPUTED_VALUE"""),0)</f>
        <v>0</v>
      </c>
      <c r="T171" s="53"/>
      <c r="U171" s="53"/>
      <c r="V171" s="53"/>
      <c r="W171" s="53"/>
      <c r="X171" s="53"/>
      <c r="Y171" s="53"/>
      <c r="Z171" s="2"/>
      <c r="AA171" s="2"/>
      <c r="AB171" s="2"/>
      <c r="AC171" s="2"/>
      <c r="AD171" s="2"/>
      <c r="AE171" s="2"/>
    </row>
    <row r="172" spans="1:31" ht="12.75" x14ac:dyDescent="0.2">
      <c r="A172" s="53">
        <f ca="1">IFERROR(__xludf.DUMMYFUNCTION("""COMPUTED_VALUE"""),97)</f>
        <v>97</v>
      </c>
      <c r="B172" s="53" t="str">
        <f ca="1">IFERROR(__xludf.DUMMYFUNCTION("""COMPUTED_VALUE"""),"Lớp MG Bé Ngoan")</f>
        <v>Lớp MG Bé Ngoan</v>
      </c>
      <c r="C172" s="53" t="str">
        <f ca="1">IFERROR(__xludf.DUMMYFUNCTION("""COMPUTED_VALUE"""),"Vĩnh Lộc B")</f>
        <v>Vĩnh Lộc B</v>
      </c>
      <c r="D172" s="53" t="str">
        <f ca="1">IFERROR(__xludf.DUMMYFUNCTION("""COMPUTED_VALUE"""),"MN")</f>
        <v>MN</v>
      </c>
      <c r="E172" s="54" t="str">
        <f ca="1">IFERROR(__xludf.DUMMYFUNCTION("""COMPUTED_VALUE"""),"Bình Chánh")</f>
        <v>Bình Chánh</v>
      </c>
      <c r="F172" s="54">
        <f ca="1">IFERROR(__xludf.DUMMYFUNCTION("""COMPUTED_VALUE"""),6)</f>
        <v>6</v>
      </c>
      <c r="G172" s="54"/>
      <c r="H172" s="54">
        <f ca="1">IFERROR(__xludf.DUMMYFUNCTION("""COMPUTED_VALUE"""),6)</f>
        <v>6</v>
      </c>
      <c r="I172" s="54"/>
      <c r="J172" s="54">
        <f ca="1">IFERROR(__xludf.DUMMYFUNCTION("""COMPUTED_VALUE"""),6)</f>
        <v>6</v>
      </c>
      <c r="K172" s="54"/>
      <c r="L172" s="54">
        <f ca="1">IFERROR(__xludf.DUMMYFUNCTION("""COMPUTED_VALUE"""),6)</f>
        <v>6</v>
      </c>
      <c r="M172" s="54"/>
      <c r="N172" s="54">
        <f ca="1">IFERROR(__xludf.DUMMYFUNCTION("""COMPUTED_VALUE"""),0)</f>
        <v>0</v>
      </c>
      <c r="O172" s="54">
        <f ca="1">IFERROR(__xludf.DUMMYFUNCTION("""COMPUTED_VALUE"""),19)</f>
        <v>19</v>
      </c>
      <c r="P172" s="54"/>
      <c r="Q172" s="54">
        <f ca="1">IFERROR(__xludf.DUMMYFUNCTION("""COMPUTED_VALUE"""),3)</f>
        <v>3</v>
      </c>
      <c r="R172" s="54"/>
      <c r="S172" s="53">
        <f ca="1">IFERROR(__xludf.DUMMYFUNCTION("""COMPUTED_VALUE"""),0)</f>
        <v>0</v>
      </c>
      <c r="T172" s="53"/>
      <c r="U172" s="53"/>
      <c r="V172" s="53"/>
      <c r="W172" s="53"/>
      <c r="X172" s="53"/>
      <c r="Y172" s="53"/>
      <c r="Z172" s="2"/>
      <c r="AA172" s="2"/>
      <c r="AB172" s="2"/>
      <c r="AC172" s="2"/>
      <c r="AD172" s="2"/>
      <c r="AE172" s="2"/>
    </row>
    <row r="173" spans="1:31" ht="12.75" x14ac:dyDescent="0.2">
      <c r="A173" s="53">
        <f ca="1">IFERROR(__xludf.DUMMYFUNCTION("""COMPUTED_VALUE"""),98)</f>
        <v>98</v>
      </c>
      <c r="B173" s="53" t="str">
        <f ca="1">IFERROR(__xludf.DUMMYFUNCTION("""COMPUTED_VALUE"""),"Lớp MG Kính Vạn Hoa")</f>
        <v>Lớp MG Kính Vạn Hoa</v>
      </c>
      <c r="C173" s="53" t="str">
        <f ca="1">IFERROR(__xludf.DUMMYFUNCTION("""COMPUTED_VALUE"""),"Vĩnh Lộc B")</f>
        <v>Vĩnh Lộc B</v>
      </c>
      <c r="D173" s="53" t="str">
        <f ca="1">IFERROR(__xludf.DUMMYFUNCTION("""COMPUTED_VALUE"""),"MN")</f>
        <v>MN</v>
      </c>
      <c r="E173" s="54" t="str">
        <f ca="1">IFERROR(__xludf.DUMMYFUNCTION("""COMPUTED_VALUE"""),"Bình Chánh")</f>
        <v>Bình Chánh</v>
      </c>
      <c r="F173" s="54">
        <f ca="1">IFERROR(__xludf.DUMMYFUNCTION("""COMPUTED_VALUE"""),0)</f>
        <v>0</v>
      </c>
      <c r="G173" s="54"/>
      <c r="H173" s="54">
        <f ca="1">IFERROR(__xludf.DUMMYFUNCTION("""COMPUTED_VALUE"""),0)</f>
        <v>0</v>
      </c>
      <c r="I173" s="54"/>
      <c r="J173" s="54">
        <f ca="1">IFERROR(__xludf.DUMMYFUNCTION("""COMPUTED_VALUE"""),0)</f>
        <v>0</v>
      </c>
      <c r="K173" s="54"/>
      <c r="L173" s="54">
        <f ca="1">IFERROR(__xludf.DUMMYFUNCTION("""COMPUTED_VALUE"""),0)</f>
        <v>0</v>
      </c>
      <c r="M173" s="54"/>
      <c r="N173" s="54">
        <f ca="1">IFERROR(__xludf.DUMMYFUNCTION("""COMPUTED_VALUE"""),6)</f>
        <v>6</v>
      </c>
      <c r="O173" s="54">
        <f ca="1">IFERROR(__xludf.DUMMYFUNCTION("""COMPUTED_VALUE"""),26)</f>
        <v>26</v>
      </c>
      <c r="P173" s="54"/>
      <c r="Q173" s="54">
        <f ca="1">IFERROR(__xludf.DUMMYFUNCTION("""COMPUTED_VALUE"""),2)</f>
        <v>2</v>
      </c>
      <c r="R173" s="54"/>
      <c r="S173" s="53">
        <f ca="1">IFERROR(__xludf.DUMMYFUNCTION("""COMPUTED_VALUE"""),0)</f>
        <v>0</v>
      </c>
      <c r="T173" s="53"/>
      <c r="U173" s="53"/>
      <c r="V173" s="53"/>
      <c r="W173" s="53"/>
      <c r="X173" s="53"/>
      <c r="Y173" s="53"/>
      <c r="Z173" s="2"/>
      <c r="AA173" s="2"/>
      <c r="AB173" s="2"/>
      <c r="AC173" s="2"/>
      <c r="AD173" s="2"/>
      <c r="AE173" s="2"/>
    </row>
    <row r="174" spans="1:31" ht="12.75" x14ac:dyDescent="0.2">
      <c r="A174" s="53">
        <f ca="1">IFERROR(__xludf.DUMMYFUNCTION("""COMPUTED_VALUE"""),99)</f>
        <v>99</v>
      </c>
      <c r="B174" s="53" t="str">
        <f ca="1">IFERROR(__xludf.DUMMYFUNCTION("""COMPUTED_VALUE"""),"Lớp MG TG T Thần Tiên")</f>
        <v>Lớp MG TG T Thần Tiên</v>
      </c>
      <c r="C174" s="53" t="str">
        <f ca="1">IFERROR(__xludf.DUMMYFUNCTION("""COMPUTED_VALUE"""),"Vĩnh Lộc B")</f>
        <v>Vĩnh Lộc B</v>
      </c>
      <c r="D174" s="53" t="str">
        <f ca="1">IFERROR(__xludf.DUMMYFUNCTION("""COMPUTED_VALUE"""),"MN")</f>
        <v>MN</v>
      </c>
      <c r="E174" s="54" t="str">
        <f ca="1">IFERROR(__xludf.DUMMYFUNCTION("""COMPUTED_VALUE"""),"Bình Chánh")</f>
        <v>Bình Chánh</v>
      </c>
      <c r="F174" s="54">
        <f ca="1">IFERROR(__xludf.DUMMYFUNCTION("""COMPUTED_VALUE"""),10)</f>
        <v>10</v>
      </c>
      <c r="G174" s="54"/>
      <c r="H174" s="54">
        <f ca="1">IFERROR(__xludf.DUMMYFUNCTION("""COMPUTED_VALUE"""),10)</f>
        <v>10</v>
      </c>
      <c r="I174" s="54"/>
      <c r="J174" s="54">
        <f ca="1">IFERROR(__xludf.DUMMYFUNCTION("""COMPUTED_VALUE"""),10)</f>
        <v>10</v>
      </c>
      <c r="K174" s="54"/>
      <c r="L174" s="54">
        <f ca="1">IFERROR(__xludf.DUMMYFUNCTION("""COMPUTED_VALUE"""),10)</f>
        <v>10</v>
      </c>
      <c r="M174" s="54"/>
      <c r="N174" s="54">
        <f ca="1">IFERROR(__xludf.DUMMYFUNCTION("""COMPUTED_VALUE"""),0)</f>
        <v>0</v>
      </c>
      <c r="O174" s="54">
        <f ca="1">IFERROR(__xludf.DUMMYFUNCTION("""COMPUTED_VALUE"""),33)</f>
        <v>33</v>
      </c>
      <c r="P174" s="54"/>
      <c r="Q174" s="54">
        <f ca="1">IFERROR(__xludf.DUMMYFUNCTION("""COMPUTED_VALUE"""),3)</f>
        <v>3</v>
      </c>
      <c r="R174" s="54"/>
      <c r="S174" s="53">
        <f ca="1">IFERROR(__xludf.DUMMYFUNCTION("""COMPUTED_VALUE"""),0)</f>
        <v>0</v>
      </c>
      <c r="T174" s="53"/>
      <c r="U174" s="53"/>
      <c r="V174" s="53"/>
      <c r="W174" s="53"/>
      <c r="X174" s="53"/>
      <c r="Y174" s="53"/>
      <c r="Z174" s="2"/>
      <c r="AA174" s="2"/>
      <c r="AB174" s="2"/>
      <c r="AC174" s="2"/>
      <c r="AD174" s="2"/>
      <c r="AE174" s="2"/>
    </row>
    <row r="175" spans="1:31" ht="12.75" x14ac:dyDescent="0.2">
      <c r="A175" s="53">
        <f ca="1">IFERROR(__xludf.DUMMYFUNCTION("""COMPUTED_VALUE"""),100)</f>
        <v>100</v>
      </c>
      <c r="B175" s="53" t="str">
        <f ca="1">IFERROR(__xludf.DUMMYFUNCTION("""COMPUTED_VALUE"""),"Lớp MG Quỳnh Lan")</f>
        <v>Lớp MG Quỳnh Lan</v>
      </c>
      <c r="C175" s="53" t="str">
        <f ca="1">IFERROR(__xludf.DUMMYFUNCTION("""COMPUTED_VALUE"""),"Vĩnh Lộc B")</f>
        <v>Vĩnh Lộc B</v>
      </c>
      <c r="D175" s="53" t="str">
        <f ca="1">IFERROR(__xludf.DUMMYFUNCTION("""COMPUTED_VALUE"""),"MN")</f>
        <v>MN</v>
      </c>
      <c r="E175" s="54" t="str">
        <f ca="1">IFERROR(__xludf.DUMMYFUNCTION("""COMPUTED_VALUE"""),"Bình Chánh")</f>
        <v>Bình Chánh</v>
      </c>
      <c r="F175" s="54">
        <f ca="1">IFERROR(__xludf.DUMMYFUNCTION("""COMPUTED_VALUE"""),7)</f>
        <v>7</v>
      </c>
      <c r="G175" s="54"/>
      <c r="H175" s="54">
        <f ca="1">IFERROR(__xludf.DUMMYFUNCTION("""COMPUTED_VALUE"""),7)</f>
        <v>7</v>
      </c>
      <c r="I175" s="54"/>
      <c r="J175" s="54">
        <f ca="1">IFERROR(__xludf.DUMMYFUNCTION("""COMPUTED_VALUE"""),7)</f>
        <v>7</v>
      </c>
      <c r="K175" s="54"/>
      <c r="L175" s="54">
        <f ca="1">IFERROR(__xludf.DUMMYFUNCTION("""COMPUTED_VALUE"""),7)</f>
        <v>7</v>
      </c>
      <c r="M175" s="54"/>
      <c r="N175" s="54">
        <f ca="1">IFERROR(__xludf.DUMMYFUNCTION("""COMPUTED_VALUE"""),0)</f>
        <v>0</v>
      </c>
      <c r="O175" s="54">
        <f ca="1">IFERROR(__xludf.DUMMYFUNCTION("""COMPUTED_VALUE"""),37)</f>
        <v>37</v>
      </c>
      <c r="P175" s="54"/>
      <c r="Q175" s="54">
        <f ca="1">IFERROR(__xludf.DUMMYFUNCTION("""COMPUTED_VALUE"""),5)</f>
        <v>5</v>
      </c>
      <c r="R175" s="54"/>
      <c r="S175" s="54">
        <f ca="1">IFERROR(__xludf.DUMMYFUNCTION("""COMPUTED_VALUE"""),0)</f>
        <v>0</v>
      </c>
      <c r="T175" s="53"/>
      <c r="U175" s="53"/>
      <c r="V175" s="53"/>
      <c r="W175" s="53"/>
      <c r="X175" s="53"/>
      <c r="Y175" s="53"/>
      <c r="Z175" s="2"/>
      <c r="AA175" s="2"/>
      <c r="AB175" s="2"/>
      <c r="AC175" s="2"/>
      <c r="AD175" s="2"/>
      <c r="AE175" s="2"/>
    </row>
    <row r="176" spans="1:31" ht="12.75" x14ac:dyDescent="0.2">
      <c r="A176" s="53">
        <f ca="1">IFERROR(__xludf.DUMMYFUNCTION("""COMPUTED_VALUE"""),101)</f>
        <v>101</v>
      </c>
      <c r="B176" s="53" t="str">
        <f ca="1">IFERROR(__xludf.DUMMYFUNCTION("""COMPUTED_VALUE"""),"Lớp MG Thảo Nguyên")</f>
        <v>Lớp MG Thảo Nguyên</v>
      </c>
      <c r="C176" s="53" t="str">
        <f ca="1">IFERROR(__xludf.DUMMYFUNCTION("""COMPUTED_VALUE"""),"Vĩnh Lộc B")</f>
        <v>Vĩnh Lộc B</v>
      </c>
      <c r="D176" s="53" t="str">
        <f ca="1">IFERROR(__xludf.DUMMYFUNCTION("""COMPUTED_VALUE"""),"MN")</f>
        <v>MN</v>
      </c>
      <c r="E176" s="54" t="str">
        <f ca="1">IFERROR(__xludf.DUMMYFUNCTION("""COMPUTED_VALUE"""),"Bình Chánh")</f>
        <v>Bình Chánh</v>
      </c>
      <c r="F176" s="54">
        <f ca="1">IFERROR(__xludf.DUMMYFUNCTION("""COMPUTED_VALUE"""),10)</f>
        <v>10</v>
      </c>
      <c r="G176" s="54"/>
      <c r="H176" s="54">
        <f ca="1">IFERROR(__xludf.DUMMYFUNCTION("""COMPUTED_VALUE"""),10)</f>
        <v>10</v>
      </c>
      <c r="I176" s="54"/>
      <c r="J176" s="54">
        <f ca="1">IFERROR(__xludf.DUMMYFUNCTION("""COMPUTED_VALUE"""),10)</f>
        <v>10</v>
      </c>
      <c r="K176" s="54"/>
      <c r="L176" s="54">
        <f ca="1">IFERROR(__xludf.DUMMYFUNCTION("""COMPUTED_VALUE"""),10)</f>
        <v>10</v>
      </c>
      <c r="M176" s="54"/>
      <c r="N176" s="54">
        <f ca="1">IFERROR(__xludf.DUMMYFUNCTION("""COMPUTED_VALUE"""),0)</f>
        <v>0</v>
      </c>
      <c r="O176" s="54">
        <f ca="1">IFERROR(__xludf.DUMMYFUNCTION("""COMPUTED_VALUE"""),61)</f>
        <v>61</v>
      </c>
      <c r="P176" s="54"/>
      <c r="Q176" s="54">
        <f ca="1">IFERROR(__xludf.DUMMYFUNCTION("""COMPUTED_VALUE"""),10)</f>
        <v>10</v>
      </c>
      <c r="R176" s="54"/>
      <c r="S176" s="54">
        <f ca="1">IFERROR(__xludf.DUMMYFUNCTION("""COMPUTED_VALUE"""),0)</f>
        <v>0</v>
      </c>
      <c r="T176" s="53"/>
      <c r="U176" s="53"/>
      <c r="V176" s="53"/>
      <c r="W176" s="53"/>
      <c r="X176" s="53"/>
      <c r="Y176" s="53"/>
      <c r="Z176" s="2"/>
      <c r="AA176" s="2"/>
      <c r="AB176" s="2"/>
      <c r="AC176" s="2"/>
      <c r="AD176" s="2"/>
      <c r="AE176" s="2"/>
    </row>
    <row r="177" spans="1:31" ht="12.75" x14ac:dyDescent="0.2">
      <c r="A177" s="53">
        <f ca="1">IFERROR(__xludf.DUMMYFUNCTION("""COMPUTED_VALUE"""),102)</f>
        <v>102</v>
      </c>
      <c r="B177" s="53" t="str">
        <f ca="1">IFERROR(__xludf.DUMMYFUNCTION("""COMPUTED_VALUE"""),"Lớp MG Sao Kim")</f>
        <v>Lớp MG Sao Kim</v>
      </c>
      <c r="C177" s="53" t="str">
        <f ca="1">IFERROR(__xludf.DUMMYFUNCTION("""COMPUTED_VALUE"""),"Vĩnh Lộc B")</f>
        <v>Vĩnh Lộc B</v>
      </c>
      <c r="D177" s="53" t="str">
        <f ca="1">IFERROR(__xludf.DUMMYFUNCTION("""COMPUTED_VALUE"""),"MN")</f>
        <v>MN</v>
      </c>
      <c r="E177" s="54" t="str">
        <f ca="1">IFERROR(__xludf.DUMMYFUNCTION("""COMPUTED_VALUE"""),"Bình Chánh")</f>
        <v>Bình Chánh</v>
      </c>
      <c r="F177" s="54">
        <f ca="1">IFERROR(__xludf.DUMMYFUNCTION("""COMPUTED_VALUE"""),6)</f>
        <v>6</v>
      </c>
      <c r="G177" s="54"/>
      <c r="H177" s="54">
        <f ca="1">IFERROR(__xludf.DUMMYFUNCTION("""COMPUTED_VALUE"""),6)</f>
        <v>6</v>
      </c>
      <c r="I177" s="54"/>
      <c r="J177" s="54">
        <f ca="1">IFERROR(__xludf.DUMMYFUNCTION("""COMPUTED_VALUE"""),6)</f>
        <v>6</v>
      </c>
      <c r="K177" s="54"/>
      <c r="L177" s="54">
        <f ca="1">IFERROR(__xludf.DUMMYFUNCTION("""COMPUTED_VALUE"""),6)</f>
        <v>6</v>
      </c>
      <c r="M177" s="54"/>
      <c r="N177" s="54">
        <f ca="1">IFERROR(__xludf.DUMMYFUNCTION("""COMPUTED_VALUE"""),0)</f>
        <v>0</v>
      </c>
      <c r="O177" s="54">
        <f ca="1">IFERROR(__xludf.DUMMYFUNCTION("""COMPUTED_VALUE"""),0)</f>
        <v>0</v>
      </c>
      <c r="P177" s="54"/>
      <c r="Q177" s="54">
        <f ca="1">IFERROR(__xludf.DUMMYFUNCTION("""COMPUTED_VALUE"""),0)</f>
        <v>0</v>
      </c>
      <c r="R177" s="54"/>
      <c r="S177" s="54">
        <f ca="1">IFERROR(__xludf.DUMMYFUNCTION("""COMPUTED_VALUE"""),0)</f>
        <v>0</v>
      </c>
      <c r="T177" s="53"/>
      <c r="U177" s="53"/>
      <c r="V177" s="53"/>
      <c r="W177" s="53"/>
      <c r="X177" s="53"/>
      <c r="Y177" s="53"/>
      <c r="Z177" s="2"/>
      <c r="AA177" s="2"/>
      <c r="AB177" s="2"/>
      <c r="AC177" s="2"/>
      <c r="AD177" s="2"/>
      <c r="AE177" s="2"/>
    </row>
    <row r="178" spans="1:31" ht="12.75" x14ac:dyDescent="0.2">
      <c r="A178" s="53">
        <f ca="1">IFERROR(__xludf.DUMMYFUNCTION("""COMPUTED_VALUE"""),103)</f>
        <v>103</v>
      </c>
      <c r="B178" s="53" t="str">
        <f ca="1">IFERROR(__xludf.DUMMYFUNCTION("""COMPUTED_VALUE"""),"Lớp MG Sao Việt")</f>
        <v>Lớp MG Sao Việt</v>
      </c>
      <c r="C178" s="53" t="str">
        <f ca="1">IFERROR(__xludf.DUMMYFUNCTION("""COMPUTED_VALUE"""),"Vĩnh Lộc B")</f>
        <v>Vĩnh Lộc B</v>
      </c>
      <c r="D178" s="53" t="str">
        <f ca="1">IFERROR(__xludf.DUMMYFUNCTION("""COMPUTED_VALUE"""),"MN")</f>
        <v>MN</v>
      </c>
      <c r="E178" s="54" t="str">
        <f ca="1">IFERROR(__xludf.DUMMYFUNCTION("""COMPUTED_VALUE"""),"Bình Chánh")</f>
        <v>Bình Chánh</v>
      </c>
      <c r="F178" s="54">
        <f ca="1">IFERROR(__xludf.DUMMYFUNCTION("""COMPUTED_VALUE"""),0)</f>
        <v>0</v>
      </c>
      <c r="G178" s="54"/>
      <c r="H178" s="54">
        <f ca="1">IFERROR(__xludf.DUMMYFUNCTION("""COMPUTED_VALUE"""),0)</f>
        <v>0</v>
      </c>
      <c r="I178" s="54"/>
      <c r="J178" s="54">
        <f ca="1">IFERROR(__xludf.DUMMYFUNCTION("""COMPUTED_VALUE"""),0)</f>
        <v>0</v>
      </c>
      <c r="K178" s="54"/>
      <c r="L178" s="54">
        <f ca="1">IFERROR(__xludf.DUMMYFUNCTION("""COMPUTED_VALUE"""),0)</f>
        <v>0</v>
      </c>
      <c r="M178" s="54"/>
      <c r="N178" s="54">
        <f ca="1">IFERROR(__xludf.DUMMYFUNCTION("""COMPUTED_VALUE"""),0)</f>
        <v>0</v>
      </c>
      <c r="O178" s="54">
        <f ca="1">IFERROR(__xludf.DUMMYFUNCTION("""COMPUTED_VALUE"""),10)</f>
        <v>10</v>
      </c>
      <c r="P178" s="54"/>
      <c r="Q178" s="54">
        <f ca="1">IFERROR(__xludf.DUMMYFUNCTION("""COMPUTED_VALUE"""),0)</f>
        <v>0</v>
      </c>
      <c r="R178" s="54"/>
      <c r="S178" s="53">
        <f ca="1">IFERROR(__xludf.DUMMYFUNCTION("""COMPUTED_VALUE"""),0)</f>
        <v>0</v>
      </c>
      <c r="T178" s="53"/>
      <c r="U178" s="53"/>
      <c r="V178" s="53"/>
      <c r="W178" s="53"/>
      <c r="X178" s="53"/>
      <c r="Y178" s="53"/>
      <c r="Z178" s="2"/>
      <c r="AA178" s="2"/>
      <c r="AB178" s="2"/>
      <c r="AC178" s="2"/>
      <c r="AD178" s="2"/>
      <c r="AE178" s="2"/>
    </row>
    <row r="179" spans="1:31" ht="12.75" x14ac:dyDescent="0.2">
      <c r="A179" s="53">
        <f ca="1">IFERROR(__xludf.DUMMYFUNCTION("""COMPUTED_VALUE"""),104)</f>
        <v>104</v>
      </c>
      <c r="B179" s="53" t="str">
        <f ca="1">IFERROR(__xludf.DUMMYFUNCTION("""COMPUTED_VALUE"""),"Lớp MG Tấn Phát")</f>
        <v>Lớp MG Tấn Phát</v>
      </c>
      <c r="C179" s="53" t="str">
        <f ca="1">IFERROR(__xludf.DUMMYFUNCTION("""COMPUTED_VALUE"""),"Vĩnh Lộc B")</f>
        <v>Vĩnh Lộc B</v>
      </c>
      <c r="D179" s="53" t="str">
        <f ca="1">IFERROR(__xludf.DUMMYFUNCTION("""COMPUTED_VALUE"""),"MN")</f>
        <v>MN</v>
      </c>
      <c r="E179" s="54" t="str">
        <f ca="1">IFERROR(__xludf.DUMMYFUNCTION("""COMPUTED_VALUE"""),"Bình Chánh")</f>
        <v>Bình Chánh</v>
      </c>
      <c r="F179" s="54">
        <f ca="1">IFERROR(__xludf.DUMMYFUNCTION("""COMPUTED_VALUE"""),5)</f>
        <v>5</v>
      </c>
      <c r="G179" s="54"/>
      <c r="H179" s="54">
        <f ca="1">IFERROR(__xludf.DUMMYFUNCTION("""COMPUTED_VALUE"""),5)</f>
        <v>5</v>
      </c>
      <c r="I179" s="54"/>
      <c r="J179" s="54">
        <f ca="1">IFERROR(__xludf.DUMMYFUNCTION("""COMPUTED_VALUE"""),5)</f>
        <v>5</v>
      </c>
      <c r="K179" s="54"/>
      <c r="L179" s="54">
        <f ca="1">IFERROR(__xludf.DUMMYFUNCTION("""COMPUTED_VALUE"""),5)</f>
        <v>5</v>
      </c>
      <c r="M179" s="54"/>
      <c r="N179" s="54">
        <f ca="1">IFERROR(__xludf.DUMMYFUNCTION("""COMPUTED_VALUE"""),0)</f>
        <v>0</v>
      </c>
      <c r="O179" s="54">
        <f ca="1">IFERROR(__xludf.DUMMYFUNCTION("""COMPUTED_VALUE"""),0)</f>
        <v>0</v>
      </c>
      <c r="P179" s="54"/>
      <c r="Q179" s="54">
        <f ca="1">IFERROR(__xludf.DUMMYFUNCTION("""COMPUTED_VALUE"""),0)</f>
        <v>0</v>
      </c>
      <c r="R179" s="54"/>
      <c r="S179" s="53">
        <f ca="1">IFERROR(__xludf.DUMMYFUNCTION("""COMPUTED_VALUE"""),0)</f>
        <v>0</v>
      </c>
      <c r="T179" s="53"/>
      <c r="U179" s="53"/>
      <c r="V179" s="53"/>
      <c r="W179" s="53"/>
      <c r="X179" s="53"/>
      <c r="Y179" s="53"/>
      <c r="Z179" s="2"/>
      <c r="AA179" s="2"/>
      <c r="AB179" s="2"/>
      <c r="AC179" s="2"/>
      <c r="AD179" s="2"/>
      <c r="AE179" s="2"/>
    </row>
    <row r="180" spans="1:31" ht="12.75" x14ac:dyDescent="0.2">
      <c r="A180" s="53">
        <f ca="1">IFERROR(__xludf.DUMMYFUNCTION("""COMPUTED_VALUE"""),105)</f>
        <v>105</v>
      </c>
      <c r="B180" s="53" t="str">
        <f ca="1">IFERROR(__xludf.DUMMYFUNCTION("""COMPUTED_VALUE"""),"Lớp MG Lan Anh")</f>
        <v>Lớp MG Lan Anh</v>
      </c>
      <c r="C180" s="53" t="str">
        <f ca="1">IFERROR(__xludf.DUMMYFUNCTION("""COMPUTED_VALUE"""),"Vĩnh Lộc B")</f>
        <v>Vĩnh Lộc B</v>
      </c>
      <c r="D180" s="53" t="str">
        <f ca="1">IFERROR(__xludf.DUMMYFUNCTION("""COMPUTED_VALUE"""),"MN")</f>
        <v>MN</v>
      </c>
      <c r="E180" s="54" t="str">
        <f ca="1">IFERROR(__xludf.DUMMYFUNCTION("""COMPUTED_VALUE"""),"Bình Chánh")</f>
        <v>Bình Chánh</v>
      </c>
      <c r="F180" s="54">
        <f ca="1">IFERROR(__xludf.DUMMYFUNCTION("""COMPUTED_VALUE"""),7)</f>
        <v>7</v>
      </c>
      <c r="G180" s="54"/>
      <c r="H180" s="54">
        <f ca="1">IFERROR(__xludf.DUMMYFUNCTION("""COMPUTED_VALUE"""),7)</f>
        <v>7</v>
      </c>
      <c r="I180" s="54"/>
      <c r="J180" s="54">
        <f ca="1">IFERROR(__xludf.DUMMYFUNCTION("""COMPUTED_VALUE"""),7)</f>
        <v>7</v>
      </c>
      <c r="K180" s="54"/>
      <c r="L180" s="54">
        <f ca="1">IFERROR(__xludf.DUMMYFUNCTION("""COMPUTED_VALUE"""),7)</f>
        <v>7</v>
      </c>
      <c r="M180" s="54"/>
      <c r="N180" s="54">
        <f ca="1">IFERROR(__xludf.DUMMYFUNCTION("""COMPUTED_VALUE"""),0)</f>
        <v>0</v>
      </c>
      <c r="O180" s="54">
        <f ca="1">IFERROR(__xludf.DUMMYFUNCTION("""COMPUTED_VALUE"""),20)</f>
        <v>20</v>
      </c>
      <c r="P180" s="54"/>
      <c r="Q180" s="54">
        <f ca="1">IFERROR(__xludf.DUMMYFUNCTION("""COMPUTED_VALUE"""),20)</f>
        <v>20</v>
      </c>
      <c r="R180" s="54"/>
      <c r="S180" s="53">
        <f ca="1">IFERROR(__xludf.DUMMYFUNCTION("""COMPUTED_VALUE"""),0)</f>
        <v>0</v>
      </c>
      <c r="T180" s="53"/>
      <c r="U180" s="53"/>
      <c r="V180" s="53"/>
      <c r="W180" s="53"/>
      <c r="X180" s="53"/>
      <c r="Y180" s="53"/>
      <c r="Z180" s="2"/>
      <c r="AA180" s="2"/>
      <c r="AB180" s="2"/>
      <c r="AC180" s="2"/>
      <c r="AD180" s="2"/>
      <c r="AE180" s="2"/>
    </row>
    <row r="181" spans="1:31" ht="12.75" x14ac:dyDescent="0.2">
      <c r="A181" s="53">
        <f ca="1">IFERROR(__xludf.DUMMYFUNCTION("""COMPUTED_VALUE"""),106)</f>
        <v>106</v>
      </c>
      <c r="B181" s="53" t="str">
        <f ca="1">IFERROR(__xludf.DUMMYFUNCTION("""COMPUTED_VALUE"""),"Lớp MG Duyên Hồng")</f>
        <v>Lớp MG Duyên Hồng</v>
      </c>
      <c r="C181" s="53" t="str">
        <f ca="1">IFERROR(__xludf.DUMMYFUNCTION("""COMPUTED_VALUE"""),"Vĩnh Lộc B")</f>
        <v>Vĩnh Lộc B</v>
      </c>
      <c r="D181" s="53" t="str">
        <f ca="1">IFERROR(__xludf.DUMMYFUNCTION("""COMPUTED_VALUE"""),"MN")</f>
        <v>MN</v>
      </c>
      <c r="E181" s="54" t="str">
        <f ca="1">IFERROR(__xludf.DUMMYFUNCTION("""COMPUTED_VALUE"""),"Bình Chánh")</f>
        <v>Bình Chánh</v>
      </c>
      <c r="F181" s="54">
        <f ca="1">IFERROR(__xludf.DUMMYFUNCTION("""COMPUTED_VALUE"""),0)</f>
        <v>0</v>
      </c>
      <c r="G181" s="54"/>
      <c r="H181" s="54">
        <f ca="1">IFERROR(__xludf.DUMMYFUNCTION("""COMPUTED_VALUE"""),0)</f>
        <v>0</v>
      </c>
      <c r="I181" s="54"/>
      <c r="J181" s="54">
        <f ca="1">IFERROR(__xludf.DUMMYFUNCTION("""COMPUTED_VALUE"""),0)</f>
        <v>0</v>
      </c>
      <c r="K181" s="54"/>
      <c r="L181" s="54">
        <f ca="1">IFERROR(__xludf.DUMMYFUNCTION("""COMPUTED_VALUE"""),0)</f>
        <v>0</v>
      </c>
      <c r="M181" s="54"/>
      <c r="N181" s="54">
        <f ca="1">IFERROR(__xludf.DUMMYFUNCTION("""COMPUTED_VALUE"""),0)</f>
        <v>0</v>
      </c>
      <c r="O181" s="54">
        <f ca="1">IFERROR(__xludf.DUMMYFUNCTION("""COMPUTED_VALUE"""),9)</f>
        <v>9</v>
      </c>
      <c r="P181" s="54"/>
      <c r="Q181" s="54">
        <f ca="1">IFERROR(__xludf.DUMMYFUNCTION("""COMPUTED_VALUE"""),0)</f>
        <v>0</v>
      </c>
      <c r="R181" s="54"/>
      <c r="S181" s="53">
        <f ca="1">IFERROR(__xludf.DUMMYFUNCTION("""COMPUTED_VALUE"""),0)</f>
        <v>0</v>
      </c>
      <c r="T181" s="53"/>
      <c r="U181" s="53"/>
      <c r="V181" s="53"/>
      <c r="W181" s="53"/>
      <c r="X181" s="53"/>
      <c r="Y181" s="53"/>
      <c r="Z181" s="2"/>
      <c r="AA181" s="2"/>
      <c r="AB181" s="2"/>
      <c r="AC181" s="2"/>
      <c r="AD181" s="2"/>
      <c r="AE181" s="2"/>
    </row>
    <row r="182" spans="1:31" ht="12.75" x14ac:dyDescent="0.2">
      <c r="A182" s="53">
        <f ca="1">IFERROR(__xludf.DUMMYFUNCTION("""COMPUTED_VALUE"""),107)</f>
        <v>107</v>
      </c>
      <c r="B182" s="53" t="str">
        <f ca="1">IFERROR(__xludf.DUMMYFUNCTION("""COMPUTED_VALUE"""),"Lớp MG Búp Măng")</f>
        <v>Lớp MG Búp Măng</v>
      </c>
      <c r="C182" s="53" t="str">
        <f ca="1">IFERROR(__xludf.DUMMYFUNCTION("""COMPUTED_VALUE"""),"Vĩnh Lộc B")</f>
        <v>Vĩnh Lộc B</v>
      </c>
      <c r="D182" s="53" t="str">
        <f ca="1">IFERROR(__xludf.DUMMYFUNCTION("""COMPUTED_VALUE"""),"MN")</f>
        <v>MN</v>
      </c>
      <c r="E182" s="54" t="str">
        <f ca="1">IFERROR(__xludf.DUMMYFUNCTION("""COMPUTED_VALUE"""),"Bình Chánh")</f>
        <v>Bình Chánh</v>
      </c>
      <c r="F182" s="54">
        <f ca="1">IFERROR(__xludf.DUMMYFUNCTION("""COMPUTED_VALUE"""),0)</f>
        <v>0</v>
      </c>
      <c r="G182" s="54"/>
      <c r="H182" s="54">
        <f ca="1">IFERROR(__xludf.DUMMYFUNCTION("""COMPUTED_VALUE"""),0)</f>
        <v>0</v>
      </c>
      <c r="I182" s="54"/>
      <c r="J182" s="54">
        <f ca="1">IFERROR(__xludf.DUMMYFUNCTION("""COMPUTED_VALUE"""),0)</f>
        <v>0</v>
      </c>
      <c r="K182" s="54"/>
      <c r="L182" s="54">
        <f ca="1">IFERROR(__xludf.DUMMYFUNCTION("""COMPUTED_VALUE"""),0)</f>
        <v>0</v>
      </c>
      <c r="M182" s="54"/>
      <c r="N182" s="54">
        <f ca="1">IFERROR(__xludf.DUMMYFUNCTION("""COMPUTED_VALUE"""),0)</f>
        <v>0</v>
      </c>
      <c r="O182" s="54">
        <f ca="1">IFERROR(__xludf.DUMMYFUNCTION("""COMPUTED_VALUE"""),27)</f>
        <v>27</v>
      </c>
      <c r="P182" s="54"/>
      <c r="Q182" s="54">
        <f ca="1">IFERROR(__xludf.DUMMYFUNCTION("""COMPUTED_VALUE"""),0)</f>
        <v>0</v>
      </c>
      <c r="R182" s="54"/>
      <c r="S182" s="53">
        <f ca="1">IFERROR(__xludf.DUMMYFUNCTION("""COMPUTED_VALUE"""),0)</f>
        <v>0</v>
      </c>
      <c r="T182" s="53"/>
      <c r="U182" s="53"/>
      <c r="V182" s="53"/>
      <c r="W182" s="53"/>
      <c r="X182" s="53"/>
      <c r="Y182" s="53"/>
      <c r="Z182" s="2"/>
      <c r="AA182" s="2"/>
      <c r="AB182" s="2"/>
      <c r="AC182" s="2"/>
      <c r="AD182" s="2"/>
      <c r="AE182" s="2"/>
    </row>
    <row r="183" spans="1:31" ht="12.75" x14ac:dyDescent="0.2">
      <c r="A183" s="53">
        <f ca="1">IFERROR(__xludf.DUMMYFUNCTION("""COMPUTED_VALUE"""),108)</f>
        <v>108</v>
      </c>
      <c r="B183" s="53" t="str">
        <f ca="1">IFERROR(__xludf.DUMMYFUNCTION("""COMPUTED_VALUE"""),"Lớp MG Bông Sen")</f>
        <v>Lớp MG Bông Sen</v>
      </c>
      <c r="C183" s="53" t="str">
        <f ca="1">IFERROR(__xludf.DUMMYFUNCTION("""COMPUTED_VALUE"""),"Vĩnh Lộc B")</f>
        <v>Vĩnh Lộc B</v>
      </c>
      <c r="D183" s="53" t="str">
        <f ca="1">IFERROR(__xludf.DUMMYFUNCTION("""COMPUTED_VALUE"""),"MN")</f>
        <v>MN</v>
      </c>
      <c r="E183" s="54" t="str">
        <f ca="1">IFERROR(__xludf.DUMMYFUNCTION("""COMPUTED_VALUE"""),"Bình Chánh")</f>
        <v>Bình Chánh</v>
      </c>
      <c r="F183" s="54">
        <f ca="1">IFERROR(__xludf.DUMMYFUNCTION("""COMPUTED_VALUE"""),0)</f>
        <v>0</v>
      </c>
      <c r="G183" s="54"/>
      <c r="H183" s="54">
        <f ca="1">IFERROR(__xludf.DUMMYFUNCTION("""COMPUTED_VALUE"""),0)</f>
        <v>0</v>
      </c>
      <c r="I183" s="54"/>
      <c r="J183" s="54">
        <f ca="1">IFERROR(__xludf.DUMMYFUNCTION("""COMPUTED_VALUE"""),0)</f>
        <v>0</v>
      </c>
      <c r="K183" s="54"/>
      <c r="L183" s="54">
        <f ca="1">IFERROR(__xludf.DUMMYFUNCTION("""COMPUTED_VALUE"""),0)</f>
        <v>0</v>
      </c>
      <c r="M183" s="54"/>
      <c r="N183" s="54">
        <f ca="1">IFERROR(__xludf.DUMMYFUNCTION("""COMPUTED_VALUE"""),0)</f>
        <v>0</v>
      </c>
      <c r="O183" s="54">
        <f ca="1">IFERROR(__xludf.DUMMYFUNCTION("""COMPUTED_VALUE"""),21)</f>
        <v>21</v>
      </c>
      <c r="P183" s="54"/>
      <c r="Q183" s="54">
        <f ca="1">IFERROR(__xludf.DUMMYFUNCTION("""COMPUTED_VALUE"""),0)</f>
        <v>0</v>
      </c>
      <c r="R183" s="54"/>
      <c r="S183" s="53">
        <f ca="1">IFERROR(__xludf.DUMMYFUNCTION("""COMPUTED_VALUE"""),0)</f>
        <v>0</v>
      </c>
      <c r="T183" s="53"/>
      <c r="U183" s="53"/>
      <c r="V183" s="53"/>
      <c r="W183" s="53"/>
      <c r="X183" s="53"/>
      <c r="Y183" s="53"/>
      <c r="Z183" s="2"/>
      <c r="AA183" s="2"/>
      <c r="AB183" s="2"/>
      <c r="AC183" s="2"/>
      <c r="AD183" s="2"/>
      <c r="AE183" s="2"/>
    </row>
    <row r="184" spans="1:31" ht="12.75" x14ac:dyDescent="0.2">
      <c r="A184" s="53">
        <f ca="1">IFERROR(__xludf.DUMMYFUNCTION("""COMPUTED_VALUE"""),109)</f>
        <v>109</v>
      </c>
      <c r="B184" s="53" t="str">
        <f ca="1">IFERROR(__xludf.DUMMYFUNCTION("""COMPUTED_VALUE"""),"Lớp MG Trí Việt 1")</f>
        <v>Lớp MG Trí Việt 1</v>
      </c>
      <c r="C184" s="53" t="str">
        <f ca="1">IFERROR(__xludf.DUMMYFUNCTION("""COMPUTED_VALUE"""),"Vĩnh Lộc B")</f>
        <v>Vĩnh Lộc B</v>
      </c>
      <c r="D184" s="53" t="str">
        <f ca="1">IFERROR(__xludf.DUMMYFUNCTION("""COMPUTED_VALUE"""),"MN")</f>
        <v>MN</v>
      </c>
      <c r="E184" s="54" t="str">
        <f ca="1">IFERROR(__xludf.DUMMYFUNCTION("""COMPUTED_VALUE"""),"Bình Chánh")</f>
        <v>Bình Chánh</v>
      </c>
      <c r="F184" s="54">
        <f ca="1">IFERROR(__xludf.DUMMYFUNCTION("""COMPUTED_VALUE"""),0)</f>
        <v>0</v>
      </c>
      <c r="G184" s="54"/>
      <c r="H184" s="54">
        <f ca="1">IFERROR(__xludf.DUMMYFUNCTION("""COMPUTED_VALUE"""),0)</f>
        <v>0</v>
      </c>
      <c r="I184" s="54"/>
      <c r="J184" s="54">
        <f ca="1">IFERROR(__xludf.DUMMYFUNCTION("""COMPUTED_VALUE"""),0)</f>
        <v>0</v>
      </c>
      <c r="K184" s="54"/>
      <c r="L184" s="54">
        <f ca="1">IFERROR(__xludf.DUMMYFUNCTION("""COMPUTED_VALUE"""),0)</f>
        <v>0</v>
      </c>
      <c r="M184" s="54"/>
      <c r="N184" s="54">
        <f ca="1">IFERROR(__xludf.DUMMYFUNCTION("""COMPUTED_VALUE"""),0)</f>
        <v>0</v>
      </c>
      <c r="O184" s="54">
        <f ca="1">IFERROR(__xludf.DUMMYFUNCTION("""COMPUTED_VALUE"""),26)</f>
        <v>26</v>
      </c>
      <c r="P184" s="54"/>
      <c r="Q184" s="54">
        <f ca="1">IFERROR(__xludf.DUMMYFUNCTION("""COMPUTED_VALUE"""),0)</f>
        <v>0</v>
      </c>
      <c r="R184" s="54"/>
      <c r="S184" s="54">
        <f ca="1">IFERROR(__xludf.DUMMYFUNCTION("""COMPUTED_VALUE"""),0)</f>
        <v>0</v>
      </c>
      <c r="T184" s="53"/>
      <c r="U184" s="53"/>
      <c r="V184" s="53"/>
      <c r="W184" s="53"/>
      <c r="X184" s="53"/>
      <c r="Y184" s="53"/>
      <c r="Z184" s="2"/>
      <c r="AA184" s="2"/>
      <c r="AB184" s="2"/>
      <c r="AC184" s="2"/>
      <c r="AD184" s="2"/>
      <c r="AE184" s="2"/>
    </row>
    <row r="185" spans="1:31" ht="12.75" x14ac:dyDescent="0.2">
      <c r="A185" s="53">
        <f ca="1">IFERROR(__xludf.DUMMYFUNCTION("""COMPUTED_VALUE"""),110)</f>
        <v>110</v>
      </c>
      <c r="B185" s="53" t="str">
        <f ca="1">IFERROR(__xludf.DUMMYFUNCTION("""COMPUTED_VALUE"""),"Lớp MG Kim Anh 2")</f>
        <v>Lớp MG Kim Anh 2</v>
      </c>
      <c r="C185" s="53" t="str">
        <f ca="1">IFERROR(__xludf.DUMMYFUNCTION("""COMPUTED_VALUE"""),"Vĩnh Lộc B")</f>
        <v>Vĩnh Lộc B</v>
      </c>
      <c r="D185" s="53" t="str">
        <f ca="1">IFERROR(__xludf.DUMMYFUNCTION("""COMPUTED_VALUE"""),"MN")</f>
        <v>MN</v>
      </c>
      <c r="E185" s="54" t="str">
        <f ca="1">IFERROR(__xludf.DUMMYFUNCTION("""COMPUTED_VALUE"""),"Bình Chánh")</f>
        <v>Bình Chánh</v>
      </c>
      <c r="F185" s="54">
        <f ca="1">IFERROR(__xludf.DUMMYFUNCTION("""COMPUTED_VALUE"""),31)</f>
        <v>31</v>
      </c>
      <c r="G185" s="54"/>
      <c r="H185" s="54">
        <f ca="1">IFERROR(__xludf.DUMMYFUNCTION("""COMPUTED_VALUE"""),31)</f>
        <v>31</v>
      </c>
      <c r="I185" s="54"/>
      <c r="J185" s="54">
        <f ca="1">IFERROR(__xludf.DUMMYFUNCTION("""COMPUTED_VALUE"""),22)</f>
        <v>22</v>
      </c>
      <c r="K185" s="54"/>
      <c r="L185" s="54">
        <f ca="1">IFERROR(__xludf.DUMMYFUNCTION("""COMPUTED_VALUE"""),13)</f>
        <v>13</v>
      </c>
      <c r="M185" s="54"/>
      <c r="N185" s="54">
        <f ca="1">IFERROR(__xludf.DUMMYFUNCTION("""COMPUTED_VALUE"""),0)</f>
        <v>0</v>
      </c>
      <c r="O185" s="54">
        <f ca="1">IFERROR(__xludf.DUMMYFUNCTION("""COMPUTED_VALUE"""),35)</f>
        <v>35</v>
      </c>
      <c r="P185" s="54"/>
      <c r="Q185" s="54">
        <f ca="1">IFERROR(__xludf.DUMMYFUNCTION("""COMPUTED_VALUE"""),20)</f>
        <v>20</v>
      </c>
      <c r="R185" s="54"/>
      <c r="S185" s="54">
        <f ca="1">IFERROR(__xludf.DUMMYFUNCTION("""COMPUTED_VALUE"""),0)</f>
        <v>0</v>
      </c>
      <c r="T185" s="53"/>
      <c r="U185" s="53"/>
      <c r="V185" s="53"/>
      <c r="W185" s="53"/>
      <c r="X185" s="53"/>
      <c r="Y185" s="53"/>
      <c r="Z185" s="2"/>
      <c r="AA185" s="2"/>
      <c r="AB185" s="2"/>
      <c r="AC185" s="2"/>
      <c r="AD185" s="2"/>
      <c r="AE185" s="2"/>
    </row>
    <row r="186" spans="1:31" ht="12.75" x14ac:dyDescent="0.2">
      <c r="A186" s="53">
        <f ca="1">IFERROR(__xludf.DUMMYFUNCTION("""COMPUTED_VALUE"""),111)</f>
        <v>111</v>
      </c>
      <c r="B186" s="53" t="str">
        <f ca="1">IFERROR(__xludf.DUMMYFUNCTION("""COMPUTED_VALUE"""),"Lớp MG Tuổi Tiên")</f>
        <v>Lớp MG Tuổi Tiên</v>
      </c>
      <c r="C186" s="53" t="str">
        <f ca="1">IFERROR(__xludf.DUMMYFUNCTION("""COMPUTED_VALUE"""),"Phạm Văn Hai")</f>
        <v>Phạm Văn Hai</v>
      </c>
      <c r="D186" s="53" t="str">
        <f ca="1">IFERROR(__xludf.DUMMYFUNCTION("""COMPUTED_VALUE"""),"MN")</f>
        <v>MN</v>
      </c>
      <c r="E186" s="54" t="str">
        <f ca="1">IFERROR(__xludf.DUMMYFUNCTION("""COMPUTED_VALUE"""),"Bình Chánh")</f>
        <v>Bình Chánh</v>
      </c>
      <c r="F186" s="54">
        <f ca="1">IFERROR(__xludf.DUMMYFUNCTION("""COMPUTED_VALUE"""),7)</f>
        <v>7</v>
      </c>
      <c r="G186" s="54"/>
      <c r="H186" s="54">
        <f ca="1">IFERROR(__xludf.DUMMYFUNCTION("""COMPUTED_VALUE"""),7)</f>
        <v>7</v>
      </c>
      <c r="I186" s="54"/>
      <c r="J186" s="54">
        <f ca="1">IFERROR(__xludf.DUMMYFUNCTION("""COMPUTED_VALUE"""),7)</f>
        <v>7</v>
      </c>
      <c r="K186" s="54"/>
      <c r="L186" s="54">
        <f ca="1">IFERROR(__xludf.DUMMYFUNCTION("""COMPUTED_VALUE"""),7)</f>
        <v>7</v>
      </c>
      <c r="M186" s="54"/>
      <c r="N186" s="54">
        <f ca="1">IFERROR(__xludf.DUMMYFUNCTION("""COMPUTED_VALUE"""),0)</f>
        <v>0</v>
      </c>
      <c r="O186" s="54">
        <f ca="1">IFERROR(__xludf.DUMMYFUNCTION("""COMPUTED_VALUE"""),45)</f>
        <v>45</v>
      </c>
      <c r="P186" s="54"/>
      <c r="Q186" s="54">
        <f ca="1">IFERROR(__xludf.DUMMYFUNCTION("""COMPUTED_VALUE"""),12)</f>
        <v>12</v>
      </c>
      <c r="R186" s="54"/>
      <c r="S186" s="54">
        <f ca="1">IFERROR(__xludf.DUMMYFUNCTION("""COMPUTED_VALUE"""),0)</f>
        <v>0</v>
      </c>
      <c r="T186" s="53"/>
      <c r="U186" s="53"/>
      <c r="V186" s="53"/>
      <c r="W186" s="53"/>
      <c r="X186" s="53"/>
      <c r="Y186" s="53"/>
      <c r="Z186" s="2"/>
      <c r="AA186" s="2"/>
      <c r="AB186" s="2"/>
      <c r="AC186" s="2"/>
      <c r="AD186" s="2"/>
      <c r="AE186" s="2"/>
    </row>
    <row r="187" spans="1:31" ht="12.75" x14ac:dyDescent="0.2">
      <c r="A187" s="53">
        <f ca="1">IFERROR(__xludf.DUMMYFUNCTION("""COMPUTED_VALUE"""),112)</f>
        <v>112</v>
      </c>
      <c r="B187" s="53" t="str">
        <f ca="1">IFERROR(__xludf.DUMMYFUNCTION("""COMPUTED_VALUE"""),"Lớp MG Anh Đào")</f>
        <v>Lớp MG Anh Đào</v>
      </c>
      <c r="C187" s="53" t="str">
        <f ca="1">IFERROR(__xludf.DUMMYFUNCTION("""COMPUTED_VALUE"""),"Phạm Văn Hai")</f>
        <v>Phạm Văn Hai</v>
      </c>
      <c r="D187" s="53" t="str">
        <f ca="1">IFERROR(__xludf.DUMMYFUNCTION("""COMPUTED_VALUE"""),"MN")</f>
        <v>MN</v>
      </c>
      <c r="E187" s="54" t="str">
        <f ca="1">IFERROR(__xludf.DUMMYFUNCTION("""COMPUTED_VALUE"""),"Bình Chánh")</f>
        <v>Bình Chánh</v>
      </c>
      <c r="F187" s="54">
        <f ca="1">IFERROR(__xludf.DUMMYFUNCTION("""COMPUTED_VALUE"""),6)</f>
        <v>6</v>
      </c>
      <c r="G187" s="54"/>
      <c r="H187" s="54">
        <f ca="1">IFERROR(__xludf.DUMMYFUNCTION("""COMPUTED_VALUE"""),6)</f>
        <v>6</v>
      </c>
      <c r="I187" s="54"/>
      <c r="J187" s="54">
        <f ca="1">IFERROR(__xludf.DUMMYFUNCTION("""COMPUTED_VALUE"""),6)</f>
        <v>6</v>
      </c>
      <c r="K187" s="54"/>
      <c r="L187" s="54">
        <f ca="1">IFERROR(__xludf.DUMMYFUNCTION("""COMPUTED_VALUE"""),6)</f>
        <v>6</v>
      </c>
      <c r="M187" s="54"/>
      <c r="N187" s="54">
        <f ca="1">IFERROR(__xludf.DUMMYFUNCTION("""COMPUTED_VALUE"""),0)</f>
        <v>0</v>
      </c>
      <c r="O187" s="54">
        <f ca="1">IFERROR(__xludf.DUMMYFUNCTION("""COMPUTED_VALUE"""),0)</f>
        <v>0</v>
      </c>
      <c r="P187" s="54"/>
      <c r="Q187" s="54">
        <f ca="1">IFERROR(__xludf.DUMMYFUNCTION("""COMPUTED_VALUE"""),0)</f>
        <v>0</v>
      </c>
      <c r="R187" s="54"/>
      <c r="S187" s="54">
        <f ca="1">IFERROR(__xludf.DUMMYFUNCTION("""COMPUTED_VALUE"""),0)</f>
        <v>0</v>
      </c>
      <c r="T187" s="53"/>
      <c r="U187" s="53"/>
      <c r="V187" s="53"/>
      <c r="W187" s="53"/>
      <c r="X187" s="53"/>
      <c r="Y187" s="53"/>
      <c r="Z187" s="2"/>
      <c r="AA187" s="2"/>
      <c r="AB187" s="2"/>
      <c r="AC187" s="2"/>
      <c r="AD187" s="2"/>
      <c r="AE187" s="2"/>
    </row>
    <row r="188" spans="1:31" ht="12.75" x14ac:dyDescent="0.2">
      <c r="A188" s="53">
        <f ca="1">IFERROR(__xludf.DUMMYFUNCTION("""COMPUTED_VALUE"""),113)</f>
        <v>113</v>
      </c>
      <c r="B188" s="53" t="str">
        <f ca="1">IFERROR(__xludf.DUMMYFUNCTION("""COMPUTED_VALUE"""),"Lớp MG Hoa Lài")</f>
        <v>Lớp MG Hoa Lài</v>
      </c>
      <c r="C188" s="53" t="str">
        <f ca="1">IFERROR(__xludf.DUMMYFUNCTION("""COMPUTED_VALUE"""),"Phạm Văn Hai")</f>
        <v>Phạm Văn Hai</v>
      </c>
      <c r="D188" s="53" t="str">
        <f ca="1">IFERROR(__xludf.DUMMYFUNCTION("""COMPUTED_VALUE"""),"MN")</f>
        <v>MN</v>
      </c>
      <c r="E188" s="54" t="str">
        <f ca="1">IFERROR(__xludf.DUMMYFUNCTION("""COMPUTED_VALUE"""),"Bình Chánh")</f>
        <v>Bình Chánh</v>
      </c>
      <c r="F188" s="54">
        <f ca="1">IFERROR(__xludf.DUMMYFUNCTION("""COMPUTED_VALUE"""),32)</f>
        <v>32</v>
      </c>
      <c r="G188" s="54"/>
      <c r="H188" s="54">
        <f ca="1">IFERROR(__xludf.DUMMYFUNCTION("""COMPUTED_VALUE"""),32)</f>
        <v>32</v>
      </c>
      <c r="I188" s="54"/>
      <c r="J188" s="54">
        <f ca="1">IFERROR(__xludf.DUMMYFUNCTION("""COMPUTED_VALUE"""),24)</f>
        <v>24</v>
      </c>
      <c r="K188" s="54"/>
      <c r="L188" s="54">
        <f ca="1">IFERROR(__xludf.DUMMYFUNCTION("""COMPUTED_VALUE"""),16)</f>
        <v>16</v>
      </c>
      <c r="M188" s="54"/>
      <c r="N188" s="54">
        <f ca="1">IFERROR(__xludf.DUMMYFUNCTION("""COMPUTED_VALUE"""),0)</f>
        <v>0</v>
      </c>
      <c r="O188" s="54">
        <f ca="1">IFERROR(__xludf.DUMMYFUNCTION("""COMPUTED_VALUE"""),45)</f>
        <v>45</v>
      </c>
      <c r="P188" s="54"/>
      <c r="Q188" s="54">
        <f ca="1">IFERROR(__xludf.DUMMYFUNCTION("""COMPUTED_VALUE"""),0)</f>
        <v>0</v>
      </c>
      <c r="R188" s="54"/>
      <c r="S188" s="54">
        <f ca="1">IFERROR(__xludf.DUMMYFUNCTION("""COMPUTED_VALUE"""),0)</f>
        <v>0</v>
      </c>
      <c r="T188" s="53"/>
      <c r="U188" s="53"/>
      <c r="V188" s="53"/>
      <c r="W188" s="53"/>
      <c r="X188" s="53"/>
      <c r="Y188" s="53"/>
      <c r="Z188" s="2"/>
      <c r="AA188" s="2"/>
      <c r="AB188" s="2"/>
      <c r="AC188" s="2"/>
      <c r="AD188" s="2"/>
      <c r="AE188" s="2"/>
    </row>
    <row r="189" spans="1:31" ht="12.75" x14ac:dyDescent="0.2">
      <c r="A189" s="53">
        <f ca="1">IFERROR(__xludf.DUMMYFUNCTION("""COMPUTED_VALUE"""),114)</f>
        <v>114</v>
      </c>
      <c r="B189" s="53" t="str">
        <f ca="1">IFERROR(__xludf.DUMMYFUNCTION("""COMPUTED_VALUE"""),"Lớp MG Song Nhi")</f>
        <v>Lớp MG Song Nhi</v>
      </c>
      <c r="C189" s="53" t="str">
        <f ca="1">IFERROR(__xludf.DUMMYFUNCTION("""COMPUTED_VALUE"""),"Phạm Văn Hai")</f>
        <v>Phạm Văn Hai</v>
      </c>
      <c r="D189" s="53" t="str">
        <f ca="1">IFERROR(__xludf.DUMMYFUNCTION("""COMPUTED_VALUE"""),"MN")</f>
        <v>MN</v>
      </c>
      <c r="E189" s="53" t="str">
        <f ca="1">IFERROR(__xludf.DUMMYFUNCTION("""COMPUTED_VALUE"""),"Bình Chánh")</f>
        <v>Bình Chánh</v>
      </c>
      <c r="F189" s="53">
        <f ca="1">IFERROR(__xludf.DUMMYFUNCTION("""COMPUTED_VALUE"""),6)</f>
        <v>6</v>
      </c>
      <c r="G189" s="53"/>
      <c r="H189" s="53">
        <f ca="1">IFERROR(__xludf.DUMMYFUNCTION("""COMPUTED_VALUE"""),6)</f>
        <v>6</v>
      </c>
      <c r="I189" s="53"/>
      <c r="J189" s="53">
        <f ca="1">IFERROR(__xludf.DUMMYFUNCTION("""COMPUTED_VALUE"""),6)</f>
        <v>6</v>
      </c>
      <c r="K189" s="53"/>
      <c r="L189" s="53">
        <f ca="1">IFERROR(__xludf.DUMMYFUNCTION("""COMPUTED_VALUE"""),6)</f>
        <v>6</v>
      </c>
      <c r="M189" s="53"/>
      <c r="N189" s="54">
        <f ca="1">IFERROR(__xludf.DUMMYFUNCTION("""COMPUTED_VALUE"""),0)</f>
        <v>0</v>
      </c>
      <c r="O189" s="54">
        <f ca="1">IFERROR(__xludf.DUMMYFUNCTION("""COMPUTED_VALUE"""),27)</f>
        <v>27</v>
      </c>
      <c r="P189" s="54"/>
      <c r="Q189" s="54">
        <f ca="1">IFERROR(__xludf.DUMMYFUNCTION("""COMPUTED_VALUE"""),12)</f>
        <v>12</v>
      </c>
      <c r="R189" s="54"/>
      <c r="S189" s="54">
        <f ca="1">IFERROR(__xludf.DUMMYFUNCTION("""COMPUTED_VALUE"""),0)</f>
        <v>0</v>
      </c>
      <c r="T189" s="53"/>
      <c r="U189" s="53"/>
      <c r="V189" s="53"/>
      <c r="W189" s="53"/>
      <c r="X189" s="53"/>
      <c r="Y189" s="53"/>
      <c r="Z189" s="2"/>
      <c r="AA189" s="2"/>
      <c r="AB189" s="2"/>
      <c r="AC189" s="2"/>
      <c r="AD189" s="2"/>
      <c r="AE189" s="2"/>
    </row>
    <row r="190" spans="1:31" ht="12.75" x14ac:dyDescent="0.2">
      <c r="A190" s="53">
        <f ca="1">IFERROR(__xludf.DUMMYFUNCTION("""COMPUTED_VALUE"""),115)</f>
        <v>115</v>
      </c>
      <c r="B190" s="53" t="str">
        <f ca="1">IFERROR(__xludf.DUMMYFUNCTION("""COMPUTED_VALUE"""),"Lớp MG Phượng Hồng")</f>
        <v>Lớp MG Phượng Hồng</v>
      </c>
      <c r="C190" s="53" t="str">
        <f ca="1">IFERROR(__xludf.DUMMYFUNCTION("""COMPUTED_VALUE"""),"Phạm Văn Hai")</f>
        <v>Phạm Văn Hai</v>
      </c>
      <c r="D190" s="53" t="str">
        <f ca="1">IFERROR(__xludf.DUMMYFUNCTION("""COMPUTED_VALUE"""),"MN")</f>
        <v>MN</v>
      </c>
      <c r="E190" s="54" t="str">
        <f ca="1">IFERROR(__xludf.DUMMYFUNCTION("""COMPUTED_VALUE"""),"Bình Chánh")</f>
        <v>Bình Chánh</v>
      </c>
      <c r="F190" s="54">
        <f ca="1">IFERROR(__xludf.DUMMYFUNCTION("""COMPUTED_VALUE"""),6)</f>
        <v>6</v>
      </c>
      <c r="G190" s="54"/>
      <c r="H190" s="54">
        <f ca="1">IFERROR(__xludf.DUMMYFUNCTION("""COMPUTED_VALUE"""),6)</f>
        <v>6</v>
      </c>
      <c r="I190" s="54"/>
      <c r="J190" s="54">
        <f ca="1">IFERROR(__xludf.DUMMYFUNCTION("""COMPUTED_VALUE"""),6)</f>
        <v>6</v>
      </c>
      <c r="K190" s="54"/>
      <c r="L190" s="54">
        <f ca="1">IFERROR(__xludf.DUMMYFUNCTION("""COMPUTED_VALUE"""),6)</f>
        <v>6</v>
      </c>
      <c r="M190" s="54"/>
      <c r="N190" s="54">
        <f ca="1">IFERROR(__xludf.DUMMYFUNCTION("""COMPUTED_VALUE"""),0)</f>
        <v>0</v>
      </c>
      <c r="O190" s="54">
        <f ca="1">IFERROR(__xludf.DUMMYFUNCTION("""COMPUTED_VALUE"""),24)</f>
        <v>24</v>
      </c>
      <c r="P190" s="54"/>
      <c r="Q190" s="54">
        <f ca="1">IFERROR(__xludf.DUMMYFUNCTION("""COMPUTED_VALUE"""),0)</f>
        <v>0</v>
      </c>
      <c r="R190" s="54"/>
      <c r="S190" s="54">
        <f ca="1">IFERROR(__xludf.DUMMYFUNCTION("""COMPUTED_VALUE"""),0)</f>
        <v>0</v>
      </c>
      <c r="T190" s="53"/>
      <c r="U190" s="53"/>
      <c r="V190" s="53"/>
      <c r="W190" s="53"/>
      <c r="X190" s="53"/>
      <c r="Y190" s="53"/>
      <c r="Z190" s="2"/>
      <c r="AA190" s="2"/>
      <c r="AB190" s="2"/>
      <c r="AC190" s="2"/>
      <c r="AD190" s="2"/>
      <c r="AE190" s="2"/>
    </row>
    <row r="191" spans="1:31" ht="12.75" x14ac:dyDescent="0.2">
      <c r="A191" s="53">
        <f ca="1">IFERROR(__xludf.DUMMYFUNCTION("""COMPUTED_VALUE"""),116)</f>
        <v>116</v>
      </c>
      <c r="B191" s="53" t="str">
        <f ca="1">IFERROR(__xludf.DUMMYFUNCTION("""COMPUTED_VALUE"""),"Lớp MG An Hạ")</f>
        <v>Lớp MG An Hạ</v>
      </c>
      <c r="C191" s="53" t="str">
        <f ca="1">IFERROR(__xludf.DUMMYFUNCTION("""COMPUTED_VALUE"""),"Phạm Văn Hai")</f>
        <v>Phạm Văn Hai</v>
      </c>
      <c r="D191" s="53" t="str">
        <f ca="1">IFERROR(__xludf.DUMMYFUNCTION("""COMPUTED_VALUE"""),"MN")</f>
        <v>MN</v>
      </c>
      <c r="E191" s="54" t="str">
        <f ca="1">IFERROR(__xludf.DUMMYFUNCTION("""COMPUTED_VALUE"""),"Bình Chánh")</f>
        <v>Bình Chánh</v>
      </c>
      <c r="F191" s="54">
        <f ca="1">IFERROR(__xludf.DUMMYFUNCTION("""COMPUTED_VALUE"""),7)</f>
        <v>7</v>
      </c>
      <c r="G191" s="54"/>
      <c r="H191" s="54">
        <f ca="1">IFERROR(__xludf.DUMMYFUNCTION("""COMPUTED_VALUE"""),7)</f>
        <v>7</v>
      </c>
      <c r="I191" s="54"/>
      <c r="J191" s="54">
        <f ca="1">IFERROR(__xludf.DUMMYFUNCTION("""COMPUTED_VALUE"""),7)</f>
        <v>7</v>
      </c>
      <c r="K191" s="54"/>
      <c r="L191" s="54">
        <f ca="1">IFERROR(__xludf.DUMMYFUNCTION("""COMPUTED_VALUE"""),7)</f>
        <v>7</v>
      </c>
      <c r="M191" s="54"/>
      <c r="N191" s="54">
        <f ca="1">IFERROR(__xludf.DUMMYFUNCTION("""COMPUTED_VALUE"""),0)</f>
        <v>0</v>
      </c>
      <c r="O191" s="53">
        <f ca="1">IFERROR(__xludf.DUMMYFUNCTION("""COMPUTED_VALUE"""),33)</f>
        <v>33</v>
      </c>
      <c r="P191" s="53"/>
      <c r="Q191" s="54">
        <f ca="1">IFERROR(__xludf.DUMMYFUNCTION("""COMPUTED_VALUE"""),12)</f>
        <v>12</v>
      </c>
      <c r="R191" s="54"/>
      <c r="S191" s="54">
        <f ca="1">IFERROR(__xludf.DUMMYFUNCTION("""COMPUTED_VALUE"""),0)</f>
        <v>0</v>
      </c>
      <c r="T191" s="53"/>
      <c r="U191" s="53"/>
      <c r="V191" s="53"/>
      <c r="W191" s="53"/>
      <c r="X191" s="53"/>
      <c r="Y191" s="53"/>
      <c r="Z191" s="2"/>
      <c r="AA191" s="2"/>
      <c r="AB191" s="2"/>
      <c r="AC191" s="2"/>
      <c r="AD191" s="2"/>
      <c r="AE191" s="2"/>
    </row>
    <row r="192" spans="1:31" ht="12.75" x14ac:dyDescent="0.2">
      <c r="A192" s="53">
        <f ca="1">IFERROR(__xludf.DUMMYFUNCTION("""COMPUTED_VALUE"""),117)</f>
        <v>117</v>
      </c>
      <c r="B192" s="53" t="str">
        <f ca="1">IFERROR(__xludf.DUMMYFUNCTION("""COMPUTED_VALUE"""),"Lớp MG Thiên Anh")</f>
        <v>Lớp MG Thiên Anh</v>
      </c>
      <c r="C192" s="53" t="str">
        <f ca="1">IFERROR(__xludf.DUMMYFUNCTION("""COMPUTED_VALUE"""),"Phạm Văn Hai")</f>
        <v>Phạm Văn Hai</v>
      </c>
      <c r="D192" s="53" t="str">
        <f ca="1">IFERROR(__xludf.DUMMYFUNCTION("""COMPUTED_VALUE"""),"MN")</f>
        <v>MN</v>
      </c>
      <c r="E192" s="54" t="str">
        <f ca="1">IFERROR(__xludf.DUMMYFUNCTION("""COMPUTED_VALUE"""),"Bình Chánh")</f>
        <v>Bình Chánh</v>
      </c>
      <c r="F192" s="54">
        <f ca="1">IFERROR(__xludf.DUMMYFUNCTION("""COMPUTED_VALUE"""),0)</f>
        <v>0</v>
      </c>
      <c r="G192" s="54"/>
      <c r="H192" s="54">
        <f ca="1">IFERROR(__xludf.DUMMYFUNCTION("""COMPUTED_VALUE"""),0)</f>
        <v>0</v>
      </c>
      <c r="I192" s="54"/>
      <c r="J192" s="54">
        <f ca="1">IFERROR(__xludf.DUMMYFUNCTION("""COMPUTED_VALUE"""),0)</f>
        <v>0</v>
      </c>
      <c r="K192" s="54"/>
      <c r="L192" s="54">
        <f ca="1">IFERROR(__xludf.DUMMYFUNCTION("""COMPUTED_VALUE"""),0)</f>
        <v>0</v>
      </c>
      <c r="M192" s="54"/>
      <c r="N192" s="54">
        <f ca="1">IFERROR(__xludf.DUMMYFUNCTION("""COMPUTED_VALUE"""),0)</f>
        <v>0</v>
      </c>
      <c r="O192" s="54">
        <f ca="1">IFERROR(__xludf.DUMMYFUNCTION("""COMPUTED_VALUE"""),31)</f>
        <v>31</v>
      </c>
      <c r="P192" s="54"/>
      <c r="Q192" s="54">
        <f ca="1">IFERROR(__xludf.DUMMYFUNCTION("""COMPUTED_VALUE"""),19)</f>
        <v>19</v>
      </c>
      <c r="R192" s="54"/>
      <c r="S192" s="54">
        <f ca="1">IFERROR(__xludf.DUMMYFUNCTION("""COMPUTED_VALUE"""),0)</f>
        <v>0</v>
      </c>
      <c r="T192" s="53"/>
      <c r="U192" s="53"/>
      <c r="V192" s="53"/>
      <c r="W192" s="53"/>
      <c r="X192" s="53"/>
      <c r="Y192" s="53"/>
      <c r="Z192" s="2"/>
      <c r="AA192" s="2"/>
      <c r="AB192" s="2"/>
      <c r="AC192" s="2"/>
      <c r="AD192" s="2"/>
      <c r="AE192" s="2"/>
    </row>
    <row r="193" spans="1:31" ht="12.75" x14ac:dyDescent="0.2">
      <c r="A193" s="53">
        <f ca="1">IFERROR(__xludf.DUMMYFUNCTION("""COMPUTED_VALUE"""),118)</f>
        <v>118</v>
      </c>
      <c r="B193" s="53" t="str">
        <f ca="1">IFERROR(__xludf.DUMMYFUNCTION("""COMPUTED_VALUE"""),"Lớp MG Gấu Misa")</f>
        <v>Lớp MG Gấu Misa</v>
      </c>
      <c r="C193" s="53" t="str">
        <f ca="1">IFERROR(__xludf.DUMMYFUNCTION("""COMPUTED_VALUE"""),"Phạm Văn Hai")</f>
        <v>Phạm Văn Hai</v>
      </c>
      <c r="D193" s="53" t="str">
        <f ca="1">IFERROR(__xludf.DUMMYFUNCTION("""COMPUTED_VALUE"""),"MN")</f>
        <v>MN</v>
      </c>
      <c r="E193" s="54" t="str">
        <f ca="1">IFERROR(__xludf.DUMMYFUNCTION("""COMPUTED_VALUE"""),"Bình Chánh")</f>
        <v>Bình Chánh</v>
      </c>
      <c r="F193" s="54">
        <f ca="1">IFERROR(__xludf.DUMMYFUNCTION("""COMPUTED_VALUE"""),6)</f>
        <v>6</v>
      </c>
      <c r="G193" s="54"/>
      <c r="H193" s="54">
        <f ca="1">IFERROR(__xludf.DUMMYFUNCTION("""COMPUTED_VALUE"""),6)</f>
        <v>6</v>
      </c>
      <c r="I193" s="54"/>
      <c r="J193" s="54">
        <f ca="1">IFERROR(__xludf.DUMMYFUNCTION("""COMPUTED_VALUE"""),6)</f>
        <v>6</v>
      </c>
      <c r="K193" s="54"/>
      <c r="L193" s="54">
        <f ca="1">IFERROR(__xludf.DUMMYFUNCTION("""COMPUTED_VALUE"""),6)</f>
        <v>6</v>
      </c>
      <c r="M193" s="54"/>
      <c r="N193" s="54">
        <f ca="1">IFERROR(__xludf.DUMMYFUNCTION("""COMPUTED_VALUE"""),0)</f>
        <v>0</v>
      </c>
      <c r="O193" s="54">
        <f ca="1">IFERROR(__xludf.DUMMYFUNCTION("""COMPUTED_VALUE"""),8)</f>
        <v>8</v>
      </c>
      <c r="P193" s="54"/>
      <c r="Q193" s="54">
        <f ca="1">IFERROR(__xludf.DUMMYFUNCTION("""COMPUTED_VALUE"""),1)</f>
        <v>1</v>
      </c>
      <c r="R193" s="54"/>
      <c r="S193" s="54">
        <f ca="1">IFERROR(__xludf.DUMMYFUNCTION("""COMPUTED_VALUE"""),0)</f>
        <v>0</v>
      </c>
      <c r="T193" s="53"/>
      <c r="U193" s="53"/>
      <c r="V193" s="53"/>
      <c r="W193" s="53"/>
      <c r="X193" s="53"/>
      <c r="Y193" s="53"/>
      <c r="Z193" s="2"/>
      <c r="AA193" s="2"/>
      <c r="AB193" s="2"/>
      <c r="AC193" s="2"/>
      <c r="AD193" s="2"/>
      <c r="AE193" s="2"/>
    </row>
    <row r="194" spans="1:31" ht="12.75" x14ac:dyDescent="0.2">
      <c r="A194" s="53">
        <f ca="1">IFERROR(__xludf.DUMMYFUNCTION("""COMPUTED_VALUE"""),119)</f>
        <v>119</v>
      </c>
      <c r="B194" s="53" t="str">
        <f ca="1">IFERROR(__xludf.DUMMYFUNCTION("""COMPUTED_VALUE"""),"Lớp MG Thần Đồng Việt")</f>
        <v>Lớp MG Thần Đồng Việt</v>
      </c>
      <c r="C194" s="53" t="str">
        <f ca="1">IFERROR(__xludf.DUMMYFUNCTION("""COMPUTED_VALUE"""),"Phạm Văn Hai")</f>
        <v>Phạm Văn Hai</v>
      </c>
      <c r="D194" s="53" t="str">
        <f ca="1">IFERROR(__xludf.DUMMYFUNCTION("""COMPUTED_VALUE"""),"MN")</f>
        <v>MN</v>
      </c>
      <c r="E194" s="54" t="str">
        <f ca="1">IFERROR(__xludf.DUMMYFUNCTION("""COMPUTED_VALUE"""),"Bình Chánh")</f>
        <v>Bình Chánh</v>
      </c>
      <c r="F194" s="54">
        <f ca="1">IFERROR(__xludf.DUMMYFUNCTION("""COMPUTED_VALUE"""),6)</f>
        <v>6</v>
      </c>
      <c r="G194" s="54"/>
      <c r="H194" s="54">
        <f ca="1">IFERROR(__xludf.DUMMYFUNCTION("""COMPUTED_VALUE"""),6)</f>
        <v>6</v>
      </c>
      <c r="I194" s="54"/>
      <c r="J194" s="54">
        <f ca="1">IFERROR(__xludf.DUMMYFUNCTION("""COMPUTED_VALUE"""),6)</f>
        <v>6</v>
      </c>
      <c r="K194" s="54"/>
      <c r="L194" s="54">
        <f ca="1">IFERROR(__xludf.DUMMYFUNCTION("""COMPUTED_VALUE"""),6)</f>
        <v>6</v>
      </c>
      <c r="M194" s="54"/>
      <c r="N194" s="54">
        <f ca="1">IFERROR(__xludf.DUMMYFUNCTION("""COMPUTED_VALUE"""),0)</f>
        <v>0</v>
      </c>
      <c r="O194" s="54">
        <f ca="1">IFERROR(__xludf.DUMMYFUNCTION("""COMPUTED_VALUE"""),0)</f>
        <v>0</v>
      </c>
      <c r="P194" s="54"/>
      <c r="Q194" s="54">
        <f ca="1">IFERROR(__xludf.DUMMYFUNCTION("""COMPUTED_VALUE"""),0)</f>
        <v>0</v>
      </c>
      <c r="R194" s="54"/>
      <c r="S194" s="54">
        <f ca="1">IFERROR(__xludf.DUMMYFUNCTION("""COMPUTED_VALUE"""),0)</f>
        <v>0</v>
      </c>
      <c r="T194" s="53"/>
      <c r="U194" s="53"/>
      <c r="V194" s="53"/>
      <c r="W194" s="53"/>
      <c r="X194" s="53"/>
      <c r="Y194" s="53"/>
      <c r="Z194" s="2"/>
      <c r="AA194" s="2"/>
      <c r="AB194" s="2"/>
      <c r="AC194" s="2"/>
      <c r="AD194" s="2"/>
      <c r="AE194" s="2"/>
    </row>
    <row r="195" spans="1:31" ht="12.75" x14ac:dyDescent="0.2">
      <c r="A195" s="53">
        <f ca="1">IFERROR(__xludf.DUMMYFUNCTION("""COMPUTED_VALUE"""),120)</f>
        <v>120</v>
      </c>
      <c r="B195" s="53" t="str">
        <f ca="1">IFERROR(__xludf.DUMMYFUNCTION("""COMPUTED_VALUE"""),"Lớp MG Vườn Họa Mi")</f>
        <v>Lớp MG Vườn Họa Mi</v>
      </c>
      <c r="C195" s="53" t="str">
        <f ca="1">IFERROR(__xludf.DUMMYFUNCTION("""COMPUTED_VALUE"""),"Phạm Văn Hai")</f>
        <v>Phạm Văn Hai</v>
      </c>
      <c r="D195" s="53" t="str">
        <f ca="1">IFERROR(__xludf.DUMMYFUNCTION("""COMPUTED_VALUE"""),"MN")</f>
        <v>MN</v>
      </c>
      <c r="E195" s="54" t="str">
        <f ca="1">IFERROR(__xludf.DUMMYFUNCTION("""COMPUTED_VALUE"""),"Bình Chánh")</f>
        <v>Bình Chánh</v>
      </c>
      <c r="F195" s="54">
        <f ca="1">IFERROR(__xludf.DUMMYFUNCTION("""COMPUTED_VALUE"""),0)</f>
        <v>0</v>
      </c>
      <c r="G195" s="54"/>
      <c r="H195" s="54">
        <f ca="1">IFERROR(__xludf.DUMMYFUNCTION("""COMPUTED_VALUE"""),0)</f>
        <v>0</v>
      </c>
      <c r="I195" s="54"/>
      <c r="J195" s="54">
        <f ca="1">IFERROR(__xludf.DUMMYFUNCTION("""COMPUTED_VALUE"""),0)</f>
        <v>0</v>
      </c>
      <c r="K195" s="54"/>
      <c r="L195" s="54">
        <f ca="1">IFERROR(__xludf.DUMMYFUNCTION("""COMPUTED_VALUE"""),0)</f>
        <v>0</v>
      </c>
      <c r="M195" s="54"/>
      <c r="N195" s="54">
        <f ca="1">IFERROR(__xludf.DUMMYFUNCTION("""COMPUTED_VALUE"""),0)</f>
        <v>0</v>
      </c>
      <c r="O195" s="54">
        <f ca="1">IFERROR(__xludf.DUMMYFUNCTION("""COMPUTED_VALUE"""),6)</f>
        <v>6</v>
      </c>
      <c r="P195" s="54"/>
      <c r="Q195" s="54">
        <f ca="1">IFERROR(__xludf.DUMMYFUNCTION("""COMPUTED_VALUE"""),0)</f>
        <v>0</v>
      </c>
      <c r="R195" s="54"/>
      <c r="S195" s="54">
        <f ca="1">IFERROR(__xludf.DUMMYFUNCTION("""COMPUTED_VALUE"""),0)</f>
        <v>0</v>
      </c>
      <c r="T195" s="53"/>
      <c r="U195" s="53"/>
      <c r="V195" s="53"/>
      <c r="W195" s="53"/>
      <c r="X195" s="53"/>
      <c r="Y195" s="53"/>
      <c r="Z195" s="2"/>
      <c r="AA195" s="2"/>
      <c r="AB195" s="2"/>
      <c r="AC195" s="2"/>
      <c r="AD195" s="2"/>
      <c r="AE195" s="2"/>
    </row>
    <row r="196" spans="1:31" ht="12.75" x14ac:dyDescent="0.2">
      <c r="A196" s="53">
        <f ca="1">IFERROR(__xludf.DUMMYFUNCTION("""COMPUTED_VALUE"""),121)</f>
        <v>121</v>
      </c>
      <c r="B196" s="53" t="str">
        <f ca="1">IFERROR(__xludf.DUMMYFUNCTION("""COMPUTED_VALUE"""),"Lớp MG Vườn Họa Mi 2")</f>
        <v>Lớp MG Vườn Họa Mi 2</v>
      </c>
      <c r="C196" s="53" t="str">
        <f ca="1">IFERROR(__xludf.DUMMYFUNCTION("""COMPUTED_VALUE"""),"Phạm Văn Hai")</f>
        <v>Phạm Văn Hai</v>
      </c>
      <c r="D196" s="53" t="str">
        <f ca="1">IFERROR(__xludf.DUMMYFUNCTION("""COMPUTED_VALUE"""),"MN")</f>
        <v>MN</v>
      </c>
      <c r="E196" s="54" t="str">
        <f ca="1">IFERROR(__xludf.DUMMYFUNCTION("""COMPUTED_VALUE"""),"Bình Chánh")</f>
        <v>Bình Chánh</v>
      </c>
      <c r="F196" s="54">
        <f ca="1">IFERROR(__xludf.DUMMYFUNCTION("""COMPUTED_VALUE"""),0)</f>
        <v>0</v>
      </c>
      <c r="G196" s="54"/>
      <c r="H196" s="54">
        <f ca="1">IFERROR(__xludf.DUMMYFUNCTION("""COMPUTED_VALUE"""),0)</f>
        <v>0</v>
      </c>
      <c r="I196" s="54"/>
      <c r="J196" s="54">
        <f ca="1">IFERROR(__xludf.DUMMYFUNCTION("""COMPUTED_VALUE"""),0)</f>
        <v>0</v>
      </c>
      <c r="K196" s="54"/>
      <c r="L196" s="54">
        <f ca="1">IFERROR(__xludf.DUMMYFUNCTION("""COMPUTED_VALUE"""),0)</f>
        <v>0</v>
      </c>
      <c r="M196" s="54"/>
      <c r="N196" s="54">
        <f ca="1">IFERROR(__xludf.DUMMYFUNCTION("""COMPUTED_VALUE"""),0)</f>
        <v>0</v>
      </c>
      <c r="O196" s="54">
        <f ca="1">IFERROR(__xludf.DUMMYFUNCTION("""COMPUTED_VALUE"""),10)</f>
        <v>10</v>
      </c>
      <c r="P196" s="54"/>
      <c r="Q196" s="54">
        <f ca="1">IFERROR(__xludf.DUMMYFUNCTION("""COMPUTED_VALUE"""),0)</f>
        <v>0</v>
      </c>
      <c r="R196" s="54"/>
      <c r="S196" s="54">
        <f ca="1">IFERROR(__xludf.DUMMYFUNCTION("""COMPUTED_VALUE"""),0)</f>
        <v>0</v>
      </c>
      <c r="T196" s="53"/>
      <c r="U196" s="53"/>
      <c r="V196" s="53"/>
      <c r="W196" s="53"/>
      <c r="X196" s="53"/>
      <c r="Y196" s="53"/>
      <c r="Z196" s="2"/>
      <c r="AA196" s="2"/>
      <c r="AB196" s="2"/>
      <c r="AC196" s="2"/>
      <c r="AD196" s="2"/>
      <c r="AE196" s="2"/>
    </row>
    <row r="197" spans="1:31" ht="12.75" x14ac:dyDescent="0.2">
      <c r="A197" s="53">
        <f ca="1">IFERROR(__xludf.DUMMYFUNCTION("""COMPUTED_VALUE"""),122)</f>
        <v>122</v>
      </c>
      <c r="B197" s="53" t="str">
        <f ca="1">IFERROR(__xludf.DUMMYFUNCTION("""COMPUTED_VALUE"""),"Nhóm trẻ Song Nhi 2")</f>
        <v>Nhóm trẻ Song Nhi 2</v>
      </c>
      <c r="C197" s="53" t="str">
        <f ca="1">IFERROR(__xludf.DUMMYFUNCTION("""COMPUTED_VALUE"""),"Phạm Văn Hai")</f>
        <v>Phạm Văn Hai</v>
      </c>
      <c r="D197" s="53" t="str">
        <f ca="1">IFERROR(__xludf.DUMMYFUNCTION("""COMPUTED_VALUE"""),"MN")</f>
        <v>MN</v>
      </c>
      <c r="E197" s="54" t="str">
        <f ca="1">IFERROR(__xludf.DUMMYFUNCTION("""COMPUTED_VALUE"""),"Bình Chánh")</f>
        <v>Bình Chánh</v>
      </c>
      <c r="F197" s="54">
        <f ca="1">IFERROR(__xludf.DUMMYFUNCTION("""COMPUTED_VALUE"""),0)</f>
        <v>0</v>
      </c>
      <c r="G197" s="54"/>
      <c r="H197" s="54">
        <f ca="1">IFERROR(__xludf.DUMMYFUNCTION("""COMPUTED_VALUE"""),0)</f>
        <v>0</v>
      </c>
      <c r="I197" s="54"/>
      <c r="J197" s="54">
        <f ca="1">IFERROR(__xludf.DUMMYFUNCTION("""COMPUTED_VALUE"""),0)</f>
        <v>0</v>
      </c>
      <c r="K197" s="54"/>
      <c r="L197" s="54">
        <f ca="1">IFERROR(__xludf.DUMMYFUNCTION("""COMPUTED_VALUE"""),0)</f>
        <v>0</v>
      </c>
      <c r="M197" s="54"/>
      <c r="N197" s="54">
        <f ca="1">IFERROR(__xludf.DUMMYFUNCTION("""COMPUTED_VALUE"""),0)</f>
        <v>0</v>
      </c>
      <c r="O197" s="54">
        <f ca="1">IFERROR(__xludf.DUMMYFUNCTION("""COMPUTED_VALUE"""),0)</f>
        <v>0</v>
      </c>
      <c r="P197" s="54"/>
      <c r="Q197" s="54">
        <f ca="1">IFERROR(__xludf.DUMMYFUNCTION("""COMPUTED_VALUE"""),0)</f>
        <v>0</v>
      </c>
      <c r="R197" s="54"/>
      <c r="S197" s="54">
        <f ca="1">IFERROR(__xludf.DUMMYFUNCTION("""COMPUTED_VALUE"""),0)</f>
        <v>0</v>
      </c>
      <c r="T197" s="53"/>
      <c r="U197" s="53"/>
      <c r="V197" s="53"/>
      <c r="W197" s="53"/>
      <c r="X197" s="53"/>
      <c r="Y197" s="53"/>
      <c r="Z197" s="2"/>
      <c r="AA197" s="2"/>
      <c r="AB197" s="2"/>
      <c r="AC197" s="2"/>
      <c r="AD197" s="2"/>
      <c r="AE197" s="2"/>
    </row>
    <row r="198" spans="1:31" ht="12.75" x14ac:dyDescent="0.2">
      <c r="A198" s="53">
        <f ca="1">IFERROR(__xludf.DUMMYFUNCTION("""COMPUTED_VALUE"""),123)</f>
        <v>123</v>
      </c>
      <c r="B198" s="53" t="str">
        <f ca="1">IFERROR(__xludf.DUMMYFUNCTION("""COMPUTED_VALUE"""),"Nhóm trẻ An Hạ 2")</f>
        <v>Nhóm trẻ An Hạ 2</v>
      </c>
      <c r="C198" s="53" t="str">
        <f ca="1">IFERROR(__xludf.DUMMYFUNCTION("""COMPUTED_VALUE"""),"Phạm Văn Hai")</f>
        <v>Phạm Văn Hai</v>
      </c>
      <c r="D198" s="53" t="str">
        <f ca="1">IFERROR(__xludf.DUMMYFUNCTION("""COMPUTED_VALUE"""),"MN")</f>
        <v>MN</v>
      </c>
      <c r="E198" s="54" t="str">
        <f ca="1">IFERROR(__xludf.DUMMYFUNCTION("""COMPUTED_VALUE"""),"Bình Chánh")</f>
        <v>Bình Chánh</v>
      </c>
      <c r="F198" s="54">
        <f ca="1">IFERROR(__xludf.DUMMYFUNCTION("""COMPUTED_VALUE"""),4)</f>
        <v>4</v>
      </c>
      <c r="G198" s="54"/>
      <c r="H198" s="54">
        <f ca="1">IFERROR(__xludf.DUMMYFUNCTION("""COMPUTED_VALUE"""),4)</f>
        <v>4</v>
      </c>
      <c r="I198" s="54"/>
      <c r="J198" s="54">
        <f ca="1">IFERROR(__xludf.DUMMYFUNCTION("""COMPUTED_VALUE"""),4)</f>
        <v>4</v>
      </c>
      <c r="K198" s="54"/>
      <c r="L198" s="54">
        <f ca="1">IFERROR(__xludf.DUMMYFUNCTION("""COMPUTED_VALUE"""),4)</f>
        <v>4</v>
      </c>
      <c r="M198" s="54"/>
      <c r="N198" s="54">
        <f ca="1">IFERROR(__xludf.DUMMYFUNCTION("""COMPUTED_VALUE"""),0)</f>
        <v>0</v>
      </c>
      <c r="O198" s="54">
        <f ca="1">IFERROR(__xludf.DUMMYFUNCTION("""COMPUTED_VALUE"""),0)</f>
        <v>0</v>
      </c>
      <c r="P198" s="54"/>
      <c r="Q198" s="54">
        <f ca="1">IFERROR(__xludf.DUMMYFUNCTION("""COMPUTED_VALUE"""),0)</f>
        <v>0</v>
      </c>
      <c r="R198" s="54"/>
      <c r="S198" s="54">
        <f ca="1">IFERROR(__xludf.DUMMYFUNCTION("""COMPUTED_VALUE"""),0)</f>
        <v>0</v>
      </c>
      <c r="T198" s="53"/>
      <c r="U198" s="53"/>
      <c r="V198" s="53"/>
      <c r="W198" s="53"/>
      <c r="X198" s="53"/>
      <c r="Y198" s="53"/>
      <c r="Z198" s="2"/>
      <c r="AA198" s="2"/>
      <c r="AB198" s="2"/>
      <c r="AC198" s="2"/>
      <c r="AD198" s="2"/>
      <c r="AE198" s="2"/>
    </row>
    <row r="199" spans="1:31" ht="12.75" x14ac:dyDescent="0.2">
      <c r="A199" s="53">
        <f ca="1">IFERROR(__xludf.DUMMYFUNCTION("""COMPUTED_VALUE"""),124)</f>
        <v>124</v>
      </c>
      <c r="B199" s="53" t="str">
        <f ca="1">IFERROR(__xludf.DUMMYFUNCTION("""COMPUTED_VALUE"""),"Lớp MG Vườn Thơm")</f>
        <v>Lớp MG Vườn Thơm</v>
      </c>
      <c r="C199" s="53" t="str">
        <f ca="1">IFERROR(__xludf.DUMMYFUNCTION("""COMPUTED_VALUE"""),"Bình Lợi")</f>
        <v>Bình Lợi</v>
      </c>
      <c r="D199" s="53" t="str">
        <f ca="1">IFERROR(__xludf.DUMMYFUNCTION("""COMPUTED_VALUE"""),"MN")</f>
        <v>MN</v>
      </c>
      <c r="E199" s="54" t="str">
        <f ca="1">IFERROR(__xludf.DUMMYFUNCTION("""COMPUTED_VALUE"""),"Bình Chánh")</f>
        <v>Bình Chánh</v>
      </c>
      <c r="F199" s="54">
        <f ca="1">IFERROR(__xludf.DUMMYFUNCTION("""COMPUTED_VALUE"""),4)</f>
        <v>4</v>
      </c>
      <c r="G199" s="54"/>
      <c r="H199" s="54">
        <f ca="1">IFERROR(__xludf.DUMMYFUNCTION("""COMPUTED_VALUE"""),4)</f>
        <v>4</v>
      </c>
      <c r="I199" s="54"/>
      <c r="J199" s="54">
        <f ca="1">IFERROR(__xludf.DUMMYFUNCTION("""COMPUTED_VALUE"""),4)</f>
        <v>4</v>
      </c>
      <c r="K199" s="54"/>
      <c r="L199" s="54">
        <f ca="1">IFERROR(__xludf.DUMMYFUNCTION("""COMPUTED_VALUE"""),4)</f>
        <v>4</v>
      </c>
      <c r="M199" s="54"/>
      <c r="N199" s="54">
        <f ca="1">IFERROR(__xludf.DUMMYFUNCTION("""COMPUTED_VALUE"""),0)</f>
        <v>0</v>
      </c>
      <c r="O199" s="54">
        <f ca="1">IFERROR(__xludf.DUMMYFUNCTION("""COMPUTED_VALUE"""),0)</f>
        <v>0</v>
      </c>
      <c r="P199" s="54"/>
      <c r="Q199" s="54">
        <f ca="1">IFERROR(__xludf.DUMMYFUNCTION("""COMPUTED_VALUE"""),0)</f>
        <v>0</v>
      </c>
      <c r="R199" s="54"/>
      <c r="S199" s="54">
        <f ca="1">IFERROR(__xludf.DUMMYFUNCTION("""COMPUTED_VALUE"""),0)</f>
        <v>0</v>
      </c>
      <c r="T199" s="53"/>
      <c r="U199" s="53"/>
      <c r="V199" s="53"/>
      <c r="W199" s="53"/>
      <c r="X199" s="53"/>
      <c r="Y199" s="53"/>
      <c r="Z199" s="2"/>
      <c r="AA199" s="2"/>
      <c r="AB199" s="2"/>
      <c r="AC199" s="2"/>
      <c r="AD199" s="2"/>
      <c r="AE199" s="2"/>
    </row>
    <row r="200" spans="1:31" ht="12.75" x14ac:dyDescent="0.2">
      <c r="A200" s="53">
        <f ca="1">IFERROR(__xludf.DUMMYFUNCTION("""COMPUTED_VALUE"""),125)</f>
        <v>125</v>
      </c>
      <c r="B200" s="53" t="str">
        <f ca="1">IFERROR(__xludf.DUMMYFUNCTION("""COMPUTED_VALUE"""),"Lớp MG Bông Hồng Nhỏ")</f>
        <v>Lớp MG Bông Hồng Nhỏ</v>
      </c>
      <c r="C200" s="53" t="str">
        <f ca="1">IFERROR(__xludf.DUMMYFUNCTION("""COMPUTED_VALUE"""),"Vĩnh Lộc A")</f>
        <v>Vĩnh Lộc A</v>
      </c>
      <c r="D200" s="53" t="str">
        <f ca="1">IFERROR(__xludf.DUMMYFUNCTION("""COMPUTED_VALUE"""),"MN")</f>
        <v>MN</v>
      </c>
      <c r="E200" s="54" t="str">
        <f ca="1">IFERROR(__xludf.DUMMYFUNCTION("""COMPUTED_VALUE"""),"Bình Chánh")</f>
        <v>Bình Chánh</v>
      </c>
      <c r="F200" s="54">
        <f ca="1">IFERROR(__xludf.DUMMYFUNCTION("""COMPUTED_VALUE"""),6)</f>
        <v>6</v>
      </c>
      <c r="G200" s="54"/>
      <c r="H200" s="54">
        <f ca="1">IFERROR(__xludf.DUMMYFUNCTION("""COMPUTED_VALUE"""),6)</f>
        <v>6</v>
      </c>
      <c r="I200" s="54"/>
      <c r="J200" s="54">
        <f ca="1">IFERROR(__xludf.DUMMYFUNCTION("""COMPUTED_VALUE"""),6)</f>
        <v>6</v>
      </c>
      <c r="K200" s="54"/>
      <c r="L200" s="54">
        <f ca="1">IFERROR(__xludf.DUMMYFUNCTION("""COMPUTED_VALUE"""),6)</f>
        <v>6</v>
      </c>
      <c r="M200" s="54"/>
      <c r="N200" s="54">
        <f ca="1">IFERROR(__xludf.DUMMYFUNCTION("""COMPUTED_VALUE"""),0)</f>
        <v>0</v>
      </c>
      <c r="O200" s="54">
        <f ca="1">IFERROR(__xludf.DUMMYFUNCTION("""COMPUTED_VALUE"""),11)</f>
        <v>11</v>
      </c>
      <c r="P200" s="54"/>
      <c r="Q200" s="54">
        <f ca="1">IFERROR(__xludf.DUMMYFUNCTION("""COMPUTED_VALUE"""),0)</f>
        <v>0</v>
      </c>
      <c r="R200" s="54"/>
      <c r="S200" s="54">
        <f ca="1">IFERROR(__xludf.DUMMYFUNCTION("""COMPUTED_VALUE"""),0)</f>
        <v>0</v>
      </c>
      <c r="T200" s="53"/>
      <c r="U200" s="53"/>
      <c r="V200" s="53"/>
      <c r="W200" s="53"/>
      <c r="X200" s="53"/>
      <c r="Y200" s="53"/>
      <c r="Z200" s="2"/>
      <c r="AA200" s="2"/>
      <c r="AB200" s="2"/>
      <c r="AC200" s="2"/>
      <c r="AD200" s="2"/>
      <c r="AE200" s="2"/>
    </row>
    <row r="201" spans="1:31" ht="12.75" x14ac:dyDescent="0.2">
      <c r="A201" s="53">
        <f ca="1">IFERROR(__xludf.DUMMYFUNCTION("""COMPUTED_VALUE"""),126)</f>
        <v>126</v>
      </c>
      <c r="B201" s="53" t="str">
        <f ca="1">IFERROR(__xludf.DUMMYFUNCTION("""COMPUTED_VALUE"""),"Lớp MG Yến Mai")</f>
        <v>Lớp MG Yến Mai</v>
      </c>
      <c r="C201" s="53" t="str">
        <f ca="1">IFERROR(__xludf.DUMMYFUNCTION("""COMPUTED_VALUE"""),"Bình Chánh")</f>
        <v>Bình Chánh</v>
      </c>
      <c r="D201" s="53" t="str">
        <f ca="1">IFERROR(__xludf.DUMMYFUNCTION("""COMPUTED_VALUE"""),"MN")</f>
        <v>MN</v>
      </c>
      <c r="E201" s="54" t="str">
        <f ca="1">IFERROR(__xludf.DUMMYFUNCTION("""COMPUTED_VALUE"""),"Bình Chánh")</f>
        <v>Bình Chánh</v>
      </c>
      <c r="F201" s="54">
        <f ca="1">IFERROR(__xludf.DUMMYFUNCTION("""COMPUTED_VALUE"""),3)</f>
        <v>3</v>
      </c>
      <c r="G201" s="54"/>
      <c r="H201" s="54">
        <f ca="1">IFERROR(__xludf.DUMMYFUNCTION("""COMPUTED_VALUE"""),3)</f>
        <v>3</v>
      </c>
      <c r="I201" s="54"/>
      <c r="J201" s="54">
        <f ca="1">IFERROR(__xludf.DUMMYFUNCTION("""COMPUTED_VALUE"""),3)</f>
        <v>3</v>
      </c>
      <c r="K201" s="54"/>
      <c r="L201" s="54">
        <f ca="1">IFERROR(__xludf.DUMMYFUNCTION("""COMPUTED_VALUE"""),3)</f>
        <v>3</v>
      </c>
      <c r="M201" s="54"/>
      <c r="N201" s="54">
        <f ca="1">IFERROR(__xludf.DUMMYFUNCTION("""COMPUTED_VALUE"""),0)</f>
        <v>0</v>
      </c>
      <c r="O201" s="53">
        <f ca="1">IFERROR(__xludf.DUMMYFUNCTION("""COMPUTED_VALUE"""),0)</f>
        <v>0</v>
      </c>
      <c r="P201" s="53"/>
      <c r="Q201" s="54">
        <f ca="1">IFERROR(__xludf.DUMMYFUNCTION("""COMPUTED_VALUE"""),0)</f>
        <v>0</v>
      </c>
      <c r="R201" s="54"/>
      <c r="S201" s="54">
        <f ca="1">IFERROR(__xludf.DUMMYFUNCTION("""COMPUTED_VALUE"""),0)</f>
        <v>0</v>
      </c>
      <c r="T201" s="53"/>
      <c r="U201" s="53"/>
      <c r="V201" s="53"/>
      <c r="W201" s="53"/>
      <c r="X201" s="53"/>
      <c r="Y201" s="53"/>
      <c r="Z201" s="2"/>
      <c r="AA201" s="2"/>
      <c r="AB201" s="2"/>
      <c r="AC201" s="2"/>
      <c r="AD201" s="2"/>
      <c r="AE201" s="2"/>
    </row>
    <row r="202" spans="1:31" ht="12.75" x14ac:dyDescent="0.2">
      <c r="A202" s="53">
        <f ca="1">IFERROR(__xludf.DUMMYFUNCTION("""COMPUTED_VALUE"""),127)</f>
        <v>127</v>
      </c>
      <c r="B202" s="53" t="str">
        <f ca="1">IFERROR(__xludf.DUMMYFUNCTION("""COMPUTED_VALUE"""),"Lớp MG Hoa Anh Đào Nhỏ")</f>
        <v>Lớp MG Hoa Anh Đào Nhỏ</v>
      </c>
      <c r="C202" s="53" t="str">
        <f ca="1">IFERROR(__xludf.DUMMYFUNCTION("""COMPUTED_VALUE"""),"Bình Hưng")</f>
        <v>Bình Hưng</v>
      </c>
      <c r="D202" s="53" t="str">
        <f ca="1">IFERROR(__xludf.DUMMYFUNCTION("""COMPUTED_VALUE"""),"MN")</f>
        <v>MN</v>
      </c>
      <c r="E202" s="54" t="str">
        <f ca="1">IFERROR(__xludf.DUMMYFUNCTION("""COMPUTED_VALUE"""),"Bình Chánh")</f>
        <v>Bình Chánh</v>
      </c>
      <c r="F202" s="54">
        <f ca="1">IFERROR(__xludf.DUMMYFUNCTION("""COMPUTED_VALUE"""),0)</f>
        <v>0</v>
      </c>
      <c r="G202" s="54"/>
      <c r="H202" s="54">
        <f ca="1">IFERROR(__xludf.DUMMYFUNCTION("""COMPUTED_VALUE"""),0)</f>
        <v>0</v>
      </c>
      <c r="I202" s="54"/>
      <c r="J202" s="54">
        <f ca="1">IFERROR(__xludf.DUMMYFUNCTION("""COMPUTED_VALUE"""),0)</f>
        <v>0</v>
      </c>
      <c r="K202" s="54"/>
      <c r="L202" s="54">
        <f ca="1">IFERROR(__xludf.DUMMYFUNCTION("""COMPUTED_VALUE"""),0)</f>
        <v>0</v>
      </c>
      <c r="M202" s="54"/>
      <c r="N202" s="54">
        <f ca="1">IFERROR(__xludf.DUMMYFUNCTION("""COMPUTED_VALUE"""),0)</f>
        <v>0</v>
      </c>
      <c r="O202" s="54">
        <f ca="1">IFERROR(__xludf.DUMMYFUNCTION("""COMPUTED_VALUE"""),0)</f>
        <v>0</v>
      </c>
      <c r="P202" s="54"/>
      <c r="Q202" s="54">
        <f ca="1">IFERROR(__xludf.DUMMYFUNCTION("""COMPUTED_VALUE"""),0)</f>
        <v>0</v>
      </c>
      <c r="R202" s="54"/>
      <c r="S202" s="54">
        <f ca="1">IFERROR(__xludf.DUMMYFUNCTION("""COMPUTED_VALUE"""),0)</f>
        <v>0</v>
      </c>
      <c r="T202" s="53"/>
      <c r="U202" s="53"/>
      <c r="V202" s="53"/>
      <c r="W202" s="53"/>
      <c r="X202" s="53"/>
      <c r="Y202" s="53"/>
      <c r="Z202" s="2"/>
      <c r="AA202" s="2"/>
      <c r="AB202" s="2"/>
      <c r="AC202" s="2"/>
      <c r="AD202" s="2"/>
      <c r="AE202" s="2"/>
    </row>
    <row r="203" spans="1:31" ht="12.75" x14ac:dyDescent="0.2">
      <c r="A203" s="53">
        <f ca="1">IFERROR(__xludf.DUMMYFUNCTION("""COMPUTED_VALUE"""),128)</f>
        <v>128</v>
      </c>
      <c r="B203" s="53" t="str">
        <f ca="1">IFERROR(__xludf.DUMMYFUNCTION("""COMPUTED_VALUE"""),"Lớp MN Mây Trắng")</f>
        <v>Lớp MN Mây Trắng</v>
      </c>
      <c r="C203" s="53" t="str">
        <f ca="1">IFERROR(__xludf.DUMMYFUNCTION("""COMPUTED_VALUE"""),"Vĩnh Lộc A")</f>
        <v>Vĩnh Lộc A</v>
      </c>
      <c r="D203" s="53" t="str">
        <f ca="1">IFERROR(__xludf.DUMMYFUNCTION("""COMPUTED_VALUE"""),"MN")</f>
        <v>MN</v>
      </c>
      <c r="E203" s="54" t="str">
        <f ca="1">IFERROR(__xludf.DUMMYFUNCTION("""COMPUTED_VALUE"""),"Bình Chánh")</f>
        <v>Bình Chánh</v>
      </c>
      <c r="F203" s="54">
        <f ca="1">IFERROR(__xludf.DUMMYFUNCTION("""COMPUTED_VALUE"""),0)</f>
        <v>0</v>
      </c>
      <c r="G203" s="54"/>
      <c r="H203" s="54">
        <f ca="1">IFERROR(__xludf.DUMMYFUNCTION("""COMPUTED_VALUE"""),0)</f>
        <v>0</v>
      </c>
      <c r="I203" s="54"/>
      <c r="J203" s="54">
        <f ca="1">IFERROR(__xludf.DUMMYFUNCTION("""COMPUTED_VALUE"""),0)</f>
        <v>0</v>
      </c>
      <c r="K203" s="54"/>
      <c r="L203" s="54">
        <f ca="1">IFERROR(__xludf.DUMMYFUNCTION("""COMPUTED_VALUE"""),0)</f>
        <v>0</v>
      </c>
      <c r="M203" s="54"/>
      <c r="N203" s="54">
        <f ca="1">IFERROR(__xludf.DUMMYFUNCTION("""COMPUTED_VALUE"""),0)</f>
        <v>0</v>
      </c>
      <c r="O203" s="54">
        <f ca="1">IFERROR(__xludf.DUMMYFUNCTION("""COMPUTED_VALUE"""),0)</f>
        <v>0</v>
      </c>
      <c r="P203" s="54"/>
      <c r="Q203" s="54">
        <f ca="1">IFERROR(__xludf.DUMMYFUNCTION("""COMPUTED_VALUE"""),0)</f>
        <v>0</v>
      </c>
      <c r="R203" s="54"/>
      <c r="S203" s="54">
        <f ca="1">IFERROR(__xludf.DUMMYFUNCTION("""COMPUTED_VALUE"""),0)</f>
        <v>0</v>
      </c>
      <c r="T203" s="53"/>
      <c r="U203" s="53"/>
      <c r="V203" s="53"/>
      <c r="W203" s="53"/>
      <c r="X203" s="53"/>
      <c r="Y203" s="53"/>
      <c r="Z203" s="2"/>
      <c r="AA203" s="2"/>
      <c r="AB203" s="2"/>
      <c r="AC203" s="2"/>
      <c r="AD203" s="2"/>
      <c r="AE203" s="2"/>
    </row>
    <row r="204" spans="1:31" ht="12.75" x14ac:dyDescent="0.2">
      <c r="A204" s="55" t="str">
        <f ca="1">IFERROR(__xludf.DUMMYFUNCTION("""COMPUTED_VALUE"""),"Nhóm lớp")</f>
        <v>Nhóm lớp</v>
      </c>
      <c r="B204" s="53"/>
      <c r="C204" s="53"/>
      <c r="D204" s="53"/>
      <c r="E204" s="53"/>
      <c r="F204" s="54">
        <f ca="1">IFERROR(__xludf.DUMMYFUNCTION("""COMPUTED_VALUE"""),876)</f>
        <v>876</v>
      </c>
      <c r="G204" s="54"/>
      <c r="H204" s="54">
        <f ca="1">IFERROR(__xludf.DUMMYFUNCTION("""COMPUTED_VALUE"""),873)</f>
        <v>873</v>
      </c>
      <c r="I204" s="54"/>
      <c r="J204" s="54">
        <f ca="1">IFERROR(__xludf.DUMMYFUNCTION("""COMPUTED_VALUE"""),841)</f>
        <v>841</v>
      </c>
      <c r="K204" s="54"/>
      <c r="L204" s="54">
        <f ca="1">IFERROR(__xludf.DUMMYFUNCTION("""COMPUTED_VALUE"""),786)</f>
        <v>786</v>
      </c>
      <c r="M204" s="54"/>
      <c r="N204" s="54">
        <f ca="1">IFERROR(__xludf.DUMMYFUNCTION("""COMPUTED_VALUE"""),16)</f>
        <v>16</v>
      </c>
      <c r="O204" s="54">
        <f ca="1">IFERROR(__xludf.DUMMYFUNCTION("""COMPUTED_VALUE"""),2460)</f>
        <v>2460</v>
      </c>
      <c r="P204" s="54"/>
      <c r="Q204" s="54">
        <f ca="1">IFERROR(__xludf.DUMMYFUNCTION("""COMPUTED_VALUE"""),690)</f>
        <v>690</v>
      </c>
      <c r="R204" s="54"/>
      <c r="S204" s="54">
        <f ca="1">IFERROR(__xludf.DUMMYFUNCTION("""COMPUTED_VALUE"""),27)</f>
        <v>27</v>
      </c>
      <c r="T204" s="53"/>
      <c r="U204" s="53"/>
      <c r="V204" s="53"/>
      <c r="W204" s="53"/>
      <c r="X204" s="53"/>
      <c r="Y204" s="53"/>
      <c r="Z204" s="2"/>
      <c r="AA204" s="2"/>
      <c r="AB204" s="2"/>
      <c r="AC204" s="2"/>
      <c r="AD204" s="2"/>
      <c r="AE204" s="2"/>
    </row>
    <row r="205" spans="1:31" ht="12.75" x14ac:dyDescent="0.2">
      <c r="A205" s="55" t="str">
        <f ca="1">IFERROR(__xludf.DUMMYFUNCTION("""COMPUTED_VALUE"""),"Tiểu học")</f>
        <v>Tiểu học</v>
      </c>
      <c r="B205" s="53"/>
      <c r="C205" s="53"/>
      <c r="D205" s="53"/>
      <c r="E205" s="53"/>
      <c r="F205" s="54">
        <f ca="1">IFERROR(__xludf.DUMMYFUNCTION("""COMPUTED_VALUE"""),2150)</f>
        <v>2150</v>
      </c>
      <c r="G205" s="54"/>
      <c r="H205" s="54">
        <f ca="1">IFERROR(__xludf.DUMMYFUNCTION("""COMPUTED_VALUE"""),2146)</f>
        <v>2146</v>
      </c>
      <c r="I205" s="54"/>
      <c r="J205" s="54">
        <f ca="1">IFERROR(__xludf.DUMMYFUNCTION("""COMPUTED_VALUE"""),2143)</f>
        <v>2143</v>
      </c>
      <c r="K205" s="54"/>
      <c r="L205" s="54">
        <f ca="1">IFERROR(__xludf.DUMMYFUNCTION("""COMPUTED_VALUE"""),2114)</f>
        <v>2114</v>
      </c>
      <c r="M205" s="54"/>
      <c r="N205" s="54">
        <f ca="1">IFERROR(__xludf.DUMMYFUNCTION("""COMPUTED_VALUE"""),312)</f>
        <v>312</v>
      </c>
      <c r="O205" s="54">
        <f ca="1">IFERROR(__xludf.DUMMYFUNCTION("""COMPUTED_VALUE"""),48459)</f>
        <v>48459</v>
      </c>
      <c r="P205" s="54"/>
      <c r="Q205" s="54">
        <f ca="1">IFERROR(__xludf.DUMMYFUNCTION("""COMPUTED_VALUE"""),45946)</f>
        <v>45946</v>
      </c>
      <c r="R205" s="54"/>
      <c r="S205" s="54">
        <f ca="1">IFERROR(__xludf.DUMMYFUNCTION("""COMPUTED_VALUE"""),14121)</f>
        <v>14121</v>
      </c>
      <c r="T205" s="53"/>
      <c r="U205" s="53"/>
      <c r="V205" s="53"/>
      <c r="W205" s="53"/>
      <c r="X205" s="53"/>
      <c r="Y205" s="53"/>
      <c r="Z205" s="2"/>
      <c r="AA205" s="2"/>
      <c r="AB205" s="2"/>
      <c r="AC205" s="2"/>
      <c r="AD205" s="2"/>
      <c r="AE205" s="2"/>
    </row>
    <row r="206" spans="1:31" ht="12.75" x14ac:dyDescent="0.2">
      <c r="A206" s="53">
        <f ca="1">IFERROR(__xludf.DUMMYFUNCTION("""COMPUTED_VALUE"""),1)</f>
        <v>1</v>
      </c>
      <c r="B206" s="53" t="str">
        <f ca="1">IFERROR(__xludf.DUMMYFUNCTION("""COMPUTED_VALUE"""),"TH Bình Hưng")</f>
        <v>TH Bình Hưng</v>
      </c>
      <c r="C206" s="53" t="str">
        <f ca="1">IFERROR(__xludf.DUMMYFUNCTION("""COMPUTED_VALUE"""),"Bình Hưng")</f>
        <v>Bình Hưng</v>
      </c>
      <c r="D206" s="53" t="str">
        <f ca="1">IFERROR(__xludf.DUMMYFUNCTION("""COMPUTED_VALUE"""),"TH")</f>
        <v>TH</v>
      </c>
      <c r="E206" s="54" t="str">
        <f ca="1">IFERROR(__xludf.DUMMYFUNCTION("""COMPUTED_VALUE"""),"Bình Chánh")</f>
        <v>Bình Chánh</v>
      </c>
      <c r="F206" s="54">
        <f ca="1">IFERROR(__xludf.DUMMYFUNCTION("""COMPUTED_VALUE"""),61)</f>
        <v>61</v>
      </c>
      <c r="G206" s="54"/>
      <c r="H206" s="54">
        <f ca="1">IFERROR(__xludf.DUMMYFUNCTION("""COMPUTED_VALUE"""),61)</f>
        <v>61</v>
      </c>
      <c r="I206" s="54"/>
      <c r="J206" s="54">
        <f ca="1">IFERROR(__xludf.DUMMYFUNCTION("""COMPUTED_VALUE"""),61)</f>
        <v>61</v>
      </c>
      <c r="K206" s="54"/>
      <c r="L206" s="54">
        <f ca="1">IFERROR(__xludf.DUMMYFUNCTION("""COMPUTED_VALUE"""),61)</f>
        <v>61</v>
      </c>
      <c r="M206" s="54"/>
      <c r="N206" s="54">
        <f ca="1">IFERROR(__xludf.DUMMYFUNCTION("""COMPUTED_VALUE"""),44)</f>
        <v>44</v>
      </c>
      <c r="O206" s="54">
        <f ca="1">IFERROR(__xludf.DUMMYFUNCTION("""COMPUTED_VALUE"""),1021)</f>
        <v>1021</v>
      </c>
      <c r="P206" s="54"/>
      <c r="Q206" s="54">
        <f ca="1">IFERROR(__xludf.DUMMYFUNCTION("""COMPUTED_VALUE"""),644)</f>
        <v>644</v>
      </c>
      <c r="R206" s="54"/>
      <c r="S206" s="54">
        <f ca="1">IFERROR(__xludf.DUMMYFUNCTION("""COMPUTED_VALUE"""),406)</f>
        <v>406</v>
      </c>
      <c r="T206" s="53"/>
      <c r="U206" s="53"/>
      <c r="V206" s="53"/>
      <c r="W206" s="53"/>
      <c r="X206" s="53"/>
      <c r="Y206" s="53"/>
      <c r="Z206" s="2"/>
      <c r="AA206" s="2"/>
      <c r="AB206" s="2"/>
      <c r="AC206" s="2"/>
      <c r="AD206" s="2"/>
      <c r="AE206" s="2"/>
    </row>
    <row r="207" spans="1:31" ht="12.75" x14ac:dyDescent="0.2">
      <c r="A207" s="53">
        <f ca="1">IFERROR(__xludf.DUMMYFUNCTION("""COMPUTED_VALUE"""),2)</f>
        <v>2</v>
      </c>
      <c r="B207" s="53" t="str">
        <f ca="1">IFERROR(__xludf.DUMMYFUNCTION("""COMPUTED_VALUE"""),"TH Phạm Hùng")</f>
        <v>TH Phạm Hùng</v>
      </c>
      <c r="C207" s="53" t="str">
        <f ca="1">IFERROR(__xludf.DUMMYFUNCTION("""COMPUTED_VALUE"""),"Bình Hưng")</f>
        <v>Bình Hưng</v>
      </c>
      <c r="D207" s="53" t="str">
        <f ca="1">IFERROR(__xludf.DUMMYFUNCTION("""COMPUTED_VALUE"""),"TH")</f>
        <v>TH</v>
      </c>
      <c r="E207" s="54" t="str">
        <f ca="1">IFERROR(__xludf.DUMMYFUNCTION("""COMPUTED_VALUE"""),"Bình Chánh")</f>
        <v>Bình Chánh</v>
      </c>
      <c r="F207" s="54">
        <f ca="1">IFERROR(__xludf.DUMMYFUNCTION("""COMPUTED_VALUE"""),75)</f>
        <v>75</v>
      </c>
      <c r="G207" s="54"/>
      <c r="H207" s="54">
        <f ca="1">IFERROR(__xludf.DUMMYFUNCTION("""COMPUTED_VALUE"""),75)</f>
        <v>75</v>
      </c>
      <c r="I207" s="54"/>
      <c r="J207" s="54">
        <f ca="1">IFERROR(__xludf.DUMMYFUNCTION("""COMPUTED_VALUE"""),74)</f>
        <v>74</v>
      </c>
      <c r="K207" s="54"/>
      <c r="L207" s="54">
        <f ca="1">IFERROR(__xludf.DUMMYFUNCTION("""COMPUTED_VALUE"""),71)</f>
        <v>71</v>
      </c>
      <c r="M207" s="54"/>
      <c r="N207" s="54">
        <f ca="1">IFERROR(__xludf.DUMMYFUNCTION("""COMPUTED_VALUE"""),10)</f>
        <v>10</v>
      </c>
      <c r="O207" s="53">
        <f ca="1">IFERROR(__xludf.DUMMYFUNCTION("""COMPUTED_VALUE"""),1950)</f>
        <v>1950</v>
      </c>
      <c r="P207" s="53"/>
      <c r="Q207" s="54">
        <f ca="1">IFERROR(__xludf.DUMMYFUNCTION("""COMPUTED_VALUE"""),893)</f>
        <v>893</v>
      </c>
      <c r="R207" s="54"/>
      <c r="S207" s="54">
        <f ca="1">IFERROR(__xludf.DUMMYFUNCTION("""COMPUTED_VALUE"""),100)</f>
        <v>100</v>
      </c>
      <c r="T207" s="53"/>
      <c r="U207" s="53"/>
      <c r="V207" s="53"/>
      <c r="W207" s="53"/>
      <c r="X207" s="53"/>
      <c r="Y207" s="53"/>
      <c r="Z207" s="2"/>
      <c r="AA207" s="2"/>
      <c r="AB207" s="2"/>
      <c r="AC207" s="2"/>
      <c r="AD207" s="2"/>
      <c r="AE207" s="2"/>
    </row>
    <row r="208" spans="1:31" ht="12.75" x14ac:dyDescent="0.2">
      <c r="A208" s="53">
        <f ca="1">IFERROR(__xludf.DUMMYFUNCTION("""COMPUTED_VALUE"""),3)</f>
        <v>3</v>
      </c>
      <c r="B208" s="53" t="str">
        <f ca="1">IFERROR(__xludf.DUMMYFUNCTION("""COMPUTED_VALUE"""),"TH Phong Phú")</f>
        <v>TH Phong Phú</v>
      </c>
      <c r="C208" s="53" t="str">
        <f ca="1">IFERROR(__xludf.DUMMYFUNCTION("""COMPUTED_VALUE"""),"Phong Phú")</f>
        <v>Phong Phú</v>
      </c>
      <c r="D208" s="53" t="str">
        <f ca="1">IFERROR(__xludf.DUMMYFUNCTION("""COMPUTED_VALUE"""),"TH")</f>
        <v>TH</v>
      </c>
      <c r="E208" s="54" t="str">
        <f ca="1">IFERROR(__xludf.DUMMYFUNCTION("""COMPUTED_VALUE"""),"Bình Chánh")</f>
        <v>Bình Chánh</v>
      </c>
      <c r="F208" s="54">
        <f ca="1">IFERROR(__xludf.DUMMYFUNCTION("""COMPUTED_VALUE"""),60)</f>
        <v>60</v>
      </c>
      <c r="G208" s="54"/>
      <c r="H208" s="54">
        <f ca="1">IFERROR(__xludf.DUMMYFUNCTION("""COMPUTED_VALUE"""),60)</f>
        <v>60</v>
      </c>
      <c r="I208" s="54"/>
      <c r="J208" s="54">
        <f ca="1">IFERROR(__xludf.DUMMYFUNCTION("""COMPUTED_VALUE"""),60)</f>
        <v>60</v>
      </c>
      <c r="K208" s="54"/>
      <c r="L208" s="54">
        <f ca="1">IFERROR(__xludf.DUMMYFUNCTION("""COMPUTED_VALUE"""),58)</f>
        <v>58</v>
      </c>
      <c r="M208" s="54"/>
      <c r="N208" s="54">
        <f ca="1">IFERROR(__xludf.DUMMYFUNCTION("""COMPUTED_VALUE"""),11)</f>
        <v>11</v>
      </c>
      <c r="O208" s="54">
        <f ca="1">IFERROR(__xludf.DUMMYFUNCTION("""COMPUTED_VALUE"""),1211)</f>
        <v>1211</v>
      </c>
      <c r="P208" s="54"/>
      <c r="Q208" s="54">
        <f ca="1">IFERROR(__xludf.DUMMYFUNCTION("""COMPUTED_VALUE"""),539)</f>
        <v>539</v>
      </c>
      <c r="R208" s="54"/>
      <c r="S208" s="54">
        <f ca="1">IFERROR(__xludf.DUMMYFUNCTION("""COMPUTED_VALUE"""),672)</f>
        <v>672</v>
      </c>
      <c r="T208" s="53"/>
      <c r="U208" s="53"/>
      <c r="V208" s="53"/>
      <c r="W208" s="53"/>
      <c r="X208" s="53"/>
      <c r="Y208" s="53"/>
      <c r="Z208" s="2"/>
      <c r="AA208" s="2"/>
      <c r="AB208" s="2"/>
      <c r="AC208" s="2"/>
      <c r="AD208" s="2"/>
      <c r="AE208" s="2"/>
    </row>
    <row r="209" spans="1:31" ht="12.75" x14ac:dyDescent="0.2">
      <c r="A209" s="53">
        <f ca="1">IFERROR(__xludf.DUMMYFUNCTION("""COMPUTED_VALUE"""),4)</f>
        <v>4</v>
      </c>
      <c r="B209" s="53" t="str">
        <f ca="1">IFERROR(__xludf.DUMMYFUNCTION("""COMPUTED_VALUE"""),"TH Phong Phú 2")</f>
        <v>TH Phong Phú 2</v>
      </c>
      <c r="C209" s="53" t="str">
        <f ca="1">IFERROR(__xludf.DUMMYFUNCTION("""COMPUTED_VALUE"""),"Phong Phú")</f>
        <v>Phong Phú</v>
      </c>
      <c r="D209" s="53" t="str">
        <f ca="1">IFERROR(__xludf.DUMMYFUNCTION("""COMPUTED_VALUE"""),"TH")</f>
        <v>TH</v>
      </c>
      <c r="E209" s="54" t="str">
        <f ca="1">IFERROR(__xludf.DUMMYFUNCTION("""COMPUTED_VALUE"""),"Bình Chánh")</f>
        <v>Bình Chánh</v>
      </c>
      <c r="F209" s="54">
        <f ca="1">IFERROR(__xludf.DUMMYFUNCTION("""COMPUTED_VALUE"""),43)</f>
        <v>43</v>
      </c>
      <c r="G209" s="54"/>
      <c r="H209" s="54">
        <f ca="1">IFERROR(__xludf.DUMMYFUNCTION("""COMPUTED_VALUE"""),43)</f>
        <v>43</v>
      </c>
      <c r="I209" s="54"/>
      <c r="J209" s="54">
        <f ca="1">IFERROR(__xludf.DUMMYFUNCTION("""COMPUTED_VALUE"""),43)</f>
        <v>43</v>
      </c>
      <c r="K209" s="54"/>
      <c r="L209" s="54">
        <f ca="1">IFERROR(__xludf.DUMMYFUNCTION("""COMPUTED_VALUE"""),43)</f>
        <v>43</v>
      </c>
      <c r="M209" s="54"/>
      <c r="N209" s="54">
        <f ca="1">IFERROR(__xludf.DUMMYFUNCTION("""COMPUTED_VALUE"""),1)</f>
        <v>1</v>
      </c>
      <c r="O209" s="54">
        <f ca="1">IFERROR(__xludf.DUMMYFUNCTION("""COMPUTED_VALUE"""),1095)</f>
        <v>1095</v>
      </c>
      <c r="P209" s="54"/>
      <c r="Q209" s="54">
        <f ca="1">IFERROR(__xludf.DUMMYFUNCTION("""COMPUTED_VALUE"""),687)</f>
        <v>687</v>
      </c>
      <c r="R209" s="54"/>
      <c r="S209" s="54">
        <f ca="1">IFERROR(__xludf.DUMMYFUNCTION("""COMPUTED_VALUE"""),408)</f>
        <v>408</v>
      </c>
      <c r="T209" s="53"/>
      <c r="U209" s="53"/>
      <c r="V209" s="53"/>
      <c r="W209" s="53"/>
      <c r="X209" s="53"/>
      <c r="Y209" s="53"/>
      <c r="Z209" s="2"/>
      <c r="AA209" s="2"/>
      <c r="AB209" s="2"/>
      <c r="AC209" s="2"/>
      <c r="AD209" s="2"/>
      <c r="AE209" s="2"/>
    </row>
    <row r="210" spans="1:31" ht="12.75" x14ac:dyDescent="0.2">
      <c r="A210" s="53">
        <f ca="1">IFERROR(__xludf.DUMMYFUNCTION("""COMPUTED_VALUE"""),5)</f>
        <v>5</v>
      </c>
      <c r="B210" s="53" t="str">
        <f ca="1">IFERROR(__xludf.DUMMYFUNCTION("""COMPUTED_VALUE"""),"TH Lê Quý Đôn")</f>
        <v>TH Lê Quý Đôn</v>
      </c>
      <c r="C210" s="53" t="str">
        <f ca="1">IFERROR(__xludf.DUMMYFUNCTION("""COMPUTED_VALUE"""),"Phong Phú")</f>
        <v>Phong Phú</v>
      </c>
      <c r="D210" s="53" t="str">
        <f ca="1">IFERROR(__xludf.DUMMYFUNCTION("""COMPUTED_VALUE"""),"TH")</f>
        <v>TH</v>
      </c>
      <c r="E210" s="54" t="str">
        <f ca="1">IFERROR(__xludf.DUMMYFUNCTION("""COMPUTED_VALUE"""),"Bình Chánh")</f>
        <v>Bình Chánh</v>
      </c>
      <c r="F210" s="54">
        <f ca="1">IFERROR(__xludf.DUMMYFUNCTION("""COMPUTED_VALUE"""),33)</f>
        <v>33</v>
      </c>
      <c r="G210" s="54"/>
      <c r="H210" s="54">
        <f ca="1">IFERROR(__xludf.DUMMYFUNCTION("""COMPUTED_VALUE"""),33)</f>
        <v>33</v>
      </c>
      <c r="I210" s="54"/>
      <c r="J210" s="54">
        <f ca="1">IFERROR(__xludf.DUMMYFUNCTION("""COMPUTED_VALUE"""),33)</f>
        <v>33</v>
      </c>
      <c r="K210" s="54"/>
      <c r="L210" s="54">
        <f ca="1">IFERROR(__xludf.DUMMYFUNCTION("""COMPUTED_VALUE"""),32)</f>
        <v>32</v>
      </c>
      <c r="M210" s="54"/>
      <c r="N210" s="54">
        <f ca="1">IFERROR(__xludf.DUMMYFUNCTION("""COMPUTED_VALUE"""),0)</f>
        <v>0</v>
      </c>
      <c r="O210" s="54">
        <f ca="1">IFERROR(__xludf.DUMMYFUNCTION("""COMPUTED_VALUE"""),535)</f>
        <v>535</v>
      </c>
      <c r="P210" s="54"/>
      <c r="Q210" s="54">
        <f ca="1">IFERROR(__xludf.DUMMYFUNCTION("""COMPUTED_VALUE"""),138)</f>
        <v>138</v>
      </c>
      <c r="R210" s="54"/>
      <c r="S210" s="54">
        <f ca="1">IFERROR(__xludf.DUMMYFUNCTION("""COMPUTED_VALUE"""),0)</f>
        <v>0</v>
      </c>
      <c r="T210" s="53"/>
      <c r="U210" s="53"/>
      <c r="V210" s="53"/>
      <c r="W210" s="53"/>
      <c r="X210" s="53"/>
      <c r="Y210" s="53"/>
      <c r="Z210" s="2"/>
      <c r="AA210" s="2"/>
      <c r="AB210" s="2"/>
      <c r="AC210" s="2"/>
      <c r="AD210" s="2"/>
      <c r="AE210" s="2"/>
    </row>
    <row r="211" spans="1:31" ht="12.75" x14ac:dyDescent="0.2">
      <c r="A211" s="53">
        <f ca="1">IFERROR(__xludf.DUMMYFUNCTION("""COMPUTED_VALUE"""),6)</f>
        <v>6</v>
      </c>
      <c r="B211" s="53" t="str">
        <f ca="1">IFERROR(__xludf.DUMMYFUNCTION("""COMPUTED_VALUE"""),"TH Nguyễn Văn Trân")</f>
        <v>TH Nguyễn Văn Trân</v>
      </c>
      <c r="C211" s="53" t="str">
        <f ca="1">IFERROR(__xludf.DUMMYFUNCTION("""COMPUTED_VALUE"""),"Đa Phước")</f>
        <v>Đa Phước</v>
      </c>
      <c r="D211" s="53" t="str">
        <f ca="1">IFERROR(__xludf.DUMMYFUNCTION("""COMPUTED_VALUE"""),"TH")</f>
        <v>TH</v>
      </c>
      <c r="E211" s="54" t="str">
        <f ca="1">IFERROR(__xludf.DUMMYFUNCTION("""COMPUTED_VALUE"""),"Bình Chánh")</f>
        <v>Bình Chánh</v>
      </c>
      <c r="F211" s="54">
        <f ca="1">IFERROR(__xludf.DUMMYFUNCTION("""COMPUTED_VALUE"""),51)</f>
        <v>51</v>
      </c>
      <c r="G211" s="54"/>
      <c r="H211" s="54">
        <f ca="1">IFERROR(__xludf.DUMMYFUNCTION("""COMPUTED_VALUE"""),51)</f>
        <v>51</v>
      </c>
      <c r="I211" s="54"/>
      <c r="J211" s="54">
        <f ca="1">IFERROR(__xludf.DUMMYFUNCTION("""COMPUTED_VALUE"""),51)</f>
        <v>51</v>
      </c>
      <c r="K211" s="54"/>
      <c r="L211" s="54">
        <f ca="1">IFERROR(__xludf.DUMMYFUNCTION("""COMPUTED_VALUE"""),51)</f>
        <v>51</v>
      </c>
      <c r="M211" s="54"/>
      <c r="N211" s="54">
        <f ca="1">IFERROR(__xludf.DUMMYFUNCTION("""COMPUTED_VALUE"""),0)</f>
        <v>0</v>
      </c>
      <c r="O211" s="54">
        <f ca="1">IFERROR(__xludf.DUMMYFUNCTION("""COMPUTED_VALUE"""),1023)</f>
        <v>1023</v>
      </c>
      <c r="P211" s="54"/>
      <c r="Q211" s="54">
        <f ca="1">IFERROR(__xludf.DUMMYFUNCTION("""COMPUTED_VALUE"""),782)</f>
        <v>782</v>
      </c>
      <c r="R211" s="54"/>
      <c r="S211" s="54">
        <f ca="1">IFERROR(__xludf.DUMMYFUNCTION("""COMPUTED_VALUE"""),62)</f>
        <v>62</v>
      </c>
      <c r="T211" s="53"/>
      <c r="U211" s="53"/>
      <c r="V211" s="53"/>
      <c r="W211" s="53"/>
      <c r="X211" s="53"/>
      <c r="Y211" s="53"/>
      <c r="Z211" s="2"/>
      <c r="AA211" s="2"/>
      <c r="AB211" s="2"/>
      <c r="AC211" s="2"/>
      <c r="AD211" s="2"/>
      <c r="AE211" s="2"/>
    </row>
    <row r="212" spans="1:31" ht="12.75" x14ac:dyDescent="0.2">
      <c r="A212" s="53">
        <f ca="1">IFERROR(__xludf.DUMMYFUNCTION("""COMPUTED_VALUE"""),7)</f>
        <v>7</v>
      </c>
      <c r="B212" s="53" t="str">
        <f ca="1">IFERROR(__xludf.DUMMYFUNCTION("""COMPUTED_VALUE"""),"TH Qui Đức")</f>
        <v>TH Qui Đức</v>
      </c>
      <c r="C212" s="53" t="str">
        <f ca="1">IFERROR(__xludf.DUMMYFUNCTION("""COMPUTED_VALUE"""),"Qui Đức")</f>
        <v>Qui Đức</v>
      </c>
      <c r="D212" s="53" t="str">
        <f ca="1">IFERROR(__xludf.DUMMYFUNCTION("""COMPUTED_VALUE"""),"TH")</f>
        <v>TH</v>
      </c>
      <c r="E212" s="54" t="str">
        <f ca="1">IFERROR(__xludf.DUMMYFUNCTION("""COMPUTED_VALUE"""),"Bình Chánh")</f>
        <v>Bình Chánh</v>
      </c>
      <c r="F212" s="54">
        <f ca="1">IFERROR(__xludf.DUMMYFUNCTION("""COMPUTED_VALUE"""),62)</f>
        <v>62</v>
      </c>
      <c r="G212" s="54"/>
      <c r="H212" s="54">
        <f ca="1">IFERROR(__xludf.DUMMYFUNCTION("""COMPUTED_VALUE"""),58)</f>
        <v>58</v>
      </c>
      <c r="I212" s="54"/>
      <c r="J212" s="54">
        <f ca="1">IFERROR(__xludf.DUMMYFUNCTION("""COMPUTED_VALUE"""),58)</f>
        <v>58</v>
      </c>
      <c r="K212" s="54"/>
      <c r="L212" s="54">
        <f ca="1">IFERROR(__xludf.DUMMYFUNCTION("""COMPUTED_VALUE"""),58)</f>
        <v>58</v>
      </c>
      <c r="M212" s="54"/>
      <c r="N212" s="54">
        <f ca="1">IFERROR(__xludf.DUMMYFUNCTION("""COMPUTED_VALUE"""),1)</f>
        <v>1</v>
      </c>
      <c r="O212" s="53">
        <f ca="1">IFERROR(__xludf.DUMMYFUNCTION("""COMPUTED_VALUE"""),1487)</f>
        <v>1487</v>
      </c>
      <c r="P212" s="53"/>
      <c r="Q212" s="54">
        <f ca="1">IFERROR(__xludf.DUMMYFUNCTION("""COMPUTED_VALUE"""),1250)</f>
        <v>1250</v>
      </c>
      <c r="R212" s="54"/>
      <c r="S212" s="54">
        <f ca="1">IFERROR(__xludf.DUMMYFUNCTION("""COMPUTED_VALUE"""),26)</f>
        <v>26</v>
      </c>
      <c r="T212" s="53"/>
      <c r="U212" s="53"/>
      <c r="V212" s="53"/>
      <c r="W212" s="53"/>
      <c r="X212" s="53"/>
      <c r="Y212" s="53"/>
      <c r="Z212" s="2"/>
      <c r="AA212" s="2"/>
      <c r="AB212" s="2"/>
      <c r="AC212" s="2"/>
      <c r="AD212" s="2"/>
      <c r="AE212" s="2"/>
    </row>
    <row r="213" spans="1:31" ht="12.75" x14ac:dyDescent="0.2">
      <c r="A213" s="53">
        <f ca="1">IFERROR(__xludf.DUMMYFUNCTION("""COMPUTED_VALUE"""),8)</f>
        <v>8</v>
      </c>
      <c r="B213" s="53" t="str">
        <f ca="1">IFERROR(__xludf.DUMMYFUNCTION("""COMPUTED_VALUE"""),"TH Hưng Long")</f>
        <v>TH Hưng Long</v>
      </c>
      <c r="C213" s="53" t="str">
        <f ca="1">IFERROR(__xludf.DUMMYFUNCTION("""COMPUTED_VALUE"""),"Hưng Long")</f>
        <v>Hưng Long</v>
      </c>
      <c r="D213" s="53" t="str">
        <f ca="1">IFERROR(__xludf.DUMMYFUNCTION("""COMPUTED_VALUE"""),"TH")</f>
        <v>TH</v>
      </c>
      <c r="E213" s="54" t="str">
        <f ca="1">IFERROR(__xludf.DUMMYFUNCTION("""COMPUTED_VALUE"""),"Bình Chánh")</f>
        <v>Bình Chánh</v>
      </c>
      <c r="F213" s="54">
        <f ca="1">IFERROR(__xludf.DUMMYFUNCTION("""COMPUTED_VALUE"""),61)</f>
        <v>61</v>
      </c>
      <c r="G213" s="54"/>
      <c r="H213" s="54">
        <f ca="1">IFERROR(__xludf.DUMMYFUNCTION("""COMPUTED_VALUE"""),61)</f>
        <v>61</v>
      </c>
      <c r="I213" s="54"/>
      <c r="J213" s="54">
        <f ca="1">IFERROR(__xludf.DUMMYFUNCTION("""COMPUTED_VALUE"""),61)</f>
        <v>61</v>
      </c>
      <c r="K213" s="54"/>
      <c r="L213" s="54">
        <f ca="1">IFERROR(__xludf.DUMMYFUNCTION("""COMPUTED_VALUE"""),61)</f>
        <v>61</v>
      </c>
      <c r="M213" s="54"/>
      <c r="N213" s="54">
        <f ca="1">IFERROR(__xludf.DUMMYFUNCTION("""COMPUTED_VALUE"""),1)</f>
        <v>1</v>
      </c>
      <c r="O213" s="54">
        <f ca="1">IFERROR(__xludf.DUMMYFUNCTION("""COMPUTED_VALUE"""),1826)</f>
        <v>1826</v>
      </c>
      <c r="P213" s="54"/>
      <c r="Q213" s="54">
        <f ca="1">IFERROR(__xludf.DUMMYFUNCTION("""COMPUTED_VALUE"""),1440)</f>
        <v>1440</v>
      </c>
      <c r="R213" s="54"/>
      <c r="S213" s="54">
        <f ca="1">IFERROR(__xludf.DUMMYFUNCTION("""COMPUTED_VALUE"""),177)</f>
        <v>177</v>
      </c>
      <c r="T213" s="53"/>
      <c r="U213" s="53"/>
      <c r="V213" s="53"/>
      <c r="W213" s="53"/>
      <c r="X213" s="53"/>
      <c r="Y213" s="53"/>
      <c r="Z213" s="2"/>
      <c r="AA213" s="2"/>
      <c r="AB213" s="2"/>
      <c r="AC213" s="2"/>
      <c r="AD213" s="2"/>
      <c r="AE213" s="2"/>
    </row>
    <row r="214" spans="1:31" ht="12.75" x14ac:dyDescent="0.2">
      <c r="A214" s="53">
        <f ca="1">IFERROR(__xludf.DUMMYFUNCTION("""COMPUTED_VALUE"""),9)</f>
        <v>9</v>
      </c>
      <c r="B214" s="53" t="str">
        <f ca="1">IFERROR(__xludf.DUMMYFUNCTION("""COMPUTED_VALUE"""),"TH Tân Quý Tây")</f>
        <v>TH Tân Quý Tây</v>
      </c>
      <c r="C214" s="53" t="str">
        <f ca="1">IFERROR(__xludf.DUMMYFUNCTION("""COMPUTED_VALUE"""),"Tân Quý Tây")</f>
        <v>Tân Quý Tây</v>
      </c>
      <c r="D214" s="53" t="str">
        <f ca="1">IFERROR(__xludf.DUMMYFUNCTION("""COMPUTED_VALUE"""),"TH")</f>
        <v>TH</v>
      </c>
      <c r="E214" s="54" t="str">
        <f ca="1">IFERROR(__xludf.DUMMYFUNCTION("""COMPUTED_VALUE"""),"Bình Chánh")</f>
        <v>Bình Chánh</v>
      </c>
      <c r="F214" s="54">
        <f ca="1">IFERROR(__xludf.DUMMYFUNCTION("""COMPUTED_VALUE"""),61)</f>
        <v>61</v>
      </c>
      <c r="G214" s="54"/>
      <c r="H214" s="54">
        <f ca="1">IFERROR(__xludf.DUMMYFUNCTION("""COMPUTED_VALUE"""),61)</f>
        <v>61</v>
      </c>
      <c r="I214" s="54"/>
      <c r="J214" s="54">
        <f ca="1">IFERROR(__xludf.DUMMYFUNCTION("""COMPUTED_VALUE"""),61)</f>
        <v>61</v>
      </c>
      <c r="K214" s="54"/>
      <c r="L214" s="54">
        <f ca="1">IFERROR(__xludf.DUMMYFUNCTION("""COMPUTED_VALUE"""),61)</f>
        <v>61</v>
      </c>
      <c r="M214" s="54"/>
      <c r="N214" s="54">
        <f ca="1">IFERROR(__xludf.DUMMYFUNCTION("""COMPUTED_VALUE"""),1)</f>
        <v>1</v>
      </c>
      <c r="O214" s="54">
        <f ca="1">IFERROR(__xludf.DUMMYFUNCTION("""COMPUTED_VALUE"""),1259)</f>
        <v>1259</v>
      </c>
      <c r="P214" s="54"/>
      <c r="Q214" s="54">
        <f ca="1">IFERROR(__xludf.DUMMYFUNCTION("""COMPUTED_VALUE"""),947)</f>
        <v>947</v>
      </c>
      <c r="R214" s="54"/>
      <c r="S214" s="54">
        <f ca="1">IFERROR(__xludf.DUMMYFUNCTION("""COMPUTED_VALUE"""),35)</f>
        <v>35</v>
      </c>
      <c r="T214" s="53"/>
      <c r="U214" s="53"/>
      <c r="V214" s="53"/>
      <c r="W214" s="53"/>
      <c r="X214" s="53"/>
      <c r="Y214" s="53"/>
      <c r="Z214" s="2"/>
      <c r="AA214" s="2"/>
      <c r="AB214" s="2"/>
      <c r="AC214" s="2"/>
      <c r="AD214" s="2"/>
      <c r="AE214" s="2"/>
    </row>
    <row r="215" spans="1:31" ht="12.75" x14ac:dyDescent="0.2">
      <c r="A215" s="53">
        <f ca="1">IFERROR(__xludf.DUMMYFUNCTION("""COMPUTED_VALUE"""),10)</f>
        <v>10</v>
      </c>
      <c r="B215" s="53" t="str">
        <f ca="1">IFERROR(__xludf.DUMMYFUNCTION("""COMPUTED_VALUE"""),"TH Tân Quý Tây 3")</f>
        <v>TH Tân Quý Tây 3</v>
      </c>
      <c r="C215" s="53" t="str">
        <f ca="1">IFERROR(__xludf.DUMMYFUNCTION("""COMPUTED_VALUE"""),"Tân Quý Tây")</f>
        <v>Tân Quý Tây</v>
      </c>
      <c r="D215" s="53" t="str">
        <f ca="1">IFERROR(__xludf.DUMMYFUNCTION("""COMPUTED_VALUE"""),"TH")</f>
        <v>TH</v>
      </c>
      <c r="E215" s="54" t="str">
        <f ca="1">IFERROR(__xludf.DUMMYFUNCTION("""COMPUTED_VALUE"""),"Bình Chánh")</f>
        <v>Bình Chánh</v>
      </c>
      <c r="F215" s="54">
        <f ca="1">IFERROR(__xludf.DUMMYFUNCTION("""COMPUTED_VALUE"""),52)</f>
        <v>52</v>
      </c>
      <c r="G215" s="54"/>
      <c r="H215" s="54">
        <f ca="1">IFERROR(__xludf.DUMMYFUNCTION("""COMPUTED_VALUE"""),52)</f>
        <v>52</v>
      </c>
      <c r="I215" s="54"/>
      <c r="J215" s="54">
        <f ca="1">IFERROR(__xludf.DUMMYFUNCTION("""COMPUTED_VALUE"""),52)</f>
        <v>52</v>
      </c>
      <c r="K215" s="54"/>
      <c r="L215" s="54">
        <f ca="1">IFERROR(__xludf.DUMMYFUNCTION("""COMPUTED_VALUE"""),52)</f>
        <v>52</v>
      </c>
      <c r="M215" s="54"/>
      <c r="N215" s="54">
        <f ca="1">IFERROR(__xludf.DUMMYFUNCTION("""COMPUTED_VALUE"""),0)</f>
        <v>0</v>
      </c>
      <c r="O215" s="54">
        <f ca="1">IFERROR(__xludf.DUMMYFUNCTION("""COMPUTED_VALUE"""),972)</f>
        <v>972</v>
      </c>
      <c r="P215" s="54"/>
      <c r="Q215" s="54">
        <f ca="1">IFERROR(__xludf.DUMMYFUNCTION("""COMPUTED_VALUE"""),841)</f>
        <v>841</v>
      </c>
      <c r="R215" s="54"/>
      <c r="S215" s="54">
        <f ca="1">IFERROR(__xludf.DUMMYFUNCTION("""COMPUTED_VALUE"""),131)</f>
        <v>131</v>
      </c>
      <c r="T215" s="53"/>
      <c r="U215" s="53"/>
      <c r="V215" s="53"/>
      <c r="W215" s="53"/>
      <c r="X215" s="53"/>
      <c r="Y215" s="53"/>
      <c r="Z215" s="2"/>
      <c r="AA215" s="2"/>
      <c r="AB215" s="2"/>
      <c r="AC215" s="2"/>
      <c r="AD215" s="2"/>
      <c r="AE215" s="2"/>
    </row>
    <row r="216" spans="1:31" ht="12.75" x14ac:dyDescent="0.2">
      <c r="A216" s="53">
        <f ca="1">IFERROR(__xludf.DUMMYFUNCTION("""COMPUTED_VALUE"""),11)</f>
        <v>11</v>
      </c>
      <c r="B216" s="53" t="str">
        <f ca="1">IFERROR(__xludf.DUMMYFUNCTION("""COMPUTED_VALUE"""),"TH Bình Chánh")</f>
        <v>TH Bình Chánh</v>
      </c>
      <c r="C216" s="53" t="str">
        <f ca="1">IFERROR(__xludf.DUMMYFUNCTION("""COMPUTED_VALUE"""),"Bình Chánh")</f>
        <v>Bình Chánh</v>
      </c>
      <c r="D216" s="53" t="str">
        <f ca="1">IFERROR(__xludf.DUMMYFUNCTION("""COMPUTED_VALUE"""),"TH")</f>
        <v>TH</v>
      </c>
      <c r="E216" s="54" t="str">
        <f ca="1">IFERROR(__xludf.DUMMYFUNCTION("""COMPUTED_VALUE"""),"Bình Chánh")</f>
        <v>Bình Chánh</v>
      </c>
      <c r="F216" s="54">
        <f ca="1">IFERROR(__xludf.DUMMYFUNCTION("""COMPUTED_VALUE"""),50)</f>
        <v>50</v>
      </c>
      <c r="G216" s="54"/>
      <c r="H216" s="54">
        <f ca="1">IFERROR(__xludf.DUMMYFUNCTION("""COMPUTED_VALUE"""),50)</f>
        <v>50</v>
      </c>
      <c r="I216" s="54"/>
      <c r="J216" s="54">
        <f ca="1">IFERROR(__xludf.DUMMYFUNCTION("""COMPUTED_VALUE"""),50)</f>
        <v>50</v>
      </c>
      <c r="K216" s="54"/>
      <c r="L216" s="54">
        <f ca="1">IFERROR(__xludf.DUMMYFUNCTION("""COMPUTED_VALUE"""),50)</f>
        <v>50</v>
      </c>
      <c r="M216" s="54"/>
      <c r="N216" s="54">
        <f ca="1">IFERROR(__xludf.DUMMYFUNCTION("""COMPUTED_VALUE"""),27)</f>
        <v>27</v>
      </c>
      <c r="O216" s="54">
        <f ca="1">IFERROR(__xludf.DUMMYFUNCTION("""COMPUTED_VALUE"""),952)</f>
        <v>952</v>
      </c>
      <c r="P216" s="54"/>
      <c r="Q216" s="54">
        <f ca="1">IFERROR(__xludf.DUMMYFUNCTION("""COMPUTED_VALUE"""),690)</f>
        <v>690</v>
      </c>
      <c r="R216" s="54"/>
      <c r="S216" s="54">
        <f ca="1">IFERROR(__xludf.DUMMYFUNCTION("""COMPUTED_VALUE"""),175)</f>
        <v>175</v>
      </c>
      <c r="T216" s="53"/>
      <c r="U216" s="53"/>
      <c r="V216" s="53"/>
      <c r="W216" s="53"/>
      <c r="X216" s="53"/>
      <c r="Y216" s="53"/>
      <c r="Z216" s="2"/>
      <c r="AA216" s="2"/>
      <c r="AB216" s="2"/>
      <c r="AC216" s="2"/>
      <c r="AD216" s="2"/>
      <c r="AE216" s="2"/>
    </row>
    <row r="217" spans="1:31" ht="12.75" x14ac:dyDescent="0.2">
      <c r="A217" s="53">
        <f ca="1">IFERROR(__xludf.DUMMYFUNCTION("""COMPUTED_VALUE"""),12)</f>
        <v>12</v>
      </c>
      <c r="B217" s="53" t="str">
        <f ca="1">IFERROR(__xludf.DUMMYFUNCTION("""COMPUTED_VALUE"""),"TH Trần Nhân Tôn")</f>
        <v>TH Trần Nhân Tôn</v>
      </c>
      <c r="C217" s="53" t="str">
        <f ca="1">IFERROR(__xludf.DUMMYFUNCTION("""COMPUTED_VALUE"""),"Bình Chánh")</f>
        <v>Bình Chánh</v>
      </c>
      <c r="D217" s="53" t="str">
        <f ca="1">IFERROR(__xludf.DUMMYFUNCTION("""COMPUTED_VALUE"""),"TH")</f>
        <v>TH</v>
      </c>
      <c r="E217" s="54" t="str">
        <f ca="1">IFERROR(__xludf.DUMMYFUNCTION("""COMPUTED_VALUE"""),"Bình Chánh")</f>
        <v>Bình Chánh</v>
      </c>
      <c r="F217" s="54">
        <f ca="1">IFERROR(__xludf.DUMMYFUNCTION("""COMPUTED_VALUE"""),34)</f>
        <v>34</v>
      </c>
      <c r="G217" s="54"/>
      <c r="H217" s="54">
        <f ca="1">IFERROR(__xludf.DUMMYFUNCTION("""COMPUTED_VALUE"""),34)</f>
        <v>34</v>
      </c>
      <c r="I217" s="54"/>
      <c r="J217" s="54">
        <f ca="1">IFERROR(__xludf.DUMMYFUNCTION("""COMPUTED_VALUE"""),34)</f>
        <v>34</v>
      </c>
      <c r="K217" s="54"/>
      <c r="L217" s="54">
        <f ca="1">IFERROR(__xludf.DUMMYFUNCTION("""COMPUTED_VALUE"""),33)</f>
        <v>33</v>
      </c>
      <c r="M217" s="54"/>
      <c r="N217" s="54">
        <f ca="1">IFERROR(__xludf.DUMMYFUNCTION("""COMPUTED_VALUE"""),0)</f>
        <v>0</v>
      </c>
      <c r="O217" s="54">
        <f ca="1">IFERROR(__xludf.DUMMYFUNCTION("""COMPUTED_VALUE"""),519)</f>
        <v>519</v>
      </c>
      <c r="P217" s="54"/>
      <c r="Q217" s="54">
        <f ca="1">IFERROR(__xludf.DUMMYFUNCTION("""COMPUTED_VALUE"""),429)</f>
        <v>429</v>
      </c>
      <c r="R217" s="54"/>
      <c r="S217" s="54">
        <f ca="1">IFERROR(__xludf.DUMMYFUNCTION("""COMPUTED_VALUE"""),52)</f>
        <v>52</v>
      </c>
      <c r="T217" s="53"/>
      <c r="U217" s="53"/>
      <c r="V217" s="53"/>
      <c r="W217" s="53"/>
      <c r="X217" s="53"/>
      <c r="Y217" s="53"/>
      <c r="Z217" s="2"/>
      <c r="AA217" s="2"/>
      <c r="AB217" s="2"/>
      <c r="AC217" s="2"/>
      <c r="AD217" s="2"/>
      <c r="AE217" s="2"/>
    </row>
    <row r="218" spans="1:31" ht="12.75" x14ac:dyDescent="0.2">
      <c r="A218" s="53">
        <f ca="1">IFERROR(__xludf.DUMMYFUNCTION("""COMPUTED_VALUE"""),13)</f>
        <v>13</v>
      </c>
      <c r="B218" s="53" t="str">
        <f ca="1">IFERROR(__xludf.DUMMYFUNCTION("""COMPUTED_VALUE"""),"TH Kim Đồng")</f>
        <v>TH Kim Đồng</v>
      </c>
      <c r="C218" s="53" t="str">
        <f ca="1">IFERROR(__xludf.DUMMYFUNCTION("""COMPUTED_VALUE"""),"Bình Chánh")</f>
        <v>Bình Chánh</v>
      </c>
      <c r="D218" s="53" t="str">
        <f ca="1">IFERROR(__xludf.DUMMYFUNCTION("""COMPUTED_VALUE"""),"TH")</f>
        <v>TH</v>
      </c>
      <c r="E218" s="54" t="str">
        <f ca="1">IFERROR(__xludf.DUMMYFUNCTION("""COMPUTED_VALUE"""),"Bình Chánh")</f>
        <v>Bình Chánh</v>
      </c>
      <c r="F218" s="54">
        <f ca="1">IFERROR(__xludf.DUMMYFUNCTION("""COMPUTED_VALUE"""),41)</f>
        <v>41</v>
      </c>
      <c r="G218" s="54"/>
      <c r="H218" s="54">
        <f ca="1">IFERROR(__xludf.DUMMYFUNCTION("""COMPUTED_VALUE"""),41)</f>
        <v>41</v>
      </c>
      <c r="I218" s="54"/>
      <c r="J218" s="54">
        <f ca="1">IFERROR(__xludf.DUMMYFUNCTION("""COMPUTED_VALUE"""),41)</f>
        <v>41</v>
      </c>
      <c r="K218" s="54"/>
      <c r="L218" s="54">
        <f ca="1">IFERROR(__xludf.DUMMYFUNCTION("""COMPUTED_VALUE"""),40)</f>
        <v>40</v>
      </c>
      <c r="M218" s="54"/>
      <c r="N218" s="54">
        <f ca="1">IFERROR(__xludf.DUMMYFUNCTION("""COMPUTED_VALUE"""),10)</f>
        <v>10</v>
      </c>
      <c r="O218" s="53">
        <f ca="1">IFERROR(__xludf.DUMMYFUNCTION("""COMPUTED_VALUE"""),825)</f>
        <v>825</v>
      </c>
      <c r="P218" s="53"/>
      <c r="Q218" s="54">
        <f ca="1">IFERROR(__xludf.DUMMYFUNCTION("""COMPUTED_VALUE"""),567)</f>
        <v>567</v>
      </c>
      <c r="R218" s="54"/>
      <c r="S218" s="54">
        <f ca="1">IFERROR(__xludf.DUMMYFUNCTION("""COMPUTED_VALUE"""),94)</f>
        <v>94</v>
      </c>
      <c r="T218" s="53"/>
      <c r="U218" s="53"/>
      <c r="V218" s="53"/>
      <c r="W218" s="53"/>
      <c r="X218" s="53"/>
      <c r="Y218" s="53"/>
      <c r="Z218" s="2"/>
      <c r="AA218" s="2"/>
      <c r="AB218" s="2"/>
      <c r="AC218" s="2"/>
      <c r="AD218" s="2"/>
      <c r="AE218" s="2"/>
    </row>
    <row r="219" spans="1:31" ht="12.75" x14ac:dyDescent="0.2">
      <c r="A219" s="53">
        <f ca="1">IFERROR(__xludf.DUMMYFUNCTION("""COMPUTED_VALUE"""),14)</f>
        <v>14</v>
      </c>
      <c r="B219" s="53" t="str">
        <f ca="1">IFERROR(__xludf.DUMMYFUNCTION("""COMPUTED_VALUE"""),"TH An Phú Tây")</f>
        <v>TH An Phú Tây</v>
      </c>
      <c r="C219" s="53" t="str">
        <f ca="1">IFERROR(__xludf.DUMMYFUNCTION("""COMPUTED_VALUE"""),"An Phú Tây")</f>
        <v>An Phú Tây</v>
      </c>
      <c r="D219" s="53" t="str">
        <f ca="1">IFERROR(__xludf.DUMMYFUNCTION("""COMPUTED_VALUE"""),"TH")</f>
        <v>TH</v>
      </c>
      <c r="E219" s="54" t="str">
        <f ca="1">IFERROR(__xludf.DUMMYFUNCTION("""COMPUTED_VALUE"""),"Bình Chánh")</f>
        <v>Bình Chánh</v>
      </c>
      <c r="F219" s="54">
        <f ca="1">IFERROR(__xludf.DUMMYFUNCTION("""COMPUTED_VALUE"""),54)</f>
        <v>54</v>
      </c>
      <c r="G219" s="54"/>
      <c r="H219" s="54">
        <f ca="1">IFERROR(__xludf.DUMMYFUNCTION("""COMPUTED_VALUE"""),54)</f>
        <v>54</v>
      </c>
      <c r="I219" s="54"/>
      <c r="J219" s="54">
        <f ca="1">IFERROR(__xludf.DUMMYFUNCTION("""COMPUTED_VALUE"""),54)</f>
        <v>54</v>
      </c>
      <c r="K219" s="54"/>
      <c r="L219" s="54">
        <f ca="1">IFERROR(__xludf.DUMMYFUNCTION("""COMPUTED_VALUE"""),54)</f>
        <v>54</v>
      </c>
      <c r="M219" s="54"/>
      <c r="N219" s="54">
        <f ca="1">IFERROR(__xludf.DUMMYFUNCTION("""COMPUTED_VALUE"""),15)</f>
        <v>15</v>
      </c>
      <c r="O219" s="54">
        <f ca="1">IFERROR(__xludf.DUMMYFUNCTION("""COMPUTED_VALUE"""),1032)</f>
        <v>1032</v>
      </c>
      <c r="P219" s="54"/>
      <c r="Q219" s="54">
        <f ca="1">IFERROR(__xludf.DUMMYFUNCTION("""COMPUTED_VALUE"""),740)</f>
        <v>740</v>
      </c>
      <c r="R219" s="54"/>
      <c r="S219" s="54">
        <f ca="1">IFERROR(__xludf.DUMMYFUNCTION("""COMPUTED_VALUE"""),304)</f>
        <v>304</v>
      </c>
      <c r="T219" s="53"/>
      <c r="U219" s="53"/>
      <c r="V219" s="53"/>
      <c r="W219" s="53"/>
      <c r="X219" s="53"/>
      <c r="Y219" s="53"/>
      <c r="Z219" s="2"/>
      <c r="AA219" s="2"/>
      <c r="AB219" s="2"/>
      <c r="AC219" s="2"/>
      <c r="AD219" s="2"/>
      <c r="AE219" s="2"/>
    </row>
    <row r="220" spans="1:31" ht="12.75" x14ac:dyDescent="0.2">
      <c r="A220" s="53">
        <f ca="1">IFERROR(__xludf.DUMMYFUNCTION("""COMPUTED_VALUE"""),15)</f>
        <v>15</v>
      </c>
      <c r="B220" s="53" t="str">
        <f ca="1">IFERROR(__xludf.DUMMYFUNCTION("""COMPUTED_VALUE"""),"TH An Phú Tây 2")</f>
        <v>TH An Phú Tây 2</v>
      </c>
      <c r="C220" s="53" t="str">
        <f ca="1">IFERROR(__xludf.DUMMYFUNCTION("""COMPUTED_VALUE"""),"An Phú Tây")</f>
        <v>An Phú Tây</v>
      </c>
      <c r="D220" s="53" t="str">
        <f ca="1">IFERROR(__xludf.DUMMYFUNCTION("""COMPUTED_VALUE"""),"TH")</f>
        <v>TH</v>
      </c>
      <c r="E220" s="54" t="str">
        <f ca="1">IFERROR(__xludf.DUMMYFUNCTION("""COMPUTED_VALUE"""),"Bình Chánh")</f>
        <v>Bình Chánh</v>
      </c>
      <c r="F220" s="54">
        <f ca="1">IFERROR(__xludf.DUMMYFUNCTION("""COMPUTED_VALUE"""),58)</f>
        <v>58</v>
      </c>
      <c r="G220" s="54"/>
      <c r="H220" s="54">
        <f ca="1">IFERROR(__xludf.DUMMYFUNCTION("""COMPUTED_VALUE"""),58)</f>
        <v>58</v>
      </c>
      <c r="I220" s="54"/>
      <c r="J220" s="54">
        <f ca="1">IFERROR(__xludf.DUMMYFUNCTION("""COMPUTED_VALUE"""),58)</f>
        <v>58</v>
      </c>
      <c r="K220" s="54"/>
      <c r="L220" s="54">
        <f ca="1">IFERROR(__xludf.DUMMYFUNCTION("""COMPUTED_VALUE"""),58)</f>
        <v>58</v>
      </c>
      <c r="M220" s="54"/>
      <c r="N220" s="54">
        <f ca="1">IFERROR(__xludf.DUMMYFUNCTION("""COMPUTED_VALUE"""),6)</f>
        <v>6</v>
      </c>
      <c r="O220" s="54">
        <f ca="1">IFERROR(__xludf.DUMMYFUNCTION("""COMPUTED_VALUE"""),1246)</f>
        <v>1246</v>
      </c>
      <c r="P220" s="54"/>
      <c r="Q220" s="54">
        <f ca="1">IFERROR(__xludf.DUMMYFUNCTION("""COMPUTED_VALUE"""),919)</f>
        <v>919</v>
      </c>
      <c r="R220" s="54"/>
      <c r="S220" s="54">
        <f ca="1">IFERROR(__xludf.DUMMYFUNCTION("""COMPUTED_VALUE"""),436)</f>
        <v>436</v>
      </c>
      <c r="T220" s="53"/>
      <c r="U220" s="53"/>
      <c r="V220" s="53"/>
      <c r="W220" s="53"/>
      <c r="X220" s="53"/>
      <c r="Y220" s="53"/>
      <c r="Z220" s="2"/>
      <c r="AA220" s="2"/>
      <c r="AB220" s="2"/>
      <c r="AC220" s="2"/>
      <c r="AD220" s="2"/>
      <c r="AE220" s="2"/>
    </row>
    <row r="221" spans="1:31" ht="12.75" x14ac:dyDescent="0.2">
      <c r="A221" s="53">
        <f ca="1">IFERROR(__xludf.DUMMYFUNCTION("""COMPUTED_VALUE"""),16)</f>
        <v>16</v>
      </c>
      <c r="B221" s="53" t="str">
        <f ca="1">IFERROR(__xludf.DUMMYFUNCTION("""COMPUTED_VALUE"""),"TH Tân Túc")</f>
        <v>TH Tân Túc</v>
      </c>
      <c r="C221" s="53" t="str">
        <f ca="1">IFERROR(__xludf.DUMMYFUNCTION("""COMPUTED_VALUE"""),"Tân Túc")</f>
        <v>Tân Túc</v>
      </c>
      <c r="D221" s="53" t="str">
        <f ca="1">IFERROR(__xludf.DUMMYFUNCTION("""COMPUTED_VALUE"""),"TH")</f>
        <v>TH</v>
      </c>
      <c r="E221" s="54" t="str">
        <f ca="1">IFERROR(__xludf.DUMMYFUNCTION("""COMPUTED_VALUE"""),"Bình Chánh")</f>
        <v>Bình Chánh</v>
      </c>
      <c r="F221" s="54">
        <f ca="1">IFERROR(__xludf.DUMMYFUNCTION("""COMPUTED_VALUE"""),58)</f>
        <v>58</v>
      </c>
      <c r="G221" s="54"/>
      <c r="H221" s="54">
        <f ca="1">IFERROR(__xludf.DUMMYFUNCTION("""COMPUTED_VALUE"""),58)</f>
        <v>58</v>
      </c>
      <c r="I221" s="54"/>
      <c r="J221" s="54">
        <f ca="1">IFERROR(__xludf.DUMMYFUNCTION("""COMPUTED_VALUE"""),58)</f>
        <v>58</v>
      </c>
      <c r="K221" s="54"/>
      <c r="L221" s="54">
        <f ca="1">IFERROR(__xludf.DUMMYFUNCTION("""COMPUTED_VALUE"""),58)</f>
        <v>58</v>
      </c>
      <c r="M221" s="54"/>
      <c r="N221" s="54">
        <f ca="1">IFERROR(__xludf.DUMMYFUNCTION("""COMPUTED_VALUE"""),27)</f>
        <v>27</v>
      </c>
      <c r="O221" s="54">
        <f ca="1">IFERROR(__xludf.DUMMYFUNCTION("""COMPUTED_VALUE"""),996)</f>
        <v>996</v>
      </c>
      <c r="P221" s="54"/>
      <c r="Q221" s="54">
        <f ca="1">IFERROR(__xludf.DUMMYFUNCTION("""COMPUTED_VALUE"""),595)</f>
        <v>595</v>
      </c>
      <c r="R221" s="54"/>
      <c r="S221" s="54">
        <f ca="1">IFERROR(__xludf.DUMMYFUNCTION("""COMPUTED_VALUE"""),527)</f>
        <v>527</v>
      </c>
      <c r="T221" s="53"/>
      <c r="U221" s="53"/>
      <c r="V221" s="53"/>
      <c r="W221" s="53"/>
      <c r="X221" s="53"/>
      <c r="Y221" s="53"/>
      <c r="Z221" s="2"/>
      <c r="AA221" s="2"/>
      <c r="AB221" s="2"/>
      <c r="AC221" s="2"/>
      <c r="AD221" s="2"/>
      <c r="AE221" s="2"/>
    </row>
    <row r="222" spans="1:31" ht="12.75" x14ac:dyDescent="0.2">
      <c r="A222" s="53">
        <f ca="1">IFERROR(__xludf.DUMMYFUNCTION("""COMPUTED_VALUE"""),17)</f>
        <v>17</v>
      </c>
      <c r="B222" s="53" t="str">
        <f ca="1">IFERROR(__xludf.DUMMYFUNCTION("""COMPUTED_VALUE"""),"TH Tân Túc 2")</f>
        <v>TH Tân Túc 2</v>
      </c>
      <c r="C222" s="53" t="str">
        <f ca="1">IFERROR(__xludf.DUMMYFUNCTION("""COMPUTED_VALUE"""),"Tân Túc")</f>
        <v>Tân Túc</v>
      </c>
      <c r="D222" s="53" t="str">
        <f ca="1">IFERROR(__xludf.DUMMYFUNCTION("""COMPUTED_VALUE"""),"TH")</f>
        <v>TH</v>
      </c>
      <c r="E222" s="54" t="str">
        <f ca="1">IFERROR(__xludf.DUMMYFUNCTION("""COMPUTED_VALUE"""),"Bình Chánh")</f>
        <v>Bình Chánh</v>
      </c>
      <c r="F222" s="54">
        <f ca="1">IFERROR(__xludf.DUMMYFUNCTION("""COMPUTED_VALUE"""),52)</f>
        <v>52</v>
      </c>
      <c r="G222" s="54"/>
      <c r="H222" s="54">
        <f ca="1">IFERROR(__xludf.DUMMYFUNCTION("""COMPUTED_VALUE"""),52)</f>
        <v>52</v>
      </c>
      <c r="I222" s="54"/>
      <c r="J222" s="54">
        <f ca="1">IFERROR(__xludf.DUMMYFUNCTION("""COMPUTED_VALUE"""),51)</f>
        <v>51</v>
      </c>
      <c r="K222" s="54"/>
      <c r="L222" s="54">
        <f ca="1">IFERROR(__xludf.DUMMYFUNCTION("""COMPUTED_VALUE"""),48)</f>
        <v>48</v>
      </c>
      <c r="M222" s="54"/>
      <c r="N222" s="54">
        <f ca="1">IFERROR(__xludf.DUMMYFUNCTION("""COMPUTED_VALUE"""),15)</f>
        <v>15</v>
      </c>
      <c r="O222" s="54">
        <f ca="1">IFERROR(__xludf.DUMMYFUNCTION("""COMPUTED_VALUE"""),1151)</f>
        <v>1151</v>
      </c>
      <c r="P222" s="54"/>
      <c r="Q222" s="54">
        <f ca="1">IFERROR(__xludf.DUMMYFUNCTION("""COMPUTED_VALUE"""),794)</f>
        <v>794</v>
      </c>
      <c r="R222" s="54"/>
      <c r="S222" s="54">
        <f ca="1">IFERROR(__xludf.DUMMYFUNCTION("""COMPUTED_VALUE"""),363)</f>
        <v>363</v>
      </c>
      <c r="T222" s="53"/>
      <c r="U222" s="53"/>
      <c r="V222" s="53"/>
      <c r="W222" s="53"/>
      <c r="X222" s="53"/>
      <c r="Y222" s="53"/>
      <c r="Z222" s="2"/>
      <c r="AA222" s="2"/>
      <c r="AB222" s="2"/>
      <c r="AC222" s="2"/>
      <c r="AD222" s="2"/>
      <c r="AE222" s="2"/>
    </row>
    <row r="223" spans="1:31" ht="12.75" x14ac:dyDescent="0.2">
      <c r="A223" s="53">
        <f ca="1">IFERROR(__xludf.DUMMYFUNCTION("""COMPUTED_VALUE"""),18)</f>
        <v>18</v>
      </c>
      <c r="B223" s="53" t="str">
        <f ca="1">IFERROR(__xludf.DUMMYFUNCTION("""COMPUTED_VALUE"""),"TH Tân Kiên")</f>
        <v>TH Tân Kiên</v>
      </c>
      <c r="C223" s="53" t="str">
        <f ca="1">IFERROR(__xludf.DUMMYFUNCTION("""COMPUTED_VALUE"""),"Tân Kiên")</f>
        <v>Tân Kiên</v>
      </c>
      <c r="D223" s="53" t="str">
        <f ca="1">IFERROR(__xludf.DUMMYFUNCTION("""COMPUTED_VALUE"""),"TH")</f>
        <v>TH</v>
      </c>
      <c r="E223" s="54" t="str">
        <f ca="1">IFERROR(__xludf.DUMMYFUNCTION("""COMPUTED_VALUE"""),"Bình Chánh")</f>
        <v>Bình Chánh</v>
      </c>
      <c r="F223" s="54">
        <f ca="1">IFERROR(__xludf.DUMMYFUNCTION("""COMPUTED_VALUE"""),75)</f>
        <v>75</v>
      </c>
      <c r="G223" s="54"/>
      <c r="H223" s="54">
        <f ca="1">IFERROR(__xludf.DUMMYFUNCTION("""COMPUTED_VALUE"""),75)</f>
        <v>75</v>
      </c>
      <c r="I223" s="54"/>
      <c r="J223" s="54">
        <f ca="1">IFERROR(__xludf.DUMMYFUNCTION("""COMPUTED_VALUE"""),75)</f>
        <v>75</v>
      </c>
      <c r="K223" s="54"/>
      <c r="L223" s="54">
        <f ca="1">IFERROR(__xludf.DUMMYFUNCTION("""COMPUTED_VALUE"""),75)</f>
        <v>75</v>
      </c>
      <c r="M223" s="54"/>
      <c r="N223" s="54">
        <f ca="1">IFERROR(__xludf.DUMMYFUNCTION("""COMPUTED_VALUE"""),2)</f>
        <v>2</v>
      </c>
      <c r="O223" s="54">
        <f ca="1">IFERROR(__xludf.DUMMYFUNCTION("""COMPUTED_VALUE"""),2133)</f>
        <v>2133</v>
      </c>
      <c r="P223" s="54"/>
      <c r="Q223" s="54">
        <f ca="1">IFERROR(__xludf.DUMMYFUNCTION("""COMPUTED_VALUE"""),1710)</f>
        <v>1710</v>
      </c>
      <c r="R223" s="54"/>
      <c r="S223" s="54">
        <f ca="1">IFERROR(__xludf.DUMMYFUNCTION("""COMPUTED_VALUE"""),910)</f>
        <v>910</v>
      </c>
      <c r="T223" s="53"/>
      <c r="U223" s="53"/>
      <c r="V223" s="53"/>
      <c r="W223" s="53"/>
      <c r="X223" s="53"/>
      <c r="Y223" s="53"/>
      <c r="Z223" s="2"/>
      <c r="AA223" s="2"/>
      <c r="AB223" s="2"/>
      <c r="AC223" s="2"/>
      <c r="AD223" s="2"/>
      <c r="AE223" s="2"/>
    </row>
    <row r="224" spans="1:31" ht="12.75" x14ac:dyDescent="0.2">
      <c r="A224" s="53">
        <f ca="1">IFERROR(__xludf.DUMMYFUNCTION("""COMPUTED_VALUE"""),19)</f>
        <v>19</v>
      </c>
      <c r="B224" s="53" t="str">
        <f ca="1">IFERROR(__xludf.DUMMYFUNCTION("""COMPUTED_VALUE"""),"TH Lương Thế Vinh")</f>
        <v>TH Lương Thế Vinh</v>
      </c>
      <c r="C224" s="53" t="str">
        <f ca="1">IFERROR(__xludf.DUMMYFUNCTION("""COMPUTED_VALUE"""),"Tân Kiên")</f>
        <v>Tân Kiên</v>
      </c>
      <c r="D224" s="53" t="str">
        <f ca="1">IFERROR(__xludf.DUMMYFUNCTION("""COMPUTED_VALUE"""),"TH")</f>
        <v>TH</v>
      </c>
      <c r="E224" s="54" t="str">
        <f ca="1">IFERROR(__xludf.DUMMYFUNCTION("""COMPUTED_VALUE"""),"Bình Chánh")</f>
        <v>Bình Chánh</v>
      </c>
      <c r="F224" s="54">
        <f ca="1">IFERROR(__xludf.DUMMYFUNCTION("""COMPUTED_VALUE"""),42)</f>
        <v>42</v>
      </c>
      <c r="G224" s="54"/>
      <c r="H224" s="54">
        <f ca="1">IFERROR(__xludf.DUMMYFUNCTION("""COMPUTED_VALUE"""),42)</f>
        <v>42</v>
      </c>
      <c r="I224" s="54"/>
      <c r="J224" s="54">
        <f ca="1">IFERROR(__xludf.DUMMYFUNCTION("""COMPUTED_VALUE"""),42)</f>
        <v>42</v>
      </c>
      <c r="K224" s="54"/>
      <c r="L224" s="54">
        <f ca="1">IFERROR(__xludf.DUMMYFUNCTION("""COMPUTED_VALUE"""),42)</f>
        <v>42</v>
      </c>
      <c r="M224" s="54"/>
      <c r="N224" s="54">
        <f ca="1">IFERROR(__xludf.DUMMYFUNCTION("""COMPUTED_VALUE"""),0)</f>
        <v>0</v>
      </c>
      <c r="O224" s="54">
        <f ca="1">IFERROR(__xludf.DUMMYFUNCTION("""COMPUTED_VALUE"""),742)</f>
        <v>742</v>
      </c>
      <c r="P224" s="54"/>
      <c r="Q224" s="54">
        <f ca="1">IFERROR(__xludf.DUMMYFUNCTION("""COMPUTED_VALUE"""),610)</f>
        <v>610</v>
      </c>
      <c r="R224" s="54"/>
      <c r="S224" s="54">
        <f ca="1">IFERROR(__xludf.DUMMYFUNCTION("""COMPUTED_VALUE"""),254)</f>
        <v>254</v>
      </c>
      <c r="T224" s="53"/>
      <c r="U224" s="53"/>
      <c r="V224" s="53"/>
      <c r="W224" s="53"/>
      <c r="X224" s="53"/>
      <c r="Y224" s="53"/>
      <c r="Z224" s="2"/>
      <c r="AA224" s="2"/>
      <c r="AB224" s="2"/>
      <c r="AC224" s="2"/>
      <c r="AD224" s="2"/>
      <c r="AE224" s="2"/>
    </row>
    <row r="225" spans="1:31" ht="12.75" x14ac:dyDescent="0.2">
      <c r="A225" s="53">
        <f ca="1">IFERROR(__xludf.DUMMYFUNCTION("""COMPUTED_VALUE"""),20)</f>
        <v>20</v>
      </c>
      <c r="B225" s="53" t="str">
        <f ca="1">IFERROR(__xludf.DUMMYFUNCTION("""COMPUTED_VALUE"""),"TH Tân Nhựt")</f>
        <v>TH Tân Nhựt</v>
      </c>
      <c r="C225" s="53" t="str">
        <f ca="1">IFERROR(__xludf.DUMMYFUNCTION("""COMPUTED_VALUE"""),"Tân Nhựt")</f>
        <v>Tân Nhựt</v>
      </c>
      <c r="D225" s="53" t="str">
        <f ca="1">IFERROR(__xludf.DUMMYFUNCTION("""COMPUTED_VALUE"""),"TH")</f>
        <v>TH</v>
      </c>
      <c r="E225" s="54" t="str">
        <f ca="1">IFERROR(__xludf.DUMMYFUNCTION("""COMPUTED_VALUE"""),"Bình Chánh")</f>
        <v>Bình Chánh</v>
      </c>
      <c r="F225" s="54">
        <f ca="1">IFERROR(__xludf.DUMMYFUNCTION("""COMPUTED_VALUE"""),49)</f>
        <v>49</v>
      </c>
      <c r="G225" s="54"/>
      <c r="H225" s="54">
        <f ca="1">IFERROR(__xludf.DUMMYFUNCTION("""COMPUTED_VALUE"""),49)</f>
        <v>49</v>
      </c>
      <c r="I225" s="54"/>
      <c r="J225" s="54">
        <f ca="1">IFERROR(__xludf.DUMMYFUNCTION("""COMPUTED_VALUE"""),49)</f>
        <v>49</v>
      </c>
      <c r="K225" s="54"/>
      <c r="L225" s="54">
        <f ca="1">IFERROR(__xludf.DUMMYFUNCTION("""COMPUTED_VALUE"""),49)</f>
        <v>49</v>
      </c>
      <c r="M225" s="54"/>
      <c r="N225" s="54">
        <f ca="1">IFERROR(__xludf.DUMMYFUNCTION("""COMPUTED_VALUE"""),7)</f>
        <v>7</v>
      </c>
      <c r="O225" s="54">
        <f ca="1">IFERROR(__xludf.DUMMYFUNCTION("""COMPUTED_VALUE"""),998)</f>
        <v>998</v>
      </c>
      <c r="P225" s="54"/>
      <c r="Q225" s="54">
        <f ca="1">IFERROR(__xludf.DUMMYFUNCTION("""COMPUTED_VALUE"""),753)</f>
        <v>753</v>
      </c>
      <c r="R225" s="54"/>
      <c r="S225" s="54">
        <f ca="1">IFERROR(__xludf.DUMMYFUNCTION("""COMPUTED_VALUE"""),208)</f>
        <v>208</v>
      </c>
      <c r="T225" s="53"/>
      <c r="U225" s="53"/>
      <c r="V225" s="53"/>
      <c r="W225" s="53"/>
      <c r="X225" s="53"/>
      <c r="Y225" s="53"/>
      <c r="Z225" s="2"/>
      <c r="AA225" s="2"/>
      <c r="AB225" s="2"/>
      <c r="AC225" s="2"/>
      <c r="AD225" s="2"/>
      <c r="AE225" s="2"/>
    </row>
    <row r="226" spans="1:31" ht="12.75" x14ac:dyDescent="0.2">
      <c r="A226" s="53">
        <f ca="1">IFERROR(__xludf.DUMMYFUNCTION("""COMPUTED_VALUE"""),21)</f>
        <v>21</v>
      </c>
      <c r="B226" s="53" t="str">
        <f ca="1">IFERROR(__xludf.DUMMYFUNCTION("""COMPUTED_VALUE"""),"TH Tân Nhựt 6")</f>
        <v>TH Tân Nhựt 6</v>
      </c>
      <c r="C226" s="53" t="str">
        <f ca="1">IFERROR(__xludf.DUMMYFUNCTION("""COMPUTED_VALUE"""),"Tân Nhựt")</f>
        <v>Tân Nhựt</v>
      </c>
      <c r="D226" s="53" t="str">
        <f ca="1">IFERROR(__xludf.DUMMYFUNCTION("""COMPUTED_VALUE"""),"TH")</f>
        <v>TH</v>
      </c>
      <c r="E226" s="54" t="str">
        <f ca="1">IFERROR(__xludf.DUMMYFUNCTION("""COMPUTED_VALUE"""),"Bình Chánh")</f>
        <v>Bình Chánh</v>
      </c>
      <c r="F226" s="54">
        <f ca="1">IFERROR(__xludf.DUMMYFUNCTION("""COMPUTED_VALUE"""),46)</f>
        <v>46</v>
      </c>
      <c r="G226" s="54"/>
      <c r="H226" s="54">
        <f ca="1">IFERROR(__xludf.DUMMYFUNCTION("""COMPUTED_VALUE"""),46)</f>
        <v>46</v>
      </c>
      <c r="I226" s="54"/>
      <c r="J226" s="54">
        <f ca="1">IFERROR(__xludf.DUMMYFUNCTION("""COMPUTED_VALUE"""),46)</f>
        <v>46</v>
      </c>
      <c r="K226" s="54"/>
      <c r="L226" s="54">
        <f ca="1">IFERROR(__xludf.DUMMYFUNCTION("""COMPUTED_VALUE"""),46)</f>
        <v>46</v>
      </c>
      <c r="M226" s="54"/>
      <c r="N226" s="54">
        <f ca="1">IFERROR(__xludf.DUMMYFUNCTION("""COMPUTED_VALUE"""),6)</f>
        <v>6</v>
      </c>
      <c r="O226" s="54">
        <f ca="1">IFERROR(__xludf.DUMMYFUNCTION("""COMPUTED_VALUE"""),936)</f>
        <v>936</v>
      </c>
      <c r="P226" s="54"/>
      <c r="Q226" s="54">
        <f ca="1">IFERROR(__xludf.DUMMYFUNCTION("""COMPUTED_VALUE"""),696)</f>
        <v>696</v>
      </c>
      <c r="R226" s="54"/>
      <c r="S226" s="54">
        <f ca="1">IFERROR(__xludf.DUMMYFUNCTION("""COMPUTED_VALUE"""),28)</f>
        <v>28</v>
      </c>
      <c r="T226" s="53"/>
      <c r="U226" s="53"/>
      <c r="V226" s="53"/>
      <c r="W226" s="53"/>
      <c r="X226" s="53"/>
      <c r="Y226" s="53"/>
      <c r="Z226" s="2"/>
      <c r="AA226" s="2"/>
      <c r="AB226" s="2"/>
      <c r="AC226" s="2"/>
      <c r="AD226" s="2"/>
      <c r="AE226" s="2"/>
    </row>
    <row r="227" spans="1:31" ht="12.75" x14ac:dyDescent="0.2">
      <c r="A227" s="53">
        <f ca="1">IFERROR(__xludf.DUMMYFUNCTION("""COMPUTED_VALUE"""),22)</f>
        <v>22</v>
      </c>
      <c r="B227" s="53" t="str">
        <f ca="1">IFERROR(__xludf.DUMMYFUNCTION("""COMPUTED_VALUE"""),"TH Lê Minh Xuân 2")</f>
        <v>TH Lê Minh Xuân 2</v>
      </c>
      <c r="C227" s="53" t="str">
        <f ca="1">IFERROR(__xludf.DUMMYFUNCTION("""COMPUTED_VALUE"""),"Lê Minh Xuân")</f>
        <v>Lê Minh Xuân</v>
      </c>
      <c r="D227" s="53" t="str">
        <f ca="1">IFERROR(__xludf.DUMMYFUNCTION("""COMPUTED_VALUE"""),"TH")</f>
        <v>TH</v>
      </c>
      <c r="E227" s="54" t="str">
        <f ca="1">IFERROR(__xludf.DUMMYFUNCTION("""COMPUTED_VALUE"""),"Bình Chánh")</f>
        <v>Bình Chánh</v>
      </c>
      <c r="F227" s="54">
        <f ca="1">IFERROR(__xludf.DUMMYFUNCTION("""COMPUTED_VALUE"""),41)</f>
        <v>41</v>
      </c>
      <c r="G227" s="54"/>
      <c r="H227" s="54">
        <f ca="1">IFERROR(__xludf.DUMMYFUNCTION("""COMPUTED_VALUE"""),41)</f>
        <v>41</v>
      </c>
      <c r="I227" s="54"/>
      <c r="J227" s="54">
        <f ca="1">IFERROR(__xludf.DUMMYFUNCTION("""COMPUTED_VALUE"""),41)</f>
        <v>41</v>
      </c>
      <c r="K227" s="54"/>
      <c r="L227" s="54">
        <f ca="1">IFERROR(__xludf.DUMMYFUNCTION("""COMPUTED_VALUE"""),41)</f>
        <v>41</v>
      </c>
      <c r="M227" s="54"/>
      <c r="N227" s="54">
        <f ca="1">IFERROR(__xludf.DUMMYFUNCTION("""COMPUTED_VALUE"""),3)</f>
        <v>3</v>
      </c>
      <c r="O227" s="54">
        <f ca="1">IFERROR(__xludf.DUMMYFUNCTION("""COMPUTED_VALUE"""),785)</f>
        <v>785</v>
      </c>
      <c r="P227" s="54"/>
      <c r="Q227" s="54">
        <f ca="1">IFERROR(__xludf.DUMMYFUNCTION("""COMPUTED_VALUE"""),658)</f>
        <v>658</v>
      </c>
      <c r="R227" s="54"/>
      <c r="S227" s="54">
        <f ca="1">IFERROR(__xludf.DUMMYFUNCTION("""COMPUTED_VALUE"""),240)</f>
        <v>240</v>
      </c>
      <c r="T227" s="53"/>
      <c r="U227" s="53"/>
      <c r="V227" s="53"/>
      <c r="W227" s="53"/>
      <c r="X227" s="53"/>
      <c r="Y227" s="53"/>
      <c r="Z227" s="2"/>
      <c r="AA227" s="2"/>
      <c r="AB227" s="2"/>
      <c r="AC227" s="2"/>
      <c r="AD227" s="2"/>
      <c r="AE227" s="2"/>
    </row>
    <row r="228" spans="1:31" ht="12.75" x14ac:dyDescent="0.2">
      <c r="A228" s="53">
        <f ca="1">IFERROR(__xludf.DUMMYFUNCTION("""COMPUTED_VALUE"""),23)</f>
        <v>23</v>
      </c>
      <c r="B228" s="53" t="str">
        <f ca="1">IFERROR(__xludf.DUMMYFUNCTION("""COMPUTED_VALUE"""),"TH Lê Minh Xuân 3")</f>
        <v>TH Lê Minh Xuân 3</v>
      </c>
      <c r="C228" s="53" t="str">
        <f ca="1">IFERROR(__xludf.DUMMYFUNCTION("""COMPUTED_VALUE"""),"Lê Minh Xuân")</f>
        <v>Lê Minh Xuân</v>
      </c>
      <c r="D228" s="53" t="str">
        <f ca="1">IFERROR(__xludf.DUMMYFUNCTION("""COMPUTED_VALUE"""),"TH")</f>
        <v>TH</v>
      </c>
      <c r="E228" s="54" t="str">
        <f ca="1">IFERROR(__xludf.DUMMYFUNCTION("""COMPUTED_VALUE"""),"Bình Chánh")</f>
        <v>Bình Chánh</v>
      </c>
      <c r="F228" s="54">
        <f ca="1">IFERROR(__xludf.DUMMYFUNCTION("""COMPUTED_VALUE"""),37)</f>
        <v>37</v>
      </c>
      <c r="G228" s="54"/>
      <c r="H228" s="54">
        <f ca="1">IFERROR(__xludf.DUMMYFUNCTION("""COMPUTED_VALUE"""),37)</f>
        <v>37</v>
      </c>
      <c r="I228" s="54"/>
      <c r="J228" s="54">
        <f ca="1">IFERROR(__xludf.DUMMYFUNCTION("""COMPUTED_VALUE"""),37)</f>
        <v>37</v>
      </c>
      <c r="K228" s="54"/>
      <c r="L228" s="54">
        <f ca="1">IFERROR(__xludf.DUMMYFUNCTION("""COMPUTED_VALUE"""),37)</f>
        <v>37</v>
      </c>
      <c r="M228" s="54"/>
      <c r="N228" s="54">
        <f ca="1">IFERROR(__xludf.DUMMYFUNCTION("""COMPUTED_VALUE"""),0)</f>
        <v>0</v>
      </c>
      <c r="O228" s="54">
        <f ca="1">IFERROR(__xludf.DUMMYFUNCTION("""COMPUTED_VALUE"""),748)</f>
        <v>748</v>
      </c>
      <c r="P228" s="54"/>
      <c r="Q228" s="54">
        <f ca="1">IFERROR(__xludf.DUMMYFUNCTION("""COMPUTED_VALUE"""),520)</f>
        <v>520</v>
      </c>
      <c r="R228" s="54"/>
      <c r="S228" s="54">
        <f ca="1">IFERROR(__xludf.DUMMYFUNCTION("""COMPUTED_VALUE"""),53)</f>
        <v>53</v>
      </c>
      <c r="T228" s="53"/>
      <c r="U228" s="53"/>
      <c r="V228" s="53"/>
      <c r="W228" s="53"/>
      <c r="X228" s="53"/>
      <c r="Y228" s="53"/>
      <c r="Z228" s="2"/>
      <c r="AA228" s="2"/>
      <c r="AB228" s="2"/>
      <c r="AC228" s="2"/>
      <c r="AD228" s="2"/>
      <c r="AE228" s="2"/>
    </row>
    <row r="229" spans="1:31" ht="12.75" x14ac:dyDescent="0.2">
      <c r="A229" s="53">
        <f ca="1">IFERROR(__xludf.DUMMYFUNCTION("""COMPUTED_VALUE"""),24)</f>
        <v>24</v>
      </c>
      <c r="B229" s="53" t="str">
        <f ca="1">IFERROR(__xludf.DUMMYFUNCTION("""COMPUTED_VALUE"""),"TH Bình Lợi")</f>
        <v>TH Bình Lợi</v>
      </c>
      <c r="C229" s="53" t="str">
        <f ca="1">IFERROR(__xludf.DUMMYFUNCTION("""COMPUTED_VALUE"""),"Bình Lợi")</f>
        <v>Bình Lợi</v>
      </c>
      <c r="D229" s="53" t="str">
        <f ca="1">IFERROR(__xludf.DUMMYFUNCTION("""COMPUTED_VALUE"""),"TH")</f>
        <v>TH</v>
      </c>
      <c r="E229" s="54" t="str">
        <f ca="1">IFERROR(__xludf.DUMMYFUNCTION("""COMPUTED_VALUE"""),"Bình Chánh")</f>
        <v>Bình Chánh</v>
      </c>
      <c r="F229" s="54">
        <f ca="1">IFERROR(__xludf.DUMMYFUNCTION("""COMPUTED_VALUE"""),52)</f>
        <v>52</v>
      </c>
      <c r="G229" s="54"/>
      <c r="H229" s="54">
        <f ca="1">IFERROR(__xludf.DUMMYFUNCTION("""COMPUTED_VALUE"""),52)</f>
        <v>52</v>
      </c>
      <c r="I229" s="54"/>
      <c r="J229" s="54">
        <f ca="1">IFERROR(__xludf.DUMMYFUNCTION("""COMPUTED_VALUE"""),52)</f>
        <v>52</v>
      </c>
      <c r="K229" s="54"/>
      <c r="L229" s="54">
        <f ca="1">IFERROR(__xludf.DUMMYFUNCTION("""COMPUTED_VALUE"""),52)</f>
        <v>52</v>
      </c>
      <c r="M229" s="54"/>
      <c r="N229" s="54">
        <f ca="1">IFERROR(__xludf.DUMMYFUNCTION("""COMPUTED_VALUE"""),5)</f>
        <v>5</v>
      </c>
      <c r="O229" s="54">
        <f ca="1">IFERROR(__xludf.DUMMYFUNCTION("""COMPUTED_VALUE"""),760)</f>
        <v>760</v>
      </c>
      <c r="P229" s="54"/>
      <c r="Q229" s="54">
        <f ca="1">IFERROR(__xludf.DUMMYFUNCTION("""COMPUTED_VALUE"""),604)</f>
        <v>604</v>
      </c>
      <c r="R229" s="54"/>
      <c r="S229" s="53">
        <f ca="1">IFERROR(__xludf.DUMMYFUNCTION("""COMPUTED_VALUE"""),150)</f>
        <v>150</v>
      </c>
      <c r="T229" s="53"/>
      <c r="U229" s="53"/>
      <c r="V229" s="53"/>
      <c r="W229" s="53"/>
      <c r="X229" s="53"/>
      <c r="Y229" s="53"/>
      <c r="Z229" s="2"/>
      <c r="AA229" s="2"/>
      <c r="AB229" s="2"/>
      <c r="AC229" s="2"/>
      <c r="AD229" s="2"/>
      <c r="AE229" s="2"/>
    </row>
    <row r="230" spans="1:31" ht="12.75" x14ac:dyDescent="0.2">
      <c r="A230" s="53">
        <f ca="1">IFERROR(__xludf.DUMMYFUNCTION("""COMPUTED_VALUE"""),25)</f>
        <v>25</v>
      </c>
      <c r="B230" s="53" t="str">
        <f ca="1">IFERROR(__xludf.DUMMYFUNCTION("""COMPUTED_VALUE"""),"TH Cầu Xáng")</f>
        <v>TH Cầu Xáng</v>
      </c>
      <c r="C230" s="53" t="str">
        <f ca="1">IFERROR(__xludf.DUMMYFUNCTION("""COMPUTED_VALUE"""),"Lê Minh Xuân")</f>
        <v>Lê Minh Xuân</v>
      </c>
      <c r="D230" s="53" t="str">
        <f ca="1">IFERROR(__xludf.DUMMYFUNCTION("""COMPUTED_VALUE"""),"TH")</f>
        <v>TH</v>
      </c>
      <c r="E230" s="54" t="str">
        <f ca="1">IFERROR(__xludf.DUMMYFUNCTION("""COMPUTED_VALUE"""),"Bình Chánh")</f>
        <v>Bình Chánh</v>
      </c>
      <c r="F230" s="54">
        <f ca="1">IFERROR(__xludf.DUMMYFUNCTION("""COMPUTED_VALUE"""),65)</f>
        <v>65</v>
      </c>
      <c r="G230" s="54"/>
      <c r="H230" s="54">
        <f ca="1">IFERROR(__xludf.DUMMYFUNCTION("""COMPUTED_VALUE"""),65)</f>
        <v>65</v>
      </c>
      <c r="I230" s="54"/>
      <c r="J230" s="54">
        <f ca="1">IFERROR(__xludf.DUMMYFUNCTION("""COMPUTED_VALUE"""),65)</f>
        <v>65</v>
      </c>
      <c r="K230" s="54"/>
      <c r="L230" s="54">
        <f ca="1">IFERROR(__xludf.DUMMYFUNCTION("""COMPUTED_VALUE"""),64)</f>
        <v>64</v>
      </c>
      <c r="M230" s="54"/>
      <c r="N230" s="54">
        <f ca="1">IFERROR(__xludf.DUMMYFUNCTION("""COMPUTED_VALUE"""),10)</f>
        <v>10</v>
      </c>
      <c r="O230" s="54">
        <f ca="1">IFERROR(__xludf.DUMMYFUNCTION("""COMPUTED_VALUE"""),1009)</f>
        <v>1009</v>
      </c>
      <c r="P230" s="54"/>
      <c r="Q230" s="54">
        <f ca="1">IFERROR(__xludf.DUMMYFUNCTION("""COMPUTED_VALUE"""),693)</f>
        <v>693</v>
      </c>
      <c r="R230" s="54"/>
      <c r="S230" s="54">
        <f ca="1">IFERROR(__xludf.DUMMYFUNCTION("""COMPUTED_VALUE"""),127)</f>
        <v>127</v>
      </c>
      <c r="T230" s="53"/>
      <c r="U230" s="53"/>
      <c r="V230" s="53"/>
      <c r="W230" s="53"/>
      <c r="X230" s="53"/>
      <c r="Y230" s="53"/>
      <c r="Z230" s="2"/>
      <c r="AA230" s="2"/>
      <c r="AB230" s="2"/>
      <c r="AC230" s="2"/>
      <c r="AD230" s="2"/>
      <c r="AE230" s="2"/>
    </row>
    <row r="231" spans="1:31" ht="12.75" x14ac:dyDescent="0.2">
      <c r="A231" s="53">
        <f ca="1">IFERROR(__xludf.DUMMYFUNCTION("""COMPUTED_VALUE"""),26)</f>
        <v>26</v>
      </c>
      <c r="B231" s="53" t="str">
        <f ca="1">IFERROR(__xludf.DUMMYFUNCTION("""COMPUTED_VALUE"""),"TH An Hạ")</f>
        <v>TH An Hạ</v>
      </c>
      <c r="C231" s="53" t="str">
        <f ca="1">IFERROR(__xludf.DUMMYFUNCTION("""COMPUTED_VALUE"""),"Phạm Văn Hai")</f>
        <v>Phạm Văn Hai</v>
      </c>
      <c r="D231" s="53" t="str">
        <f ca="1">IFERROR(__xludf.DUMMYFUNCTION("""COMPUTED_VALUE"""),"TH")</f>
        <v>TH</v>
      </c>
      <c r="E231" s="54" t="str">
        <f ca="1">IFERROR(__xludf.DUMMYFUNCTION("""COMPUTED_VALUE"""),"Bình Chánh")</f>
        <v>Bình Chánh</v>
      </c>
      <c r="F231" s="54">
        <f ca="1">IFERROR(__xludf.DUMMYFUNCTION("""COMPUTED_VALUE"""),71)</f>
        <v>71</v>
      </c>
      <c r="G231" s="54"/>
      <c r="H231" s="54">
        <f ca="1">IFERROR(__xludf.DUMMYFUNCTION("""COMPUTED_VALUE"""),71)</f>
        <v>71</v>
      </c>
      <c r="I231" s="54"/>
      <c r="J231" s="54">
        <f ca="1">IFERROR(__xludf.DUMMYFUNCTION("""COMPUTED_VALUE"""),71)</f>
        <v>71</v>
      </c>
      <c r="K231" s="54"/>
      <c r="L231" s="54">
        <f ca="1">IFERROR(__xludf.DUMMYFUNCTION("""COMPUTED_VALUE"""),69)</f>
        <v>69</v>
      </c>
      <c r="M231" s="54"/>
      <c r="N231" s="54">
        <f ca="1">IFERROR(__xludf.DUMMYFUNCTION("""COMPUTED_VALUE"""),0)</f>
        <v>0</v>
      </c>
      <c r="O231" s="54">
        <f ca="1">IFERROR(__xludf.DUMMYFUNCTION("""COMPUTED_VALUE"""),1485)</f>
        <v>1485</v>
      </c>
      <c r="P231" s="54"/>
      <c r="Q231" s="54">
        <f ca="1">IFERROR(__xludf.DUMMYFUNCTION("""COMPUTED_VALUE"""),1079)</f>
        <v>1079</v>
      </c>
      <c r="R231" s="54"/>
      <c r="S231" s="54">
        <f ca="1">IFERROR(__xludf.DUMMYFUNCTION("""COMPUTED_VALUE"""),257)</f>
        <v>257</v>
      </c>
      <c r="T231" s="53"/>
      <c r="U231" s="53"/>
      <c r="V231" s="53"/>
      <c r="W231" s="53"/>
      <c r="X231" s="53"/>
      <c r="Y231" s="53"/>
      <c r="Z231" s="2"/>
      <c r="AA231" s="2"/>
      <c r="AB231" s="2"/>
      <c r="AC231" s="2"/>
      <c r="AD231" s="2"/>
      <c r="AE231" s="2"/>
    </row>
    <row r="232" spans="1:31" ht="12.75" x14ac:dyDescent="0.2">
      <c r="A232" s="53">
        <f ca="1">IFERROR(__xludf.DUMMYFUNCTION("""COMPUTED_VALUE"""),27)</f>
        <v>27</v>
      </c>
      <c r="B232" s="53" t="str">
        <f ca="1">IFERROR(__xludf.DUMMYFUNCTION("""COMPUTED_VALUE"""),"TH Phạm Văn Hai")</f>
        <v>TH Phạm Văn Hai</v>
      </c>
      <c r="C232" s="53" t="str">
        <f ca="1">IFERROR(__xludf.DUMMYFUNCTION("""COMPUTED_VALUE"""),"Phạm Văn Hai")</f>
        <v>Phạm Văn Hai</v>
      </c>
      <c r="D232" s="53" t="str">
        <f ca="1">IFERROR(__xludf.DUMMYFUNCTION("""COMPUTED_VALUE"""),"TH")</f>
        <v>TH</v>
      </c>
      <c r="E232" s="54" t="str">
        <f ca="1">IFERROR(__xludf.DUMMYFUNCTION("""COMPUTED_VALUE"""),"Bình Chánh")</f>
        <v>Bình Chánh</v>
      </c>
      <c r="F232" s="54">
        <f ca="1">IFERROR(__xludf.DUMMYFUNCTION("""COMPUTED_VALUE"""),64)</f>
        <v>64</v>
      </c>
      <c r="G232" s="54"/>
      <c r="H232" s="54">
        <f ca="1">IFERROR(__xludf.DUMMYFUNCTION("""COMPUTED_VALUE"""),64)</f>
        <v>64</v>
      </c>
      <c r="I232" s="54"/>
      <c r="J232" s="54">
        <f ca="1">IFERROR(__xludf.DUMMYFUNCTION("""COMPUTED_VALUE"""),64)</f>
        <v>64</v>
      </c>
      <c r="K232" s="54"/>
      <c r="L232" s="54">
        <f ca="1">IFERROR(__xludf.DUMMYFUNCTION("""COMPUTED_VALUE"""),63)</f>
        <v>63</v>
      </c>
      <c r="M232" s="54"/>
      <c r="N232" s="54">
        <f ca="1">IFERROR(__xludf.DUMMYFUNCTION("""COMPUTED_VALUE"""),12)</f>
        <v>12</v>
      </c>
      <c r="O232" s="54">
        <f ca="1">IFERROR(__xludf.DUMMYFUNCTION("""COMPUTED_VALUE"""),1688)</f>
        <v>1688</v>
      </c>
      <c r="P232" s="54"/>
      <c r="Q232" s="54">
        <f ca="1">IFERROR(__xludf.DUMMYFUNCTION("""COMPUTED_VALUE"""),1128)</f>
        <v>1128</v>
      </c>
      <c r="R232" s="54"/>
      <c r="S232" s="54">
        <f ca="1">IFERROR(__xludf.DUMMYFUNCTION("""COMPUTED_VALUE"""),271)</f>
        <v>271</v>
      </c>
      <c r="T232" s="53"/>
      <c r="U232" s="53"/>
      <c r="V232" s="53"/>
      <c r="W232" s="53"/>
      <c r="X232" s="53"/>
      <c r="Y232" s="53"/>
      <c r="Z232" s="2"/>
      <c r="AA232" s="2"/>
      <c r="AB232" s="2"/>
      <c r="AC232" s="2"/>
      <c r="AD232" s="2"/>
      <c r="AE232" s="2"/>
    </row>
    <row r="233" spans="1:31" ht="12.75" x14ac:dyDescent="0.2">
      <c r="A233" s="53">
        <f ca="1">IFERROR(__xludf.DUMMYFUNCTION("""COMPUTED_VALUE"""),28)</f>
        <v>28</v>
      </c>
      <c r="B233" s="53" t="str">
        <f ca="1">IFERROR(__xludf.DUMMYFUNCTION("""COMPUTED_VALUE"""),"TH Võ Văn Vân")</f>
        <v>TH Võ Văn Vân</v>
      </c>
      <c r="C233" s="53" t="str">
        <f ca="1">IFERROR(__xludf.DUMMYFUNCTION("""COMPUTED_VALUE"""),"Phạm Văn Hai")</f>
        <v>Phạm Văn Hai</v>
      </c>
      <c r="D233" s="53" t="str">
        <f ca="1">IFERROR(__xludf.DUMMYFUNCTION("""COMPUTED_VALUE"""),"TH")</f>
        <v>TH</v>
      </c>
      <c r="E233" s="54" t="str">
        <f ca="1">IFERROR(__xludf.DUMMYFUNCTION("""COMPUTED_VALUE"""),"Bình Chánh")</f>
        <v>Bình Chánh</v>
      </c>
      <c r="F233" s="54">
        <f ca="1">IFERROR(__xludf.DUMMYFUNCTION("""COMPUTED_VALUE"""),64)</f>
        <v>64</v>
      </c>
      <c r="G233" s="54"/>
      <c r="H233" s="54">
        <f ca="1">IFERROR(__xludf.DUMMYFUNCTION("""COMPUTED_VALUE"""),64)</f>
        <v>64</v>
      </c>
      <c r="I233" s="54"/>
      <c r="J233" s="54">
        <f ca="1">IFERROR(__xludf.DUMMYFUNCTION("""COMPUTED_VALUE"""),64)</f>
        <v>64</v>
      </c>
      <c r="K233" s="54"/>
      <c r="L233" s="54">
        <f ca="1">IFERROR(__xludf.DUMMYFUNCTION("""COMPUTED_VALUE"""),62)</f>
        <v>62</v>
      </c>
      <c r="M233" s="54"/>
      <c r="N233" s="54">
        <f ca="1">IFERROR(__xludf.DUMMYFUNCTION("""COMPUTED_VALUE"""),0)</f>
        <v>0</v>
      </c>
      <c r="O233" s="54">
        <f ca="1">IFERROR(__xludf.DUMMYFUNCTION("""COMPUTED_VALUE"""),1506)</f>
        <v>1506</v>
      </c>
      <c r="P233" s="54"/>
      <c r="Q233" s="54">
        <f ca="1">IFERROR(__xludf.DUMMYFUNCTION("""COMPUTED_VALUE"""),956)</f>
        <v>956</v>
      </c>
      <c r="R233" s="54"/>
      <c r="S233" s="54">
        <f ca="1">IFERROR(__xludf.DUMMYFUNCTION("""COMPUTED_VALUE"""),346)</f>
        <v>346</v>
      </c>
      <c r="T233" s="53"/>
      <c r="U233" s="53"/>
      <c r="V233" s="53"/>
      <c r="W233" s="53"/>
      <c r="X233" s="53"/>
      <c r="Y233" s="53"/>
      <c r="Z233" s="2"/>
      <c r="AA233" s="2"/>
      <c r="AB233" s="2"/>
      <c r="AC233" s="2"/>
      <c r="AD233" s="2"/>
      <c r="AE233" s="2"/>
    </row>
    <row r="234" spans="1:31" ht="12.75" x14ac:dyDescent="0.2">
      <c r="A234" s="53">
        <f ca="1">IFERROR(__xludf.DUMMYFUNCTION("""COMPUTED_VALUE"""),29)</f>
        <v>29</v>
      </c>
      <c r="B234" s="53" t="str">
        <f ca="1">IFERROR(__xludf.DUMMYFUNCTION("""COMPUTED_VALUE"""),"TH Vĩnh Lộc 1")</f>
        <v>TH Vĩnh Lộc 1</v>
      </c>
      <c r="C234" s="53" t="str">
        <f ca="1">IFERROR(__xludf.DUMMYFUNCTION("""COMPUTED_VALUE"""),"Vĩnh Lộc A")</f>
        <v>Vĩnh Lộc A</v>
      </c>
      <c r="D234" s="53" t="str">
        <f ca="1">IFERROR(__xludf.DUMMYFUNCTION("""COMPUTED_VALUE"""),"TH")</f>
        <v>TH</v>
      </c>
      <c r="E234" s="54" t="str">
        <f ca="1">IFERROR(__xludf.DUMMYFUNCTION("""COMPUTED_VALUE"""),"Bình Chánh")</f>
        <v>Bình Chánh</v>
      </c>
      <c r="F234" s="54">
        <f ca="1">IFERROR(__xludf.DUMMYFUNCTION("""COMPUTED_VALUE"""),53)</f>
        <v>53</v>
      </c>
      <c r="G234" s="54"/>
      <c r="H234" s="54">
        <f ca="1">IFERROR(__xludf.DUMMYFUNCTION("""COMPUTED_VALUE"""),53)</f>
        <v>53</v>
      </c>
      <c r="I234" s="54"/>
      <c r="J234" s="54">
        <f ca="1">IFERROR(__xludf.DUMMYFUNCTION("""COMPUTED_VALUE"""),53)</f>
        <v>53</v>
      </c>
      <c r="K234" s="54"/>
      <c r="L234" s="54">
        <f ca="1">IFERROR(__xludf.DUMMYFUNCTION("""COMPUTED_VALUE"""),53)</f>
        <v>53</v>
      </c>
      <c r="M234" s="54"/>
      <c r="N234" s="54">
        <f ca="1">IFERROR(__xludf.DUMMYFUNCTION("""COMPUTED_VALUE"""),0)</f>
        <v>0</v>
      </c>
      <c r="O234" s="54">
        <f ca="1">IFERROR(__xludf.DUMMYFUNCTION("""COMPUTED_VALUE"""),1252)</f>
        <v>1252</v>
      </c>
      <c r="P234" s="54"/>
      <c r="Q234" s="54">
        <f ca="1">IFERROR(__xludf.DUMMYFUNCTION("""COMPUTED_VALUE"""),921)</f>
        <v>921</v>
      </c>
      <c r="R234" s="54"/>
      <c r="S234" s="54">
        <f ca="1">IFERROR(__xludf.DUMMYFUNCTION("""COMPUTED_VALUE"""),300)</f>
        <v>300</v>
      </c>
      <c r="T234" s="53"/>
      <c r="U234" s="53"/>
      <c r="V234" s="53"/>
      <c r="W234" s="53"/>
      <c r="X234" s="53"/>
      <c r="Y234" s="53"/>
      <c r="Z234" s="2"/>
      <c r="AA234" s="2"/>
      <c r="AB234" s="2"/>
      <c r="AC234" s="2"/>
      <c r="AD234" s="2"/>
      <c r="AE234" s="2"/>
    </row>
    <row r="235" spans="1:31" ht="12.75" x14ac:dyDescent="0.2">
      <c r="A235" s="53">
        <f ca="1">IFERROR(__xludf.DUMMYFUNCTION("""COMPUTED_VALUE"""),30)</f>
        <v>30</v>
      </c>
      <c r="B235" s="53" t="str">
        <f ca="1">IFERROR(__xludf.DUMMYFUNCTION("""COMPUTED_VALUE"""),"TH Vĩnh Lộc 2")</f>
        <v>TH Vĩnh Lộc 2</v>
      </c>
      <c r="C235" s="53" t="str">
        <f ca="1">IFERROR(__xludf.DUMMYFUNCTION("""COMPUTED_VALUE"""),"Vĩnh Lộc A")</f>
        <v>Vĩnh Lộc A</v>
      </c>
      <c r="D235" s="53" t="str">
        <f ca="1">IFERROR(__xludf.DUMMYFUNCTION("""COMPUTED_VALUE"""),"TH")</f>
        <v>TH</v>
      </c>
      <c r="E235" s="53" t="str">
        <f ca="1">IFERROR(__xludf.DUMMYFUNCTION("""COMPUTED_VALUE"""),"Bình Chánh")</f>
        <v>Bình Chánh</v>
      </c>
      <c r="F235" s="53">
        <f ca="1">IFERROR(__xludf.DUMMYFUNCTION("""COMPUTED_VALUE"""),83)</f>
        <v>83</v>
      </c>
      <c r="G235" s="53"/>
      <c r="H235" s="53">
        <f ca="1">IFERROR(__xludf.DUMMYFUNCTION("""COMPUTED_VALUE"""),83)</f>
        <v>83</v>
      </c>
      <c r="I235" s="53"/>
      <c r="J235" s="53">
        <f ca="1">IFERROR(__xludf.DUMMYFUNCTION("""COMPUTED_VALUE"""),83)</f>
        <v>83</v>
      </c>
      <c r="K235" s="53"/>
      <c r="L235" s="53">
        <f ca="1">IFERROR(__xludf.DUMMYFUNCTION("""COMPUTED_VALUE"""),83)</f>
        <v>83</v>
      </c>
      <c r="M235" s="53"/>
      <c r="N235" s="53">
        <f ca="1">IFERROR(__xludf.DUMMYFUNCTION("""COMPUTED_VALUE"""),4)</f>
        <v>4</v>
      </c>
      <c r="O235" s="53">
        <f ca="1">IFERROR(__xludf.DUMMYFUNCTION("""COMPUTED_VALUE"""),2412)</f>
        <v>2412</v>
      </c>
      <c r="P235" s="53"/>
      <c r="Q235" s="53">
        <f ca="1">IFERROR(__xludf.DUMMYFUNCTION("""COMPUTED_VALUE"""),1999)</f>
        <v>1999</v>
      </c>
      <c r="R235" s="53"/>
      <c r="S235" s="53">
        <f ca="1">IFERROR(__xludf.DUMMYFUNCTION("""COMPUTED_VALUE"""),1201)</f>
        <v>1201</v>
      </c>
      <c r="T235" s="53"/>
      <c r="U235" s="53"/>
      <c r="V235" s="53"/>
      <c r="W235" s="53"/>
      <c r="X235" s="53"/>
      <c r="Y235" s="53"/>
      <c r="Z235" s="2"/>
      <c r="AA235" s="2"/>
      <c r="AB235" s="2"/>
      <c r="AC235" s="2"/>
      <c r="AD235" s="2"/>
      <c r="AE235" s="2"/>
    </row>
    <row r="236" spans="1:31" ht="12.75" x14ac:dyDescent="0.2">
      <c r="A236" s="53">
        <f ca="1">IFERROR(__xludf.DUMMYFUNCTION("""COMPUTED_VALUE"""),31)</f>
        <v>31</v>
      </c>
      <c r="B236" s="53" t="str">
        <f ca="1">IFERROR(__xludf.DUMMYFUNCTION("""COMPUTED_VALUE"""),"TH Vĩnh Lộc A")</f>
        <v>TH Vĩnh Lộc A</v>
      </c>
      <c r="C236" s="53" t="str">
        <f ca="1">IFERROR(__xludf.DUMMYFUNCTION("""COMPUTED_VALUE"""),"Vĩnh Lộc A")</f>
        <v>Vĩnh Lộc A</v>
      </c>
      <c r="D236" s="53" t="str">
        <f ca="1">IFERROR(__xludf.DUMMYFUNCTION("""COMPUTED_VALUE"""),"TH")</f>
        <v>TH</v>
      </c>
      <c r="E236" s="54" t="str">
        <f ca="1">IFERROR(__xludf.DUMMYFUNCTION("""COMPUTED_VALUE"""),"Bình Chánh")</f>
        <v>Bình Chánh</v>
      </c>
      <c r="F236" s="54">
        <f ca="1">IFERROR(__xludf.DUMMYFUNCTION("""COMPUTED_VALUE"""),110)</f>
        <v>110</v>
      </c>
      <c r="G236" s="54"/>
      <c r="H236" s="54">
        <f ca="1">IFERROR(__xludf.DUMMYFUNCTION("""COMPUTED_VALUE"""),110)</f>
        <v>110</v>
      </c>
      <c r="I236" s="54"/>
      <c r="J236" s="54">
        <f ca="1">IFERROR(__xludf.DUMMYFUNCTION("""COMPUTED_VALUE"""),110)</f>
        <v>110</v>
      </c>
      <c r="K236" s="54"/>
      <c r="L236" s="54">
        <f ca="1">IFERROR(__xludf.DUMMYFUNCTION("""COMPUTED_VALUE"""),105)</f>
        <v>105</v>
      </c>
      <c r="M236" s="54"/>
      <c r="N236" s="54">
        <f ca="1">IFERROR(__xludf.DUMMYFUNCTION("""COMPUTED_VALUE"""),0)</f>
        <v>0</v>
      </c>
      <c r="O236" s="54">
        <f ca="1">IFERROR(__xludf.DUMMYFUNCTION("""COMPUTED_VALUE"""),3218)</f>
        <v>3218</v>
      </c>
      <c r="P236" s="54"/>
      <c r="Q236" s="54">
        <f ca="1">IFERROR(__xludf.DUMMYFUNCTION("""COMPUTED_VALUE"""),1831)</f>
        <v>1831</v>
      </c>
      <c r="R236" s="54"/>
      <c r="S236" s="53">
        <f ca="1">IFERROR(__xludf.DUMMYFUNCTION("""COMPUTED_VALUE"""),400)</f>
        <v>400</v>
      </c>
      <c r="T236" s="53"/>
      <c r="U236" s="53"/>
      <c r="V236" s="53"/>
      <c r="W236" s="53"/>
      <c r="X236" s="53"/>
      <c r="Y236" s="53"/>
      <c r="Z236" s="2"/>
      <c r="AA236" s="2"/>
      <c r="AB236" s="2"/>
      <c r="AC236" s="2"/>
      <c r="AD236" s="2"/>
      <c r="AE236" s="2"/>
    </row>
    <row r="237" spans="1:31" ht="12.75" x14ac:dyDescent="0.2">
      <c r="A237" s="53">
        <f ca="1">IFERROR(__xludf.DUMMYFUNCTION("""COMPUTED_VALUE"""),32)</f>
        <v>32</v>
      </c>
      <c r="B237" s="53" t="str">
        <f ca="1">IFERROR(__xludf.DUMMYFUNCTION("""COMPUTED_VALUE"""),"TH Vĩnh Lộc B")</f>
        <v>TH Vĩnh Lộc B</v>
      </c>
      <c r="C237" s="53" t="str">
        <f ca="1">IFERROR(__xludf.DUMMYFUNCTION("""COMPUTED_VALUE"""),"Vĩnh Lộc B")</f>
        <v>Vĩnh Lộc B</v>
      </c>
      <c r="D237" s="53" t="str">
        <f ca="1">IFERROR(__xludf.DUMMYFUNCTION("""COMPUTED_VALUE"""),"TH")</f>
        <v>TH</v>
      </c>
      <c r="E237" s="54" t="str">
        <f ca="1">IFERROR(__xludf.DUMMYFUNCTION("""COMPUTED_VALUE"""),"Bình Chánh")</f>
        <v>Bình Chánh</v>
      </c>
      <c r="F237" s="54">
        <f ca="1">IFERROR(__xludf.DUMMYFUNCTION("""COMPUTED_VALUE"""),76)</f>
        <v>76</v>
      </c>
      <c r="G237" s="54"/>
      <c r="H237" s="54">
        <f ca="1">IFERROR(__xludf.DUMMYFUNCTION("""COMPUTED_VALUE"""),76)</f>
        <v>76</v>
      </c>
      <c r="I237" s="54"/>
      <c r="J237" s="54">
        <f ca="1">IFERROR(__xludf.DUMMYFUNCTION("""COMPUTED_VALUE"""),76)</f>
        <v>76</v>
      </c>
      <c r="K237" s="54"/>
      <c r="L237" s="54">
        <f ca="1">IFERROR(__xludf.DUMMYFUNCTION("""COMPUTED_VALUE"""),76)</f>
        <v>76</v>
      </c>
      <c r="M237" s="54"/>
      <c r="N237" s="54">
        <f ca="1">IFERROR(__xludf.DUMMYFUNCTION("""COMPUTED_VALUE"""),9)</f>
        <v>9</v>
      </c>
      <c r="O237" s="54">
        <f ca="1">IFERROR(__xludf.DUMMYFUNCTION("""COMPUTED_VALUE"""),1920)</f>
        <v>1920</v>
      </c>
      <c r="P237" s="54"/>
      <c r="Q237" s="54">
        <f ca="1">IFERROR(__xludf.DUMMYFUNCTION("""COMPUTED_VALUE"""),1231)</f>
        <v>1231</v>
      </c>
      <c r="R237" s="54"/>
      <c r="S237" s="54">
        <f ca="1">IFERROR(__xludf.DUMMYFUNCTION("""COMPUTED_VALUE"""),689)</f>
        <v>689</v>
      </c>
      <c r="T237" s="53"/>
      <c r="U237" s="53"/>
      <c r="V237" s="53"/>
      <c r="W237" s="53"/>
      <c r="X237" s="53"/>
      <c r="Y237" s="53"/>
      <c r="Z237" s="2"/>
      <c r="AA237" s="2"/>
      <c r="AB237" s="2"/>
      <c r="AC237" s="2"/>
      <c r="AD237" s="2"/>
      <c r="AE237" s="2"/>
    </row>
    <row r="238" spans="1:31" ht="12.75" x14ac:dyDescent="0.2">
      <c r="A238" s="53">
        <f ca="1">IFERROR(__xludf.DUMMYFUNCTION("""COMPUTED_VALUE"""),33)</f>
        <v>33</v>
      </c>
      <c r="B238" s="53" t="str">
        <f ca="1">IFERROR(__xludf.DUMMYFUNCTION("""COMPUTED_VALUE"""),"TH Huỳnh Văn Bánh")</f>
        <v>TH Huỳnh Văn Bánh</v>
      </c>
      <c r="C238" s="53" t="str">
        <f ca="1">IFERROR(__xludf.DUMMYFUNCTION("""COMPUTED_VALUE"""),"Vĩnh Lộc A")</f>
        <v>Vĩnh Lộc A</v>
      </c>
      <c r="D238" s="53" t="str">
        <f ca="1">IFERROR(__xludf.DUMMYFUNCTION("""COMPUTED_VALUE"""),"TH")</f>
        <v>TH</v>
      </c>
      <c r="E238" s="54" t="str">
        <f ca="1">IFERROR(__xludf.DUMMYFUNCTION("""COMPUTED_VALUE"""),"Bình Chánh")</f>
        <v>Bình Chánh</v>
      </c>
      <c r="F238" s="54">
        <f ca="1">IFERROR(__xludf.DUMMYFUNCTION("""COMPUTED_VALUE"""),113)</f>
        <v>113</v>
      </c>
      <c r="G238" s="54"/>
      <c r="H238" s="54">
        <f ca="1">IFERROR(__xludf.DUMMYFUNCTION("""COMPUTED_VALUE"""),113)</f>
        <v>113</v>
      </c>
      <c r="I238" s="54"/>
      <c r="J238" s="54">
        <f ca="1">IFERROR(__xludf.DUMMYFUNCTION("""COMPUTED_VALUE"""),113)</f>
        <v>113</v>
      </c>
      <c r="K238" s="54"/>
      <c r="L238" s="54">
        <f ca="1">IFERROR(__xludf.DUMMYFUNCTION("""COMPUTED_VALUE"""),108)</f>
        <v>108</v>
      </c>
      <c r="M238" s="54"/>
      <c r="N238" s="54">
        <f ca="1">IFERROR(__xludf.DUMMYFUNCTION("""COMPUTED_VALUE"""),33)</f>
        <v>33</v>
      </c>
      <c r="O238" s="54">
        <f ca="1">IFERROR(__xludf.DUMMYFUNCTION("""COMPUTED_VALUE"""),3254)</f>
        <v>3254</v>
      </c>
      <c r="P238" s="54"/>
      <c r="Q238" s="54">
        <f ca="1">IFERROR(__xludf.DUMMYFUNCTION("""COMPUTED_VALUE"""),2117)</f>
        <v>2117</v>
      </c>
      <c r="R238" s="54"/>
      <c r="S238" s="54">
        <f ca="1">IFERROR(__xludf.DUMMYFUNCTION("""COMPUTED_VALUE"""),500)</f>
        <v>500</v>
      </c>
      <c r="T238" s="53"/>
      <c r="U238" s="53"/>
      <c r="V238" s="53"/>
      <c r="W238" s="53"/>
      <c r="X238" s="53"/>
      <c r="Y238" s="53"/>
      <c r="Z238" s="2"/>
      <c r="AA238" s="2"/>
      <c r="AB238" s="2"/>
      <c r="AC238" s="2"/>
      <c r="AD238" s="2"/>
      <c r="AE238" s="2"/>
    </row>
    <row r="239" spans="1:31" ht="12.75" x14ac:dyDescent="0.2">
      <c r="A239" s="53">
        <f ca="1">IFERROR(__xludf.DUMMYFUNCTION("""COMPUTED_VALUE"""),34)</f>
        <v>34</v>
      </c>
      <c r="B239" s="53" t="str">
        <f ca="1">IFERROR(__xludf.DUMMYFUNCTION("""COMPUTED_VALUE"""),"TH Lại Hùng Cường")</f>
        <v>TH Lại Hùng Cường</v>
      </c>
      <c r="C239" s="53" t="str">
        <f ca="1">IFERROR(__xludf.DUMMYFUNCTION("""COMPUTED_VALUE"""),"Vĩnh Lộc B")</f>
        <v>Vĩnh Lộc B</v>
      </c>
      <c r="D239" s="53" t="str">
        <f ca="1">IFERROR(__xludf.DUMMYFUNCTION("""COMPUTED_VALUE"""),"TH")</f>
        <v>TH</v>
      </c>
      <c r="E239" s="54" t="str">
        <f ca="1">IFERROR(__xludf.DUMMYFUNCTION("""COMPUTED_VALUE"""),"Bình Chánh")</f>
        <v>Bình Chánh</v>
      </c>
      <c r="F239" s="54">
        <f ca="1">IFERROR(__xludf.DUMMYFUNCTION("""COMPUTED_VALUE"""),59)</f>
        <v>59</v>
      </c>
      <c r="G239" s="54"/>
      <c r="H239" s="54">
        <f ca="1">IFERROR(__xludf.DUMMYFUNCTION("""COMPUTED_VALUE"""),59)</f>
        <v>59</v>
      </c>
      <c r="I239" s="54"/>
      <c r="J239" s="54">
        <f ca="1">IFERROR(__xludf.DUMMYFUNCTION("""COMPUTED_VALUE"""),58)</f>
        <v>58</v>
      </c>
      <c r="K239" s="54"/>
      <c r="L239" s="54">
        <f ca="1">IFERROR(__xludf.DUMMYFUNCTION("""COMPUTED_VALUE"""),58)</f>
        <v>58</v>
      </c>
      <c r="M239" s="54"/>
      <c r="N239" s="54">
        <f ca="1">IFERROR(__xludf.DUMMYFUNCTION("""COMPUTED_VALUE"""),18)</f>
        <v>18</v>
      </c>
      <c r="O239" s="54">
        <f ca="1">IFERROR(__xludf.DUMMYFUNCTION("""COMPUTED_VALUE"""),1645)</f>
        <v>1645</v>
      </c>
      <c r="P239" s="54"/>
      <c r="Q239" s="54">
        <f ca="1">IFERROR(__xludf.DUMMYFUNCTION("""COMPUTED_VALUE"""),1180)</f>
        <v>1180</v>
      </c>
      <c r="R239" s="54"/>
      <c r="S239" s="54">
        <f ca="1">IFERROR(__xludf.DUMMYFUNCTION("""COMPUTED_VALUE"""),220)</f>
        <v>220</v>
      </c>
      <c r="T239" s="53"/>
      <c r="U239" s="53"/>
      <c r="V239" s="53"/>
      <c r="W239" s="53"/>
      <c r="X239" s="53"/>
      <c r="Y239" s="53"/>
      <c r="Z239" s="2"/>
      <c r="AA239" s="2"/>
      <c r="AB239" s="2"/>
      <c r="AC239" s="2"/>
      <c r="AD239" s="2"/>
      <c r="AE239" s="2"/>
    </row>
    <row r="240" spans="1:31" ht="12.75" x14ac:dyDescent="0.2">
      <c r="A240" s="53">
        <f ca="1">IFERROR(__xludf.DUMMYFUNCTION("""COMPUTED_VALUE"""),35)</f>
        <v>35</v>
      </c>
      <c r="B240" s="53" t="str">
        <f ca="1">IFERROR(__xludf.DUMMYFUNCTION("""COMPUTED_VALUE"""),"TH Trần Quốc Toản")</f>
        <v>TH Trần Quốc Toản</v>
      </c>
      <c r="C240" s="53" t="str">
        <f ca="1">IFERROR(__xludf.DUMMYFUNCTION("""COMPUTED_VALUE"""),"Vĩnh Lộc B")</f>
        <v>Vĩnh Lộc B</v>
      </c>
      <c r="D240" s="53" t="str">
        <f ca="1">IFERROR(__xludf.DUMMYFUNCTION("""COMPUTED_VALUE"""),"TH")</f>
        <v>TH</v>
      </c>
      <c r="E240" s="54" t="str">
        <f ca="1">IFERROR(__xludf.DUMMYFUNCTION("""COMPUTED_VALUE"""),"Bình Chánh")</f>
        <v>Bình Chánh</v>
      </c>
      <c r="F240" s="54">
        <f ca="1">IFERROR(__xludf.DUMMYFUNCTION("""COMPUTED_VALUE"""),87)</f>
        <v>87</v>
      </c>
      <c r="G240" s="54"/>
      <c r="H240" s="54">
        <f ca="1">IFERROR(__xludf.DUMMYFUNCTION("""COMPUTED_VALUE"""),87)</f>
        <v>87</v>
      </c>
      <c r="I240" s="54"/>
      <c r="J240" s="54">
        <f ca="1">IFERROR(__xludf.DUMMYFUNCTION("""COMPUTED_VALUE"""),87)</f>
        <v>87</v>
      </c>
      <c r="K240" s="54"/>
      <c r="L240" s="54">
        <f ca="1">IFERROR(__xludf.DUMMYFUNCTION("""COMPUTED_VALUE"""),85)</f>
        <v>85</v>
      </c>
      <c r="M240" s="54"/>
      <c r="N240" s="54">
        <f ca="1">IFERROR(__xludf.DUMMYFUNCTION("""COMPUTED_VALUE"""),34)</f>
        <v>34</v>
      </c>
      <c r="O240" s="54">
        <f ca="1">IFERROR(__xludf.DUMMYFUNCTION("""COMPUTED_VALUE"""),2404)</f>
        <v>2404</v>
      </c>
      <c r="P240" s="54"/>
      <c r="Q240" s="54">
        <f ca="1">IFERROR(__xludf.DUMMYFUNCTION("""COMPUTED_VALUE"""),1542)</f>
        <v>1542</v>
      </c>
      <c r="R240" s="54"/>
      <c r="S240" s="53">
        <f ca="1">IFERROR(__xludf.DUMMYFUNCTION("""COMPUTED_VALUE"""),2578)</f>
        <v>2578</v>
      </c>
      <c r="T240" s="53"/>
      <c r="U240" s="53"/>
      <c r="V240" s="53"/>
      <c r="W240" s="53"/>
      <c r="X240" s="53"/>
      <c r="Y240" s="53"/>
      <c r="Z240" s="2"/>
      <c r="AA240" s="2"/>
      <c r="AB240" s="2"/>
      <c r="AC240" s="2"/>
      <c r="AD240" s="2"/>
      <c r="AE240" s="2"/>
    </row>
    <row r="241" spans="1:31" ht="12.75" x14ac:dyDescent="0.2">
      <c r="A241" s="53">
        <f ca="1">IFERROR(__xludf.DUMMYFUNCTION("""COMPUTED_VALUE"""),36)</f>
        <v>36</v>
      </c>
      <c r="B241" s="53" t="str">
        <f ca="1">IFERROR(__xludf.DUMMYFUNCTION("""COMPUTED_VALUE"""),"TH Việt Mỹ")</f>
        <v>TH Việt Mỹ</v>
      </c>
      <c r="C241" s="53" t="str">
        <f ca="1">IFERROR(__xludf.DUMMYFUNCTION("""COMPUTED_VALUE"""),"Vĩnh Lộc A")</f>
        <v>Vĩnh Lộc A</v>
      </c>
      <c r="D241" s="53" t="str">
        <f ca="1">IFERROR(__xludf.DUMMYFUNCTION("""COMPUTED_VALUE"""),"TH")</f>
        <v>TH</v>
      </c>
      <c r="E241" s="54" t="str">
        <f ca="1">IFERROR(__xludf.DUMMYFUNCTION("""COMPUTED_VALUE"""),"Bình Chánh")</f>
        <v>Bình Chánh</v>
      </c>
      <c r="F241" s="54">
        <f ca="1">IFERROR(__xludf.DUMMYFUNCTION("""COMPUTED_VALUE"""),57)</f>
        <v>57</v>
      </c>
      <c r="G241" s="54"/>
      <c r="H241" s="54">
        <f ca="1">IFERROR(__xludf.DUMMYFUNCTION("""COMPUTED_VALUE"""),57)</f>
        <v>57</v>
      </c>
      <c r="I241" s="54"/>
      <c r="J241" s="54">
        <f ca="1">IFERROR(__xludf.DUMMYFUNCTION("""COMPUTED_VALUE"""),57)</f>
        <v>57</v>
      </c>
      <c r="K241" s="54"/>
      <c r="L241" s="54">
        <f ca="1">IFERROR(__xludf.DUMMYFUNCTION("""COMPUTED_VALUE"""),57)</f>
        <v>57</v>
      </c>
      <c r="M241" s="54"/>
      <c r="N241" s="54">
        <f ca="1">IFERROR(__xludf.DUMMYFUNCTION("""COMPUTED_VALUE"""),0)</f>
        <v>0</v>
      </c>
      <c r="O241" s="54">
        <f ca="1">IFERROR(__xludf.DUMMYFUNCTION("""COMPUTED_VALUE"""),464)</f>
        <v>464</v>
      </c>
      <c r="P241" s="54"/>
      <c r="Q241" s="54">
        <f ca="1">IFERROR(__xludf.DUMMYFUNCTION("""COMPUTED_VALUE"""),167)</f>
        <v>167</v>
      </c>
      <c r="R241" s="54"/>
      <c r="S241" s="54">
        <f ca="1">IFERROR(__xludf.DUMMYFUNCTION("""COMPUTED_VALUE"""),65)</f>
        <v>65</v>
      </c>
      <c r="T241" s="53"/>
      <c r="U241" s="53"/>
      <c r="V241" s="53"/>
      <c r="W241" s="53"/>
      <c r="X241" s="53"/>
      <c r="Y241" s="53"/>
      <c r="Z241" s="2"/>
      <c r="AA241" s="2"/>
      <c r="AB241" s="2"/>
      <c r="AC241" s="2"/>
      <c r="AD241" s="2"/>
      <c r="AE241" s="2"/>
    </row>
    <row r="242" spans="1:31" ht="12.75" x14ac:dyDescent="0.2">
      <c r="A242" s="55" t="str">
        <f ca="1">IFERROR(__xludf.DUMMYFUNCTION("""COMPUTED_VALUE"""),"THCS")</f>
        <v>THCS</v>
      </c>
      <c r="B242" s="53"/>
      <c r="C242" s="53"/>
      <c r="D242" s="53"/>
      <c r="E242" s="53"/>
      <c r="F242" s="54">
        <f ca="1">IFERROR(__xludf.DUMMYFUNCTION("""COMPUTED_VALUE"""),1925)</f>
        <v>1925</v>
      </c>
      <c r="G242" s="54"/>
      <c r="H242" s="54">
        <f ca="1">IFERROR(__xludf.DUMMYFUNCTION("""COMPUTED_VALUE"""),1918)</f>
        <v>1918</v>
      </c>
      <c r="I242" s="54"/>
      <c r="J242" s="54">
        <f ca="1">IFERROR(__xludf.DUMMYFUNCTION("""COMPUTED_VALUE"""),1689)</f>
        <v>1689</v>
      </c>
      <c r="K242" s="54"/>
      <c r="L242" s="54">
        <f ca="1">IFERROR(__xludf.DUMMYFUNCTION("""COMPUTED_VALUE"""),1396)</f>
        <v>1396</v>
      </c>
      <c r="M242" s="54"/>
      <c r="N242" s="54">
        <f ca="1">IFERROR(__xludf.DUMMYFUNCTION("""COMPUTED_VALUE"""),7)</f>
        <v>7</v>
      </c>
      <c r="O242" s="54">
        <f ca="1">IFERROR(__xludf.DUMMYFUNCTION("""COMPUTED_VALUE"""),7509)</f>
        <v>7509</v>
      </c>
      <c r="P242" s="54"/>
      <c r="Q242" s="54">
        <f ca="1">IFERROR(__xludf.DUMMYFUNCTION("""COMPUTED_VALUE"""),6167)</f>
        <v>6167</v>
      </c>
      <c r="R242" s="54"/>
      <c r="S242" s="53">
        <f ca="1">IFERROR(__xludf.DUMMYFUNCTION("""COMPUTED_VALUE"""),678)</f>
        <v>678</v>
      </c>
      <c r="T242" s="53">
        <f ca="1">IFERROR(__xludf.DUMMYFUNCTION("""COMPUTED_VALUE"""),22641)</f>
        <v>22641</v>
      </c>
      <c r="U242" s="53"/>
      <c r="V242" s="53">
        <f ca="1">IFERROR(__xludf.DUMMYFUNCTION("""COMPUTED_VALUE"""),21537)</f>
        <v>21537</v>
      </c>
      <c r="W242" s="53"/>
      <c r="X242" s="53">
        <f ca="1">IFERROR(__xludf.DUMMYFUNCTION("""COMPUTED_VALUE"""),19940)</f>
        <v>19940</v>
      </c>
      <c r="Y242" s="53"/>
      <c r="Z242" s="2"/>
      <c r="AA242" s="2"/>
      <c r="AB242" s="2"/>
      <c r="AC242" s="2"/>
      <c r="AD242" s="2"/>
      <c r="AE242" s="2"/>
    </row>
    <row r="243" spans="1:31" ht="12.75" x14ac:dyDescent="0.2">
      <c r="A243" s="53">
        <f ca="1">IFERROR(__xludf.DUMMYFUNCTION("""COMPUTED_VALUE"""),1)</f>
        <v>1</v>
      </c>
      <c r="B243" s="53" t="str">
        <f ca="1">IFERROR(__xludf.DUMMYFUNCTION("""COMPUTED_VALUE"""),"THCS Nguyễn Thái Bình")</f>
        <v>THCS Nguyễn Thái Bình</v>
      </c>
      <c r="C243" s="53" t="str">
        <f ca="1">IFERROR(__xludf.DUMMYFUNCTION("""COMPUTED_VALUE"""),"Bình Hưng")</f>
        <v>Bình Hưng</v>
      </c>
      <c r="D243" s="53" t="str">
        <f ca="1">IFERROR(__xludf.DUMMYFUNCTION("""COMPUTED_VALUE"""),"THCS")</f>
        <v>THCS</v>
      </c>
      <c r="E243" s="54" t="str">
        <f ca="1">IFERROR(__xludf.DUMMYFUNCTION("""COMPUTED_VALUE"""),"Bình Chánh")</f>
        <v>Bình Chánh</v>
      </c>
      <c r="F243" s="54">
        <f ca="1">IFERROR(__xludf.DUMMYFUNCTION("""COMPUTED_VALUE"""),61)</f>
        <v>61</v>
      </c>
      <c r="G243" s="54"/>
      <c r="H243" s="54">
        <f ca="1">IFERROR(__xludf.DUMMYFUNCTION("""COMPUTED_VALUE"""),61)</f>
        <v>61</v>
      </c>
      <c r="I243" s="54"/>
      <c r="J243" s="54">
        <f ca="1">IFERROR(__xludf.DUMMYFUNCTION("""COMPUTED_VALUE"""),61)</f>
        <v>61</v>
      </c>
      <c r="K243" s="54"/>
      <c r="L243" s="54">
        <f ca="1">IFERROR(__xludf.DUMMYFUNCTION("""COMPUTED_VALUE"""),61)</f>
        <v>61</v>
      </c>
      <c r="M243" s="54"/>
      <c r="N243" s="54">
        <f ca="1">IFERROR(__xludf.DUMMYFUNCTION("""COMPUTED_VALUE"""),0)</f>
        <v>0</v>
      </c>
      <c r="O243" s="54">
        <f ca="1">IFERROR(__xludf.DUMMYFUNCTION("""COMPUTED_VALUE"""),136)</f>
        <v>136</v>
      </c>
      <c r="P243" s="54"/>
      <c r="Q243" s="54">
        <f ca="1">IFERROR(__xludf.DUMMYFUNCTION("""COMPUTED_VALUE"""),94)</f>
        <v>94</v>
      </c>
      <c r="R243" s="54"/>
      <c r="S243" s="54">
        <f ca="1">IFERROR(__xludf.DUMMYFUNCTION("""COMPUTED_VALUE"""),45)</f>
        <v>45</v>
      </c>
      <c r="T243" s="53">
        <f ca="1">IFERROR(__xludf.DUMMYFUNCTION("""COMPUTED_VALUE"""),1360)</f>
        <v>1360</v>
      </c>
      <c r="U243" s="53"/>
      <c r="V243" s="54">
        <f ca="1">IFERROR(__xludf.DUMMYFUNCTION("""COMPUTED_VALUE"""),1185)</f>
        <v>1185</v>
      </c>
      <c r="W243" s="54"/>
      <c r="X243" s="54">
        <f ca="1">IFERROR(__xludf.DUMMYFUNCTION("""COMPUTED_VALUE"""),1012)</f>
        <v>1012</v>
      </c>
      <c r="Y243" s="54"/>
      <c r="Z243" s="2"/>
      <c r="AA243" s="2"/>
      <c r="AB243" s="2"/>
      <c r="AC243" s="2"/>
      <c r="AD243" s="2"/>
      <c r="AE243" s="2"/>
    </row>
    <row r="244" spans="1:31" ht="12.75" x14ac:dyDescent="0.2">
      <c r="A244" s="53">
        <f ca="1">IFERROR(__xludf.DUMMYFUNCTION("""COMPUTED_VALUE"""),2)</f>
        <v>2</v>
      </c>
      <c r="B244" s="53" t="str">
        <f ca="1">IFERROR(__xludf.DUMMYFUNCTION("""COMPUTED_VALUE"""),"THCS Phong Phú")</f>
        <v>THCS Phong Phú</v>
      </c>
      <c r="C244" s="53" t="str">
        <f ca="1">IFERROR(__xludf.DUMMYFUNCTION("""COMPUTED_VALUE"""),"Phong Phú")</f>
        <v>Phong Phú</v>
      </c>
      <c r="D244" s="53" t="str">
        <f ca="1">IFERROR(__xludf.DUMMYFUNCTION("""COMPUTED_VALUE"""),"THCS")</f>
        <v>THCS</v>
      </c>
      <c r="E244" s="54" t="str">
        <f ca="1">IFERROR(__xludf.DUMMYFUNCTION("""COMPUTED_VALUE"""),"Bình Chánh")</f>
        <v>Bình Chánh</v>
      </c>
      <c r="F244" s="54">
        <f ca="1">IFERROR(__xludf.DUMMYFUNCTION("""COMPUTED_VALUE"""),74)</f>
        <v>74</v>
      </c>
      <c r="G244" s="54"/>
      <c r="H244" s="54">
        <f ca="1">IFERROR(__xludf.DUMMYFUNCTION("""COMPUTED_VALUE"""),74)</f>
        <v>74</v>
      </c>
      <c r="I244" s="54"/>
      <c r="J244" s="54">
        <f ca="1">IFERROR(__xludf.DUMMYFUNCTION("""COMPUTED_VALUE"""),74)</f>
        <v>74</v>
      </c>
      <c r="K244" s="54"/>
      <c r="L244" s="54">
        <f ca="1">IFERROR(__xludf.DUMMYFUNCTION("""COMPUTED_VALUE"""),74)</f>
        <v>74</v>
      </c>
      <c r="M244" s="54"/>
      <c r="N244" s="54">
        <f ca="1">IFERROR(__xludf.DUMMYFUNCTION("""COMPUTED_VALUE"""),0)</f>
        <v>0</v>
      </c>
      <c r="O244" s="54">
        <f ca="1">IFERROR(__xludf.DUMMYFUNCTION("""COMPUTED_VALUE"""),428)</f>
        <v>428</v>
      </c>
      <c r="P244" s="54"/>
      <c r="Q244" s="54">
        <f ca="1">IFERROR(__xludf.DUMMYFUNCTION("""COMPUTED_VALUE"""),366)</f>
        <v>366</v>
      </c>
      <c r="R244" s="54"/>
      <c r="S244" s="54">
        <f ca="1">IFERROR(__xludf.DUMMYFUNCTION("""COMPUTED_VALUE"""),0)</f>
        <v>0</v>
      </c>
      <c r="T244" s="53">
        <f ca="1">IFERROR(__xludf.DUMMYFUNCTION("""COMPUTED_VALUE"""),1101)</f>
        <v>1101</v>
      </c>
      <c r="U244" s="53"/>
      <c r="V244" s="54">
        <f ca="1">IFERROR(__xludf.DUMMYFUNCTION("""COMPUTED_VALUE"""),1052)</f>
        <v>1052</v>
      </c>
      <c r="W244" s="54"/>
      <c r="X244" s="54">
        <f ca="1">IFERROR(__xludf.DUMMYFUNCTION("""COMPUTED_VALUE"""),948)</f>
        <v>948</v>
      </c>
      <c r="Y244" s="54"/>
      <c r="Z244" s="2"/>
      <c r="AA244" s="2"/>
      <c r="AB244" s="2"/>
      <c r="AC244" s="2"/>
      <c r="AD244" s="2"/>
      <c r="AE244" s="2"/>
    </row>
    <row r="245" spans="1:31" ht="12.75" x14ac:dyDescent="0.2">
      <c r="A245" s="53">
        <f ca="1">IFERROR(__xludf.DUMMYFUNCTION("""COMPUTED_VALUE"""),3)</f>
        <v>3</v>
      </c>
      <c r="B245" s="53" t="str">
        <f ca="1">IFERROR(__xludf.DUMMYFUNCTION("""COMPUTED_VALUE"""),"THCS Đa Phước")</f>
        <v>THCS Đa Phước</v>
      </c>
      <c r="C245" s="53" t="str">
        <f ca="1">IFERROR(__xludf.DUMMYFUNCTION("""COMPUTED_VALUE"""),"Đa Phước")</f>
        <v>Đa Phước</v>
      </c>
      <c r="D245" s="53" t="str">
        <f ca="1">IFERROR(__xludf.DUMMYFUNCTION("""COMPUTED_VALUE"""),"THCS")</f>
        <v>THCS</v>
      </c>
      <c r="E245" s="54" t="str">
        <f ca="1">IFERROR(__xludf.DUMMYFUNCTION("""COMPUTED_VALUE"""),"Bình Chánh")</f>
        <v>Bình Chánh</v>
      </c>
      <c r="F245" s="54">
        <f ca="1">IFERROR(__xludf.DUMMYFUNCTION("""COMPUTED_VALUE"""),48)</f>
        <v>48</v>
      </c>
      <c r="G245" s="54"/>
      <c r="H245" s="54">
        <f ca="1">IFERROR(__xludf.DUMMYFUNCTION("""COMPUTED_VALUE"""),48)</f>
        <v>48</v>
      </c>
      <c r="I245" s="54"/>
      <c r="J245" s="54">
        <f ca="1">IFERROR(__xludf.DUMMYFUNCTION("""COMPUTED_VALUE"""),48)</f>
        <v>48</v>
      </c>
      <c r="K245" s="54"/>
      <c r="L245" s="54">
        <f ca="1">IFERROR(__xludf.DUMMYFUNCTION("""COMPUTED_VALUE"""),48)</f>
        <v>48</v>
      </c>
      <c r="M245" s="54"/>
      <c r="N245" s="54">
        <f ca="1">IFERROR(__xludf.DUMMYFUNCTION("""COMPUTED_VALUE"""),0)</f>
        <v>0</v>
      </c>
      <c r="O245" s="54">
        <f ca="1">IFERROR(__xludf.DUMMYFUNCTION("""COMPUTED_VALUE"""),62)</f>
        <v>62</v>
      </c>
      <c r="P245" s="54"/>
      <c r="Q245" s="54">
        <f ca="1">IFERROR(__xludf.DUMMYFUNCTION("""COMPUTED_VALUE"""),51)</f>
        <v>51</v>
      </c>
      <c r="R245" s="54"/>
      <c r="S245" s="54">
        <f ca="1">IFERROR(__xludf.DUMMYFUNCTION("""COMPUTED_VALUE"""),47)</f>
        <v>47</v>
      </c>
      <c r="T245" s="54">
        <f ca="1">IFERROR(__xludf.DUMMYFUNCTION("""COMPUTED_VALUE"""),959)</f>
        <v>959</v>
      </c>
      <c r="U245" s="54"/>
      <c r="V245" s="54">
        <f ca="1">IFERROR(__xludf.DUMMYFUNCTION("""COMPUTED_VALUE"""),913)</f>
        <v>913</v>
      </c>
      <c r="W245" s="54"/>
      <c r="X245" s="54">
        <f ca="1">IFERROR(__xludf.DUMMYFUNCTION("""COMPUTED_VALUE"""),786)</f>
        <v>786</v>
      </c>
      <c r="Y245" s="54"/>
      <c r="Z245" s="2"/>
      <c r="AA245" s="2"/>
      <c r="AB245" s="2"/>
      <c r="AC245" s="2"/>
      <c r="AD245" s="2"/>
      <c r="AE245" s="2"/>
    </row>
    <row r="246" spans="1:31" ht="12.75" x14ac:dyDescent="0.2">
      <c r="A246" s="53">
        <f ca="1">IFERROR(__xludf.DUMMYFUNCTION("""COMPUTED_VALUE"""),4)</f>
        <v>4</v>
      </c>
      <c r="B246" s="53" t="str">
        <f ca="1">IFERROR(__xludf.DUMMYFUNCTION("""COMPUTED_VALUE"""),"THCS Qui Đức")</f>
        <v>THCS Qui Đức</v>
      </c>
      <c r="C246" s="53" t="str">
        <f ca="1">IFERROR(__xludf.DUMMYFUNCTION("""COMPUTED_VALUE"""),"Qui Đức")</f>
        <v>Qui Đức</v>
      </c>
      <c r="D246" s="53" t="str">
        <f ca="1">IFERROR(__xludf.DUMMYFUNCTION("""COMPUTED_VALUE"""),"THCS")</f>
        <v>THCS</v>
      </c>
      <c r="E246" s="54" t="str">
        <f ca="1">IFERROR(__xludf.DUMMYFUNCTION("""COMPUTED_VALUE"""),"Bình Chánh")</f>
        <v>Bình Chánh</v>
      </c>
      <c r="F246" s="54">
        <f ca="1">IFERROR(__xludf.DUMMYFUNCTION("""COMPUTED_VALUE"""),36)</f>
        <v>36</v>
      </c>
      <c r="G246" s="54"/>
      <c r="H246" s="54">
        <f ca="1">IFERROR(__xludf.DUMMYFUNCTION("""COMPUTED_VALUE"""),36)</f>
        <v>36</v>
      </c>
      <c r="I246" s="54"/>
      <c r="J246" s="54">
        <f ca="1">IFERROR(__xludf.DUMMYFUNCTION("""COMPUTED_VALUE"""),36)</f>
        <v>36</v>
      </c>
      <c r="K246" s="54"/>
      <c r="L246" s="54">
        <f ca="1">IFERROR(__xludf.DUMMYFUNCTION("""COMPUTED_VALUE"""),36)</f>
        <v>36</v>
      </c>
      <c r="M246" s="54"/>
      <c r="N246" s="54">
        <f ca="1">IFERROR(__xludf.DUMMYFUNCTION("""COMPUTED_VALUE"""),0)</f>
        <v>0</v>
      </c>
      <c r="O246" s="54">
        <f ca="1">IFERROR(__xludf.DUMMYFUNCTION("""COMPUTED_VALUE"""),250)</f>
        <v>250</v>
      </c>
      <c r="P246" s="54"/>
      <c r="Q246" s="54">
        <f ca="1">IFERROR(__xludf.DUMMYFUNCTION("""COMPUTED_VALUE"""),210)</f>
        <v>210</v>
      </c>
      <c r="R246" s="54"/>
      <c r="S246" s="53">
        <f ca="1">IFERROR(__xludf.DUMMYFUNCTION("""COMPUTED_VALUE"""),97)</f>
        <v>97</v>
      </c>
      <c r="T246" s="53">
        <f ca="1">IFERROR(__xludf.DUMMYFUNCTION("""COMPUTED_VALUE"""),623)</f>
        <v>623</v>
      </c>
      <c r="U246" s="53"/>
      <c r="V246" s="53">
        <f ca="1">IFERROR(__xludf.DUMMYFUNCTION("""COMPUTED_VALUE"""),609)</f>
        <v>609</v>
      </c>
      <c r="W246" s="53"/>
      <c r="X246" s="53">
        <f ca="1">IFERROR(__xludf.DUMMYFUNCTION("""COMPUTED_VALUE"""),565)</f>
        <v>565</v>
      </c>
      <c r="Y246" s="53"/>
      <c r="Z246" s="2"/>
      <c r="AA246" s="2"/>
      <c r="AB246" s="2"/>
      <c r="AC246" s="2"/>
      <c r="AD246" s="2"/>
      <c r="AE246" s="2"/>
    </row>
    <row r="247" spans="1:31" ht="12.75" x14ac:dyDescent="0.2">
      <c r="A247" s="53">
        <f ca="1">IFERROR(__xludf.DUMMYFUNCTION("""COMPUTED_VALUE"""),5)</f>
        <v>5</v>
      </c>
      <c r="B247" s="53" t="str">
        <f ca="1">IFERROR(__xludf.DUMMYFUNCTION("""COMPUTED_VALUE"""),"THCS Hưng Long")</f>
        <v>THCS Hưng Long</v>
      </c>
      <c r="C247" s="53" t="str">
        <f ca="1">IFERROR(__xludf.DUMMYFUNCTION("""COMPUTED_VALUE"""),"Hưng Long")</f>
        <v>Hưng Long</v>
      </c>
      <c r="D247" s="53" t="str">
        <f ca="1">IFERROR(__xludf.DUMMYFUNCTION("""COMPUTED_VALUE"""),"THCS")</f>
        <v>THCS</v>
      </c>
      <c r="E247" s="54" t="str">
        <f ca="1">IFERROR(__xludf.DUMMYFUNCTION("""COMPUTED_VALUE"""),"Bình Chánh")</f>
        <v>Bình Chánh</v>
      </c>
      <c r="F247" s="54">
        <f ca="1">IFERROR(__xludf.DUMMYFUNCTION("""COMPUTED_VALUE"""),70)</f>
        <v>70</v>
      </c>
      <c r="G247" s="54"/>
      <c r="H247" s="54">
        <f ca="1">IFERROR(__xludf.DUMMYFUNCTION("""COMPUTED_VALUE"""),70)</f>
        <v>70</v>
      </c>
      <c r="I247" s="54"/>
      <c r="J247" s="54">
        <f ca="1">IFERROR(__xludf.DUMMYFUNCTION("""COMPUTED_VALUE"""),70)</f>
        <v>70</v>
      </c>
      <c r="K247" s="54"/>
      <c r="L247" s="54">
        <f ca="1">IFERROR(__xludf.DUMMYFUNCTION("""COMPUTED_VALUE"""),61)</f>
        <v>61</v>
      </c>
      <c r="M247" s="54"/>
      <c r="N247" s="54">
        <f ca="1">IFERROR(__xludf.DUMMYFUNCTION("""COMPUTED_VALUE"""),0)</f>
        <v>0</v>
      </c>
      <c r="O247" s="54">
        <f ca="1">IFERROR(__xludf.DUMMYFUNCTION("""COMPUTED_VALUE"""),325)</f>
        <v>325</v>
      </c>
      <c r="P247" s="54"/>
      <c r="Q247" s="54">
        <f ca="1">IFERROR(__xludf.DUMMYFUNCTION("""COMPUTED_VALUE"""),283)</f>
        <v>283</v>
      </c>
      <c r="R247" s="54"/>
      <c r="S247" s="54">
        <f ca="1">IFERROR(__xludf.DUMMYFUNCTION("""COMPUTED_VALUE"""),0)</f>
        <v>0</v>
      </c>
      <c r="T247" s="53">
        <f ca="1">IFERROR(__xludf.DUMMYFUNCTION("""COMPUTED_VALUE"""),1017)</f>
        <v>1017</v>
      </c>
      <c r="U247" s="53"/>
      <c r="V247" s="54">
        <f ca="1">IFERROR(__xludf.DUMMYFUNCTION("""COMPUTED_VALUE"""),999)</f>
        <v>999</v>
      </c>
      <c r="W247" s="54"/>
      <c r="X247" s="54">
        <f ca="1">IFERROR(__xludf.DUMMYFUNCTION("""COMPUTED_VALUE"""),940)</f>
        <v>940</v>
      </c>
      <c r="Y247" s="54"/>
      <c r="Z247" s="2"/>
      <c r="AA247" s="2"/>
      <c r="AB247" s="2"/>
      <c r="AC247" s="2"/>
      <c r="AD247" s="2"/>
      <c r="AE247" s="2"/>
    </row>
    <row r="248" spans="1:31" ht="12.75" x14ac:dyDescent="0.2">
      <c r="A248" s="53">
        <f ca="1">IFERROR(__xludf.DUMMYFUNCTION("""COMPUTED_VALUE"""),6)</f>
        <v>6</v>
      </c>
      <c r="B248" s="53" t="str">
        <f ca="1">IFERROR(__xludf.DUMMYFUNCTION("""COMPUTED_VALUE"""),"THCS Tân Quý Tây")</f>
        <v>THCS Tân Quý Tây</v>
      </c>
      <c r="C248" s="53" t="str">
        <f ca="1">IFERROR(__xludf.DUMMYFUNCTION("""COMPUTED_VALUE"""),"Tân Quý Tây")</f>
        <v>Tân Quý Tây</v>
      </c>
      <c r="D248" s="53" t="str">
        <f ca="1">IFERROR(__xludf.DUMMYFUNCTION("""COMPUTED_VALUE"""),"THCS")</f>
        <v>THCS</v>
      </c>
      <c r="E248" s="54" t="str">
        <f ca="1">IFERROR(__xludf.DUMMYFUNCTION("""COMPUTED_VALUE"""),"Bình Chánh")</f>
        <v>Bình Chánh</v>
      </c>
      <c r="F248" s="54">
        <f ca="1">IFERROR(__xludf.DUMMYFUNCTION("""COMPUTED_VALUE"""),65)</f>
        <v>65</v>
      </c>
      <c r="G248" s="54"/>
      <c r="H248" s="54">
        <f ca="1">IFERROR(__xludf.DUMMYFUNCTION("""COMPUTED_VALUE"""),65)</f>
        <v>65</v>
      </c>
      <c r="I248" s="54"/>
      <c r="J248" s="54">
        <f ca="1">IFERROR(__xludf.DUMMYFUNCTION("""COMPUTED_VALUE"""),65)</f>
        <v>65</v>
      </c>
      <c r="K248" s="54"/>
      <c r="L248" s="54">
        <f ca="1">IFERROR(__xludf.DUMMYFUNCTION("""COMPUTED_VALUE"""),65)</f>
        <v>65</v>
      </c>
      <c r="M248" s="54"/>
      <c r="N248" s="54">
        <f ca="1">IFERROR(__xludf.DUMMYFUNCTION("""COMPUTED_VALUE"""),3)</f>
        <v>3</v>
      </c>
      <c r="O248" s="54">
        <f ca="1">IFERROR(__xludf.DUMMYFUNCTION("""COMPUTED_VALUE"""),388)</f>
        <v>388</v>
      </c>
      <c r="P248" s="54"/>
      <c r="Q248" s="54">
        <f ca="1">IFERROR(__xludf.DUMMYFUNCTION("""COMPUTED_VALUE"""),359)</f>
        <v>359</v>
      </c>
      <c r="R248" s="54"/>
      <c r="S248" s="53">
        <f ca="1">IFERROR(__xludf.DUMMYFUNCTION("""COMPUTED_VALUE"""),50)</f>
        <v>50</v>
      </c>
      <c r="T248" s="53">
        <f ca="1">IFERROR(__xludf.DUMMYFUNCTION("""COMPUTED_VALUE"""),957)</f>
        <v>957</v>
      </c>
      <c r="U248" s="53"/>
      <c r="V248" s="53">
        <f ca="1">IFERROR(__xludf.DUMMYFUNCTION("""COMPUTED_VALUE"""),939)</f>
        <v>939</v>
      </c>
      <c r="W248" s="53"/>
      <c r="X248" s="53">
        <f ca="1">IFERROR(__xludf.DUMMYFUNCTION("""COMPUTED_VALUE"""),910)</f>
        <v>910</v>
      </c>
      <c r="Y248" s="53"/>
      <c r="Z248" s="2"/>
      <c r="AA248" s="2"/>
      <c r="AB248" s="2"/>
      <c r="AC248" s="2"/>
      <c r="AD248" s="2"/>
      <c r="AE248" s="2"/>
    </row>
    <row r="249" spans="1:31" ht="12.75" x14ac:dyDescent="0.2">
      <c r="A249" s="53">
        <f ca="1">IFERROR(__xludf.DUMMYFUNCTION("""COMPUTED_VALUE"""),7)</f>
        <v>7</v>
      </c>
      <c r="B249" s="53" t="str">
        <f ca="1">IFERROR(__xludf.DUMMYFUNCTION("""COMPUTED_VALUE"""),"THCS Bình Chánh")</f>
        <v>THCS Bình Chánh</v>
      </c>
      <c r="C249" s="53" t="str">
        <f ca="1">IFERROR(__xludf.DUMMYFUNCTION("""COMPUTED_VALUE"""),"Bình Chánh")</f>
        <v>Bình Chánh</v>
      </c>
      <c r="D249" s="53" t="str">
        <f ca="1">IFERROR(__xludf.DUMMYFUNCTION("""COMPUTED_VALUE"""),"THCS")</f>
        <v>THCS</v>
      </c>
      <c r="E249" s="54" t="str">
        <f ca="1">IFERROR(__xludf.DUMMYFUNCTION("""COMPUTED_VALUE"""),"Bình Chánh")</f>
        <v>Bình Chánh</v>
      </c>
      <c r="F249" s="54">
        <f ca="1">IFERROR(__xludf.DUMMYFUNCTION("""COMPUTED_VALUE"""),88)</f>
        <v>88</v>
      </c>
      <c r="G249" s="54"/>
      <c r="H249" s="54">
        <f ca="1">IFERROR(__xludf.DUMMYFUNCTION("""COMPUTED_VALUE"""),88)</f>
        <v>88</v>
      </c>
      <c r="I249" s="54"/>
      <c r="J249" s="54">
        <f ca="1">IFERROR(__xludf.DUMMYFUNCTION("""COMPUTED_VALUE"""),88)</f>
        <v>88</v>
      </c>
      <c r="K249" s="54"/>
      <c r="L249" s="54">
        <f ca="1">IFERROR(__xludf.DUMMYFUNCTION("""COMPUTED_VALUE"""),88)</f>
        <v>88</v>
      </c>
      <c r="M249" s="54"/>
      <c r="N249" s="54">
        <f ca="1">IFERROR(__xludf.DUMMYFUNCTION("""COMPUTED_VALUE"""),0)</f>
        <v>0</v>
      </c>
      <c r="O249" s="54">
        <f ca="1">IFERROR(__xludf.DUMMYFUNCTION("""COMPUTED_VALUE"""),438)</f>
        <v>438</v>
      </c>
      <c r="P249" s="54"/>
      <c r="Q249" s="54">
        <f ca="1">IFERROR(__xludf.DUMMYFUNCTION("""COMPUTED_VALUE"""),399)</f>
        <v>399</v>
      </c>
      <c r="R249" s="54"/>
      <c r="S249" s="54">
        <f ca="1">IFERROR(__xludf.DUMMYFUNCTION("""COMPUTED_VALUE"""),0)</f>
        <v>0</v>
      </c>
      <c r="T249" s="53">
        <f ca="1">IFERROR(__xludf.DUMMYFUNCTION("""COMPUTED_VALUE"""),1294)</f>
        <v>1294</v>
      </c>
      <c r="U249" s="53"/>
      <c r="V249" s="54">
        <f ca="1">IFERROR(__xludf.DUMMYFUNCTION("""COMPUTED_VALUE"""),1269)</f>
        <v>1269</v>
      </c>
      <c r="W249" s="54"/>
      <c r="X249" s="54">
        <f ca="1">IFERROR(__xludf.DUMMYFUNCTION("""COMPUTED_VALUE"""),1204)</f>
        <v>1204</v>
      </c>
      <c r="Y249" s="54"/>
      <c r="Z249" s="2"/>
      <c r="AA249" s="2"/>
      <c r="AB249" s="2"/>
      <c r="AC249" s="2"/>
      <c r="AD249" s="2"/>
      <c r="AE249" s="2"/>
    </row>
    <row r="250" spans="1:31" ht="12.75" x14ac:dyDescent="0.2">
      <c r="A250" s="53">
        <f ca="1">IFERROR(__xludf.DUMMYFUNCTION("""COMPUTED_VALUE"""),8)</f>
        <v>8</v>
      </c>
      <c r="B250" s="53" t="str">
        <f ca="1">IFERROR(__xludf.DUMMYFUNCTION("""COMPUTED_VALUE"""),"THCS Nguyễn Văn Linh")</f>
        <v>THCS Nguyễn Văn Linh</v>
      </c>
      <c r="C250" s="53" t="str">
        <f ca="1">IFERROR(__xludf.DUMMYFUNCTION("""COMPUTED_VALUE"""),"An Phú Tây")</f>
        <v>An Phú Tây</v>
      </c>
      <c r="D250" s="53" t="str">
        <f ca="1">IFERROR(__xludf.DUMMYFUNCTION("""COMPUTED_VALUE"""),"THCS")</f>
        <v>THCS</v>
      </c>
      <c r="E250" s="54" t="str">
        <f ca="1">IFERROR(__xludf.DUMMYFUNCTION("""COMPUTED_VALUE"""),"Bình Chánh")</f>
        <v>Bình Chánh</v>
      </c>
      <c r="F250" s="54">
        <f ca="1">IFERROR(__xludf.DUMMYFUNCTION("""COMPUTED_VALUE"""),66)</f>
        <v>66</v>
      </c>
      <c r="G250" s="54"/>
      <c r="H250" s="54">
        <f ca="1">IFERROR(__xludf.DUMMYFUNCTION("""COMPUTED_VALUE"""),66)</f>
        <v>66</v>
      </c>
      <c r="I250" s="54"/>
      <c r="J250" s="54">
        <f ca="1">IFERROR(__xludf.DUMMYFUNCTION("""COMPUTED_VALUE"""),66)</f>
        <v>66</v>
      </c>
      <c r="K250" s="54"/>
      <c r="L250" s="54">
        <f ca="1">IFERROR(__xludf.DUMMYFUNCTION("""COMPUTED_VALUE"""),66)</f>
        <v>66</v>
      </c>
      <c r="M250" s="54"/>
      <c r="N250" s="54">
        <f ca="1">IFERROR(__xludf.DUMMYFUNCTION("""COMPUTED_VALUE"""),4)</f>
        <v>4</v>
      </c>
      <c r="O250" s="54">
        <f ca="1">IFERROR(__xludf.DUMMYFUNCTION("""COMPUTED_VALUE"""),400)</f>
        <v>400</v>
      </c>
      <c r="P250" s="54"/>
      <c r="Q250" s="54">
        <f ca="1">IFERROR(__xludf.DUMMYFUNCTION("""COMPUTED_VALUE"""),344)</f>
        <v>344</v>
      </c>
      <c r="R250" s="54"/>
      <c r="S250" s="54">
        <f ca="1">IFERROR(__xludf.DUMMYFUNCTION("""COMPUTED_VALUE"""),79)</f>
        <v>79</v>
      </c>
      <c r="T250" s="53">
        <f ca="1">IFERROR(__xludf.DUMMYFUNCTION("""COMPUTED_VALUE"""),1141)</f>
        <v>1141</v>
      </c>
      <c r="U250" s="53"/>
      <c r="V250" s="54">
        <f ca="1">IFERROR(__xludf.DUMMYFUNCTION("""COMPUTED_VALUE"""),1113)</f>
        <v>1113</v>
      </c>
      <c r="W250" s="54"/>
      <c r="X250" s="54">
        <f ca="1">IFERROR(__xludf.DUMMYFUNCTION("""COMPUTED_VALUE"""),1014)</f>
        <v>1014</v>
      </c>
      <c r="Y250" s="54"/>
      <c r="Z250" s="2"/>
      <c r="AA250" s="2"/>
      <c r="AB250" s="2"/>
      <c r="AC250" s="2"/>
      <c r="AD250" s="2"/>
      <c r="AE250" s="2"/>
    </row>
    <row r="251" spans="1:31" ht="12.75" x14ac:dyDescent="0.2">
      <c r="A251" s="53">
        <f ca="1">IFERROR(__xludf.DUMMYFUNCTION("""COMPUTED_VALUE"""),9)</f>
        <v>9</v>
      </c>
      <c r="B251" s="53" t="str">
        <f ca="1">IFERROR(__xludf.DUMMYFUNCTION("""COMPUTED_VALUE"""),"THCS Tân Túc")</f>
        <v>THCS Tân Túc</v>
      </c>
      <c r="C251" s="53" t="str">
        <f ca="1">IFERROR(__xludf.DUMMYFUNCTION("""COMPUTED_VALUE"""),"Tân Túc")</f>
        <v>Tân Túc</v>
      </c>
      <c r="D251" s="53" t="str">
        <f ca="1">IFERROR(__xludf.DUMMYFUNCTION("""COMPUTED_VALUE"""),"THCS")</f>
        <v>THCS</v>
      </c>
      <c r="E251" s="54" t="str">
        <f ca="1">IFERROR(__xludf.DUMMYFUNCTION("""COMPUTED_VALUE"""),"Bình Chánh")</f>
        <v>Bình Chánh</v>
      </c>
      <c r="F251" s="54">
        <f ca="1">IFERROR(__xludf.DUMMYFUNCTION("""COMPUTED_VALUE"""),93)</f>
        <v>93</v>
      </c>
      <c r="G251" s="54"/>
      <c r="H251" s="54">
        <f ca="1">IFERROR(__xludf.DUMMYFUNCTION("""COMPUTED_VALUE"""),93)</f>
        <v>93</v>
      </c>
      <c r="I251" s="54"/>
      <c r="J251" s="54">
        <f ca="1">IFERROR(__xludf.DUMMYFUNCTION("""COMPUTED_VALUE"""),93)</f>
        <v>93</v>
      </c>
      <c r="K251" s="54"/>
      <c r="L251" s="54">
        <f ca="1">IFERROR(__xludf.DUMMYFUNCTION("""COMPUTED_VALUE"""),93)</f>
        <v>93</v>
      </c>
      <c r="M251" s="54"/>
      <c r="N251" s="54">
        <f ca="1">IFERROR(__xludf.DUMMYFUNCTION("""COMPUTED_VALUE"""),0)</f>
        <v>0</v>
      </c>
      <c r="O251" s="54">
        <f ca="1">IFERROR(__xludf.DUMMYFUNCTION("""COMPUTED_VALUE"""),272)</f>
        <v>272</v>
      </c>
      <c r="P251" s="54"/>
      <c r="Q251" s="54">
        <f ca="1">IFERROR(__xludf.DUMMYFUNCTION("""COMPUTED_VALUE"""),223)</f>
        <v>223</v>
      </c>
      <c r="R251" s="54"/>
      <c r="S251" s="54">
        <f ca="1">IFERROR(__xludf.DUMMYFUNCTION("""COMPUTED_VALUE"""),150)</f>
        <v>150</v>
      </c>
      <c r="T251" s="54">
        <f ca="1">IFERROR(__xludf.DUMMYFUNCTION("""COMPUTED_VALUE"""),1553)</f>
        <v>1553</v>
      </c>
      <c r="U251" s="54"/>
      <c r="V251" s="54">
        <f ca="1">IFERROR(__xludf.DUMMYFUNCTION("""COMPUTED_VALUE"""),1527)</f>
        <v>1527</v>
      </c>
      <c r="W251" s="54"/>
      <c r="X251" s="53">
        <f ca="1">IFERROR(__xludf.DUMMYFUNCTION("""COMPUTED_VALUE"""),1495)</f>
        <v>1495</v>
      </c>
      <c r="Y251" s="53"/>
      <c r="Z251" s="2"/>
      <c r="AA251" s="2"/>
      <c r="AB251" s="2"/>
      <c r="AC251" s="2"/>
      <c r="AD251" s="2"/>
      <c r="AE251" s="2"/>
    </row>
    <row r="252" spans="1:31" ht="12.75" x14ac:dyDescent="0.2">
      <c r="A252" s="53">
        <f ca="1">IFERROR(__xludf.DUMMYFUNCTION("""COMPUTED_VALUE"""),10)</f>
        <v>10</v>
      </c>
      <c r="B252" s="53" t="str">
        <f ca="1">IFERROR(__xludf.DUMMYFUNCTION("""COMPUTED_VALUE"""),"THCS Tân Kiên")</f>
        <v>THCS Tân Kiên</v>
      </c>
      <c r="C252" s="53" t="str">
        <f ca="1">IFERROR(__xludf.DUMMYFUNCTION("""COMPUTED_VALUE"""),"Tân Kiên")</f>
        <v>Tân Kiên</v>
      </c>
      <c r="D252" s="53" t="str">
        <f ca="1">IFERROR(__xludf.DUMMYFUNCTION("""COMPUTED_VALUE"""),"THCS")</f>
        <v>THCS</v>
      </c>
      <c r="E252" s="54" t="str">
        <f ca="1">IFERROR(__xludf.DUMMYFUNCTION("""COMPUTED_VALUE"""),"Bình Chánh")</f>
        <v>Bình Chánh</v>
      </c>
      <c r="F252" s="54">
        <f ca="1">IFERROR(__xludf.DUMMYFUNCTION("""COMPUTED_VALUE"""),68)</f>
        <v>68</v>
      </c>
      <c r="G252" s="54"/>
      <c r="H252" s="54">
        <f ca="1">IFERROR(__xludf.DUMMYFUNCTION("""COMPUTED_VALUE"""),68)</f>
        <v>68</v>
      </c>
      <c r="I252" s="54"/>
      <c r="J252" s="54">
        <f ca="1">IFERROR(__xludf.DUMMYFUNCTION("""COMPUTED_VALUE"""),68)</f>
        <v>68</v>
      </c>
      <c r="K252" s="54"/>
      <c r="L252" s="54">
        <f ca="1">IFERROR(__xludf.DUMMYFUNCTION("""COMPUTED_VALUE"""),68)</f>
        <v>68</v>
      </c>
      <c r="M252" s="54"/>
      <c r="N252" s="54">
        <f ca="1">IFERROR(__xludf.DUMMYFUNCTION("""COMPUTED_VALUE"""),0)</f>
        <v>0</v>
      </c>
      <c r="O252" s="54">
        <f ca="1">IFERROR(__xludf.DUMMYFUNCTION("""COMPUTED_VALUE"""),487)</f>
        <v>487</v>
      </c>
      <c r="P252" s="54"/>
      <c r="Q252" s="54">
        <f ca="1">IFERROR(__xludf.DUMMYFUNCTION("""COMPUTED_VALUE"""),427)</f>
        <v>427</v>
      </c>
      <c r="R252" s="54"/>
      <c r="S252" s="53">
        <f ca="1">IFERROR(__xludf.DUMMYFUNCTION("""COMPUTED_VALUE"""),0)</f>
        <v>0</v>
      </c>
      <c r="T252" s="53">
        <f ca="1">IFERROR(__xludf.DUMMYFUNCTION("""COMPUTED_VALUE"""),1328)</f>
        <v>1328</v>
      </c>
      <c r="U252" s="53"/>
      <c r="V252" s="53">
        <f ca="1">IFERROR(__xludf.DUMMYFUNCTION("""COMPUTED_VALUE"""),1249)</f>
        <v>1249</v>
      </c>
      <c r="W252" s="53"/>
      <c r="X252" s="53">
        <f ca="1">IFERROR(__xludf.DUMMYFUNCTION("""COMPUTED_VALUE"""),1221)</f>
        <v>1221</v>
      </c>
      <c r="Y252" s="53"/>
      <c r="Z252" s="2"/>
      <c r="AA252" s="2"/>
      <c r="AB252" s="2"/>
      <c r="AC252" s="2"/>
      <c r="AD252" s="2"/>
      <c r="AE252" s="2"/>
    </row>
    <row r="253" spans="1:31" ht="12.75" x14ac:dyDescent="0.2">
      <c r="A253" s="53">
        <f ca="1">IFERROR(__xludf.DUMMYFUNCTION("""COMPUTED_VALUE"""),11)</f>
        <v>11</v>
      </c>
      <c r="B253" s="53" t="str">
        <f ca="1">IFERROR(__xludf.DUMMYFUNCTION("""COMPUTED_VALUE"""),"THCS Tân Nhựt")</f>
        <v>THCS Tân Nhựt</v>
      </c>
      <c r="C253" s="53" t="str">
        <f ca="1">IFERROR(__xludf.DUMMYFUNCTION("""COMPUTED_VALUE"""),"Tân Nhựt")</f>
        <v>Tân Nhựt</v>
      </c>
      <c r="D253" s="53" t="str">
        <f ca="1">IFERROR(__xludf.DUMMYFUNCTION("""COMPUTED_VALUE"""),"THCS")</f>
        <v>THCS</v>
      </c>
      <c r="E253" s="54" t="str">
        <f ca="1">IFERROR(__xludf.DUMMYFUNCTION("""COMPUTED_VALUE"""),"Bình Chánh")</f>
        <v>Bình Chánh</v>
      </c>
      <c r="F253" s="54">
        <f ca="1">IFERROR(__xludf.DUMMYFUNCTION("""COMPUTED_VALUE"""),70)</f>
        <v>70</v>
      </c>
      <c r="G253" s="54"/>
      <c r="H253" s="54">
        <f ca="1">IFERROR(__xludf.DUMMYFUNCTION("""COMPUTED_VALUE"""),70)</f>
        <v>70</v>
      </c>
      <c r="I253" s="54"/>
      <c r="J253" s="54">
        <f ca="1">IFERROR(__xludf.DUMMYFUNCTION("""COMPUTED_VALUE"""),70)</f>
        <v>70</v>
      </c>
      <c r="K253" s="54"/>
      <c r="L253" s="54">
        <f ca="1">IFERROR(__xludf.DUMMYFUNCTION("""COMPUTED_VALUE"""),70)</f>
        <v>70</v>
      </c>
      <c r="M253" s="54"/>
      <c r="N253" s="54">
        <f ca="1">IFERROR(__xludf.DUMMYFUNCTION("""COMPUTED_VALUE"""),0)</f>
        <v>0</v>
      </c>
      <c r="O253" s="54">
        <f ca="1">IFERROR(__xludf.DUMMYFUNCTION("""COMPUTED_VALUE"""),373)</f>
        <v>373</v>
      </c>
      <c r="P253" s="54"/>
      <c r="Q253" s="54">
        <f ca="1">IFERROR(__xludf.DUMMYFUNCTION("""COMPUTED_VALUE"""),351)</f>
        <v>351</v>
      </c>
      <c r="R253" s="54"/>
      <c r="S253" s="54">
        <f ca="1">IFERROR(__xludf.DUMMYFUNCTION("""COMPUTED_VALUE"""),0)</f>
        <v>0</v>
      </c>
      <c r="T253" s="53">
        <f ca="1">IFERROR(__xludf.DUMMYFUNCTION("""COMPUTED_VALUE"""),1050)</f>
        <v>1050</v>
      </c>
      <c r="U253" s="53"/>
      <c r="V253" s="54">
        <f ca="1">IFERROR(__xludf.DUMMYFUNCTION("""COMPUTED_VALUE"""),1029)</f>
        <v>1029</v>
      </c>
      <c r="W253" s="54"/>
      <c r="X253" s="54">
        <f ca="1">IFERROR(__xludf.DUMMYFUNCTION("""COMPUTED_VALUE"""),996)</f>
        <v>996</v>
      </c>
      <c r="Y253" s="54"/>
      <c r="Z253" s="2"/>
      <c r="AA253" s="2"/>
      <c r="AB253" s="2"/>
      <c r="AC253" s="2"/>
      <c r="AD253" s="2"/>
      <c r="AE253" s="2"/>
    </row>
    <row r="254" spans="1:31" ht="12.75" x14ac:dyDescent="0.2">
      <c r="A254" s="53">
        <f ca="1">IFERROR(__xludf.DUMMYFUNCTION("""COMPUTED_VALUE"""),12)</f>
        <v>12</v>
      </c>
      <c r="B254" s="53" t="str">
        <f ca="1">IFERROR(__xludf.DUMMYFUNCTION("""COMPUTED_VALUE"""),"THCS Lê Minh Xuân")</f>
        <v>THCS Lê Minh Xuân</v>
      </c>
      <c r="C254" s="53" t="str">
        <f ca="1">IFERROR(__xludf.DUMMYFUNCTION("""COMPUTED_VALUE"""),"Lê Minh Xuân")</f>
        <v>Lê Minh Xuân</v>
      </c>
      <c r="D254" s="53" t="str">
        <f ca="1">IFERROR(__xludf.DUMMYFUNCTION("""COMPUTED_VALUE"""),"THCS")</f>
        <v>THCS</v>
      </c>
      <c r="E254" s="54" t="str">
        <f ca="1">IFERROR(__xludf.DUMMYFUNCTION("""COMPUTED_VALUE"""),"Bình Chánh")</f>
        <v>Bình Chánh</v>
      </c>
      <c r="F254" s="54">
        <f ca="1">IFERROR(__xludf.DUMMYFUNCTION("""COMPUTED_VALUE"""),154)</f>
        <v>154</v>
      </c>
      <c r="G254" s="54"/>
      <c r="H254" s="54">
        <f ca="1">IFERROR(__xludf.DUMMYFUNCTION("""COMPUTED_VALUE"""),154)</f>
        <v>154</v>
      </c>
      <c r="I254" s="54"/>
      <c r="J254" s="54">
        <f ca="1">IFERROR(__xludf.DUMMYFUNCTION("""COMPUTED_VALUE"""),154)</f>
        <v>154</v>
      </c>
      <c r="K254" s="54"/>
      <c r="L254" s="54">
        <f ca="1">IFERROR(__xludf.DUMMYFUNCTION("""COMPUTED_VALUE"""),98)</f>
        <v>98</v>
      </c>
      <c r="M254" s="54"/>
      <c r="N254" s="54">
        <f ca="1">IFERROR(__xludf.DUMMYFUNCTION("""COMPUTED_VALUE"""),0)</f>
        <v>0</v>
      </c>
      <c r="O254" s="54">
        <f ca="1">IFERROR(__xludf.DUMMYFUNCTION("""COMPUTED_VALUE"""),410)</f>
        <v>410</v>
      </c>
      <c r="P254" s="54"/>
      <c r="Q254" s="54">
        <f ca="1">IFERROR(__xludf.DUMMYFUNCTION("""COMPUTED_VALUE"""),339)</f>
        <v>339</v>
      </c>
      <c r="R254" s="54"/>
      <c r="S254" s="53">
        <f ca="1">IFERROR(__xludf.DUMMYFUNCTION("""COMPUTED_VALUE"""),55)</f>
        <v>55</v>
      </c>
      <c r="T254" s="53">
        <f ca="1">IFERROR(__xludf.DUMMYFUNCTION("""COMPUTED_VALUE"""),1090)</f>
        <v>1090</v>
      </c>
      <c r="U254" s="53"/>
      <c r="V254" s="53">
        <f ca="1">IFERROR(__xludf.DUMMYFUNCTION("""COMPUTED_VALUE"""),1046)</f>
        <v>1046</v>
      </c>
      <c r="W254" s="53"/>
      <c r="X254" s="53">
        <f ca="1">IFERROR(__xludf.DUMMYFUNCTION("""COMPUTED_VALUE"""),977)</f>
        <v>977</v>
      </c>
      <c r="Y254" s="53"/>
      <c r="Z254" s="2"/>
      <c r="AA254" s="2"/>
      <c r="AB254" s="2"/>
      <c r="AC254" s="2"/>
      <c r="AD254" s="2"/>
      <c r="AE254" s="2"/>
    </row>
    <row r="255" spans="1:31" ht="12.75" x14ac:dyDescent="0.2">
      <c r="A255" s="53">
        <f ca="1">IFERROR(__xludf.DUMMYFUNCTION("""COMPUTED_VALUE"""),13)</f>
        <v>13</v>
      </c>
      <c r="B255" s="53" t="str">
        <f ca="1">IFERROR(__xludf.DUMMYFUNCTION("""COMPUTED_VALUE"""),"THCS Gò Xoài")</f>
        <v>THCS Gò Xoài</v>
      </c>
      <c r="C255" s="53" t="str">
        <f ca="1">IFERROR(__xludf.DUMMYFUNCTION("""COMPUTED_VALUE"""),"Bình Lợi")</f>
        <v>Bình Lợi</v>
      </c>
      <c r="D255" s="53" t="str">
        <f ca="1">IFERROR(__xludf.DUMMYFUNCTION("""COMPUTED_VALUE"""),"THCS")</f>
        <v>THCS</v>
      </c>
      <c r="E255" s="54" t="str">
        <f ca="1">IFERROR(__xludf.DUMMYFUNCTION("""COMPUTED_VALUE"""),"Bình Chánh")</f>
        <v>Bình Chánh</v>
      </c>
      <c r="F255" s="54">
        <f ca="1">IFERROR(__xludf.DUMMYFUNCTION("""COMPUTED_VALUE"""),31)</f>
        <v>31</v>
      </c>
      <c r="G255" s="54"/>
      <c r="H255" s="54">
        <f ca="1">IFERROR(__xludf.DUMMYFUNCTION("""COMPUTED_VALUE"""),31)</f>
        <v>31</v>
      </c>
      <c r="I255" s="54"/>
      <c r="J255" s="54">
        <f ca="1">IFERROR(__xludf.DUMMYFUNCTION("""COMPUTED_VALUE"""),31)</f>
        <v>31</v>
      </c>
      <c r="K255" s="54"/>
      <c r="L255" s="54">
        <f ca="1">IFERROR(__xludf.DUMMYFUNCTION("""COMPUTED_VALUE"""),31)</f>
        <v>31</v>
      </c>
      <c r="M255" s="54"/>
      <c r="N255" s="54">
        <f ca="1">IFERROR(__xludf.DUMMYFUNCTION("""COMPUTED_VALUE"""),0)</f>
        <v>0</v>
      </c>
      <c r="O255" s="54">
        <f ca="1">IFERROR(__xludf.DUMMYFUNCTION("""COMPUTED_VALUE"""),147)</f>
        <v>147</v>
      </c>
      <c r="P255" s="54"/>
      <c r="Q255" s="54">
        <f ca="1">IFERROR(__xludf.DUMMYFUNCTION("""COMPUTED_VALUE"""),130)</f>
        <v>130</v>
      </c>
      <c r="R255" s="54"/>
      <c r="S255" s="54">
        <f ca="1">IFERROR(__xludf.DUMMYFUNCTION("""COMPUTED_VALUE"""),50)</f>
        <v>50</v>
      </c>
      <c r="T255" s="53">
        <f ca="1">IFERROR(__xludf.DUMMYFUNCTION("""COMPUTED_VALUE"""),389)</f>
        <v>389</v>
      </c>
      <c r="U255" s="53"/>
      <c r="V255" s="54">
        <f ca="1">IFERROR(__xludf.DUMMYFUNCTION("""COMPUTED_VALUE"""),383)</f>
        <v>383</v>
      </c>
      <c r="W255" s="54"/>
      <c r="X255" s="54">
        <f ca="1">IFERROR(__xludf.DUMMYFUNCTION("""COMPUTED_VALUE"""),344)</f>
        <v>344</v>
      </c>
      <c r="Y255" s="54"/>
      <c r="Z255" s="2"/>
      <c r="AA255" s="2"/>
      <c r="AB255" s="2"/>
      <c r="AC255" s="2"/>
      <c r="AD255" s="2"/>
      <c r="AE255" s="2"/>
    </row>
    <row r="256" spans="1:31" ht="12.75" x14ac:dyDescent="0.2">
      <c r="A256" s="53">
        <f ca="1">IFERROR(__xludf.DUMMYFUNCTION("""COMPUTED_VALUE"""),14)</f>
        <v>14</v>
      </c>
      <c r="B256" s="53" t="str">
        <f ca="1">IFERROR(__xludf.DUMMYFUNCTION("""COMPUTED_VALUE"""),"THCS Phạm Văn Hai")</f>
        <v>THCS Phạm Văn Hai</v>
      </c>
      <c r="C256" s="53" t="str">
        <f ca="1">IFERROR(__xludf.DUMMYFUNCTION("""COMPUTED_VALUE"""),"Phạm Văn Hai")</f>
        <v>Phạm Văn Hai</v>
      </c>
      <c r="D256" s="53" t="str">
        <f ca="1">IFERROR(__xludf.DUMMYFUNCTION("""COMPUTED_VALUE"""),"THCS")</f>
        <v>THCS</v>
      </c>
      <c r="E256" s="54" t="str">
        <f ca="1">IFERROR(__xludf.DUMMYFUNCTION("""COMPUTED_VALUE"""),"Bình Chánh")</f>
        <v>Bình Chánh</v>
      </c>
      <c r="F256" s="54">
        <f ca="1">IFERROR(__xludf.DUMMYFUNCTION("""COMPUTED_VALUE"""),65)</f>
        <v>65</v>
      </c>
      <c r="G256" s="54"/>
      <c r="H256" s="54">
        <f ca="1">IFERROR(__xludf.DUMMYFUNCTION("""COMPUTED_VALUE"""),65)</f>
        <v>65</v>
      </c>
      <c r="I256" s="54"/>
      <c r="J256" s="54">
        <f ca="1">IFERROR(__xludf.DUMMYFUNCTION("""COMPUTED_VALUE"""),65)</f>
        <v>65</v>
      </c>
      <c r="K256" s="54"/>
      <c r="L256" s="54">
        <f ca="1">IFERROR(__xludf.DUMMYFUNCTION("""COMPUTED_VALUE"""),65)</f>
        <v>65</v>
      </c>
      <c r="M256" s="54"/>
      <c r="N256" s="54">
        <f ca="1">IFERROR(__xludf.DUMMYFUNCTION("""COMPUTED_VALUE"""),0)</f>
        <v>0</v>
      </c>
      <c r="O256" s="54">
        <f ca="1">IFERROR(__xludf.DUMMYFUNCTION("""COMPUTED_VALUE"""),428)</f>
        <v>428</v>
      </c>
      <c r="P256" s="54"/>
      <c r="Q256" s="54">
        <f ca="1">IFERROR(__xludf.DUMMYFUNCTION("""COMPUTED_VALUE"""),285)</f>
        <v>285</v>
      </c>
      <c r="R256" s="54"/>
      <c r="S256" s="54">
        <f ca="1">IFERROR(__xludf.DUMMYFUNCTION("""COMPUTED_VALUE"""),0)</f>
        <v>0</v>
      </c>
      <c r="T256" s="54">
        <f ca="1">IFERROR(__xludf.DUMMYFUNCTION("""COMPUTED_VALUE"""),1215)</f>
        <v>1215</v>
      </c>
      <c r="U256" s="54"/>
      <c r="V256" s="54">
        <f ca="1">IFERROR(__xludf.DUMMYFUNCTION("""COMPUTED_VALUE"""),1195)</f>
        <v>1195</v>
      </c>
      <c r="W256" s="54"/>
      <c r="X256" s="54">
        <f ca="1">IFERROR(__xludf.DUMMYFUNCTION("""COMPUTED_VALUE"""),1195)</f>
        <v>1195</v>
      </c>
      <c r="Y256" s="54"/>
      <c r="Z256" s="2"/>
      <c r="AA256" s="2"/>
      <c r="AB256" s="2"/>
      <c r="AC256" s="2"/>
      <c r="AD256" s="2"/>
      <c r="AE256" s="2"/>
    </row>
    <row r="257" spans="1:31" ht="12.75" x14ac:dyDescent="0.2">
      <c r="A257" s="53">
        <f ca="1">IFERROR(__xludf.DUMMYFUNCTION("""COMPUTED_VALUE"""),15)</f>
        <v>15</v>
      </c>
      <c r="B257" s="53" t="str">
        <f ca="1">IFERROR(__xludf.DUMMYFUNCTION("""COMPUTED_VALUE"""),"THCS Đồng Đen")</f>
        <v>THCS Đồng Đen</v>
      </c>
      <c r="C257" s="53" t="str">
        <f ca="1">IFERROR(__xludf.DUMMYFUNCTION("""COMPUTED_VALUE"""),"Vĩnh Lộc A")</f>
        <v>Vĩnh Lộc A</v>
      </c>
      <c r="D257" s="53" t="str">
        <f ca="1">IFERROR(__xludf.DUMMYFUNCTION("""COMPUTED_VALUE"""),"THCS")</f>
        <v>THCS</v>
      </c>
      <c r="E257" s="54" t="str">
        <f ca="1">IFERROR(__xludf.DUMMYFUNCTION("""COMPUTED_VALUE"""),"Bình Chánh")</f>
        <v>Bình Chánh</v>
      </c>
      <c r="F257" s="54">
        <f ca="1">IFERROR(__xludf.DUMMYFUNCTION("""COMPUTED_VALUE"""),96)</f>
        <v>96</v>
      </c>
      <c r="G257" s="54"/>
      <c r="H257" s="54">
        <f ca="1">IFERROR(__xludf.DUMMYFUNCTION("""COMPUTED_VALUE"""),96)</f>
        <v>96</v>
      </c>
      <c r="I257" s="54"/>
      <c r="J257" s="54">
        <f ca="1">IFERROR(__xludf.DUMMYFUNCTION("""COMPUTED_VALUE"""),96)</f>
        <v>96</v>
      </c>
      <c r="K257" s="54"/>
      <c r="L257" s="54">
        <f ca="1">IFERROR(__xludf.DUMMYFUNCTION("""COMPUTED_VALUE"""),96)</f>
        <v>96</v>
      </c>
      <c r="M257" s="54"/>
      <c r="N257" s="54">
        <f ca="1">IFERROR(__xludf.DUMMYFUNCTION("""COMPUTED_VALUE"""),0)</f>
        <v>0</v>
      </c>
      <c r="O257" s="54">
        <f ca="1">IFERROR(__xludf.DUMMYFUNCTION("""COMPUTED_VALUE"""),951)</f>
        <v>951</v>
      </c>
      <c r="P257" s="54"/>
      <c r="Q257" s="54">
        <f ca="1">IFERROR(__xludf.DUMMYFUNCTION("""COMPUTED_VALUE"""),663)</f>
        <v>663</v>
      </c>
      <c r="R257" s="54"/>
      <c r="S257" s="54">
        <f ca="1">IFERROR(__xludf.DUMMYFUNCTION("""COMPUTED_VALUE"""),60)</f>
        <v>60</v>
      </c>
      <c r="T257" s="53">
        <f ca="1">IFERROR(__xludf.DUMMYFUNCTION("""COMPUTED_VALUE"""),1944)</f>
        <v>1944</v>
      </c>
      <c r="U257" s="53"/>
      <c r="V257" s="54">
        <f ca="1">IFERROR(__xludf.DUMMYFUNCTION("""COMPUTED_VALUE"""),1773)</f>
        <v>1773</v>
      </c>
      <c r="W257" s="54"/>
      <c r="X257" s="54">
        <f ca="1">IFERROR(__xludf.DUMMYFUNCTION("""COMPUTED_VALUE"""),1605)</f>
        <v>1605</v>
      </c>
      <c r="Y257" s="54"/>
      <c r="Z257" s="2"/>
      <c r="AA257" s="2"/>
      <c r="AB257" s="2"/>
      <c r="AC257" s="2"/>
      <c r="AD257" s="2"/>
      <c r="AE257" s="2"/>
    </row>
    <row r="258" spans="1:31" ht="12.75" x14ac:dyDescent="0.2">
      <c r="A258" s="53">
        <f ca="1">IFERROR(__xludf.DUMMYFUNCTION("""COMPUTED_VALUE"""),16)</f>
        <v>16</v>
      </c>
      <c r="B258" s="53" t="str">
        <f ca="1">IFERROR(__xludf.DUMMYFUNCTION("""COMPUTED_VALUE"""),"THCS Vĩnh Lộc A")</f>
        <v>THCS Vĩnh Lộc A</v>
      </c>
      <c r="C258" s="53" t="str">
        <f ca="1">IFERROR(__xludf.DUMMYFUNCTION("""COMPUTED_VALUE"""),"Vĩnh Lộc A")</f>
        <v>Vĩnh Lộc A</v>
      </c>
      <c r="D258" s="53" t="str">
        <f ca="1">IFERROR(__xludf.DUMMYFUNCTION("""COMPUTED_VALUE"""),"THCS")</f>
        <v>THCS</v>
      </c>
      <c r="E258" s="54" t="str">
        <f ca="1">IFERROR(__xludf.DUMMYFUNCTION("""COMPUTED_VALUE"""),"Bình Chánh")</f>
        <v>Bình Chánh</v>
      </c>
      <c r="F258" s="54">
        <f ca="1">IFERROR(__xludf.DUMMYFUNCTION("""COMPUTED_VALUE"""),95)</f>
        <v>95</v>
      </c>
      <c r="G258" s="54"/>
      <c r="H258" s="54">
        <f ca="1">IFERROR(__xludf.DUMMYFUNCTION("""COMPUTED_VALUE"""),95)</f>
        <v>95</v>
      </c>
      <c r="I258" s="54"/>
      <c r="J258" s="54">
        <f ca="1">IFERROR(__xludf.DUMMYFUNCTION("""COMPUTED_VALUE"""),95)</f>
        <v>95</v>
      </c>
      <c r="K258" s="54"/>
      <c r="L258" s="54">
        <f ca="1">IFERROR(__xludf.DUMMYFUNCTION("""COMPUTED_VALUE"""),95)</f>
        <v>95</v>
      </c>
      <c r="M258" s="54"/>
      <c r="N258" s="54">
        <f ca="1">IFERROR(__xludf.DUMMYFUNCTION("""COMPUTED_VALUE"""),0)</f>
        <v>0</v>
      </c>
      <c r="O258" s="54">
        <f ca="1">IFERROR(__xludf.DUMMYFUNCTION("""COMPUTED_VALUE"""),539)</f>
        <v>539</v>
      </c>
      <c r="P258" s="54"/>
      <c r="Q258" s="54">
        <f ca="1">IFERROR(__xludf.DUMMYFUNCTION("""COMPUTED_VALUE"""),492)</f>
        <v>492</v>
      </c>
      <c r="R258" s="54"/>
      <c r="S258" s="53">
        <f ca="1">IFERROR(__xludf.DUMMYFUNCTION("""COMPUTED_VALUE"""),45)</f>
        <v>45</v>
      </c>
      <c r="T258" s="53">
        <f ca="1">IFERROR(__xludf.DUMMYFUNCTION("""COMPUTED_VALUE"""),1801)</f>
        <v>1801</v>
      </c>
      <c r="U258" s="53"/>
      <c r="V258" s="53">
        <f ca="1">IFERROR(__xludf.DUMMYFUNCTION("""COMPUTED_VALUE"""),1721)</f>
        <v>1721</v>
      </c>
      <c r="W258" s="53"/>
      <c r="X258" s="53">
        <f ca="1">IFERROR(__xludf.DUMMYFUNCTION("""COMPUTED_VALUE"""),1569)</f>
        <v>1569</v>
      </c>
      <c r="Y258" s="53"/>
      <c r="Z258" s="2"/>
      <c r="AA258" s="2"/>
      <c r="AB258" s="2"/>
      <c r="AC258" s="2"/>
      <c r="AD258" s="2"/>
      <c r="AE258" s="2"/>
    </row>
    <row r="259" spans="1:31" ht="12.75" x14ac:dyDescent="0.2">
      <c r="A259" s="53">
        <f ca="1">IFERROR(__xludf.DUMMYFUNCTION("""COMPUTED_VALUE"""),17)</f>
        <v>17</v>
      </c>
      <c r="B259" s="53" t="str">
        <f ca="1">IFERROR(__xludf.DUMMYFUNCTION("""COMPUTED_VALUE"""),"THCS Vĩnh Lộc B")</f>
        <v>THCS Vĩnh Lộc B</v>
      </c>
      <c r="C259" s="53" t="str">
        <f ca="1">IFERROR(__xludf.DUMMYFUNCTION("""COMPUTED_VALUE"""),"Vĩnh Lộc B")</f>
        <v>Vĩnh Lộc B</v>
      </c>
      <c r="D259" s="53" t="str">
        <f ca="1">IFERROR(__xludf.DUMMYFUNCTION("""COMPUTED_VALUE"""),"THCS")</f>
        <v>THCS</v>
      </c>
      <c r="E259" s="54" t="str">
        <f ca="1">IFERROR(__xludf.DUMMYFUNCTION("""COMPUTED_VALUE"""),"Bình Chánh")</f>
        <v>Bình Chánh</v>
      </c>
      <c r="F259" s="54">
        <f ca="1">IFERROR(__xludf.DUMMYFUNCTION("""COMPUTED_VALUE"""),437)</f>
        <v>437</v>
      </c>
      <c r="G259" s="54"/>
      <c r="H259" s="54">
        <f ca="1">IFERROR(__xludf.DUMMYFUNCTION("""COMPUTED_VALUE"""),430)</f>
        <v>430</v>
      </c>
      <c r="I259" s="54"/>
      <c r="J259" s="54">
        <f ca="1">IFERROR(__xludf.DUMMYFUNCTION("""COMPUTED_VALUE"""),290)</f>
        <v>290</v>
      </c>
      <c r="K259" s="54"/>
      <c r="L259" s="54">
        <f ca="1">IFERROR(__xludf.DUMMYFUNCTION("""COMPUTED_VALUE"""),151)</f>
        <v>151</v>
      </c>
      <c r="M259" s="54"/>
      <c r="N259" s="54">
        <f ca="1">IFERROR(__xludf.DUMMYFUNCTION("""COMPUTED_VALUE"""),0)</f>
        <v>0</v>
      </c>
      <c r="O259" s="54">
        <f ca="1">IFERROR(__xludf.DUMMYFUNCTION("""COMPUTED_VALUE"""),976)</f>
        <v>976</v>
      </c>
      <c r="P259" s="54"/>
      <c r="Q259" s="54">
        <f ca="1">IFERROR(__xludf.DUMMYFUNCTION("""COMPUTED_VALUE"""),745)</f>
        <v>745</v>
      </c>
      <c r="R259" s="54"/>
      <c r="S259" s="54">
        <f ca="1">IFERROR(__xludf.DUMMYFUNCTION("""COMPUTED_VALUE"""),0)</f>
        <v>0</v>
      </c>
      <c r="T259" s="53">
        <f ca="1">IFERROR(__xludf.DUMMYFUNCTION("""COMPUTED_VALUE"""),2445)</f>
        <v>2445</v>
      </c>
      <c r="U259" s="53"/>
      <c r="V259" s="54">
        <f ca="1">IFERROR(__xludf.DUMMYFUNCTION("""COMPUTED_VALUE"""),2218)</f>
        <v>2218</v>
      </c>
      <c r="W259" s="54"/>
      <c r="X259" s="54">
        <f ca="1">IFERROR(__xludf.DUMMYFUNCTION("""COMPUTED_VALUE"""),2068)</f>
        <v>2068</v>
      </c>
      <c r="Y259" s="54"/>
      <c r="Z259" s="2"/>
      <c r="AA259" s="2"/>
      <c r="AB259" s="2"/>
      <c r="AC259" s="2"/>
      <c r="AD259" s="2"/>
      <c r="AE259" s="2"/>
    </row>
    <row r="260" spans="1:31" ht="12.75" x14ac:dyDescent="0.2">
      <c r="A260" s="53">
        <f ca="1">IFERROR(__xludf.DUMMYFUNCTION("""COMPUTED_VALUE"""),18)</f>
        <v>18</v>
      </c>
      <c r="B260" s="53" t="str">
        <f ca="1">IFERROR(__xludf.DUMMYFUNCTION("""COMPUTED_VALUE"""),"THCS Võ Văn Vân")</f>
        <v>THCS Võ Văn Vân</v>
      </c>
      <c r="C260" s="53" t="str">
        <f ca="1">IFERROR(__xludf.DUMMYFUNCTION("""COMPUTED_VALUE"""),"Vĩnh Lộc B")</f>
        <v>Vĩnh Lộc B</v>
      </c>
      <c r="D260" s="53" t="str">
        <f ca="1">IFERROR(__xludf.DUMMYFUNCTION("""COMPUTED_VALUE"""),"THCS")</f>
        <v>THCS</v>
      </c>
      <c r="E260" s="54" t="str">
        <f ca="1">IFERROR(__xludf.DUMMYFUNCTION("""COMPUTED_VALUE"""),"Bình Chánh")</f>
        <v>Bình Chánh</v>
      </c>
      <c r="F260" s="54">
        <f ca="1">IFERROR(__xludf.DUMMYFUNCTION("""COMPUTED_VALUE"""),308)</f>
        <v>308</v>
      </c>
      <c r="G260" s="54"/>
      <c r="H260" s="54">
        <f ca="1">IFERROR(__xludf.DUMMYFUNCTION("""COMPUTED_VALUE"""),308)</f>
        <v>308</v>
      </c>
      <c r="I260" s="54"/>
      <c r="J260" s="54">
        <f ca="1">IFERROR(__xludf.DUMMYFUNCTION("""COMPUTED_VALUE"""),219)</f>
        <v>219</v>
      </c>
      <c r="K260" s="54"/>
      <c r="L260" s="54">
        <f ca="1">IFERROR(__xludf.DUMMYFUNCTION("""COMPUTED_VALUE"""),130)</f>
        <v>130</v>
      </c>
      <c r="M260" s="54"/>
      <c r="N260" s="54">
        <f ca="1">IFERROR(__xludf.DUMMYFUNCTION("""COMPUTED_VALUE"""),0)</f>
        <v>0</v>
      </c>
      <c r="O260" s="54">
        <f ca="1">IFERROR(__xludf.DUMMYFUNCTION("""COMPUTED_VALUE"""),499)</f>
        <v>499</v>
      </c>
      <c r="P260" s="54"/>
      <c r="Q260" s="54">
        <f ca="1">IFERROR(__xludf.DUMMYFUNCTION("""COMPUTED_VALUE"""),406)</f>
        <v>406</v>
      </c>
      <c r="R260" s="54"/>
      <c r="S260" s="53">
        <f ca="1">IFERROR(__xludf.DUMMYFUNCTION("""COMPUTED_VALUE"""),0)</f>
        <v>0</v>
      </c>
      <c r="T260" s="53">
        <f ca="1">IFERROR(__xludf.DUMMYFUNCTION("""COMPUTED_VALUE"""),1374)</f>
        <v>1374</v>
      </c>
      <c r="U260" s="53"/>
      <c r="V260" s="53">
        <f ca="1">IFERROR(__xludf.DUMMYFUNCTION("""COMPUTED_VALUE"""),1317)</f>
        <v>1317</v>
      </c>
      <c r="W260" s="53"/>
      <c r="X260" s="53">
        <f ca="1">IFERROR(__xludf.DUMMYFUNCTION("""COMPUTED_VALUE"""),1091)</f>
        <v>1091</v>
      </c>
      <c r="Y260" s="53"/>
      <c r="Z260" s="2"/>
      <c r="AA260" s="2"/>
      <c r="AB260" s="2"/>
      <c r="AC260" s="2"/>
      <c r="AD260" s="2"/>
      <c r="AE260" s="2"/>
    </row>
    <row r="261" spans="1:31" ht="12.75" x14ac:dyDescent="0.2">
      <c r="A261" s="55" t="str">
        <f ca="1">IFERROR(__xludf.DUMMYFUNCTION("""COMPUTED_VALUE"""),"THPT")</f>
        <v>THPT</v>
      </c>
      <c r="B261" s="53"/>
      <c r="C261" s="53"/>
      <c r="D261" s="53"/>
      <c r="E261" s="53"/>
      <c r="F261" s="54">
        <f ca="1">IFERROR(__xludf.DUMMYFUNCTION("""COMPUTED_VALUE"""),604)</f>
        <v>604</v>
      </c>
      <c r="G261" s="54"/>
      <c r="H261" s="54">
        <f ca="1">IFERROR(__xludf.DUMMYFUNCTION("""COMPUTED_VALUE"""),583)</f>
        <v>583</v>
      </c>
      <c r="I261" s="54"/>
      <c r="J261" s="54">
        <f ca="1">IFERROR(__xludf.DUMMYFUNCTION("""COMPUTED_VALUE"""),583)</f>
        <v>583</v>
      </c>
      <c r="K261" s="54"/>
      <c r="L261" s="54">
        <f ca="1">IFERROR(__xludf.DUMMYFUNCTION("""COMPUTED_VALUE"""),562)</f>
        <v>562</v>
      </c>
      <c r="M261" s="54"/>
      <c r="N261" s="54">
        <f ca="1">IFERROR(__xludf.DUMMYFUNCTION("""COMPUTED_VALUE"""),10)</f>
        <v>10</v>
      </c>
      <c r="O261" s="54">
        <f ca="1">IFERROR(__xludf.DUMMYFUNCTION("""COMPUTED_VALUE"""),0)</f>
        <v>0</v>
      </c>
      <c r="P261" s="54"/>
      <c r="Q261" s="54">
        <f ca="1">IFERROR(__xludf.DUMMYFUNCTION("""COMPUTED_VALUE"""),0)</f>
        <v>0</v>
      </c>
      <c r="R261" s="54"/>
      <c r="S261" s="54">
        <f ca="1">IFERROR(__xludf.DUMMYFUNCTION("""COMPUTED_VALUE"""),0)</f>
        <v>0</v>
      </c>
      <c r="T261" s="53">
        <f ca="1">IFERROR(__xludf.DUMMYFUNCTION("""COMPUTED_VALUE"""),10803)</f>
        <v>10803</v>
      </c>
      <c r="U261" s="53"/>
      <c r="V261" s="54">
        <f ca="1">IFERROR(__xludf.DUMMYFUNCTION("""COMPUTED_VALUE"""),10784)</f>
        <v>10784</v>
      </c>
      <c r="W261" s="54"/>
      <c r="X261" s="54">
        <f ca="1">IFERROR(__xludf.DUMMYFUNCTION("""COMPUTED_VALUE"""),10754)</f>
        <v>10754</v>
      </c>
      <c r="Y261" s="54"/>
      <c r="Z261" s="2"/>
      <c r="AA261" s="2"/>
      <c r="AB261" s="2"/>
      <c r="AC261" s="2"/>
      <c r="AD261" s="2"/>
      <c r="AE261" s="2"/>
    </row>
    <row r="262" spans="1:31" ht="12.75" x14ac:dyDescent="0.2">
      <c r="A262" s="53">
        <f ca="1">IFERROR(__xludf.DUMMYFUNCTION("""COMPUTED_VALUE"""),1)</f>
        <v>1</v>
      </c>
      <c r="B262" s="53" t="str">
        <f ca="1">IFERROR(__xludf.DUMMYFUNCTION("""COMPUTED_VALUE"""),"THPT Đa Phước")</f>
        <v>THPT Đa Phước</v>
      </c>
      <c r="C262" s="53" t="str">
        <f ca="1">IFERROR(__xludf.DUMMYFUNCTION("""COMPUTED_VALUE"""),"Đa Phước")</f>
        <v>Đa Phước</v>
      </c>
      <c r="D262" s="53" t="str">
        <f ca="1">IFERROR(__xludf.DUMMYFUNCTION("""COMPUTED_VALUE"""),"THPT")</f>
        <v>THPT</v>
      </c>
      <c r="E262" s="54" t="str">
        <f ca="1">IFERROR(__xludf.DUMMYFUNCTION("""COMPUTED_VALUE"""),"Bình Chánh")</f>
        <v>Bình Chánh</v>
      </c>
      <c r="F262" s="54">
        <f ca="1">IFERROR(__xludf.DUMMYFUNCTION("""COMPUTED_VALUE"""),80)</f>
        <v>80</v>
      </c>
      <c r="G262" s="54"/>
      <c r="H262" s="54">
        <f ca="1">IFERROR(__xludf.DUMMYFUNCTION("""COMPUTED_VALUE"""),80)</f>
        <v>80</v>
      </c>
      <c r="I262" s="54"/>
      <c r="J262" s="54">
        <f ca="1">IFERROR(__xludf.DUMMYFUNCTION("""COMPUTED_VALUE"""),80)</f>
        <v>80</v>
      </c>
      <c r="K262" s="54"/>
      <c r="L262" s="54">
        <f ca="1">IFERROR(__xludf.DUMMYFUNCTION("""COMPUTED_VALUE"""),74)</f>
        <v>74</v>
      </c>
      <c r="M262" s="54"/>
      <c r="N262" s="54">
        <f ca="1">IFERROR(__xludf.DUMMYFUNCTION("""COMPUTED_VALUE"""),0)</f>
        <v>0</v>
      </c>
      <c r="O262" s="53"/>
      <c r="P262" s="53"/>
      <c r="Q262" s="53"/>
      <c r="R262" s="53"/>
      <c r="S262" s="53"/>
      <c r="T262" s="53">
        <f ca="1">IFERROR(__xludf.DUMMYFUNCTION("""COMPUTED_VALUE"""),1113)</f>
        <v>1113</v>
      </c>
      <c r="U262" s="53"/>
      <c r="V262" s="54">
        <f ca="1">IFERROR(__xludf.DUMMYFUNCTION("""COMPUTED_VALUE"""),1111)</f>
        <v>1111</v>
      </c>
      <c r="W262" s="54"/>
      <c r="X262" s="54">
        <f ca="1">IFERROR(__xludf.DUMMYFUNCTION("""COMPUTED_VALUE"""),1111)</f>
        <v>1111</v>
      </c>
      <c r="Y262" s="54"/>
      <c r="Z262" s="2"/>
      <c r="AA262" s="2"/>
      <c r="AB262" s="2"/>
      <c r="AC262" s="2"/>
      <c r="AD262" s="2"/>
      <c r="AE262" s="2"/>
    </row>
    <row r="263" spans="1:31" ht="12.75" x14ac:dyDescent="0.2">
      <c r="A263" s="53">
        <f ca="1">IFERROR(__xludf.DUMMYFUNCTION("""COMPUTED_VALUE"""),2)</f>
        <v>2</v>
      </c>
      <c r="B263" s="53" t="str">
        <f ca="1">IFERROR(__xludf.DUMMYFUNCTION("""COMPUTED_VALUE"""),"THPT Phong Phú")</f>
        <v>THPT Phong Phú</v>
      </c>
      <c r="C263" s="53" t="str">
        <f ca="1">IFERROR(__xludf.DUMMYFUNCTION("""COMPUTED_VALUE"""),"Phong Phú")</f>
        <v>Phong Phú</v>
      </c>
      <c r="D263" s="53" t="str">
        <f ca="1">IFERROR(__xludf.DUMMYFUNCTION("""COMPUTED_VALUE"""),"THPT")</f>
        <v>THPT</v>
      </c>
      <c r="E263" s="54" t="str">
        <f ca="1">IFERROR(__xludf.DUMMYFUNCTION("""COMPUTED_VALUE"""),"Bình Chánh")</f>
        <v>Bình Chánh</v>
      </c>
      <c r="F263" s="54">
        <f ca="1">IFERROR(__xludf.DUMMYFUNCTION("""COMPUTED_VALUE"""),63)</f>
        <v>63</v>
      </c>
      <c r="G263" s="54"/>
      <c r="H263" s="54">
        <f ca="1">IFERROR(__xludf.DUMMYFUNCTION("""COMPUTED_VALUE"""),50)</f>
        <v>50</v>
      </c>
      <c r="I263" s="54"/>
      <c r="J263" s="54">
        <f ca="1">IFERROR(__xludf.DUMMYFUNCTION("""COMPUTED_VALUE"""),50)</f>
        <v>50</v>
      </c>
      <c r="K263" s="54"/>
      <c r="L263" s="54">
        <f ca="1">IFERROR(__xludf.DUMMYFUNCTION("""COMPUTED_VALUE"""),50)</f>
        <v>50</v>
      </c>
      <c r="M263" s="54"/>
      <c r="N263" s="54">
        <f ca="1">IFERROR(__xludf.DUMMYFUNCTION("""COMPUTED_VALUE"""),0)</f>
        <v>0</v>
      </c>
      <c r="O263" s="53"/>
      <c r="P263" s="53"/>
      <c r="Q263" s="53"/>
      <c r="R263" s="53"/>
      <c r="S263" s="53"/>
      <c r="T263" s="53">
        <f ca="1">IFERROR(__xludf.DUMMYFUNCTION("""COMPUTED_VALUE"""),945)</f>
        <v>945</v>
      </c>
      <c r="U263" s="53"/>
      <c r="V263" s="54">
        <f ca="1">IFERROR(__xludf.DUMMYFUNCTION("""COMPUTED_VALUE"""),945)</f>
        <v>945</v>
      </c>
      <c r="W263" s="54"/>
      <c r="X263" s="54">
        <f ca="1">IFERROR(__xludf.DUMMYFUNCTION("""COMPUTED_VALUE"""),945)</f>
        <v>945</v>
      </c>
      <c r="Y263" s="54"/>
      <c r="Z263" s="2"/>
      <c r="AA263" s="2"/>
      <c r="AB263" s="2"/>
      <c r="AC263" s="2"/>
      <c r="AD263" s="2"/>
      <c r="AE263" s="2"/>
    </row>
    <row r="264" spans="1:31" ht="12.75" x14ac:dyDescent="0.2">
      <c r="A264" s="53">
        <f ca="1">IFERROR(__xludf.DUMMYFUNCTION("""COMPUTED_VALUE"""),3)</f>
        <v>3</v>
      </c>
      <c r="B264" s="53" t="str">
        <f ca="1">IFERROR(__xludf.DUMMYFUNCTION("""COMPUTED_VALUE"""),"THPT Bình Chánh")</f>
        <v>THPT Bình Chánh</v>
      </c>
      <c r="C264" s="53" t="str">
        <f ca="1">IFERROR(__xludf.DUMMYFUNCTION("""COMPUTED_VALUE"""),"Bình Chánh")</f>
        <v>Bình Chánh</v>
      </c>
      <c r="D264" s="53" t="str">
        <f ca="1">IFERROR(__xludf.DUMMYFUNCTION("""COMPUTED_VALUE"""),"THPT")</f>
        <v>THPT</v>
      </c>
      <c r="E264" s="54" t="str">
        <f ca="1">IFERROR(__xludf.DUMMYFUNCTION("""COMPUTED_VALUE"""),"Bình Chánh")</f>
        <v>Bình Chánh</v>
      </c>
      <c r="F264" s="54">
        <f ca="1">IFERROR(__xludf.DUMMYFUNCTION("""COMPUTED_VALUE"""),102)</f>
        <v>102</v>
      </c>
      <c r="G264" s="54"/>
      <c r="H264" s="54">
        <f ca="1">IFERROR(__xludf.DUMMYFUNCTION("""COMPUTED_VALUE"""),102)</f>
        <v>102</v>
      </c>
      <c r="I264" s="54"/>
      <c r="J264" s="54">
        <f ca="1">IFERROR(__xludf.DUMMYFUNCTION("""COMPUTED_VALUE"""),102)</f>
        <v>102</v>
      </c>
      <c r="K264" s="54"/>
      <c r="L264" s="54">
        <f ca="1">IFERROR(__xludf.DUMMYFUNCTION("""COMPUTED_VALUE"""),98)</f>
        <v>98</v>
      </c>
      <c r="M264" s="54"/>
      <c r="N264" s="54">
        <f ca="1">IFERROR(__xludf.DUMMYFUNCTION("""COMPUTED_VALUE"""),0)</f>
        <v>0</v>
      </c>
      <c r="O264" s="53"/>
      <c r="P264" s="53"/>
      <c r="Q264" s="53"/>
      <c r="R264" s="53"/>
      <c r="S264" s="53"/>
      <c r="T264" s="53">
        <f ca="1">IFERROR(__xludf.DUMMYFUNCTION("""COMPUTED_VALUE"""),2063)</f>
        <v>2063</v>
      </c>
      <c r="U264" s="53"/>
      <c r="V264" s="54">
        <f ca="1">IFERROR(__xludf.DUMMYFUNCTION("""COMPUTED_VALUE"""),2055)</f>
        <v>2055</v>
      </c>
      <c r="W264" s="54"/>
      <c r="X264" s="54">
        <f ca="1">IFERROR(__xludf.DUMMYFUNCTION("""COMPUTED_VALUE"""),2049)</f>
        <v>2049</v>
      </c>
      <c r="Y264" s="54"/>
      <c r="Z264" s="2"/>
      <c r="AA264" s="2"/>
      <c r="AB264" s="2"/>
      <c r="AC264" s="2"/>
      <c r="AD264" s="2"/>
      <c r="AE264" s="2"/>
    </row>
    <row r="265" spans="1:31" ht="12.75" x14ac:dyDescent="0.2">
      <c r="A265" s="53">
        <f ca="1">IFERROR(__xludf.DUMMYFUNCTION("""COMPUTED_VALUE"""),4)</f>
        <v>4</v>
      </c>
      <c r="B265" s="53" t="str">
        <f ca="1">IFERROR(__xludf.DUMMYFUNCTION("""COMPUTED_VALUE"""),"THPT Tân Túc")</f>
        <v>THPT Tân Túc</v>
      </c>
      <c r="C265" s="53" t="str">
        <f ca="1">IFERROR(__xludf.DUMMYFUNCTION("""COMPUTED_VALUE"""),"Tân Túc")</f>
        <v>Tân Túc</v>
      </c>
      <c r="D265" s="53" t="str">
        <f ca="1">IFERROR(__xludf.DUMMYFUNCTION("""COMPUTED_VALUE"""),"THPT")</f>
        <v>THPT</v>
      </c>
      <c r="E265" s="54" t="str">
        <f ca="1">IFERROR(__xludf.DUMMYFUNCTION("""COMPUTED_VALUE"""),"Bình Chánh")</f>
        <v>Bình Chánh</v>
      </c>
      <c r="F265" s="54">
        <f ca="1">IFERROR(__xludf.DUMMYFUNCTION("""COMPUTED_VALUE"""),102)</f>
        <v>102</v>
      </c>
      <c r="G265" s="54"/>
      <c r="H265" s="54">
        <f ca="1">IFERROR(__xludf.DUMMYFUNCTION("""COMPUTED_VALUE"""),102)</f>
        <v>102</v>
      </c>
      <c r="I265" s="54"/>
      <c r="J265" s="54">
        <f ca="1">IFERROR(__xludf.DUMMYFUNCTION("""COMPUTED_VALUE"""),102)</f>
        <v>102</v>
      </c>
      <c r="K265" s="54"/>
      <c r="L265" s="54">
        <f ca="1">IFERROR(__xludf.DUMMYFUNCTION("""COMPUTED_VALUE"""),102)</f>
        <v>102</v>
      </c>
      <c r="M265" s="54"/>
      <c r="N265" s="54">
        <f ca="1">IFERROR(__xludf.DUMMYFUNCTION("""COMPUTED_VALUE"""),0)</f>
        <v>0</v>
      </c>
      <c r="O265" s="53"/>
      <c r="P265" s="53"/>
      <c r="Q265" s="53"/>
      <c r="R265" s="53"/>
      <c r="S265" s="53"/>
      <c r="T265" s="53">
        <f ca="1">IFERROR(__xludf.DUMMYFUNCTION("""COMPUTED_VALUE"""),2004)</f>
        <v>2004</v>
      </c>
      <c r="U265" s="53"/>
      <c r="V265" s="53">
        <f ca="1">IFERROR(__xludf.DUMMYFUNCTION("""COMPUTED_VALUE"""),2003)</f>
        <v>2003</v>
      </c>
      <c r="W265" s="53"/>
      <c r="X265" s="53">
        <f ca="1">IFERROR(__xludf.DUMMYFUNCTION("""COMPUTED_VALUE"""),2003)</f>
        <v>2003</v>
      </c>
      <c r="Y265" s="53"/>
      <c r="Z265" s="2"/>
      <c r="AA265" s="2"/>
      <c r="AB265" s="2"/>
      <c r="AC265" s="2"/>
      <c r="AD265" s="2"/>
      <c r="AE265" s="2"/>
    </row>
    <row r="266" spans="1:31" ht="12.75" x14ac:dyDescent="0.2">
      <c r="A266" s="53">
        <f ca="1">IFERROR(__xludf.DUMMYFUNCTION("""COMPUTED_VALUE"""),5)</f>
        <v>5</v>
      </c>
      <c r="B266" s="53" t="str">
        <f ca="1">IFERROR(__xludf.DUMMYFUNCTION("""COMPUTED_VALUE"""),"THPT Lê Minh Xuân")</f>
        <v>THPT Lê Minh Xuân</v>
      </c>
      <c r="C266" s="53" t="str">
        <f ca="1">IFERROR(__xludf.DUMMYFUNCTION("""COMPUTED_VALUE"""),"Lê Minh Xuân")</f>
        <v>Lê Minh Xuân</v>
      </c>
      <c r="D266" s="53" t="str">
        <f ca="1">IFERROR(__xludf.DUMMYFUNCTION("""COMPUTED_VALUE"""),"THPT")</f>
        <v>THPT</v>
      </c>
      <c r="E266" s="54" t="str">
        <f ca="1">IFERROR(__xludf.DUMMYFUNCTION("""COMPUTED_VALUE"""),"Bình Chánh")</f>
        <v>Bình Chánh</v>
      </c>
      <c r="F266" s="54">
        <f ca="1">IFERROR(__xludf.DUMMYFUNCTION("""COMPUTED_VALUE"""),105)</f>
        <v>105</v>
      </c>
      <c r="G266" s="54"/>
      <c r="H266" s="54">
        <f ca="1">IFERROR(__xludf.DUMMYFUNCTION("""COMPUTED_VALUE"""),97)</f>
        <v>97</v>
      </c>
      <c r="I266" s="54"/>
      <c r="J266" s="54">
        <f ca="1">IFERROR(__xludf.DUMMYFUNCTION("""COMPUTED_VALUE"""),97)</f>
        <v>97</v>
      </c>
      <c r="K266" s="54"/>
      <c r="L266" s="54">
        <f ca="1">IFERROR(__xludf.DUMMYFUNCTION("""COMPUTED_VALUE"""),97)</f>
        <v>97</v>
      </c>
      <c r="M266" s="54"/>
      <c r="N266" s="54">
        <f ca="1">IFERROR(__xludf.DUMMYFUNCTION("""COMPUTED_VALUE"""),0)</f>
        <v>0</v>
      </c>
      <c r="O266" s="53"/>
      <c r="P266" s="53"/>
      <c r="Q266" s="53"/>
      <c r="R266" s="53"/>
      <c r="S266" s="53"/>
      <c r="T266" s="53">
        <f ca="1">IFERROR(__xludf.DUMMYFUNCTION("""COMPUTED_VALUE"""),1945)</f>
        <v>1945</v>
      </c>
      <c r="U266" s="53"/>
      <c r="V266" s="54">
        <f ca="1">IFERROR(__xludf.DUMMYFUNCTION("""COMPUTED_VALUE"""),1945)</f>
        <v>1945</v>
      </c>
      <c r="W266" s="54"/>
      <c r="X266" s="54">
        <f ca="1">IFERROR(__xludf.DUMMYFUNCTION("""COMPUTED_VALUE"""),1945)</f>
        <v>1945</v>
      </c>
      <c r="Y266" s="54"/>
      <c r="Z266" s="2"/>
      <c r="AA266" s="2"/>
      <c r="AB266" s="2"/>
      <c r="AC266" s="2"/>
      <c r="AD266" s="2"/>
      <c r="AE266" s="2"/>
    </row>
    <row r="267" spans="1:31" ht="12.75" x14ac:dyDescent="0.2">
      <c r="A267" s="53">
        <f ca="1">IFERROR(__xludf.DUMMYFUNCTION("""COMPUTED_VALUE"""),6)</f>
        <v>6</v>
      </c>
      <c r="B267" s="53" t="str">
        <f ca="1">IFERROR(__xludf.DUMMYFUNCTION("""COMPUTED_VALUE"""),"THPT Vĩnh Lộc B")</f>
        <v>THPT Vĩnh Lộc B</v>
      </c>
      <c r="C267" s="53" t="str">
        <f ca="1">IFERROR(__xludf.DUMMYFUNCTION("""COMPUTED_VALUE"""),"Vĩnh Lộc B")</f>
        <v>Vĩnh Lộc B</v>
      </c>
      <c r="D267" s="53" t="str">
        <f ca="1">IFERROR(__xludf.DUMMYFUNCTION("""COMPUTED_VALUE"""),"THPT")</f>
        <v>THPT</v>
      </c>
      <c r="E267" s="54" t="str">
        <f ca="1">IFERROR(__xludf.DUMMYFUNCTION("""COMPUTED_VALUE"""),"Bình Chánh")</f>
        <v>Bình Chánh</v>
      </c>
      <c r="F267" s="54">
        <f ca="1">IFERROR(__xludf.DUMMYFUNCTION("""COMPUTED_VALUE"""),77)</f>
        <v>77</v>
      </c>
      <c r="G267" s="54"/>
      <c r="H267" s="54">
        <f ca="1">IFERROR(__xludf.DUMMYFUNCTION("""COMPUTED_VALUE"""),77)</f>
        <v>77</v>
      </c>
      <c r="I267" s="54"/>
      <c r="J267" s="54">
        <f ca="1">IFERROR(__xludf.DUMMYFUNCTION("""COMPUTED_VALUE"""),77)</f>
        <v>77</v>
      </c>
      <c r="K267" s="54"/>
      <c r="L267" s="54">
        <f ca="1">IFERROR(__xludf.DUMMYFUNCTION("""COMPUTED_VALUE"""),67)</f>
        <v>67</v>
      </c>
      <c r="M267" s="54"/>
      <c r="N267" s="54">
        <f ca="1">IFERROR(__xludf.DUMMYFUNCTION("""COMPUTED_VALUE"""),0)</f>
        <v>0</v>
      </c>
      <c r="O267" s="53"/>
      <c r="P267" s="53"/>
      <c r="Q267" s="53"/>
      <c r="R267" s="53"/>
      <c r="S267" s="53"/>
      <c r="T267" s="53">
        <f ca="1">IFERROR(__xludf.DUMMYFUNCTION("""COMPUTED_VALUE"""),1449)</f>
        <v>1449</v>
      </c>
      <c r="U267" s="53"/>
      <c r="V267" s="54">
        <f ca="1">IFERROR(__xludf.DUMMYFUNCTION("""COMPUTED_VALUE"""),1445)</f>
        <v>1445</v>
      </c>
      <c r="W267" s="54"/>
      <c r="X267" s="54">
        <f ca="1">IFERROR(__xludf.DUMMYFUNCTION("""COMPUTED_VALUE"""),1421)</f>
        <v>1421</v>
      </c>
      <c r="Y267" s="54"/>
      <c r="Z267" s="2"/>
      <c r="AA267" s="2"/>
      <c r="AB267" s="2"/>
      <c r="AC267" s="2"/>
      <c r="AD267" s="2"/>
      <c r="AE267" s="2"/>
    </row>
    <row r="268" spans="1:31" ht="12.75" x14ac:dyDescent="0.2">
      <c r="A268" s="53">
        <f ca="1">IFERROR(__xludf.DUMMYFUNCTION("""COMPUTED_VALUE"""),7)</f>
        <v>7</v>
      </c>
      <c r="B268" s="53" t="str">
        <f ca="1">IFERROR(__xludf.DUMMYFUNCTION("""COMPUTED_VALUE"""),"THPT Năng Khiếu TDTT Bình Chánh")</f>
        <v>THPT Năng Khiếu TDTT Bình Chánh</v>
      </c>
      <c r="C268" s="53" t="str">
        <f ca="1">IFERROR(__xludf.DUMMYFUNCTION("""COMPUTED_VALUE"""),"Lê Minh Xuân")</f>
        <v>Lê Minh Xuân</v>
      </c>
      <c r="D268" s="53" t="str">
        <f ca="1">IFERROR(__xludf.DUMMYFUNCTION("""COMPUTED_VALUE"""),"THPT")</f>
        <v>THPT</v>
      </c>
      <c r="E268" s="54" t="str">
        <f ca="1">IFERROR(__xludf.DUMMYFUNCTION("""COMPUTED_VALUE"""),"Bình Chánh")</f>
        <v>Bình Chánh</v>
      </c>
      <c r="F268" s="54">
        <f ca="1">IFERROR(__xludf.DUMMYFUNCTION("""COMPUTED_VALUE"""),75)</f>
        <v>75</v>
      </c>
      <c r="G268" s="54"/>
      <c r="H268" s="54">
        <f ca="1">IFERROR(__xludf.DUMMYFUNCTION("""COMPUTED_VALUE"""),75)</f>
        <v>75</v>
      </c>
      <c r="I268" s="54"/>
      <c r="J268" s="54">
        <f ca="1">IFERROR(__xludf.DUMMYFUNCTION("""COMPUTED_VALUE"""),75)</f>
        <v>75</v>
      </c>
      <c r="K268" s="54"/>
      <c r="L268" s="54">
        <f ca="1">IFERROR(__xludf.DUMMYFUNCTION("""COMPUTED_VALUE"""),74)</f>
        <v>74</v>
      </c>
      <c r="M268" s="54"/>
      <c r="N268" s="54">
        <f ca="1">IFERROR(__xludf.DUMMYFUNCTION("""COMPUTED_VALUE"""),10)</f>
        <v>10</v>
      </c>
      <c r="O268" s="53"/>
      <c r="P268" s="53"/>
      <c r="Q268" s="53"/>
      <c r="R268" s="53"/>
      <c r="S268" s="53"/>
      <c r="T268" s="53">
        <f ca="1">IFERROR(__xludf.DUMMYFUNCTION("""COMPUTED_VALUE"""),1284)</f>
        <v>1284</v>
      </c>
      <c r="U268" s="53"/>
      <c r="V268" s="54">
        <f ca="1">IFERROR(__xludf.DUMMYFUNCTION("""COMPUTED_VALUE"""),1280)</f>
        <v>1280</v>
      </c>
      <c r="W268" s="54"/>
      <c r="X268" s="54">
        <f ca="1">IFERROR(__xludf.DUMMYFUNCTION("""COMPUTED_VALUE"""),1280)</f>
        <v>1280</v>
      </c>
      <c r="Y268" s="54"/>
      <c r="Z268" s="2"/>
      <c r="AA268" s="2"/>
      <c r="AB268" s="2"/>
      <c r="AC268" s="2"/>
      <c r="AD268" s="2"/>
      <c r="AE268" s="2"/>
    </row>
    <row r="269" spans="1:31" ht="12.75" x14ac:dyDescent="0.2">
      <c r="A269" s="55" t="str">
        <f ca="1">IFERROR(__xludf.DUMMYFUNCTION("""COMPUTED_VALUE"""),"CHUYÊN BIỆT")</f>
        <v>CHUYÊN BIỆT</v>
      </c>
      <c r="B269" s="53"/>
      <c r="C269" s="53"/>
      <c r="D269" s="53"/>
      <c r="E269" s="53"/>
      <c r="F269" s="54">
        <f ca="1">IFERROR(__xludf.DUMMYFUNCTION("""COMPUTED_VALUE"""),37)</f>
        <v>37</v>
      </c>
      <c r="G269" s="54"/>
      <c r="H269" s="54">
        <f ca="1">IFERROR(__xludf.DUMMYFUNCTION("""COMPUTED_VALUE"""),37)</f>
        <v>37</v>
      </c>
      <c r="I269" s="54"/>
      <c r="J269" s="54">
        <f ca="1">IFERROR(__xludf.DUMMYFUNCTION("""COMPUTED_VALUE"""),94)</f>
        <v>94</v>
      </c>
      <c r="K269" s="54"/>
      <c r="L269" s="54">
        <f ca="1">IFERROR(__xludf.DUMMYFUNCTION("""COMPUTED_VALUE"""),37)</f>
        <v>37</v>
      </c>
      <c r="M269" s="54"/>
      <c r="N269" s="54">
        <f ca="1">IFERROR(__xludf.DUMMYFUNCTION("""COMPUTED_VALUE"""),0)</f>
        <v>0</v>
      </c>
      <c r="O269" s="54">
        <f ca="1">IFERROR(__xludf.DUMMYFUNCTION("""COMPUTED_VALUE"""),237)</f>
        <v>237</v>
      </c>
      <c r="P269" s="54"/>
      <c r="Q269" s="54">
        <f ca="1">IFERROR(__xludf.DUMMYFUNCTION("""COMPUTED_VALUE"""),161)</f>
        <v>161</v>
      </c>
      <c r="R269" s="54"/>
      <c r="S269" s="54">
        <f ca="1">IFERROR(__xludf.DUMMYFUNCTION("""COMPUTED_VALUE"""),0)</f>
        <v>0</v>
      </c>
      <c r="T269" s="53">
        <f ca="1">IFERROR(__xludf.DUMMYFUNCTION("""COMPUTED_VALUE"""),5)</f>
        <v>5</v>
      </c>
      <c r="U269" s="53"/>
      <c r="V269" s="54">
        <f ca="1">IFERROR(__xludf.DUMMYFUNCTION("""COMPUTED_VALUE"""),5)</f>
        <v>5</v>
      </c>
      <c r="W269" s="54"/>
      <c r="X269" s="54">
        <f ca="1">IFERROR(__xludf.DUMMYFUNCTION("""COMPUTED_VALUE"""),5)</f>
        <v>5</v>
      </c>
      <c r="Y269" s="54"/>
      <c r="Z269" s="2"/>
      <c r="AA269" s="2"/>
      <c r="AB269" s="2"/>
      <c r="AC269" s="2"/>
      <c r="AD269" s="2"/>
      <c r="AE269" s="2"/>
    </row>
    <row r="270" spans="1:31" ht="12.75" x14ac:dyDescent="0.2">
      <c r="A270" s="53">
        <f ca="1">IFERROR(__xludf.DUMMYFUNCTION("""COMPUTED_VALUE"""),1)</f>
        <v>1</v>
      </c>
      <c r="B270" s="53" t="str">
        <f ca="1">IFERROR(__xludf.DUMMYFUNCTION("""COMPUTED_VALUE"""),"Trung tâm hỗ trợ phát triển giáo dục hòa nhập Bình Chánh")</f>
        <v>Trung tâm hỗ trợ phát triển giáo dục hòa nhập Bình Chánh</v>
      </c>
      <c r="C270" s="53" t="str">
        <f ca="1">IFERROR(__xludf.DUMMYFUNCTION("""COMPUTED_VALUE"""),"Phong Phú")</f>
        <v>Phong Phú</v>
      </c>
      <c r="D270" s="53" t="str">
        <f ca="1">IFERROR(__xludf.DUMMYFUNCTION("""COMPUTED_VALUE"""),"TH")</f>
        <v>TH</v>
      </c>
      <c r="E270" s="54" t="str">
        <f ca="1">IFERROR(__xludf.DUMMYFUNCTION("""COMPUTED_VALUE"""),"Bình Chánh")</f>
        <v>Bình Chánh</v>
      </c>
      <c r="F270" s="54">
        <f ca="1">IFERROR(__xludf.DUMMYFUNCTION("""COMPUTED_VALUE"""),35)</f>
        <v>35</v>
      </c>
      <c r="G270" s="54"/>
      <c r="H270" s="54">
        <f ca="1">IFERROR(__xludf.DUMMYFUNCTION("""COMPUTED_VALUE"""),35)</f>
        <v>35</v>
      </c>
      <c r="I270" s="54"/>
      <c r="J270" s="54">
        <f ca="1">IFERROR(__xludf.DUMMYFUNCTION("""COMPUTED_VALUE"""),35)</f>
        <v>35</v>
      </c>
      <c r="K270" s="54"/>
      <c r="L270" s="54">
        <f ca="1">IFERROR(__xludf.DUMMYFUNCTION("""COMPUTED_VALUE"""),35)</f>
        <v>35</v>
      </c>
      <c r="M270" s="54"/>
      <c r="N270" s="54">
        <f ca="1">IFERROR(__xludf.DUMMYFUNCTION("""COMPUTED_VALUE"""),0)</f>
        <v>0</v>
      </c>
      <c r="O270" s="54">
        <f ca="1">IFERROR(__xludf.DUMMYFUNCTION("""COMPUTED_VALUE"""),227)</f>
        <v>227</v>
      </c>
      <c r="P270" s="54"/>
      <c r="Q270" s="54">
        <f ca="1">IFERROR(__xludf.DUMMYFUNCTION("""COMPUTED_VALUE"""),161)</f>
        <v>161</v>
      </c>
      <c r="R270" s="54"/>
      <c r="S270" s="54">
        <f ca="1">IFERROR(__xludf.DUMMYFUNCTION("""COMPUTED_VALUE"""),0)</f>
        <v>0</v>
      </c>
      <c r="T270" s="53">
        <f ca="1">IFERROR(__xludf.DUMMYFUNCTION("""COMPUTED_VALUE"""),0)</f>
        <v>0</v>
      </c>
      <c r="U270" s="53"/>
      <c r="V270" s="54">
        <f ca="1">IFERROR(__xludf.DUMMYFUNCTION("""COMPUTED_VALUE"""),0)</f>
        <v>0</v>
      </c>
      <c r="W270" s="54"/>
      <c r="X270" s="54">
        <f ca="1">IFERROR(__xludf.DUMMYFUNCTION("""COMPUTED_VALUE"""),0)</f>
        <v>0</v>
      </c>
      <c r="Y270" s="54"/>
      <c r="Z270" s="2"/>
      <c r="AA270" s="2"/>
      <c r="AB270" s="2"/>
      <c r="AC270" s="2"/>
      <c r="AD270" s="2"/>
      <c r="AE270" s="2"/>
    </row>
    <row r="271" spans="1:31" ht="12.75" x14ac:dyDescent="0.2">
      <c r="A271" s="53">
        <f ca="1">IFERROR(__xludf.DUMMYFUNCTION("""COMPUTED_VALUE"""),2)</f>
        <v>2</v>
      </c>
      <c r="B271" s="53" t="str">
        <f ca="1">IFERROR(__xludf.DUMMYFUNCTION("""COMPUTED_VALUE"""),"Trung Tâm Tư Vấn Giáo Dục Và Trị Liệu Trẻ Em")</f>
        <v>Trung Tâm Tư Vấn Giáo Dục Và Trị Liệu Trẻ Em</v>
      </c>
      <c r="C271" s="53" t="str">
        <f ca="1">IFERROR(__xludf.DUMMYFUNCTION("""COMPUTED_VALUE"""),"Bình Hưng")</f>
        <v>Bình Hưng</v>
      </c>
      <c r="D271" s="53" t="str">
        <f ca="1">IFERROR(__xludf.DUMMYFUNCTION("""COMPUTED_VALUE"""),"TH")</f>
        <v>TH</v>
      </c>
      <c r="E271" s="54" t="str">
        <f ca="1">IFERROR(__xludf.DUMMYFUNCTION("""COMPUTED_VALUE"""),"Bình Chánh")</f>
        <v>Bình Chánh</v>
      </c>
      <c r="F271" s="54">
        <f ca="1">IFERROR(__xludf.DUMMYFUNCTION("""COMPUTED_VALUE"""),2)</f>
        <v>2</v>
      </c>
      <c r="G271" s="54"/>
      <c r="H271" s="54">
        <f ca="1">IFERROR(__xludf.DUMMYFUNCTION("""COMPUTED_VALUE"""),2)</f>
        <v>2</v>
      </c>
      <c r="I271" s="54"/>
      <c r="J271" s="54">
        <f ca="1">IFERROR(__xludf.DUMMYFUNCTION("""COMPUTED_VALUE"""),59)</f>
        <v>59</v>
      </c>
      <c r="K271" s="54"/>
      <c r="L271" s="54">
        <f ca="1">IFERROR(__xludf.DUMMYFUNCTION("""COMPUTED_VALUE"""),2)</f>
        <v>2</v>
      </c>
      <c r="M271" s="54"/>
      <c r="N271" s="54">
        <f ca="1">IFERROR(__xludf.DUMMYFUNCTION("""COMPUTED_VALUE"""),0)</f>
        <v>0</v>
      </c>
      <c r="O271" s="54">
        <f ca="1">IFERROR(__xludf.DUMMYFUNCTION("""COMPUTED_VALUE"""),10)</f>
        <v>10</v>
      </c>
      <c r="P271" s="54"/>
      <c r="Q271" s="54">
        <f ca="1">IFERROR(__xludf.DUMMYFUNCTION("""COMPUTED_VALUE"""),0)</f>
        <v>0</v>
      </c>
      <c r="R271" s="54"/>
      <c r="S271" s="54">
        <f ca="1">IFERROR(__xludf.DUMMYFUNCTION("""COMPUTED_VALUE"""),0)</f>
        <v>0</v>
      </c>
      <c r="T271" s="53">
        <f ca="1">IFERROR(__xludf.DUMMYFUNCTION("""COMPUTED_VALUE"""),5)</f>
        <v>5</v>
      </c>
      <c r="U271" s="53"/>
      <c r="V271" s="54">
        <f ca="1">IFERROR(__xludf.DUMMYFUNCTION("""COMPUTED_VALUE"""),5)</f>
        <v>5</v>
      </c>
      <c r="W271" s="54"/>
      <c r="X271" s="54">
        <f ca="1">IFERROR(__xludf.DUMMYFUNCTION("""COMPUTED_VALUE"""),5)</f>
        <v>5</v>
      </c>
      <c r="Y271" s="54"/>
      <c r="Z271" s="2"/>
      <c r="AA271" s="2"/>
      <c r="AB271" s="2"/>
      <c r="AC271" s="2"/>
      <c r="AD271" s="2"/>
      <c r="AE271" s="2"/>
    </row>
    <row r="272" spans="1:31" ht="12.75" x14ac:dyDescent="0.2">
      <c r="A272" s="55" t="str">
        <f ca="1">IFERROR(__xludf.DUMMYFUNCTION("""COMPUTED_VALUE"""),"GDTX")</f>
        <v>GDTX</v>
      </c>
      <c r="B272" s="53"/>
      <c r="C272" s="53"/>
      <c r="D272" s="53"/>
      <c r="E272" s="53"/>
      <c r="F272" s="54">
        <f ca="1">IFERROR(__xludf.DUMMYFUNCTION("""COMPUTED_VALUE"""),59)</f>
        <v>59</v>
      </c>
      <c r="G272" s="54"/>
      <c r="H272" s="54">
        <f ca="1">IFERROR(__xludf.DUMMYFUNCTION("""COMPUTED_VALUE"""),0)</f>
        <v>0</v>
      </c>
      <c r="I272" s="54"/>
      <c r="J272" s="54">
        <f ca="1">IFERROR(__xludf.DUMMYFUNCTION("""COMPUTED_VALUE"""),0)</f>
        <v>0</v>
      </c>
      <c r="K272" s="54"/>
      <c r="L272" s="54">
        <f ca="1">IFERROR(__xludf.DUMMYFUNCTION("""COMPUTED_VALUE"""),0)</f>
        <v>0</v>
      </c>
      <c r="M272" s="54"/>
      <c r="N272" s="54">
        <f ca="1">IFERROR(__xludf.DUMMYFUNCTION("""COMPUTED_VALUE"""),0)</f>
        <v>0</v>
      </c>
      <c r="O272" s="54">
        <f ca="1">IFERROR(__xludf.DUMMYFUNCTION("""COMPUTED_VALUE"""),0)</f>
        <v>0</v>
      </c>
      <c r="P272" s="54"/>
      <c r="Q272" s="54">
        <f ca="1">IFERROR(__xludf.DUMMYFUNCTION("""COMPUTED_VALUE"""),0)</f>
        <v>0</v>
      </c>
      <c r="R272" s="54"/>
      <c r="S272" s="54">
        <f ca="1">IFERROR(__xludf.DUMMYFUNCTION("""COMPUTED_VALUE"""),0)</f>
        <v>0</v>
      </c>
      <c r="T272" s="53">
        <f ca="1">IFERROR(__xludf.DUMMYFUNCTION("""COMPUTED_VALUE"""),1835)</f>
        <v>1835</v>
      </c>
      <c r="U272" s="53"/>
      <c r="V272" s="54">
        <f ca="1">IFERROR(__xludf.DUMMYFUNCTION("""COMPUTED_VALUE"""),1835)</f>
        <v>1835</v>
      </c>
      <c r="W272" s="54"/>
      <c r="X272" s="54">
        <f ca="1">IFERROR(__xludf.DUMMYFUNCTION("""COMPUTED_VALUE"""),1835)</f>
        <v>1835</v>
      </c>
      <c r="Y272" s="54"/>
      <c r="Z272" s="2"/>
      <c r="AA272" s="2"/>
      <c r="AB272" s="2"/>
      <c r="AC272" s="2"/>
      <c r="AD272" s="2"/>
      <c r="AE272" s="2"/>
    </row>
    <row r="273" spans="1:31" ht="12.75" x14ac:dyDescent="0.2">
      <c r="A273" s="53">
        <f ca="1">IFERROR(__xludf.DUMMYFUNCTION("""COMPUTED_VALUE"""),1)</f>
        <v>1</v>
      </c>
      <c r="B273" s="53" t="str">
        <f ca="1">IFERROR(__xludf.DUMMYFUNCTION("""COMPUTED_VALUE"""),"Trung tâm GDNN GDTX")</f>
        <v>Trung tâm GDNN GDTX</v>
      </c>
      <c r="C273" s="53" t="str">
        <f ca="1">IFERROR(__xludf.DUMMYFUNCTION("""COMPUTED_VALUE"""),"Tân Túc")</f>
        <v>Tân Túc</v>
      </c>
      <c r="D273" s="53" t="str">
        <f ca="1">IFERROR(__xludf.DUMMYFUNCTION("""COMPUTED_VALUE"""),"THPT")</f>
        <v>THPT</v>
      </c>
      <c r="E273" s="54" t="str">
        <f ca="1">IFERROR(__xludf.DUMMYFUNCTION("""COMPUTED_VALUE"""),"Bình Chánh")</f>
        <v>Bình Chánh</v>
      </c>
      <c r="F273" s="54">
        <f ca="1">IFERROR(__xludf.DUMMYFUNCTION("""COMPUTED_VALUE"""),59)</f>
        <v>59</v>
      </c>
      <c r="G273" s="54"/>
      <c r="H273" s="54">
        <f ca="1">IFERROR(__xludf.DUMMYFUNCTION("""COMPUTED_VALUE"""),0)</f>
        <v>0</v>
      </c>
      <c r="I273" s="54"/>
      <c r="J273" s="54">
        <f ca="1">IFERROR(__xludf.DUMMYFUNCTION("""COMPUTED_VALUE"""),0)</f>
        <v>0</v>
      </c>
      <c r="K273" s="54"/>
      <c r="L273" s="54">
        <f ca="1">IFERROR(__xludf.DUMMYFUNCTION("""COMPUTED_VALUE"""),0)</f>
        <v>0</v>
      </c>
      <c r="M273" s="54"/>
      <c r="N273" s="53"/>
      <c r="O273" s="53"/>
      <c r="P273" s="53"/>
      <c r="Q273" s="53"/>
      <c r="R273" s="53"/>
      <c r="S273" s="53"/>
      <c r="T273" s="53">
        <f ca="1">IFERROR(__xludf.DUMMYFUNCTION("""COMPUTED_VALUE"""),1835)</f>
        <v>1835</v>
      </c>
      <c r="U273" s="53"/>
      <c r="V273" s="53">
        <f ca="1">IFERROR(__xludf.DUMMYFUNCTION("""COMPUTED_VALUE"""),1835)</f>
        <v>1835</v>
      </c>
      <c r="W273" s="53"/>
      <c r="X273" s="53">
        <f ca="1">IFERROR(__xludf.DUMMYFUNCTION("""COMPUTED_VALUE"""),1835)</f>
        <v>1835</v>
      </c>
      <c r="Y273" s="53"/>
      <c r="Z273" s="2"/>
      <c r="AA273" s="2"/>
      <c r="AB273" s="2"/>
      <c r="AC273" s="2"/>
      <c r="AD273" s="2"/>
      <c r="AE273" s="2"/>
    </row>
    <row r="274" spans="1:31" ht="12.75" x14ac:dyDescent="0.2">
      <c r="A274" s="55" t="str">
        <f ca="1">IFERROR(__xludf.DUMMYFUNCTION("""COMPUTED_VALUE"""),"TRƯỜNG NHIỀU CẤP HỌC")</f>
        <v>TRƯỜNG NHIỀU CẤP HỌC</v>
      </c>
      <c r="B274" s="53"/>
      <c r="C274" s="53"/>
      <c r="D274" s="53"/>
      <c r="E274" s="53"/>
      <c r="F274" s="54">
        <f ca="1">IFERROR(__xludf.DUMMYFUNCTION("""COMPUTED_VALUE"""),661)</f>
        <v>661</v>
      </c>
      <c r="G274" s="54"/>
      <c r="H274" s="54">
        <f ca="1">IFERROR(__xludf.DUMMYFUNCTION("""COMPUTED_VALUE"""),544)</f>
        <v>544</v>
      </c>
      <c r="I274" s="54"/>
      <c r="J274" s="54">
        <f ca="1">IFERROR(__xludf.DUMMYFUNCTION("""COMPUTED_VALUE"""),559)</f>
        <v>559</v>
      </c>
      <c r="K274" s="54"/>
      <c r="L274" s="54">
        <f ca="1">IFERROR(__xludf.DUMMYFUNCTION("""COMPUTED_VALUE"""),466)</f>
        <v>466</v>
      </c>
      <c r="M274" s="54"/>
      <c r="N274" s="54">
        <f ca="1">IFERROR(__xludf.DUMMYFUNCTION("""COMPUTED_VALUE"""),0)</f>
        <v>0</v>
      </c>
      <c r="O274" s="54">
        <f ca="1">IFERROR(__xludf.DUMMYFUNCTION("""COMPUTED_VALUE"""),1647)</f>
        <v>1647</v>
      </c>
      <c r="P274" s="54"/>
      <c r="Q274" s="54">
        <f ca="1">IFERROR(__xludf.DUMMYFUNCTION("""COMPUTED_VALUE"""),230)</f>
        <v>230</v>
      </c>
      <c r="R274" s="54"/>
      <c r="S274" s="54">
        <f ca="1">IFERROR(__xludf.DUMMYFUNCTION("""COMPUTED_VALUE"""),0)</f>
        <v>0</v>
      </c>
      <c r="T274" s="53">
        <f ca="1">IFERROR(__xludf.DUMMYFUNCTION("""COMPUTED_VALUE"""),1141)</f>
        <v>1141</v>
      </c>
      <c r="U274" s="53"/>
      <c r="V274" s="54">
        <f ca="1">IFERROR(__xludf.DUMMYFUNCTION("""COMPUTED_VALUE"""),984)</f>
        <v>984</v>
      </c>
      <c r="W274" s="54"/>
      <c r="X274" s="54">
        <f ca="1">IFERROR(__xludf.DUMMYFUNCTION("""COMPUTED_VALUE"""),947)</f>
        <v>947</v>
      </c>
      <c r="Y274" s="54"/>
      <c r="Z274" s="2"/>
      <c r="AA274" s="2"/>
      <c r="AB274" s="2"/>
      <c r="AC274" s="2"/>
      <c r="AD274" s="2"/>
      <c r="AE274" s="2"/>
    </row>
    <row r="275" spans="1:31" ht="12.75" x14ac:dyDescent="0.2">
      <c r="A275" s="53">
        <f ca="1">IFERROR(__xludf.DUMMYFUNCTION("""COMPUTED_VALUE"""),1)</f>
        <v>1</v>
      </c>
      <c r="B275" s="53" t="str">
        <f ca="1">IFERROR(__xludf.DUMMYFUNCTION("""COMPUTED_VALUE"""),"TH, THCS Thế Giới Trẻ Em")</f>
        <v>TH, THCS Thế Giới Trẻ Em</v>
      </c>
      <c r="C275" s="53" t="str">
        <f ca="1">IFERROR(__xludf.DUMMYFUNCTION("""COMPUTED_VALUE"""),"Bình Hưng")</f>
        <v>Bình Hưng</v>
      </c>
      <c r="D275" s="53" t="str">
        <f ca="1">IFERROR(__xludf.DUMMYFUNCTION("""COMPUTED_VALUE"""),"TH")</f>
        <v>TH</v>
      </c>
      <c r="E275" s="54" t="str">
        <f ca="1">IFERROR(__xludf.DUMMYFUNCTION("""COMPUTED_VALUE"""),"Bình Chánh")</f>
        <v>Bình Chánh</v>
      </c>
      <c r="F275" s="54">
        <f ca="1">IFERROR(__xludf.DUMMYFUNCTION("""COMPUTED_VALUE"""),23)</f>
        <v>23</v>
      </c>
      <c r="G275" s="54"/>
      <c r="H275" s="54">
        <f ca="1">IFERROR(__xludf.DUMMYFUNCTION("""COMPUTED_VALUE"""),8)</f>
        <v>8</v>
      </c>
      <c r="I275" s="54"/>
      <c r="J275" s="54">
        <f ca="1">IFERROR(__xludf.DUMMYFUNCTION("""COMPUTED_VALUE"""),23)</f>
        <v>23</v>
      </c>
      <c r="K275" s="54"/>
      <c r="L275" s="54">
        <f ca="1">IFERROR(__xludf.DUMMYFUNCTION("""COMPUTED_VALUE"""),23)</f>
        <v>23</v>
      </c>
      <c r="M275" s="54"/>
      <c r="N275" s="54">
        <f ca="1">IFERROR(__xludf.DUMMYFUNCTION("""COMPUTED_VALUE"""),0)</f>
        <v>0</v>
      </c>
      <c r="O275" s="54">
        <f ca="1">IFERROR(__xludf.DUMMYFUNCTION("""COMPUTED_VALUE"""),143)</f>
        <v>143</v>
      </c>
      <c r="P275" s="54"/>
      <c r="Q275" s="54">
        <f ca="1">IFERROR(__xludf.DUMMYFUNCTION("""COMPUTED_VALUE"""),51)</f>
        <v>51</v>
      </c>
      <c r="R275" s="54"/>
      <c r="S275" s="53">
        <f ca="1">IFERROR(__xludf.DUMMYFUNCTION("""COMPUTED_VALUE"""),0)</f>
        <v>0</v>
      </c>
      <c r="T275" s="53">
        <f ca="1">IFERROR(__xludf.DUMMYFUNCTION("""COMPUTED_VALUE"""),30)</f>
        <v>30</v>
      </c>
      <c r="U275" s="53"/>
      <c r="V275" s="53">
        <f ca="1">IFERROR(__xludf.DUMMYFUNCTION("""COMPUTED_VALUE"""),28)</f>
        <v>28</v>
      </c>
      <c r="W275" s="53"/>
      <c r="X275" s="53">
        <f ca="1">IFERROR(__xludf.DUMMYFUNCTION("""COMPUTED_VALUE"""),12)</f>
        <v>12</v>
      </c>
      <c r="Y275" s="53"/>
      <c r="Z275" s="2"/>
      <c r="AA275" s="2"/>
      <c r="AB275" s="2"/>
      <c r="AC275" s="2"/>
      <c r="AD275" s="2"/>
      <c r="AE275" s="2"/>
    </row>
    <row r="276" spans="1:31" ht="12.75" x14ac:dyDescent="0.2">
      <c r="A276" s="53">
        <f ca="1">IFERROR(__xludf.DUMMYFUNCTION("""COMPUTED_VALUE"""),2)</f>
        <v>2</v>
      </c>
      <c r="B276" s="53" t="str">
        <f ca="1">IFERROR(__xludf.DUMMYFUNCTION("""COMPUTED_VALUE"""),"TH, THCS, THPT Albert Einstein")</f>
        <v>TH, THCS, THPT Albert Einstein</v>
      </c>
      <c r="C276" s="53" t="str">
        <f ca="1">IFERROR(__xludf.DUMMYFUNCTION("""COMPUTED_VALUE"""),"Phong Phú")</f>
        <v>Phong Phú</v>
      </c>
      <c r="D276" s="53" t="str">
        <f ca="1">IFERROR(__xludf.DUMMYFUNCTION("""COMPUTED_VALUE"""),"THPT")</f>
        <v>THPT</v>
      </c>
      <c r="E276" s="54" t="str">
        <f ca="1">IFERROR(__xludf.DUMMYFUNCTION("""COMPUTED_VALUE"""),"Bình Chánh")</f>
        <v>Bình Chánh</v>
      </c>
      <c r="F276" s="54">
        <f ca="1">IFERROR(__xludf.DUMMYFUNCTION("""COMPUTED_VALUE"""),183)</f>
        <v>183</v>
      </c>
      <c r="G276" s="54"/>
      <c r="H276" s="54">
        <f ca="1">IFERROR(__xludf.DUMMYFUNCTION("""COMPUTED_VALUE"""),183)</f>
        <v>183</v>
      </c>
      <c r="I276" s="54"/>
      <c r="J276" s="54">
        <f ca="1">IFERROR(__xludf.DUMMYFUNCTION("""COMPUTED_VALUE"""),183)</f>
        <v>183</v>
      </c>
      <c r="K276" s="54"/>
      <c r="L276" s="54">
        <f ca="1">IFERROR(__xludf.DUMMYFUNCTION("""COMPUTED_VALUE"""),120)</f>
        <v>120</v>
      </c>
      <c r="M276" s="54"/>
      <c r="N276" s="54">
        <f ca="1">IFERROR(__xludf.DUMMYFUNCTION("""COMPUTED_VALUE"""),0)</f>
        <v>0</v>
      </c>
      <c r="O276" s="54">
        <f ca="1">IFERROR(__xludf.DUMMYFUNCTION("""COMPUTED_VALUE"""),620)</f>
        <v>620</v>
      </c>
      <c r="P276" s="54"/>
      <c r="Q276" s="54">
        <f ca="1">IFERROR(__xludf.DUMMYFUNCTION("""COMPUTED_VALUE"""),58)</f>
        <v>58</v>
      </c>
      <c r="R276" s="54"/>
      <c r="S276" s="54">
        <f ca="1">IFERROR(__xludf.DUMMYFUNCTION("""COMPUTED_VALUE"""),0)</f>
        <v>0</v>
      </c>
      <c r="T276" s="53">
        <f ca="1">IFERROR(__xludf.DUMMYFUNCTION("""COMPUTED_VALUE"""),300)</f>
        <v>300</v>
      </c>
      <c r="U276" s="53"/>
      <c r="V276" s="54">
        <f ca="1">IFERROR(__xludf.DUMMYFUNCTION("""COMPUTED_VALUE"""),236)</f>
        <v>236</v>
      </c>
      <c r="W276" s="54"/>
      <c r="X276" s="54">
        <f ca="1">IFERROR(__xludf.DUMMYFUNCTION("""COMPUTED_VALUE"""),224)</f>
        <v>224</v>
      </c>
      <c r="Y276" s="54"/>
      <c r="Z276" s="2"/>
      <c r="AA276" s="2"/>
      <c r="AB276" s="2"/>
      <c r="AC276" s="2"/>
      <c r="AD276" s="2"/>
      <c r="AE276" s="2"/>
    </row>
    <row r="277" spans="1:31" ht="12.75" x14ac:dyDescent="0.2">
      <c r="A277" s="53">
        <f ca="1">IFERROR(__xludf.DUMMYFUNCTION("""COMPUTED_VALUE"""),3)</f>
        <v>3</v>
      </c>
      <c r="B277" s="53" t="str">
        <f ca="1">IFERROR(__xludf.DUMMYFUNCTION("""COMPUTED_VALUE"""),"TH, THCS, THPT Quốc tế Bắc Mỹ")</f>
        <v>TH, THCS, THPT Quốc tế Bắc Mỹ</v>
      </c>
      <c r="C277" s="53" t="str">
        <f ca="1">IFERROR(__xludf.DUMMYFUNCTION("""COMPUTED_VALUE"""),"Bình Hưng")</f>
        <v>Bình Hưng</v>
      </c>
      <c r="D277" s="53" t="str">
        <f ca="1">IFERROR(__xludf.DUMMYFUNCTION("""COMPUTED_VALUE"""),"THPT")</f>
        <v>THPT</v>
      </c>
      <c r="E277" s="54" t="str">
        <f ca="1">IFERROR(__xludf.DUMMYFUNCTION("""COMPUTED_VALUE"""),"Bình Chánh")</f>
        <v>Bình Chánh</v>
      </c>
      <c r="F277" s="54">
        <f ca="1">IFERROR(__xludf.DUMMYFUNCTION("""COMPUTED_VALUE"""),152)</f>
        <v>152</v>
      </c>
      <c r="G277" s="54"/>
      <c r="H277" s="54">
        <f ca="1">IFERROR(__xludf.DUMMYFUNCTION("""COMPUTED_VALUE"""),50)</f>
        <v>50</v>
      </c>
      <c r="I277" s="54"/>
      <c r="J277" s="54">
        <f ca="1">IFERROR(__xludf.DUMMYFUNCTION("""COMPUTED_VALUE"""),50)</f>
        <v>50</v>
      </c>
      <c r="K277" s="54"/>
      <c r="L277" s="54">
        <f ca="1">IFERROR(__xludf.DUMMYFUNCTION("""COMPUTED_VALUE"""),30)</f>
        <v>30</v>
      </c>
      <c r="M277" s="54"/>
      <c r="N277" s="54">
        <f ca="1">IFERROR(__xludf.DUMMYFUNCTION("""COMPUTED_VALUE"""),0)</f>
        <v>0</v>
      </c>
      <c r="O277" s="54">
        <f ca="1">IFERROR(__xludf.DUMMYFUNCTION("""COMPUTED_VALUE"""),218)</f>
        <v>218</v>
      </c>
      <c r="P277" s="54"/>
      <c r="Q277" s="54">
        <f ca="1">IFERROR(__xludf.DUMMYFUNCTION("""COMPUTED_VALUE"""),9)</f>
        <v>9</v>
      </c>
      <c r="R277" s="54"/>
      <c r="S277" s="54">
        <f ca="1">IFERROR(__xludf.DUMMYFUNCTION("""COMPUTED_VALUE"""),0)</f>
        <v>0</v>
      </c>
      <c r="T277" s="53">
        <f ca="1">IFERROR(__xludf.DUMMYFUNCTION("""COMPUTED_VALUE"""),219)</f>
        <v>219</v>
      </c>
      <c r="U277" s="53"/>
      <c r="V277" s="54">
        <f ca="1">IFERROR(__xludf.DUMMYFUNCTION("""COMPUTED_VALUE"""),203)</f>
        <v>203</v>
      </c>
      <c r="W277" s="54"/>
      <c r="X277" s="54">
        <f ca="1">IFERROR(__xludf.DUMMYFUNCTION("""COMPUTED_VALUE"""),197)</f>
        <v>197</v>
      </c>
      <c r="Y277" s="54"/>
      <c r="Z277" s="2"/>
      <c r="AA277" s="2"/>
      <c r="AB277" s="2"/>
      <c r="AC277" s="2"/>
      <c r="AD277" s="2"/>
      <c r="AE277" s="2"/>
    </row>
    <row r="278" spans="1:31" ht="12.75" x14ac:dyDescent="0.2">
      <c r="A278" s="53">
        <f ca="1">IFERROR(__xludf.DUMMYFUNCTION("""COMPUTED_VALUE"""),4)</f>
        <v>4</v>
      </c>
      <c r="B278" s="53" t="str">
        <f ca="1">IFERROR(__xludf.DUMMYFUNCTION("""COMPUTED_VALUE"""),"Quốc tế Singapore")</f>
        <v>Quốc tế Singapore</v>
      </c>
      <c r="C278" s="53" t="str">
        <f ca="1">IFERROR(__xludf.DUMMYFUNCTION("""COMPUTED_VALUE"""),"Bình Hưng")</f>
        <v>Bình Hưng</v>
      </c>
      <c r="D278" s="53" t="str">
        <f ca="1">IFERROR(__xludf.DUMMYFUNCTION("""COMPUTED_VALUE"""),"THPT")</f>
        <v>THPT</v>
      </c>
      <c r="E278" s="54" t="str">
        <f ca="1">IFERROR(__xludf.DUMMYFUNCTION("""COMPUTED_VALUE"""),"Bình Chánh")</f>
        <v>Bình Chánh</v>
      </c>
      <c r="F278" s="54">
        <f ca="1">IFERROR(__xludf.DUMMYFUNCTION("""COMPUTED_VALUE"""),68)</f>
        <v>68</v>
      </c>
      <c r="G278" s="54"/>
      <c r="H278" s="54">
        <f ca="1">IFERROR(__xludf.DUMMYFUNCTION("""COMPUTED_VALUE"""),68)</f>
        <v>68</v>
      </c>
      <c r="I278" s="54"/>
      <c r="J278" s="54">
        <f ca="1">IFERROR(__xludf.DUMMYFUNCTION("""COMPUTED_VALUE"""),68)</f>
        <v>68</v>
      </c>
      <c r="K278" s="54"/>
      <c r="L278" s="54">
        <f ca="1">IFERROR(__xludf.DUMMYFUNCTION("""COMPUTED_VALUE"""),68)</f>
        <v>68</v>
      </c>
      <c r="M278" s="54"/>
      <c r="N278" s="54">
        <f ca="1">IFERROR(__xludf.DUMMYFUNCTION("""COMPUTED_VALUE"""),0)</f>
        <v>0</v>
      </c>
      <c r="O278" s="54">
        <f ca="1">IFERROR(__xludf.DUMMYFUNCTION("""COMPUTED_VALUE"""),101)</f>
        <v>101</v>
      </c>
      <c r="P278" s="54"/>
      <c r="Q278" s="54">
        <f ca="1">IFERROR(__xludf.DUMMYFUNCTION("""COMPUTED_VALUE"""),17)</f>
        <v>17</v>
      </c>
      <c r="R278" s="54"/>
      <c r="S278" s="53">
        <f ca="1">IFERROR(__xludf.DUMMYFUNCTION("""COMPUTED_VALUE"""),0)</f>
        <v>0</v>
      </c>
      <c r="T278" s="53">
        <f ca="1">IFERROR(__xludf.DUMMYFUNCTION("""COMPUTED_VALUE"""),104)</f>
        <v>104</v>
      </c>
      <c r="U278" s="53"/>
      <c r="V278" s="53">
        <f ca="1">IFERROR(__xludf.DUMMYFUNCTION("""COMPUTED_VALUE"""),76)</f>
        <v>76</v>
      </c>
      <c r="W278" s="53"/>
      <c r="X278" s="53">
        <f ca="1">IFERROR(__xludf.DUMMYFUNCTION("""COMPUTED_VALUE"""),76)</f>
        <v>76</v>
      </c>
      <c r="Y278" s="53"/>
      <c r="Z278" s="2"/>
      <c r="AA278" s="2"/>
      <c r="AB278" s="2"/>
      <c r="AC278" s="2"/>
      <c r="AD278" s="2"/>
      <c r="AE278" s="2"/>
    </row>
    <row r="279" spans="1:31" ht="12.75" x14ac:dyDescent="0.2">
      <c r="A279" s="53">
        <f ca="1">IFERROR(__xludf.DUMMYFUNCTION("""COMPUTED_VALUE"""),5)</f>
        <v>5</v>
      </c>
      <c r="B279" s="53" t="str">
        <f ca="1">IFERROR(__xludf.DUMMYFUNCTION("""COMPUTED_VALUE"""),"Quốc tế Anh Việt")</f>
        <v>Quốc tế Anh Việt</v>
      </c>
      <c r="C279" s="53" t="str">
        <f ca="1">IFERROR(__xludf.DUMMYFUNCTION("""COMPUTED_VALUE"""),"Bình Hưng")</f>
        <v>Bình Hưng</v>
      </c>
      <c r="D279" s="53" t="str">
        <f ca="1">IFERROR(__xludf.DUMMYFUNCTION("""COMPUTED_VALUE"""),"THPT")</f>
        <v>THPT</v>
      </c>
      <c r="E279" s="54" t="str">
        <f ca="1">IFERROR(__xludf.DUMMYFUNCTION("""COMPUTED_VALUE"""),"Bình Chánh")</f>
        <v>Bình Chánh</v>
      </c>
      <c r="F279" s="54">
        <f ca="1">IFERROR(__xludf.DUMMYFUNCTION("""COMPUTED_VALUE"""),235)</f>
        <v>235</v>
      </c>
      <c r="G279" s="54"/>
      <c r="H279" s="54">
        <f ca="1">IFERROR(__xludf.DUMMYFUNCTION("""COMPUTED_VALUE"""),235)</f>
        <v>235</v>
      </c>
      <c r="I279" s="54"/>
      <c r="J279" s="54">
        <f ca="1">IFERROR(__xludf.DUMMYFUNCTION("""COMPUTED_VALUE"""),235)</f>
        <v>235</v>
      </c>
      <c r="K279" s="54"/>
      <c r="L279" s="54">
        <f ca="1">IFERROR(__xludf.DUMMYFUNCTION("""COMPUTED_VALUE"""),225)</f>
        <v>225</v>
      </c>
      <c r="M279" s="54"/>
      <c r="N279" s="54">
        <f ca="1">IFERROR(__xludf.DUMMYFUNCTION("""COMPUTED_VALUE"""),0)</f>
        <v>0</v>
      </c>
      <c r="O279" s="54">
        <f ca="1">IFERROR(__xludf.DUMMYFUNCTION("""COMPUTED_VALUE"""),565)</f>
        <v>565</v>
      </c>
      <c r="P279" s="54"/>
      <c r="Q279" s="54">
        <f ca="1">IFERROR(__xludf.DUMMYFUNCTION("""COMPUTED_VALUE"""),95)</f>
        <v>95</v>
      </c>
      <c r="R279" s="54"/>
      <c r="S279" s="54">
        <f ca="1">IFERROR(__xludf.DUMMYFUNCTION("""COMPUTED_VALUE"""),0)</f>
        <v>0</v>
      </c>
      <c r="T279" s="53">
        <f ca="1">IFERROR(__xludf.DUMMYFUNCTION("""COMPUTED_VALUE"""),488)</f>
        <v>488</v>
      </c>
      <c r="U279" s="53"/>
      <c r="V279" s="54">
        <f ca="1">IFERROR(__xludf.DUMMYFUNCTION("""COMPUTED_VALUE"""),441)</f>
        <v>441</v>
      </c>
      <c r="W279" s="54"/>
      <c r="X279" s="54">
        <f ca="1">IFERROR(__xludf.DUMMYFUNCTION("""COMPUTED_VALUE"""),438)</f>
        <v>438</v>
      </c>
      <c r="Y279" s="54"/>
      <c r="Z279" s="2"/>
      <c r="AA279" s="2"/>
      <c r="AB279" s="2"/>
      <c r="AC279" s="2"/>
      <c r="AD279" s="2"/>
      <c r="AE279" s="2"/>
    </row>
    <row r="280" spans="1:31" ht="12.75" x14ac:dyDescent="0.2">
      <c r="A280" s="55" t="str">
        <f ca="1">IFERROR(__xludf.DUMMYFUNCTION("""COMPUTED_VALUE"""),"TRƯỜNG TRUNG CẤP - CAO ĐẲNG")</f>
        <v>TRƯỜNG TRUNG CẤP - CAO ĐẲNG</v>
      </c>
      <c r="B280" s="53"/>
      <c r="C280" s="53"/>
      <c r="D280" s="53"/>
      <c r="E280" s="53"/>
      <c r="F280" s="54">
        <f ca="1">IFERROR(__xludf.DUMMYFUNCTION("""COMPUTED_VALUE"""),79)</f>
        <v>79</v>
      </c>
      <c r="G280" s="54"/>
      <c r="H280" s="54">
        <f ca="1">IFERROR(__xludf.DUMMYFUNCTION("""COMPUTED_VALUE"""),0)</f>
        <v>0</v>
      </c>
      <c r="I280" s="54"/>
      <c r="J280" s="54">
        <f ca="1">IFERROR(__xludf.DUMMYFUNCTION("""COMPUTED_VALUE"""),57)</f>
        <v>57</v>
      </c>
      <c r="K280" s="54"/>
      <c r="L280" s="54">
        <f ca="1">IFERROR(__xludf.DUMMYFUNCTION("""COMPUTED_VALUE"""),14)</f>
        <v>14</v>
      </c>
      <c r="M280" s="54"/>
      <c r="N280" s="54">
        <f ca="1">IFERROR(__xludf.DUMMYFUNCTION("""COMPUTED_VALUE"""),0)</f>
        <v>0</v>
      </c>
      <c r="O280" s="54">
        <f ca="1">IFERROR(__xludf.DUMMYFUNCTION("""COMPUTED_VALUE"""),0)</f>
        <v>0</v>
      </c>
      <c r="P280" s="54"/>
      <c r="Q280" s="54">
        <f ca="1">IFERROR(__xludf.DUMMYFUNCTION("""COMPUTED_VALUE"""),0)</f>
        <v>0</v>
      </c>
      <c r="R280" s="54"/>
      <c r="S280" s="54">
        <f ca="1">IFERROR(__xludf.DUMMYFUNCTION("""COMPUTED_VALUE"""),0)</f>
        <v>0</v>
      </c>
      <c r="T280" s="53">
        <f ca="1">IFERROR(__xludf.DUMMYFUNCTION("""COMPUTED_VALUE"""),412)</f>
        <v>412</v>
      </c>
      <c r="U280" s="53"/>
      <c r="V280" s="54">
        <f ca="1">IFERROR(__xludf.DUMMYFUNCTION("""COMPUTED_VALUE"""),409)</f>
        <v>409</v>
      </c>
      <c r="W280" s="54"/>
      <c r="X280" s="54">
        <f ca="1">IFERROR(__xludf.DUMMYFUNCTION("""COMPUTED_VALUE"""),405)</f>
        <v>405</v>
      </c>
      <c r="Y280" s="54"/>
      <c r="Z280" s="2"/>
      <c r="AA280" s="2"/>
      <c r="AB280" s="2"/>
      <c r="AC280" s="2"/>
      <c r="AD280" s="2"/>
      <c r="AE280" s="2"/>
    </row>
    <row r="281" spans="1:31" ht="12.75" x14ac:dyDescent="0.2">
      <c r="A281" s="53">
        <f ca="1">IFERROR(__xludf.DUMMYFUNCTION("""COMPUTED_VALUE"""),1)</f>
        <v>1</v>
      </c>
      <c r="B281" s="53" t="str">
        <f ca="1">IFERROR(__xludf.DUMMYFUNCTION("""COMPUTED_VALUE"""),"TC nghề Trần Đại Nghĩa")</f>
        <v>TC nghề Trần Đại Nghĩa</v>
      </c>
      <c r="C281" s="53" t="str">
        <f ca="1">IFERROR(__xludf.DUMMYFUNCTION("""COMPUTED_VALUE"""),"Bình Chánh")</f>
        <v>Bình Chánh</v>
      </c>
      <c r="D281" s="53" t="str">
        <f ca="1">IFERROR(__xludf.DUMMYFUNCTION("""COMPUTED_VALUE"""),"THPT")</f>
        <v>THPT</v>
      </c>
      <c r="E281" s="54" t="str">
        <f ca="1">IFERROR(__xludf.DUMMYFUNCTION("""COMPUTED_VALUE"""),"Bình Chánh")</f>
        <v>Bình Chánh</v>
      </c>
      <c r="F281" s="54">
        <f ca="1">IFERROR(__xludf.DUMMYFUNCTION("""COMPUTED_VALUE"""),22)</f>
        <v>22</v>
      </c>
      <c r="G281" s="54"/>
      <c r="H281" s="54">
        <f ca="1">IFERROR(__xludf.DUMMYFUNCTION("""COMPUTED_VALUE"""),0)</f>
        <v>0</v>
      </c>
      <c r="I281" s="54"/>
      <c r="J281" s="54">
        <f ca="1">IFERROR(__xludf.DUMMYFUNCTION("""COMPUTED_VALUE"""),0)</f>
        <v>0</v>
      </c>
      <c r="K281" s="54"/>
      <c r="L281" s="53">
        <f ca="1">IFERROR(__xludf.DUMMYFUNCTION("""COMPUTED_VALUE"""),14)</f>
        <v>14</v>
      </c>
      <c r="M281" s="53"/>
      <c r="N281" s="54">
        <f ca="1">IFERROR(__xludf.DUMMYFUNCTION("""COMPUTED_VALUE"""),0)</f>
        <v>0</v>
      </c>
      <c r="O281" s="53"/>
      <c r="P281" s="53"/>
      <c r="Q281" s="53"/>
      <c r="R281" s="53"/>
      <c r="S281" s="53"/>
      <c r="T281" s="53">
        <f ca="1">IFERROR(__xludf.DUMMYFUNCTION("""COMPUTED_VALUE"""),291)</f>
        <v>291</v>
      </c>
      <c r="U281" s="53"/>
      <c r="V281" s="54">
        <f ca="1">IFERROR(__xludf.DUMMYFUNCTION("""COMPUTED_VALUE"""),291)</f>
        <v>291</v>
      </c>
      <c r="W281" s="54"/>
      <c r="X281" s="54">
        <f ca="1">IFERROR(__xludf.DUMMYFUNCTION("""COMPUTED_VALUE"""),291)</f>
        <v>291</v>
      </c>
      <c r="Y281" s="54"/>
      <c r="Z281" s="2"/>
      <c r="AA281" s="2"/>
      <c r="AB281" s="2"/>
      <c r="AC281" s="2"/>
      <c r="AD281" s="2"/>
      <c r="AE281" s="2"/>
    </row>
    <row r="282" spans="1:31" ht="12.75" x14ac:dyDescent="0.2">
      <c r="A282" s="53">
        <f ca="1">IFERROR(__xludf.DUMMYFUNCTION("""COMPUTED_VALUE"""),2)</f>
        <v>2</v>
      </c>
      <c r="B282" s="53" t="str">
        <f ca="1">IFERROR(__xludf.DUMMYFUNCTION("""COMPUTED_VALUE"""),"Cao Đẳng Việt Mỹ")</f>
        <v>Cao Đẳng Việt Mỹ</v>
      </c>
      <c r="C282" s="53" t="str">
        <f ca="1">IFERROR(__xludf.DUMMYFUNCTION("""COMPUTED_VALUE"""),"Bình Hưng")</f>
        <v>Bình Hưng</v>
      </c>
      <c r="D282" s="53" t="str">
        <f ca="1">IFERROR(__xludf.DUMMYFUNCTION("""COMPUTED_VALUE"""),"THPT")</f>
        <v>THPT</v>
      </c>
      <c r="E282" s="54" t="str">
        <f ca="1">IFERROR(__xludf.DUMMYFUNCTION("""COMPUTED_VALUE"""),"Bình Chánh")</f>
        <v>Bình Chánh</v>
      </c>
      <c r="F282" s="54">
        <f ca="1">IFERROR(__xludf.DUMMYFUNCTION("""COMPUTED_VALUE"""),57)</f>
        <v>57</v>
      </c>
      <c r="G282" s="54"/>
      <c r="H282" s="54">
        <f ca="1">IFERROR(__xludf.DUMMYFUNCTION("""COMPUTED_VALUE"""),0)</f>
        <v>0</v>
      </c>
      <c r="I282" s="54"/>
      <c r="J282" s="54">
        <f ca="1">IFERROR(__xludf.DUMMYFUNCTION("""COMPUTED_VALUE"""),57)</f>
        <v>57</v>
      </c>
      <c r="K282" s="54"/>
      <c r="L282" s="54">
        <f ca="1">IFERROR(__xludf.DUMMYFUNCTION("""COMPUTED_VALUE"""),0)</f>
        <v>0</v>
      </c>
      <c r="M282" s="54"/>
      <c r="N282" s="54">
        <f ca="1">IFERROR(__xludf.DUMMYFUNCTION("""COMPUTED_VALUE"""),0)</f>
        <v>0</v>
      </c>
      <c r="O282" s="53"/>
      <c r="P282" s="53"/>
      <c r="Q282" s="53"/>
      <c r="R282" s="53"/>
      <c r="S282" s="53"/>
      <c r="T282" s="53">
        <f ca="1">IFERROR(__xludf.DUMMYFUNCTION("""COMPUTED_VALUE"""),121)</f>
        <v>121</v>
      </c>
      <c r="U282" s="53"/>
      <c r="V282" s="54">
        <f ca="1">IFERROR(__xludf.DUMMYFUNCTION("""COMPUTED_VALUE"""),118)</f>
        <v>118</v>
      </c>
      <c r="W282" s="54"/>
      <c r="X282" s="54">
        <f ca="1">IFERROR(__xludf.DUMMYFUNCTION("""COMPUTED_VALUE"""),114)</f>
        <v>114</v>
      </c>
      <c r="Y282" s="54"/>
      <c r="Z282" s="2"/>
      <c r="AA282" s="2"/>
      <c r="AB282" s="2"/>
      <c r="AC282" s="2"/>
      <c r="AD282" s="2"/>
      <c r="AE282" s="2"/>
    </row>
    <row r="283" spans="1:31" ht="12.75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2.75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2.75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2.75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2.75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2.75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2.75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2.75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2.75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2.75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2.75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2.75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2.75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2.75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2.75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2.75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2.75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2.75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2.75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2.75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2.75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2.75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2.75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2.75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2.75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2.75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2.75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2.75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2.75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2.75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2.75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2.75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2.75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2.75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2.75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2.75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2.75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2.75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2.75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2.75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2.75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2.75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2.75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2.75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2.75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2.75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2.75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2.75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2.75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2.75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2.75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2.75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2.75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2.75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2.75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2.75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2.75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2.75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2.75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2.75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2.75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2.75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2.75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2.75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2.75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2.75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2.75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2.75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2.75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2.75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2.75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2.75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2.75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2.75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2.75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2.75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2.75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2.75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2.75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2.75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2.75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2.75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2.75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2.75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2.75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2.75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2.75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2.75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2.75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2.75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2.75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2.75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2.75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2.75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2.75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2.75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2.75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2.75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2.75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2.75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2.75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2.75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2.75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2.75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2.75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2.75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2.75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2.75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2.75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2.75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2.75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2.75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2.75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2.75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2.75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2.75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2.75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2.75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2.75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2.75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2.75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2.75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2.75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2.75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2.75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2.75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2.75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2.75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2.75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2.75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2.75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2.75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2.75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2.75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2.75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2.75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2.75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2.75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2.75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2.75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2.75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2.75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2.75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2.75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2.75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2.75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2.75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2.75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2.75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2.75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2.75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2.75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2.75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2.75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2.75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2.75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2.75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2.75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2.75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2.75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2.75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2.75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2.75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2.75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2.75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2.75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2.75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2.75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2.75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2.75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2.75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2.75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2.75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2.75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2.75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2.75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2.75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2.75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2.75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2.75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2.75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2.75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2.75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2.75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2.75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2.75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2.75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2.75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2.75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2.75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2.75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2.75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2.75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2.75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2.75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2.75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2.75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2.75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2.75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2.75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2.75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2.75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2.75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2.75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2.75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2.75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2.75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2.75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2.75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2.75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2.75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2.75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2.75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2.75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2.75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2.75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2.75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2.75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2.75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2.75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2.75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2.75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2.75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2.75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2.75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2.75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2.75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2.75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2.75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2.75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2.75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2.75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2.75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2.75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2.75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2.75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2.75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2.75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2.75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2.75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2.75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2.75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2.75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2.75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2.75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2.75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2.75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2.75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2.75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2.75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2.75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2.75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2.75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2.75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2.75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2.75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2.75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2.75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2.75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2.75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2.75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2.75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2.75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2.75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2.75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2.75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2.75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2.75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2.75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2.75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2.75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2.75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2.75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2.75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2.75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2.75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2.75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2.75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2.75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2.75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2.75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2.75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2.75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2.75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2.75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2.75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2.75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2.75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2.75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2.75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2.75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2.75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2.75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2.75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2.75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2.75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2.75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2.75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2.75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2.75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2.75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2.75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2.75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2.75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2.75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2.75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2.75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2.75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2.75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2.75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2.75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2.75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2.75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2.75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2.75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2.75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2.75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2.75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2.75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2.75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2.75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2.75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2.75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2.75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2.75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2.75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2.75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2.75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2.75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2.75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2.75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2.75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2.75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2.75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2.75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2.75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2.75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2.75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2.75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2.75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2.75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2.75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2.75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2.75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2.75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2.75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2.75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2.75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2.75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2.75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2.75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2.75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2.75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2.75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2.75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2.75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2.75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2.75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2.75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2.75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2.75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2.75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2.75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2.75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2.75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2.75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2.75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2.75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2.75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2.75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2.75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2.75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2.75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2.75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2.75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2.75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2.75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2.75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2.75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2.75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2.75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2.75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2.75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2.75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2.75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2.75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2.75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2.75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2.75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2.75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2.75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2.75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2.75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2.75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2.75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2.75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2.75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2.75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2.75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2.75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2.75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2.75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2.75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2.75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2.75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2.75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2.75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2.75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2.75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2.75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2.75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2.75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2.75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2.75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2.75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2.75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2.75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2.75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2.75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2.75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2.75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2.75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2.75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2.75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2.75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2.75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2.75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2.75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2.75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2.75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2.75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2.75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2.75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2.75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2.75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2.75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2.75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2.75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2.75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2.75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2.75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2.75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2.75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2.75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2.75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2.75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2.75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2.75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2.75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2.75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2.75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2.75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2.75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2.75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2.75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2.75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2.75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2.75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2.75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2.75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2.75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2.75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2.75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2.75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2.75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2.75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2.75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2.75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2.75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2.75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2.75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2.75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2.75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2.75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2.75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2.75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2.75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2.75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2.75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2.75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2.75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2.75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2.75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2.75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2.75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2.75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2.75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2.75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2.75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2.75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2.75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2.75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2.75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2.75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2.75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2.75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2.75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2.75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2.75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2.75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2.75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2.75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2.75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2.75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2.75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2.75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2.75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2.75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2.75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2.75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2.75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2.75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2.75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2.75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2.75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2.75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2.75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2.75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2.75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2.75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2.75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2.75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2.75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2.75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2.75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2.75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2.75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2.75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2.75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2.75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2.75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2.75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2.75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2.75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2.75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2.75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2.75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2.75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2.75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2.75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2.75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2.75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2.75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2.75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2.75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2.75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2.75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2.75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2.75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2.75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2.75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2.75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2.75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2.75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2.75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2.75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2.75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2.75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2.75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2.75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2.75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2.75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2.75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2.75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2.75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2.75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2.75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2.75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2.75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2.75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2.75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2.75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2.75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2.75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2.75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2.75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2.75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2.75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2.75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2.75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2.75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2.75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2.75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2.75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2.75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2.75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2.75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2.75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2.75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2.75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2.75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2.75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2.75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2.75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2.75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2.75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2.75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2.75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2.75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2.75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2.75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2.75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2.75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2.75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2.75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2.75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2.75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2.75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2.75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2.75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2.75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2.75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2.75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2.75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2.75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2.75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2.75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2.75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2.75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2.75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2.75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2.75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2.75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2.75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2.75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2.75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2.75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2.75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2.75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2.75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2.75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2.75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2.75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2.75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2.75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2.75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2.75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2.75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2.75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2.75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2.75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2.75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2.75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2.75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2.75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2.75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2.75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2.75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2.75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2.75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2.75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2.75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2.75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2.75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2.75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2.75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2.75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2.75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2.75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2.75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2.75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2.75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2.75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2.75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2.75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2.75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2.75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2.75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2.75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2.75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2.75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2.75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2.75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2.75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2.75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2.75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2.75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2.75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2.75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2.75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2.75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2.75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2.75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2.75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2.75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2.75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2.75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2.75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2.75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2.75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2.75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2.75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2.75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2.75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2.75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2.75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2.75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2.75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2.75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2.75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2.75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2.75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2.75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2.75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2.75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2.75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2.75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2.75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2.75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2.75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2.75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2.75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2.75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2.75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2.75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 ht="12.75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 ht="12.75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  <row r="1000" spans="1:31" ht="12.75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</row>
  </sheetData>
  <mergeCells count="16">
    <mergeCell ref="N3:R3"/>
    <mergeCell ref="S3:Y3"/>
    <mergeCell ref="F4:G4"/>
    <mergeCell ref="H4:I4"/>
    <mergeCell ref="J4:K4"/>
    <mergeCell ref="L4:M4"/>
    <mergeCell ref="O4:P4"/>
    <mergeCell ref="Q4:R4"/>
    <mergeCell ref="T4:U4"/>
    <mergeCell ref="V4:W4"/>
    <mergeCell ref="X4:Y4"/>
    <mergeCell ref="A3:A4"/>
    <mergeCell ref="B3:B4"/>
    <mergeCell ref="C3:C4"/>
    <mergeCell ref="D3:D4"/>
    <mergeCell ref="E3:M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D1000"/>
  <sheetViews>
    <sheetView zoomScale="85" zoomScaleNormal="85" workbookViewId="0">
      <selection activeCell="B21" sqref="B21"/>
    </sheetView>
  </sheetViews>
  <sheetFormatPr defaultColWidth="12.5703125" defaultRowHeight="15.75" customHeight="1" x14ac:dyDescent="0.2"/>
  <cols>
    <col min="1" max="1" width="9" style="3" customWidth="1"/>
    <col min="2" max="2" width="36.7109375" style="3" customWidth="1"/>
    <col min="3" max="4" width="12.5703125" style="3"/>
    <col min="5" max="5" width="10.42578125" style="3" customWidth="1"/>
    <col min="6" max="13" width="8.85546875" style="3" customWidth="1"/>
    <col min="14" max="14" width="10.42578125" style="3" customWidth="1"/>
    <col min="15" max="18" width="8.85546875" style="3" customWidth="1"/>
    <col min="19" max="19" width="10.42578125" style="3" customWidth="1"/>
    <col min="20" max="25" width="8.85546875" style="3" customWidth="1"/>
    <col min="26" max="16384" width="12.5703125" style="3"/>
  </cols>
  <sheetData>
    <row r="1" spans="1:30" ht="26.25" customHeight="1" x14ac:dyDescent="0.2">
      <c r="A1" s="49" t="s">
        <v>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</row>
    <row r="2" spans="1:30" ht="35.25" customHeight="1" x14ac:dyDescent="0.2">
      <c r="A2" s="4" t="s">
        <v>26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</row>
    <row r="3" spans="1:30" ht="30.75" customHeight="1" x14ac:dyDescent="0.2">
      <c r="A3" s="89" t="str">
        <f ca="1">IFERROR(__xludf.DUMMYFUNCTION("IMPORTRANGE(""https://docs.google.com/spreadsheets/d/1giFCfPZvq6d2WPbrXwJ7ksTcnSjmuNbU5G4IRrh5hOk/edit#gid=0"",""Q3!A14:T300"")"),"STT")</f>
        <v>STT</v>
      </c>
      <c r="B3" s="101" t="str">
        <f ca="1">IFERROR(__xludf.DUMMYFUNCTION("""COMPUTED_VALUE"""),"TRƯỜNG")</f>
        <v>TRƯỜNG</v>
      </c>
      <c r="C3" s="101" t="str">
        <f ca="1">IFERROR(__xludf.DUMMYFUNCTION("""COMPUTED_VALUE"""),"BẬC HỌC (MN, TH, THCS, THPT, CB, GDTX)")</f>
        <v>BẬC HỌC (MN, TH, THCS, THPT, CB, GDTX)</v>
      </c>
      <c r="D3" s="101" t="str">
        <f ca="1">IFERROR(__xludf.DUMMYFUNCTION("""COMPUTED_VALUE"""),"THÀNH PHỐ, QUẬN, HUYỆN")</f>
        <v>THÀNH PHỐ, QUẬN, HUYỆN</v>
      </c>
      <c r="E3" s="91" t="str">
        <f ca="1">IFERROR(__xludf.DUMMYFUNCTION("""COMPUTED_VALUE"""),"Cán bộ - Giáo viên - Nhân viên")</f>
        <v>Cán bộ - Giáo viên - Nhân viên</v>
      </c>
      <c r="F3" s="92"/>
      <c r="G3" s="92"/>
      <c r="H3" s="92"/>
      <c r="I3" s="92"/>
      <c r="J3" s="92"/>
      <c r="K3" s="92"/>
      <c r="L3" s="92"/>
      <c r="M3" s="92"/>
      <c r="N3" s="102" t="str">
        <f ca="1">IFERROR(__xludf.DUMMYFUNCTION("""COMPUTED_VALUE"""),"Học sinh từ 5 đến dưới 12 tuổi")</f>
        <v>Học sinh từ 5 đến dưới 12 tuổi</v>
      </c>
      <c r="O3" s="92"/>
      <c r="P3" s="92"/>
      <c r="Q3" s="92"/>
      <c r="R3" s="92"/>
      <c r="S3" s="94" t="str">
        <f ca="1">IFERROR(__xludf.DUMMYFUNCTION("""COMPUTED_VALUE"""),"Học sinh từ 12 đến dưới 18 tuổi")</f>
        <v>Học sinh từ 12 đến dưới 18 tuổi</v>
      </c>
      <c r="T3" s="95"/>
      <c r="U3" s="95"/>
      <c r="V3" s="95"/>
      <c r="W3" s="95"/>
      <c r="X3" s="95"/>
      <c r="Y3" s="95"/>
      <c r="Z3" s="2"/>
      <c r="AA3" s="2"/>
      <c r="AB3" s="2"/>
      <c r="AC3" s="2"/>
      <c r="AD3" s="2"/>
    </row>
    <row r="4" spans="1:30" ht="27" customHeight="1" x14ac:dyDescent="0.2">
      <c r="A4" s="90"/>
      <c r="B4" s="88"/>
      <c r="C4" s="88"/>
      <c r="D4" s="88"/>
      <c r="E4" s="58" t="str">
        <f ca="1">IFERROR(__xludf.DUMMYFUNCTION("""COMPUTED_VALUE"""),"Tổng CB-GV-NV")</f>
        <v>Tổng CB-GV-NV</v>
      </c>
      <c r="F4" s="96" t="s">
        <v>22</v>
      </c>
      <c r="G4" s="97"/>
      <c r="H4" s="96" t="s">
        <v>23</v>
      </c>
      <c r="I4" s="97"/>
      <c r="J4" s="96" t="s">
        <v>24</v>
      </c>
      <c r="K4" s="97"/>
      <c r="L4" s="96" t="s">
        <v>25</v>
      </c>
      <c r="M4" s="97"/>
      <c r="N4" s="58" t="str">
        <f ca="1">IFERROR(__xludf.DUMMYFUNCTION("""COMPUTED_VALUE"""),"Tổng học sinh")</f>
        <v>Tổng học sinh</v>
      </c>
      <c r="O4" s="96" t="s">
        <v>22</v>
      </c>
      <c r="P4" s="97"/>
      <c r="Q4" s="96" t="s">
        <v>23</v>
      </c>
      <c r="R4" s="97"/>
      <c r="S4" s="58" t="str">
        <f ca="1">IFERROR(__xludf.DUMMYFUNCTION("""COMPUTED_VALUE"""),"Tổng học sinh")</f>
        <v>Tổng học sinh</v>
      </c>
      <c r="T4" s="98" t="s">
        <v>22</v>
      </c>
      <c r="U4" s="99"/>
      <c r="V4" s="98" t="s">
        <v>23</v>
      </c>
      <c r="W4" s="99"/>
      <c r="X4" s="98" t="s">
        <v>24</v>
      </c>
      <c r="Y4" s="99"/>
      <c r="Z4" s="2"/>
      <c r="AA4" s="2"/>
      <c r="AB4" s="2"/>
      <c r="AC4" s="2"/>
      <c r="AD4" s="2"/>
    </row>
    <row r="5" spans="1:30" ht="12.75" x14ac:dyDescent="0.2">
      <c r="A5" s="78" t="str">
        <f ca="1">IFERROR(__xludf.DUMMYFUNCTION("""COMPUTED_VALUE"""),"TỔNG TOÀN QUẬN/HUYỆN/TP")</f>
        <v>TỔNG TOÀN QUẬN/HUYỆN/TP</v>
      </c>
      <c r="B5" s="17"/>
      <c r="C5" s="61"/>
      <c r="D5" s="61" t="str">
        <f ca="1">IFERROR(__xludf.DUMMYFUNCTION("""COMPUTED_VALUE"""),"Quận 3")</f>
        <v>Quận 3</v>
      </c>
      <c r="E5" s="15">
        <f ca="1">IFERROR(__xludf.DUMMYFUNCTION("""COMPUTED_VALUE"""),3322)</f>
        <v>3322</v>
      </c>
      <c r="F5" s="15">
        <f ca="1">IFERROR(__xludf.DUMMYFUNCTION("""COMPUTED_VALUE"""),3321)</f>
        <v>3321</v>
      </c>
      <c r="G5" s="51">
        <f ca="1">IFERROR(F5/E5,"")</f>
        <v>0.99969897652016859</v>
      </c>
      <c r="H5" s="15">
        <f ca="1">IFERROR(__xludf.DUMMYFUNCTION("""COMPUTED_VALUE"""),3314)</f>
        <v>3314</v>
      </c>
      <c r="I5" s="51">
        <f ca="1">IFERROR(H5/E5,"")</f>
        <v>0.99759181216134862</v>
      </c>
      <c r="J5" s="15">
        <f ca="1">IFERROR(__xludf.DUMMYFUNCTION("""COMPUTED_VALUE"""),3182)</f>
        <v>3182</v>
      </c>
      <c r="K5" s="51">
        <f ca="1">IFERROR(J5/E5,"")</f>
        <v>0.95785671282360019</v>
      </c>
      <c r="L5" s="15">
        <f ca="1">IFERROR(__xludf.DUMMYFUNCTION("""COMPUTED_VALUE"""),1587)</f>
        <v>1587</v>
      </c>
      <c r="M5" s="51">
        <f ca="1">IFERROR(L5/E5,"")</f>
        <v>0.47772426249247441</v>
      </c>
      <c r="N5" s="15">
        <f ca="1">IFERROR(__xludf.DUMMYFUNCTION("""COMPUTED_VALUE"""),20246)</f>
        <v>20246</v>
      </c>
      <c r="O5" s="15">
        <f ca="1">IFERROR(__xludf.DUMMYFUNCTION("""COMPUTED_VALUE"""),9723)</f>
        <v>9723</v>
      </c>
      <c r="P5" s="51">
        <f ca="1">IFERROR(O5/N5,"")</f>
        <v>0.48024301096512889</v>
      </c>
      <c r="Q5" s="15">
        <f ca="1">IFERROR(__xludf.DUMMYFUNCTION("""COMPUTED_VALUE"""),5483)</f>
        <v>5483</v>
      </c>
      <c r="R5" s="51">
        <f ca="1">IFERROR(Q5/N5,"")</f>
        <v>0.27081892719549538</v>
      </c>
      <c r="S5" s="15">
        <f ca="1">IFERROR(__xludf.DUMMYFUNCTION("""COMPUTED_VALUE"""),19415)</f>
        <v>19415</v>
      </c>
      <c r="T5" s="15">
        <f ca="1">IFERROR(__xludf.DUMMYFUNCTION("""COMPUTED_VALUE"""),18206)</f>
        <v>18206</v>
      </c>
      <c r="U5" s="51">
        <f ca="1">IFERROR(T5/S5,"")</f>
        <v>0.93772856039144992</v>
      </c>
      <c r="V5" s="15">
        <f ca="1">IFERROR(__xludf.DUMMYFUNCTION("""COMPUTED_VALUE"""),17459)</f>
        <v>17459</v>
      </c>
      <c r="W5" s="51">
        <f ca="1">IFERROR(V5/S5,"")</f>
        <v>0.89925315477723411</v>
      </c>
      <c r="X5" s="15">
        <f ca="1">IFERROR(__xludf.DUMMYFUNCTION("""COMPUTED_VALUE"""),6455)</f>
        <v>6455</v>
      </c>
      <c r="Y5" s="51">
        <f ca="1">IFERROR(X5/S5,"")</f>
        <v>0.33247489054854495</v>
      </c>
      <c r="Z5" s="2"/>
      <c r="AA5" s="2"/>
      <c r="AB5" s="2"/>
      <c r="AC5" s="2"/>
      <c r="AD5" s="2"/>
    </row>
    <row r="6" spans="1:30" ht="12.75" x14ac:dyDescent="0.2">
      <c r="A6" s="86" t="str">
        <f ca="1">IFERROR(__xludf.DUMMYFUNCTION("""COMPUTED_VALUE"""),"Mầm non")</f>
        <v>Mầm non</v>
      </c>
      <c r="B6" s="87"/>
      <c r="C6" s="88"/>
      <c r="D6" s="14"/>
      <c r="E6" s="20"/>
      <c r="F6" s="14"/>
      <c r="G6" s="51" t="str">
        <f t="shared" ref="G6:G69" si="0">IFERROR(F6/E6,"")</f>
        <v/>
      </c>
      <c r="H6" s="14"/>
      <c r="I6" s="51" t="str">
        <f t="shared" ref="I6:I69" si="1">IFERROR(H6/E6,"")</f>
        <v/>
      </c>
      <c r="J6" s="14"/>
      <c r="K6" s="51" t="str">
        <f t="shared" ref="K6:K69" si="2">IFERROR(J6/E6,"")</f>
        <v/>
      </c>
      <c r="L6" s="21"/>
      <c r="M6" s="51" t="str">
        <f t="shared" ref="M6:M69" si="3">IFERROR(L6/E6,"")</f>
        <v/>
      </c>
      <c r="N6" s="14"/>
      <c r="O6" s="20"/>
      <c r="P6" s="51" t="str">
        <f t="shared" ref="P6:P69" si="4">IFERROR(O6/N6,"")</f>
        <v/>
      </c>
      <c r="Q6" s="14"/>
      <c r="R6" s="51" t="str">
        <f t="shared" ref="R6:R69" si="5">IFERROR(Q6/N6,"")</f>
        <v/>
      </c>
      <c r="S6" s="14"/>
      <c r="T6" s="20"/>
      <c r="U6" s="51" t="str">
        <f t="shared" ref="U6:U69" si="6">IFERROR(T6/S6,"")</f>
        <v/>
      </c>
      <c r="V6" s="14"/>
      <c r="W6" s="51" t="str">
        <f t="shared" ref="W6:W69" si="7">IFERROR(V6/S6,"")</f>
        <v/>
      </c>
      <c r="X6" s="14"/>
      <c r="Y6" s="51" t="str">
        <f t="shared" ref="Y6:Y69" si="8">IFERROR(X6/S6,"")</f>
        <v/>
      </c>
      <c r="Z6" s="2"/>
      <c r="AA6" s="2"/>
      <c r="AB6" s="2"/>
      <c r="AC6" s="2"/>
      <c r="AD6" s="2"/>
    </row>
    <row r="7" spans="1:30" ht="12.75" x14ac:dyDescent="0.2">
      <c r="A7" s="79">
        <f ca="1">IFERROR(__xludf.DUMMYFUNCTION("""COMPUTED_VALUE"""),1)</f>
        <v>1</v>
      </c>
      <c r="B7" s="21" t="str">
        <f ca="1">IFERROR(__xludf.DUMMYFUNCTION("""COMPUTED_VALUE"""),"Mầm Non 1")</f>
        <v>Mầm Non 1</v>
      </c>
      <c r="C7" s="21" t="str">
        <f ca="1">IFERROR(__xludf.DUMMYFUNCTION("""COMPUTED_VALUE"""),"MN")</f>
        <v>MN</v>
      </c>
      <c r="D7" s="21">
        <f ca="1">IFERROR(__xludf.DUMMYFUNCTION("""COMPUTED_VALUE"""),3)</f>
        <v>3</v>
      </c>
      <c r="E7" s="17">
        <f ca="1">IFERROR(__xludf.DUMMYFUNCTION("""COMPUTED_VALUE"""),37)</f>
        <v>37</v>
      </c>
      <c r="F7" s="19">
        <f ca="1">IFERROR(__xludf.DUMMYFUNCTION("""COMPUTED_VALUE"""),37)</f>
        <v>37</v>
      </c>
      <c r="G7" s="51">
        <f t="shared" ca="1" si="0"/>
        <v>1</v>
      </c>
      <c r="H7" s="19">
        <f ca="1">IFERROR(__xludf.DUMMYFUNCTION("""COMPUTED_VALUE"""),37)</f>
        <v>37</v>
      </c>
      <c r="I7" s="51">
        <f t="shared" ca="1" si="1"/>
        <v>1</v>
      </c>
      <c r="J7" s="19">
        <f ca="1">IFERROR(__xludf.DUMMYFUNCTION("""COMPUTED_VALUE"""),37)</f>
        <v>37</v>
      </c>
      <c r="K7" s="51">
        <f t="shared" ca="1" si="2"/>
        <v>1</v>
      </c>
      <c r="L7" s="18">
        <f ca="1">IFERROR(__xludf.DUMMYFUNCTION("""COMPUTED_VALUE"""),10)</f>
        <v>10</v>
      </c>
      <c r="M7" s="51">
        <f t="shared" ca="1" si="3"/>
        <v>0.27027027027027029</v>
      </c>
      <c r="N7" s="19">
        <f ca="1">IFERROR(__xludf.DUMMYFUNCTION("""COMPUTED_VALUE"""),86)</f>
        <v>86</v>
      </c>
      <c r="O7" s="19">
        <f ca="1">IFERROR(__xludf.DUMMYFUNCTION("""COMPUTED_VALUE"""),6)</f>
        <v>6</v>
      </c>
      <c r="P7" s="51">
        <f t="shared" ca="1" si="4"/>
        <v>6.9767441860465115E-2</v>
      </c>
      <c r="Q7" s="19">
        <f ca="1">IFERROR(__xludf.DUMMYFUNCTION("""COMPUTED_VALUE"""),6)</f>
        <v>6</v>
      </c>
      <c r="R7" s="51">
        <f t="shared" ca="1" si="5"/>
        <v>6.9767441860465115E-2</v>
      </c>
      <c r="S7" s="19">
        <f ca="1">IFERROR(__xludf.DUMMYFUNCTION("""COMPUTED_VALUE"""),0)</f>
        <v>0</v>
      </c>
      <c r="T7" s="14">
        <f ca="1">IFERROR(__xludf.DUMMYFUNCTION("""COMPUTED_VALUE"""),0)</f>
        <v>0</v>
      </c>
      <c r="U7" s="51" t="str">
        <f t="shared" ca="1" si="6"/>
        <v/>
      </c>
      <c r="V7" s="19">
        <f ca="1">IFERROR(__xludf.DUMMYFUNCTION("""COMPUTED_VALUE"""),0)</f>
        <v>0</v>
      </c>
      <c r="W7" s="51" t="str">
        <f t="shared" ca="1" si="7"/>
        <v/>
      </c>
      <c r="X7" s="19">
        <f ca="1">IFERROR(__xludf.DUMMYFUNCTION("""COMPUTED_VALUE"""),0)</f>
        <v>0</v>
      </c>
      <c r="Y7" s="51" t="str">
        <f t="shared" ca="1" si="8"/>
        <v/>
      </c>
      <c r="Z7" s="2"/>
      <c r="AA7" s="2"/>
      <c r="AB7" s="2"/>
      <c r="AC7" s="2"/>
      <c r="AD7" s="2"/>
    </row>
    <row r="8" spans="1:30" ht="12.75" x14ac:dyDescent="0.2">
      <c r="A8" s="79">
        <f ca="1">IFERROR(__xludf.DUMMYFUNCTION("""COMPUTED_VALUE"""),2)</f>
        <v>2</v>
      </c>
      <c r="B8" s="21" t="str">
        <f ca="1">IFERROR(__xludf.DUMMYFUNCTION("""COMPUTED_VALUE"""),"Mầm Non 2")</f>
        <v>Mầm Non 2</v>
      </c>
      <c r="C8" s="21" t="str">
        <f ca="1">IFERROR(__xludf.DUMMYFUNCTION("""COMPUTED_VALUE"""),"MN")</f>
        <v>MN</v>
      </c>
      <c r="D8" s="21">
        <f ca="1">IFERROR(__xludf.DUMMYFUNCTION("""COMPUTED_VALUE"""),3)</f>
        <v>3</v>
      </c>
      <c r="E8" s="17">
        <f ca="1">IFERROR(__xludf.DUMMYFUNCTION("""COMPUTED_VALUE"""),41)</f>
        <v>41</v>
      </c>
      <c r="F8" s="19">
        <f ca="1">IFERROR(__xludf.DUMMYFUNCTION("""COMPUTED_VALUE"""),41)</f>
        <v>41</v>
      </c>
      <c r="G8" s="51">
        <f t="shared" ca="1" si="0"/>
        <v>1</v>
      </c>
      <c r="H8" s="14">
        <f ca="1">IFERROR(__xludf.DUMMYFUNCTION("""COMPUTED_VALUE"""),41)</f>
        <v>41</v>
      </c>
      <c r="I8" s="51">
        <f t="shared" ca="1" si="1"/>
        <v>1</v>
      </c>
      <c r="J8" s="19">
        <f ca="1">IFERROR(__xludf.DUMMYFUNCTION("""COMPUTED_VALUE"""),41)</f>
        <v>41</v>
      </c>
      <c r="K8" s="51">
        <f t="shared" ca="1" si="2"/>
        <v>1</v>
      </c>
      <c r="L8" s="18">
        <f ca="1">IFERROR(__xludf.DUMMYFUNCTION("""COMPUTED_VALUE"""),10)</f>
        <v>10</v>
      </c>
      <c r="M8" s="51">
        <f t="shared" ca="1" si="3"/>
        <v>0.24390243902439024</v>
      </c>
      <c r="N8" s="19">
        <f ca="1">IFERROR(__xludf.DUMMYFUNCTION("""COMPUTED_VALUE"""),51)</f>
        <v>51</v>
      </c>
      <c r="O8" s="19">
        <f ca="1">IFERROR(__xludf.DUMMYFUNCTION("""COMPUTED_VALUE"""),8)</f>
        <v>8</v>
      </c>
      <c r="P8" s="51">
        <f t="shared" ca="1" si="4"/>
        <v>0.15686274509803921</v>
      </c>
      <c r="Q8" s="19">
        <f ca="1">IFERROR(__xludf.DUMMYFUNCTION("""COMPUTED_VALUE"""),1)</f>
        <v>1</v>
      </c>
      <c r="R8" s="51">
        <f t="shared" ca="1" si="5"/>
        <v>1.9607843137254902E-2</v>
      </c>
      <c r="S8" s="19">
        <f ca="1">IFERROR(__xludf.DUMMYFUNCTION("""COMPUTED_VALUE"""),0)</f>
        <v>0</v>
      </c>
      <c r="T8" s="19">
        <f ca="1">IFERROR(__xludf.DUMMYFUNCTION("""COMPUTED_VALUE"""),0)</f>
        <v>0</v>
      </c>
      <c r="U8" s="51" t="str">
        <f t="shared" ca="1" si="6"/>
        <v/>
      </c>
      <c r="V8" s="19">
        <f ca="1">IFERROR(__xludf.DUMMYFUNCTION("""COMPUTED_VALUE"""),0)</f>
        <v>0</v>
      </c>
      <c r="W8" s="51" t="str">
        <f t="shared" ca="1" si="7"/>
        <v/>
      </c>
      <c r="X8" s="19">
        <f ca="1">IFERROR(__xludf.DUMMYFUNCTION("""COMPUTED_VALUE"""),0)</f>
        <v>0</v>
      </c>
      <c r="Y8" s="51" t="str">
        <f t="shared" ca="1" si="8"/>
        <v/>
      </c>
      <c r="Z8" s="2"/>
      <c r="AA8" s="2"/>
      <c r="AB8" s="2"/>
      <c r="AC8" s="2"/>
      <c r="AD8" s="2"/>
    </row>
    <row r="9" spans="1:30" ht="12.75" x14ac:dyDescent="0.2">
      <c r="A9" s="79">
        <f ca="1">IFERROR(__xludf.DUMMYFUNCTION("""COMPUTED_VALUE"""),3)</f>
        <v>3</v>
      </c>
      <c r="B9" s="21" t="str">
        <f ca="1">IFERROR(__xludf.DUMMYFUNCTION("""COMPUTED_VALUE"""),"Mầm Non 3")</f>
        <v>Mầm Non 3</v>
      </c>
      <c r="C9" s="21" t="str">
        <f ca="1">IFERROR(__xludf.DUMMYFUNCTION("""COMPUTED_VALUE"""),"MN")</f>
        <v>MN</v>
      </c>
      <c r="D9" s="21">
        <f ca="1">IFERROR(__xludf.DUMMYFUNCTION("""COMPUTED_VALUE"""),3)</f>
        <v>3</v>
      </c>
      <c r="E9" s="17">
        <f ca="1">IFERROR(__xludf.DUMMYFUNCTION("""COMPUTED_VALUE"""),25)</f>
        <v>25</v>
      </c>
      <c r="F9" s="19">
        <f ca="1">IFERROR(__xludf.DUMMYFUNCTION("""COMPUTED_VALUE"""),25)</f>
        <v>25</v>
      </c>
      <c r="G9" s="51">
        <f t="shared" ca="1" si="0"/>
        <v>1</v>
      </c>
      <c r="H9" s="19">
        <f ca="1">IFERROR(__xludf.DUMMYFUNCTION("""COMPUTED_VALUE"""),25)</f>
        <v>25</v>
      </c>
      <c r="I9" s="51">
        <f t="shared" ca="1" si="1"/>
        <v>1</v>
      </c>
      <c r="J9" s="19">
        <f ca="1">IFERROR(__xludf.DUMMYFUNCTION("""COMPUTED_VALUE"""),25)</f>
        <v>25</v>
      </c>
      <c r="K9" s="51">
        <f t="shared" ca="1" si="2"/>
        <v>1</v>
      </c>
      <c r="L9" s="18">
        <f ca="1">IFERROR(__xludf.DUMMYFUNCTION("""COMPUTED_VALUE"""),22)</f>
        <v>22</v>
      </c>
      <c r="M9" s="51">
        <f t="shared" ca="1" si="3"/>
        <v>0.88</v>
      </c>
      <c r="N9" s="19">
        <f ca="1">IFERROR(__xludf.DUMMYFUNCTION("""COMPUTED_VALUE"""),34)</f>
        <v>34</v>
      </c>
      <c r="O9" s="19">
        <f ca="1">IFERROR(__xludf.DUMMYFUNCTION("""COMPUTED_VALUE"""),12)</f>
        <v>12</v>
      </c>
      <c r="P9" s="51">
        <f t="shared" ca="1" si="4"/>
        <v>0.35294117647058826</v>
      </c>
      <c r="Q9" s="19">
        <f ca="1">IFERROR(__xludf.DUMMYFUNCTION("""COMPUTED_VALUE"""),1)</f>
        <v>1</v>
      </c>
      <c r="R9" s="51">
        <f t="shared" ca="1" si="5"/>
        <v>2.9411764705882353E-2</v>
      </c>
      <c r="S9" s="19">
        <f ca="1">IFERROR(__xludf.DUMMYFUNCTION("""COMPUTED_VALUE"""),0)</f>
        <v>0</v>
      </c>
      <c r="T9" s="19">
        <f ca="1">IFERROR(__xludf.DUMMYFUNCTION("""COMPUTED_VALUE"""),0)</f>
        <v>0</v>
      </c>
      <c r="U9" s="51" t="str">
        <f t="shared" ca="1" si="6"/>
        <v/>
      </c>
      <c r="V9" s="19">
        <f ca="1">IFERROR(__xludf.DUMMYFUNCTION("""COMPUTED_VALUE"""),0)</f>
        <v>0</v>
      </c>
      <c r="W9" s="51" t="str">
        <f t="shared" ca="1" si="7"/>
        <v/>
      </c>
      <c r="X9" s="19">
        <f ca="1">IFERROR(__xludf.DUMMYFUNCTION("""COMPUTED_VALUE"""),0)</f>
        <v>0</v>
      </c>
      <c r="Y9" s="51" t="str">
        <f t="shared" ca="1" si="8"/>
        <v/>
      </c>
      <c r="Z9" s="2"/>
      <c r="AA9" s="2"/>
      <c r="AB9" s="2"/>
      <c r="AC9" s="2"/>
      <c r="AD9" s="2"/>
    </row>
    <row r="10" spans="1:30" ht="12.75" x14ac:dyDescent="0.2">
      <c r="A10" s="79">
        <f ca="1">IFERROR(__xludf.DUMMYFUNCTION("""COMPUTED_VALUE"""),4)</f>
        <v>4</v>
      </c>
      <c r="B10" s="21" t="str">
        <f ca="1">IFERROR(__xludf.DUMMYFUNCTION("""COMPUTED_VALUE"""),"Mầm Non 4")</f>
        <v>Mầm Non 4</v>
      </c>
      <c r="C10" s="21" t="str">
        <f ca="1">IFERROR(__xludf.DUMMYFUNCTION("""COMPUTED_VALUE"""),"MN")</f>
        <v>MN</v>
      </c>
      <c r="D10" s="21">
        <f ca="1">IFERROR(__xludf.DUMMYFUNCTION("""COMPUTED_VALUE"""),3)</f>
        <v>3</v>
      </c>
      <c r="E10" s="17">
        <f ca="1">IFERROR(__xludf.DUMMYFUNCTION("""COMPUTED_VALUE"""),68)</f>
        <v>68</v>
      </c>
      <c r="F10" s="19">
        <f ca="1">IFERROR(__xludf.DUMMYFUNCTION("""COMPUTED_VALUE"""),68)</f>
        <v>68</v>
      </c>
      <c r="G10" s="51">
        <f t="shared" ca="1" si="0"/>
        <v>1</v>
      </c>
      <c r="H10" s="19">
        <f ca="1">IFERROR(__xludf.DUMMYFUNCTION("""COMPUTED_VALUE"""),68)</f>
        <v>68</v>
      </c>
      <c r="I10" s="51">
        <f t="shared" ca="1" si="1"/>
        <v>1</v>
      </c>
      <c r="J10" s="19">
        <f ca="1">IFERROR(__xludf.DUMMYFUNCTION("""COMPUTED_VALUE"""),61)</f>
        <v>61</v>
      </c>
      <c r="K10" s="51">
        <f t="shared" ca="1" si="2"/>
        <v>0.8970588235294118</v>
      </c>
      <c r="L10" s="18">
        <f ca="1">IFERROR(__xludf.DUMMYFUNCTION("""COMPUTED_VALUE"""),32)</f>
        <v>32</v>
      </c>
      <c r="M10" s="51">
        <f t="shared" ca="1" si="3"/>
        <v>0.47058823529411764</v>
      </c>
      <c r="N10" s="19">
        <f ca="1">IFERROR(__xludf.DUMMYFUNCTION("""COMPUTED_VALUE"""),63)</f>
        <v>63</v>
      </c>
      <c r="O10" s="19">
        <f ca="1">IFERROR(__xludf.DUMMYFUNCTION("""COMPUTED_VALUE"""),17)</f>
        <v>17</v>
      </c>
      <c r="P10" s="51">
        <f t="shared" ca="1" si="4"/>
        <v>0.26984126984126983</v>
      </c>
      <c r="Q10" s="19">
        <f ca="1">IFERROR(__xludf.DUMMYFUNCTION("""COMPUTED_VALUE"""),9)</f>
        <v>9</v>
      </c>
      <c r="R10" s="51">
        <f t="shared" ca="1" si="5"/>
        <v>0.14285714285714285</v>
      </c>
      <c r="S10" s="19">
        <f ca="1">IFERROR(__xludf.DUMMYFUNCTION("""COMPUTED_VALUE"""),0)</f>
        <v>0</v>
      </c>
      <c r="T10" s="19">
        <f ca="1">IFERROR(__xludf.DUMMYFUNCTION("""COMPUTED_VALUE"""),0)</f>
        <v>0</v>
      </c>
      <c r="U10" s="51" t="str">
        <f t="shared" ca="1" si="6"/>
        <v/>
      </c>
      <c r="V10" s="19">
        <f ca="1">IFERROR(__xludf.DUMMYFUNCTION("""COMPUTED_VALUE"""),0)</f>
        <v>0</v>
      </c>
      <c r="W10" s="51" t="str">
        <f t="shared" ca="1" si="7"/>
        <v/>
      </c>
      <c r="X10" s="19">
        <f ca="1">IFERROR(__xludf.DUMMYFUNCTION("""COMPUTED_VALUE"""),0)</f>
        <v>0</v>
      </c>
      <c r="Y10" s="51" t="str">
        <f t="shared" ca="1" si="8"/>
        <v/>
      </c>
      <c r="Z10" s="2"/>
      <c r="AA10" s="2"/>
      <c r="AB10" s="2"/>
      <c r="AC10" s="2"/>
      <c r="AD10" s="2"/>
    </row>
    <row r="11" spans="1:30" ht="12.75" x14ac:dyDescent="0.2">
      <c r="A11" s="79">
        <f ca="1">IFERROR(__xludf.DUMMYFUNCTION("""COMPUTED_VALUE"""),5)</f>
        <v>5</v>
      </c>
      <c r="B11" s="21" t="str">
        <f ca="1">IFERROR(__xludf.DUMMYFUNCTION("""COMPUTED_VALUE"""),"Mầm Non 5")</f>
        <v>Mầm Non 5</v>
      </c>
      <c r="C11" s="21" t="str">
        <f ca="1">IFERROR(__xludf.DUMMYFUNCTION("""COMPUTED_VALUE"""),"MN")</f>
        <v>MN</v>
      </c>
      <c r="D11" s="21">
        <f ca="1">IFERROR(__xludf.DUMMYFUNCTION("""COMPUTED_VALUE"""),3)</f>
        <v>3</v>
      </c>
      <c r="E11" s="17">
        <f ca="1">IFERROR(__xludf.DUMMYFUNCTION("""COMPUTED_VALUE"""),31)</f>
        <v>31</v>
      </c>
      <c r="F11" s="19">
        <f ca="1">IFERROR(__xludf.DUMMYFUNCTION("""COMPUTED_VALUE"""),31)</f>
        <v>31</v>
      </c>
      <c r="G11" s="51">
        <f t="shared" ca="1" si="0"/>
        <v>1</v>
      </c>
      <c r="H11" s="19">
        <f ca="1">IFERROR(__xludf.DUMMYFUNCTION("""COMPUTED_VALUE"""),31)</f>
        <v>31</v>
      </c>
      <c r="I11" s="51">
        <f t="shared" ca="1" si="1"/>
        <v>1</v>
      </c>
      <c r="J11" s="19">
        <f ca="1">IFERROR(__xludf.DUMMYFUNCTION("""COMPUTED_VALUE"""),31)</f>
        <v>31</v>
      </c>
      <c r="K11" s="51">
        <f t="shared" ca="1" si="2"/>
        <v>1</v>
      </c>
      <c r="L11" s="19">
        <f ca="1">IFERROR(__xludf.DUMMYFUNCTION("""COMPUTED_VALUE"""),29)</f>
        <v>29</v>
      </c>
      <c r="M11" s="51">
        <f t="shared" ca="1" si="3"/>
        <v>0.93548387096774188</v>
      </c>
      <c r="N11" s="19">
        <f ca="1">IFERROR(__xludf.DUMMYFUNCTION("""COMPUTED_VALUE"""),26)</f>
        <v>26</v>
      </c>
      <c r="O11" s="19">
        <f ca="1">IFERROR(__xludf.DUMMYFUNCTION("""COMPUTED_VALUE"""),5)</f>
        <v>5</v>
      </c>
      <c r="P11" s="51">
        <f t="shared" ca="1" si="4"/>
        <v>0.19230769230769232</v>
      </c>
      <c r="Q11" s="19">
        <f ca="1">IFERROR(__xludf.DUMMYFUNCTION("""COMPUTED_VALUE"""),2)</f>
        <v>2</v>
      </c>
      <c r="R11" s="51">
        <f t="shared" ca="1" si="5"/>
        <v>7.6923076923076927E-2</v>
      </c>
      <c r="S11" s="19">
        <f ca="1">IFERROR(__xludf.DUMMYFUNCTION("""COMPUTED_VALUE"""),0)</f>
        <v>0</v>
      </c>
      <c r="T11" s="14">
        <f ca="1">IFERROR(__xludf.DUMMYFUNCTION("""COMPUTED_VALUE"""),0)</f>
        <v>0</v>
      </c>
      <c r="U11" s="51" t="str">
        <f t="shared" ca="1" si="6"/>
        <v/>
      </c>
      <c r="V11" s="19">
        <f ca="1">IFERROR(__xludf.DUMMYFUNCTION("""COMPUTED_VALUE"""),0)</f>
        <v>0</v>
      </c>
      <c r="W11" s="51" t="str">
        <f t="shared" ca="1" si="7"/>
        <v/>
      </c>
      <c r="X11" s="19">
        <f ca="1">IFERROR(__xludf.DUMMYFUNCTION("""COMPUTED_VALUE"""),0)</f>
        <v>0</v>
      </c>
      <c r="Y11" s="51" t="str">
        <f t="shared" ca="1" si="8"/>
        <v/>
      </c>
      <c r="Z11" s="2"/>
      <c r="AA11" s="2"/>
      <c r="AB11" s="2"/>
      <c r="AC11" s="2"/>
      <c r="AD11" s="2"/>
    </row>
    <row r="12" spans="1:30" ht="12.75" x14ac:dyDescent="0.2">
      <c r="A12" s="79">
        <f ca="1">IFERROR(__xludf.DUMMYFUNCTION("""COMPUTED_VALUE"""),6)</f>
        <v>6</v>
      </c>
      <c r="B12" s="21" t="str">
        <f ca="1">IFERROR(__xludf.DUMMYFUNCTION("""COMPUTED_VALUE"""),"Mầm Non 6")</f>
        <v>Mầm Non 6</v>
      </c>
      <c r="C12" s="21" t="str">
        <f ca="1">IFERROR(__xludf.DUMMYFUNCTION("""COMPUTED_VALUE"""),"MN")</f>
        <v>MN</v>
      </c>
      <c r="D12" s="21">
        <f ca="1">IFERROR(__xludf.DUMMYFUNCTION("""COMPUTED_VALUE"""),3)</f>
        <v>3</v>
      </c>
      <c r="E12" s="17">
        <f ca="1">IFERROR(__xludf.DUMMYFUNCTION("""COMPUTED_VALUE"""),50)</f>
        <v>50</v>
      </c>
      <c r="F12" s="19">
        <f ca="1">IFERROR(__xludf.DUMMYFUNCTION("""COMPUTED_VALUE"""),50)</f>
        <v>50</v>
      </c>
      <c r="G12" s="51">
        <f t="shared" ca="1" si="0"/>
        <v>1</v>
      </c>
      <c r="H12" s="19">
        <f ca="1">IFERROR(__xludf.DUMMYFUNCTION("""COMPUTED_VALUE"""),50)</f>
        <v>50</v>
      </c>
      <c r="I12" s="51">
        <f t="shared" ca="1" si="1"/>
        <v>1</v>
      </c>
      <c r="J12" s="19">
        <f ca="1">IFERROR(__xludf.DUMMYFUNCTION("""COMPUTED_VALUE"""),47)</f>
        <v>47</v>
      </c>
      <c r="K12" s="51">
        <f t="shared" ca="1" si="2"/>
        <v>0.94</v>
      </c>
      <c r="L12" s="18">
        <f ca="1">IFERROR(__xludf.DUMMYFUNCTION("""COMPUTED_VALUE"""),17)</f>
        <v>17</v>
      </c>
      <c r="M12" s="51">
        <f t="shared" ca="1" si="3"/>
        <v>0.34</v>
      </c>
      <c r="N12" s="19">
        <f ca="1">IFERROR(__xludf.DUMMYFUNCTION("""COMPUTED_VALUE"""),90)</f>
        <v>90</v>
      </c>
      <c r="O12" s="19">
        <f ca="1">IFERROR(__xludf.DUMMYFUNCTION("""COMPUTED_VALUE"""),6)</f>
        <v>6</v>
      </c>
      <c r="P12" s="51">
        <f t="shared" ca="1" si="4"/>
        <v>6.6666666666666666E-2</v>
      </c>
      <c r="Q12" s="19">
        <f ca="1">IFERROR(__xludf.DUMMYFUNCTION("""COMPUTED_VALUE"""),5)</f>
        <v>5</v>
      </c>
      <c r="R12" s="51">
        <f t="shared" ca="1" si="5"/>
        <v>5.5555555555555552E-2</v>
      </c>
      <c r="S12" s="19">
        <f ca="1">IFERROR(__xludf.DUMMYFUNCTION("""COMPUTED_VALUE"""),0)</f>
        <v>0</v>
      </c>
      <c r="T12" s="19">
        <f ca="1">IFERROR(__xludf.DUMMYFUNCTION("""COMPUTED_VALUE"""),0)</f>
        <v>0</v>
      </c>
      <c r="U12" s="51" t="str">
        <f t="shared" ca="1" si="6"/>
        <v/>
      </c>
      <c r="V12" s="19">
        <f ca="1">IFERROR(__xludf.DUMMYFUNCTION("""COMPUTED_VALUE"""),0)</f>
        <v>0</v>
      </c>
      <c r="W12" s="51" t="str">
        <f t="shared" ca="1" si="7"/>
        <v/>
      </c>
      <c r="X12" s="19">
        <f ca="1">IFERROR(__xludf.DUMMYFUNCTION("""COMPUTED_VALUE"""),0)</f>
        <v>0</v>
      </c>
      <c r="Y12" s="51" t="str">
        <f t="shared" ca="1" si="8"/>
        <v/>
      </c>
      <c r="Z12" s="2"/>
      <c r="AA12" s="2"/>
      <c r="AB12" s="2"/>
      <c r="AC12" s="2"/>
      <c r="AD12" s="2"/>
    </row>
    <row r="13" spans="1:30" ht="12.75" x14ac:dyDescent="0.2">
      <c r="A13" s="79">
        <f ca="1">IFERROR(__xludf.DUMMYFUNCTION("""COMPUTED_VALUE"""),7)</f>
        <v>7</v>
      </c>
      <c r="B13" s="21" t="str">
        <f ca="1">IFERROR(__xludf.DUMMYFUNCTION("""COMPUTED_VALUE"""),"Mầm Non 7")</f>
        <v>Mầm Non 7</v>
      </c>
      <c r="C13" s="21" t="str">
        <f ca="1">IFERROR(__xludf.DUMMYFUNCTION("""COMPUTED_VALUE"""),"MN")</f>
        <v>MN</v>
      </c>
      <c r="D13" s="21">
        <f ca="1">IFERROR(__xludf.DUMMYFUNCTION("""COMPUTED_VALUE"""),3)</f>
        <v>3</v>
      </c>
      <c r="E13" s="17">
        <f ca="1">IFERROR(__xludf.DUMMYFUNCTION("""COMPUTED_VALUE"""),42)</f>
        <v>42</v>
      </c>
      <c r="F13" s="19">
        <f ca="1">IFERROR(__xludf.DUMMYFUNCTION("""COMPUTED_VALUE"""),42)</f>
        <v>42</v>
      </c>
      <c r="G13" s="51">
        <f t="shared" ca="1" si="0"/>
        <v>1</v>
      </c>
      <c r="H13" s="19">
        <f ca="1">IFERROR(__xludf.DUMMYFUNCTION("""COMPUTED_VALUE"""),42)</f>
        <v>42</v>
      </c>
      <c r="I13" s="51">
        <f t="shared" ca="1" si="1"/>
        <v>1</v>
      </c>
      <c r="J13" s="19">
        <f ca="1">IFERROR(__xludf.DUMMYFUNCTION("""COMPUTED_VALUE"""),39)</f>
        <v>39</v>
      </c>
      <c r="K13" s="51">
        <f t="shared" ca="1" si="2"/>
        <v>0.9285714285714286</v>
      </c>
      <c r="L13" s="18">
        <f ca="1">IFERROR(__xludf.DUMMYFUNCTION("""COMPUTED_VALUE"""),19)</f>
        <v>19</v>
      </c>
      <c r="M13" s="51">
        <f t="shared" ca="1" si="3"/>
        <v>0.45238095238095238</v>
      </c>
      <c r="N13" s="19">
        <f ca="1">IFERROR(__xludf.DUMMYFUNCTION("""COMPUTED_VALUE"""),74)</f>
        <v>74</v>
      </c>
      <c r="O13" s="19">
        <f ca="1">IFERROR(__xludf.DUMMYFUNCTION("""COMPUTED_VALUE"""),2)</f>
        <v>2</v>
      </c>
      <c r="P13" s="51">
        <f t="shared" ca="1" si="4"/>
        <v>2.7027027027027029E-2</v>
      </c>
      <c r="Q13" s="19">
        <f ca="1">IFERROR(__xludf.DUMMYFUNCTION("""COMPUTED_VALUE"""),1)</f>
        <v>1</v>
      </c>
      <c r="R13" s="51">
        <f t="shared" ca="1" si="5"/>
        <v>1.3513513513513514E-2</v>
      </c>
      <c r="S13" s="19">
        <f ca="1">IFERROR(__xludf.DUMMYFUNCTION("""COMPUTED_VALUE"""),0)</f>
        <v>0</v>
      </c>
      <c r="T13" s="19">
        <f ca="1">IFERROR(__xludf.DUMMYFUNCTION("""COMPUTED_VALUE"""),0)</f>
        <v>0</v>
      </c>
      <c r="U13" s="51" t="str">
        <f t="shared" ca="1" si="6"/>
        <v/>
      </c>
      <c r="V13" s="19">
        <f ca="1">IFERROR(__xludf.DUMMYFUNCTION("""COMPUTED_VALUE"""),0)</f>
        <v>0</v>
      </c>
      <c r="W13" s="51" t="str">
        <f t="shared" ca="1" si="7"/>
        <v/>
      </c>
      <c r="X13" s="19">
        <f ca="1">IFERROR(__xludf.DUMMYFUNCTION("""COMPUTED_VALUE"""),0)</f>
        <v>0</v>
      </c>
      <c r="Y13" s="51" t="str">
        <f t="shared" ca="1" si="8"/>
        <v/>
      </c>
      <c r="Z13" s="2"/>
      <c r="AA13" s="2"/>
      <c r="AB13" s="2"/>
      <c r="AC13" s="2"/>
      <c r="AD13" s="2"/>
    </row>
    <row r="14" spans="1:30" ht="12.75" x14ac:dyDescent="0.2">
      <c r="A14" s="79">
        <f ca="1">IFERROR(__xludf.DUMMYFUNCTION("""COMPUTED_VALUE"""),8)</f>
        <v>8</v>
      </c>
      <c r="B14" s="21" t="str">
        <f ca="1">IFERROR(__xludf.DUMMYFUNCTION("""COMPUTED_VALUE"""),"Mầm Non Tuổi Thơ 7")</f>
        <v>Mầm Non Tuổi Thơ 7</v>
      </c>
      <c r="C14" s="21" t="str">
        <f ca="1">IFERROR(__xludf.DUMMYFUNCTION("""COMPUTED_VALUE"""),"MN")</f>
        <v>MN</v>
      </c>
      <c r="D14" s="21">
        <f ca="1">IFERROR(__xludf.DUMMYFUNCTION("""COMPUTED_VALUE"""),3)</f>
        <v>3</v>
      </c>
      <c r="E14" s="17">
        <f ca="1">IFERROR(__xludf.DUMMYFUNCTION("""COMPUTED_VALUE"""),56)</f>
        <v>56</v>
      </c>
      <c r="F14" s="19">
        <f ca="1">IFERROR(__xludf.DUMMYFUNCTION("""COMPUTED_VALUE"""),56)</f>
        <v>56</v>
      </c>
      <c r="G14" s="51">
        <f t="shared" ca="1" si="0"/>
        <v>1</v>
      </c>
      <c r="H14" s="19">
        <f ca="1">IFERROR(__xludf.DUMMYFUNCTION("""COMPUTED_VALUE"""),56)</f>
        <v>56</v>
      </c>
      <c r="I14" s="51">
        <f t="shared" ca="1" si="1"/>
        <v>1</v>
      </c>
      <c r="J14" s="19">
        <f ca="1">IFERROR(__xludf.DUMMYFUNCTION("""COMPUTED_VALUE"""),51)</f>
        <v>51</v>
      </c>
      <c r="K14" s="51">
        <f t="shared" ca="1" si="2"/>
        <v>0.9107142857142857</v>
      </c>
      <c r="L14" s="18">
        <f ca="1">IFERROR(__xludf.DUMMYFUNCTION("""COMPUTED_VALUE"""),7)</f>
        <v>7</v>
      </c>
      <c r="M14" s="51">
        <f t="shared" ca="1" si="3"/>
        <v>0.125</v>
      </c>
      <c r="N14" s="19">
        <f ca="1">IFERROR(__xludf.DUMMYFUNCTION("""COMPUTED_VALUE"""),85)</f>
        <v>85</v>
      </c>
      <c r="O14" s="19">
        <f ca="1">IFERROR(__xludf.DUMMYFUNCTION("""COMPUTED_VALUE"""),4)</f>
        <v>4</v>
      </c>
      <c r="P14" s="51">
        <f t="shared" ca="1" si="4"/>
        <v>4.7058823529411764E-2</v>
      </c>
      <c r="Q14" s="19">
        <f ca="1">IFERROR(__xludf.DUMMYFUNCTION("""COMPUTED_VALUE"""),2)</f>
        <v>2</v>
      </c>
      <c r="R14" s="51">
        <f t="shared" ca="1" si="5"/>
        <v>2.3529411764705882E-2</v>
      </c>
      <c r="S14" s="19">
        <f ca="1">IFERROR(__xludf.DUMMYFUNCTION("""COMPUTED_VALUE"""),0)</f>
        <v>0</v>
      </c>
      <c r="T14" s="19">
        <f ca="1">IFERROR(__xludf.DUMMYFUNCTION("""COMPUTED_VALUE"""),0)</f>
        <v>0</v>
      </c>
      <c r="U14" s="51" t="str">
        <f t="shared" ca="1" si="6"/>
        <v/>
      </c>
      <c r="V14" s="19">
        <f ca="1">IFERROR(__xludf.DUMMYFUNCTION("""COMPUTED_VALUE"""),0)</f>
        <v>0</v>
      </c>
      <c r="W14" s="51" t="str">
        <f t="shared" ca="1" si="7"/>
        <v/>
      </c>
      <c r="X14" s="19">
        <f ca="1">IFERROR(__xludf.DUMMYFUNCTION("""COMPUTED_VALUE"""),0)</f>
        <v>0</v>
      </c>
      <c r="Y14" s="51" t="str">
        <f t="shared" ca="1" si="8"/>
        <v/>
      </c>
      <c r="Z14" s="2"/>
      <c r="AA14" s="2"/>
      <c r="AB14" s="2"/>
      <c r="AC14" s="2"/>
      <c r="AD14" s="2"/>
    </row>
    <row r="15" spans="1:30" ht="12.75" x14ac:dyDescent="0.2">
      <c r="A15" s="79">
        <f ca="1">IFERROR(__xludf.DUMMYFUNCTION("""COMPUTED_VALUE"""),9)</f>
        <v>9</v>
      </c>
      <c r="B15" s="21" t="str">
        <f ca="1">IFERROR(__xludf.DUMMYFUNCTION("""COMPUTED_VALUE"""),"Mầm Non Hoa Mai")</f>
        <v>Mầm Non Hoa Mai</v>
      </c>
      <c r="C15" s="21" t="str">
        <f ca="1">IFERROR(__xludf.DUMMYFUNCTION("""COMPUTED_VALUE"""),"MN")</f>
        <v>MN</v>
      </c>
      <c r="D15" s="21">
        <f ca="1">IFERROR(__xludf.DUMMYFUNCTION("""COMPUTED_VALUE"""),3)</f>
        <v>3</v>
      </c>
      <c r="E15" s="17">
        <f ca="1">IFERROR(__xludf.DUMMYFUNCTION("""COMPUTED_VALUE"""),53)</f>
        <v>53</v>
      </c>
      <c r="F15" s="19">
        <f ca="1">IFERROR(__xludf.DUMMYFUNCTION("""COMPUTED_VALUE"""),53)</f>
        <v>53</v>
      </c>
      <c r="G15" s="51">
        <f t="shared" ca="1" si="0"/>
        <v>1</v>
      </c>
      <c r="H15" s="19">
        <f ca="1">IFERROR(__xludf.DUMMYFUNCTION("""COMPUTED_VALUE"""),53)</f>
        <v>53</v>
      </c>
      <c r="I15" s="51">
        <f t="shared" ca="1" si="1"/>
        <v>1</v>
      </c>
      <c r="J15" s="19">
        <f ca="1">IFERROR(__xludf.DUMMYFUNCTION("""COMPUTED_VALUE"""),52)</f>
        <v>52</v>
      </c>
      <c r="K15" s="51">
        <f t="shared" ca="1" si="2"/>
        <v>0.98113207547169812</v>
      </c>
      <c r="L15" s="18">
        <f ca="1">IFERROR(__xludf.DUMMYFUNCTION("""COMPUTED_VALUE"""),38)</f>
        <v>38</v>
      </c>
      <c r="M15" s="51">
        <f t="shared" ca="1" si="3"/>
        <v>0.71698113207547165</v>
      </c>
      <c r="N15" s="19">
        <f ca="1">IFERROR(__xludf.DUMMYFUNCTION("""COMPUTED_VALUE"""),86)</f>
        <v>86</v>
      </c>
      <c r="O15" s="19">
        <f ca="1">IFERROR(__xludf.DUMMYFUNCTION("""COMPUTED_VALUE"""),13)</f>
        <v>13</v>
      </c>
      <c r="P15" s="51">
        <f t="shared" ca="1" si="4"/>
        <v>0.15116279069767441</v>
      </c>
      <c r="Q15" s="19">
        <f ca="1">IFERROR(__xludf.DUMMYFUNCTION("""COMPUTED_VALUE"""),5)</f>
        <v>5</v>
      </c>
      <c r="R15" s="51">
        <f t="shared" ca="1" si="5"/>
        <v>5.8139534883720929E-2</v>
      </c>
      <c r="S15" s="19">
        <f ca="1">IFERROR(__xludf.DUMMYFUNCTION("""COMPUTED_VALUE"""),0)</f>
        <v>0</v>
      </c>
      <c r="T15" s="19">
        <f ca="1">IFERROR(__xludf.DUMMYFUNCTION("""COMPUTED_VALUE"""),0)</f>
        <v>0</v>
      </c>
      <c r="U15" s="51" t="str">
        <f t="shared" ca="1" si="6"/>
        <v/>
      </c>
      <c r="V15" s="19">
        <f ca="1">IFERROR(__xludf.DUMMYFUNCTION("""COMPUTED_VALUE"""),0)</f>
        <v>0</v>
      </c>
      <c r="W15" s="51" t="str">
        <f t="shared" ca="1" si="7"/>
        <v/>
      </c>
      <c r="X15" s="19">
        <f ca="1">IFERROR(__xludf.DUMMYFUNCTION("""COMPUTED_VALUE"""),0)</f>
        <v>0</v>
      </c>
      <c r="Y15" s="51" t="str">
        <f t="shared" ca="1" si="8"/>
        <v/>
      </c>
      <c r="Z15" s="2"/>
      <c r="AA15" s="2"/>
      <c r="AB15" s="2"/>
      <c r="AC15" s="2"/>
      <c r="AD15" s="2"/>
    </row>
    <row r="16" spans="1:30" ht="12.75" x14ac:dyDescent="0.2">
      <c r="A16" s="79">
        <f ca="1">IFERROR(__xludf.DUMMYFUNCTION("""COMPUTED_VALUE"""),10)</f>
        <v>10</v>
      </c>
      <c r="B16" s="21" t="str">
        <f ca="1">IFERROR(__xludf.DUMMYFUNCTION("""COMPUTED_VALUE"""),"Mầm Non 8")</f>
        <v>Mầm Non 8</v>
      </c>
      <c r="C16" s="21" t="str">
        <f ca="1">IFERROR(__xludf.DUMMYFUNCTION("""COMPUTED_VALUE"""),"MN")</f>
        <v>MN</v>
      </c>
      <c r="D16" s="21">
        <f ca="1">IFERROR(__xludf.DUMMYFUNCTION("""COMPUTED_VALUE"""),3)</f>
        <v>3</v>
      </c>
      <c r="E16" s="17">
        <f ca="1">IFERROR(__xludf.DUMMYFUNCTION("""COMPUTED_VALUE"""),20)</f>
        <v>20</v>
      </c>
      <c r="F16" s="19">
        <f ca="1">IFERROR(__xludf.DUMMYFUNCTION("""COMPUTED_VALUE"""),20)</f>
        <v>20</v>
      </c>
      <c r="G16" s="51">
        <f t="shared" ca="1" si="0"/>
        <v>1</v>
      </c>
      <c r="H16" s="19">
        <f ca="1">IFERROR(__xludf.DUMMYFUNCTION("""COMPUTED_VALUE"""),20)</f>
        <v>20</v>
      </c>
      <c r="I16" s="51">
        <f t="shared" ca="1" si="1"/>
        <v>1</v>
      </c>
      <c r="J16" s="19">
        <f ca="1">IFERROR(__xludf.DUMMYFUNCTION("""COMPUTED_VALUE"""),20)</f>
        <v>20</v>
      </c>
      <c r="K16" s="51">
        <f t="shared" ca="1" si="2"/>
        <v>1</v>
      </c>
      <c r="L16" s="18">
        <f ca="1">IFERROR(__xludf.DUMMYFUNCTION("""COMPUTED_VALUE"""),10)</f>
        <v>10</v>
      </c>
      <c r="M16" s="51">
        <f t="shared" ca="1" si="3"/>
        <v>0.5</v>
      </c>
      <c r="N16" s="19">
        <f ca="1">IFERROR(__xludf.DUMMYFUNCTION("""COMPUTED_VALUE"""),30)</f>
        <v>30</v>
      </c>
      <c r="O16" s="19">
        <f ca="1">IFERROR(__xludf.DUMMYFUNCTION("""COMPUTED_VALUE"""),7)</f>
        <v>7</v>
      </c>
      <c r="P16" s="51">
        <f t="shared" ca="1" si="4"/>
        <v>0.23333333333333334</v>
      </c>
      <c r="Q16" s="19">
        <f ca="1">IFERROR(__xludf.DUMMYFUNCTION("""COMPUTED_VALUE"""),3)</f>
        <v>3</v>
      </c>
      <c r="R16" s="51">
        <f t="shared" ca="1" si="5"/>
        <v>0.1</v>
      </c>
      <c r="S16" s="19">
        <f ca="1">IFERROR(__xludf.DUMMYFUNCTION("""COMPUTED_VALUE"""),0)</f>
        <v>0</v>
      </c>
      <c r="T16" s="14">
        <f ca="1">IFERROR(__xludf.DUMMYFUNCTION("""COMPUTED_VALUE"""),0)</f>
        <v>0</v>
      </c>
      <c r="U16" s="51" t="str">
        <f t="shared" ca="1" si="6"/>
        <v/>
      </c>
      <c r="V16" s="19">
        <f ca="1">IFERROR(__xludf.DUMMYFUNCTION("""COMPUTED_VALUE"""),0)</f>
        <v>0</v>
      </c>
      <c r="W16" s="51" t="str">
        <f t="shared" ca="1" si="7"/>
        <v/>
      </c>
      <c r="X16" s="19">
        <f ca="1">IFERROR(__xludf.DUMMYFUNCTION("""COMPUTED_VALUE"""),0)</f>
        <v>0</v>
      </c>
      <c r="Y16" s="51" t="str">
        <f t="shared" ca="1" si="8"/>
        <v/>
      </c>
      <c r="Z16" s="2"/>
      <c r="AA16" s="2"/>
      <c r="AB16" s="2"/>
      <c r="AC16" s="2"/>
      <c r="AD16" s="2"/>
    </row>
    <row r="17" spans="1:30" ht="12.75" x14ac:dyDescent="0.2">
      <c r="A17" s="79">
        <f ca="1">IFERROR(__xludf.DUMMYFUNCTION("""COMPUTED_VALUE"""),11)</f>
        <v>11</v>
      </c>
      <c r="B17" s="21" t="str">
        <f ca="1">IFERROR(__xludf.DUMMYFUNCTION("""COMPUTED_VALUE"""),"Mầm Non Tuổi Thơ 8")</f>
        <v>Mầm Non Tuổi Thơ 8</v>
      </c>
      <c r="C17" s="21" t="str">
        <f ca="1">IFERROR(__xludf.DUMMYFUNCTION("""COMPUTED_VALUE"""),"MN")</f>
        <v>MN</v>
      </c>
      <c r="D17" s="21">
        <f ca="1">IFERROR(__xludf.DUMMYFUNCTION("""COMPUTED_VALUE"""),3)</f>
        <v>3</v>
      </c>
      <c r="E17" s="17">
        <f ca="1">IFERROR(__xludf.DUMMYFUNCTION("""COMPUTED_VALUE"""),41)</f>
        <v>41</v>
      </c>
      <c r="F17" s="19">
        <f ca="1">IFERROR(__xludf.DUMMYFUNCTION("""COMPUTED_VALUE"""),41)</f>
        <v>41</v>
      </c>
      <c r="G17" s="51">
        <f t="shared" ca="1" si="0"/>
        <v>1</v>
      </c>
      <c r="H17" s="19">
        <f ca="1">IFERROR(__xludf.DUMMYFUNCTION("""COMPUTED_VALUE"""),41)</f>
        <v>41</v>
      </c>
      <c r="I17" s="51">
        <f t="shared" ca="1" si="1"/>
        <v>1</v>
      </c>
      <c r="J17" s="19">
        <f ca="1">IFERROR(__xludf.DUMMYFUNCTION("""COMPUTED_VALUE"""),40)</f>
        <v>40</v>
      </c>
      <c r="K17" s="51">
        <f t="shared" ca="1" si="2"/>
        <v>0.97560975609756095</v>
      </c>
      <c r="L17" s="18">
        <f ca="1">IFERROR(__xludf.DUMMYFUNCTION("""COMPUTED_VALUE"""),30)</f>
        <v>30</v>
      </c>
      <c r="M17" s="51">
        <f t="shared" ca="1" si="3"/>
        <v>0.73170731707317072</v>
      </c>
      <c r="N17" s="19">
        <f ca="1">IFERROR(__xludf.DUMMYFUNCTION("""COMPUTED_VALUE"""),66)</f>
        <v>66</v>
      </c>
      <c r="O17" s="19">
        <f ca="1">IFERROR(__xludf.DUMMYFUNCTION("""COMPUTED_VALUE"""),17)</f>
        <v>17</v>
      </c>
      <c r="P17" s="51">
        <f t="shared" ca="1" si="4"/>
        <v>0.25757575757575757</v>
      </c>
      <c r="Q17" s="19">
        <f ca="1">IFERROR(__xludf.DUMMYFUNCTION("""COMPUTED_VALUE"""),9)</f>
        <v>9</v>
      </c>
      <c r="R17" s="51">
        <f t="shared" ca="1" si="5"/>
        <v>0.13636363636363635</v>
      </c>
      <c r="S17" s="19">
        <f ca="1">IFERROR(__xludf.DUMMYFUNCTION("""COMPUTED_VALUE"""),0)</f>
        <v>0</v>
      </c>
      <c r="T17" s="19">
        <f ca="1">IFERROR(__xludf.DUMMYFUNCTION("""COMPUTED_VALUE"""),0)</f>
        <v>0</v>
      </c>
      <c r="U17" s="51" t="str">
        <f t="shared" ca="1" si="6"/>
        <v/>
      </c>
      <c r="V17" s="19">
        <f ca="1">IFERROR(__xludf.DUMMYFUNCTION("""COMPUTED_VALUE"""),0)</f>
        <v>0</v>
      </c>
      <c r="W17" s="51" t="str">
        <f t="shared" ca="1" si="7"/>
        <v/>
      </c>
      <c r="X17" s="19">
        <f ca="1">IFERROR(__xludf.DUMMYFUNCTION("""COMPUTED_VALUE"""),0)</f>
        <v>0</v>
      </c>
      <c r="Y17" s="51" t="str">
        <f t="shared" ca="1" si="8"/>
        <v/>
      </c>
      <c r="Z17" s="2"/>
      <c r="AA17" s="2"/>
      <c r="AB17" s="2"/>
      <c r="AC17" s="2"/>
      <c r="AD17" s="2"/>
    </row>
    <row r="18" spans="1:30" ht="12.75" x14ac:dyDescent="0.2">
      <c r="A18" s="79">
        <f ca="1">IFERROR(__xludf.DUMMYFUNCTION("""COMPUTED_VALUE"""),12)</f>
        <v>12</v>
      </c>
      <c r="B18" s="21" t="str">
        <f ca="1">IFERROR(__xludf.DUMMYFUNCTION("""COMPUTED_VALUE"""),"Mầm Non 9")</f>
        <v>Mầm Non 9</v>
      </c>
      <c r="C18" s="21" t="str">
        <f ca="1">IFERROR(__xludf.DUMMYFUNCTION("""COMPUTED_VALUE"""),"MN")</f>
        <v>MN</v>
      </c>
      <c r="D18" s="21">
        <f ca="1">IFERROR(__xludf.DUMMYFUNCTION("""COMPUTED_VALUE"""),3)</f>
        <v>3</v>
      </c>
      <c r="E18" s="17">
        <f ca="1">IFERROR(__xludf.DUMMYFUNCTION("""COMPUTED_VALUE"""),20)</f>
        <v>20</v>
      </c>
      <c r="F18" s="19">
        <f ca="1">IFERROR(__xludf.DUMMYFUNCTION("""COMPUTED_VALUE"""),20)</f>
        <v>20</v>
      </c>
      <c r="G18" s="51">
        <f t="shared" ca="1" si="0"/>
        <v>1</v>
      </c>
      <c r="H18" s="19">
        <f ca="1">IFERROR(__xludf.DUMMYFUNCTION("""COMPUTED_VALUE"""),20)</f>
        <v>20</v>
      </c>
      <c r="I18" s="51">
        <f t="shared" ca="1" si="1"/>
        <v>1</v>
      </c>
      <c r="J18" s="19">
        <f ca="1">IFERROR(__xludf.DUMMYFUNCTION("""COMPUTED_VALUE"""),19)</f>
        <v>19</v>
      </c>
      <c r="K18" s="51">
        <f t="shared" ca="1" si="2"/>
        <v>0.95</v>
      </c>
      <c r="L18" s="18">
        <f ca="1">IFERROR(__xludf.DUMMYFUNCTION("""COMPUTED_VALUE"""),3)</f>
        <v>3</v>
      </c>
      <c r="M18" s="51">
        <f t="shared" ca="1" si="3"/>
        <v>0.15</v>
      </c>
      <c r="N18" s="19">
        <f ca="1">IFERROR(__xludf.DUMMYFUNCTION("""COMPUTED_VALUE"""),20)</f>
        <v>20</v>
      </c>
      <c r="O18" s="19">
        <f ca="1">IFERROR(__xludf.DUMMYFUNCTION("""COMPUTED_VALUE"""),1)</f>
        <v>1</v>
      </c>
      <c r="P18" s="51">
        <f t="shared" ca="1" si="4"/>
        <v>0.05</v>
      </c>
      <c r="Q18" s="19">
        <f ca="1">IFERROR(__xludf.DUMMYFUNCTION("""COMPUTED_VALUE"""),5)</f>
        <v>5</v>
      </c>
      <c r="R18" s="51">
        <f t="shared" ca="1" si="5"/>
        <v>0.25</v>
      </c>
      <c r="S18" s="19">
        <f ca="1">IFERROR(__xludf.DUMMYFUNCTION("""COMPUTED_VALUE"""),0)</f>
        <v>0</v>
      </c>
      <c r="T18" s="14">
        <f ca="1">IFERROR(__xludf.DUMMYFUNCTION("""COMPUTED_VALUE"""),0)</f>
        <v>0</v>
      </c>
      <c r="U18" s="51" t="str">
        <f t="shared" ca="1" si="6"/>
        <v/>
      </c>
      <c r="V18" s="19">
        <f ca="1">IFERROR(__xludf.DUMMYFUNCTION("""COMPUTED_VALUE"""),0)</f>
        <v>0</v>
      </c>
      <c r="W18" s="51" t="str">
        <f t="shared" ca="1" si="7"/>
        <v/>
      </c>
      <c r="X18" s="19">
        <f ca="1">IFERROR(__xludf.DUMMYFUNCTION("""COMPUTED_VALUE"""),0)</f>
        <v>0</v>
      </c>
      <c r="Y18" s="51" t="str">
        <f t="shared" ca="1" si="8"/>
        <v/>
      </c>
      <c r="Z18" s="2"/>
      <c r="AA18" s="2"/>
      <c r="AB18" s="2"/>
      <c r="AC18" s="2"/>
      <c r="AD18" s="2"/>
    </row>
    <row r="19" spans="1:30" ht="12.75" x14ac:dyDescent="0.2">
      <c r="A19" s="79">
        <f ca="1">IFERROR(__xludf.DUMMYFUNCTION("""COMPUTED_VALUE"""),13)</f>
        <v>13</v>
      </c>
      <c r="B19" s="21" t="str">
        <f ca="1">IFERROR(__xludf.DUMMYFUNCTION("""COMPUTED_VALUE"""),"Mầm Non 10")</f>
        <v>Mầm Non 10</v>
      </c>
      <c r="C19" s="21" t="str">
        <f ca="1">IFERROR(__xludf.DUMMYFUNCTION("""COMPUTED_VALUE"""),"MN")</f>
        <v>MN</v>
      </c>
      <c r="D19" s="21">
        <f ca="1">IFERROR(__xludf.DUMMYFUNCTION("""COMPUTED_VALUE"""),3)</f>
        <v>3</v>
      </c>
      <c r="E19" s="18">
        <f ca="1">IFERROR(__xludf.DUMMYFUNCTION("""COMPUTED_VALUE"""),38)</f>
        <v>38</v>
      </c>
      <c r="F19" s="18">
        <f ca="1">IFERROR(__xludf.DUMMYFUNCTION("""COMPUTED_VALUE"""),38)</f>
        <v>38</v>
      </c>
      <c r="G19" s="51">
        <f t="shared" ca="1" si="0"/>
        <v>1</v>
      </c>
      <c r="H19" s="18">
        <f ca="1">IFERROR(__xludf.DUMMYFUNCTION("""COMPUTED_VALUE"""),38)</f>
        <v>38</v>
      </c>
      <c r="I19" s="51">
        <f t="shared" ca="1" si="1"/>
        <v>1</v>
      </c>
      <c r="J19" s="18">
        <f ca="1">IFERROR(__xludf.DUMMYFUNCTION("""COMPUTED_VALUE"""),37)</f>
        <v>37</v>
      </c>
      <c r="K19" s="51">
        <f t="shared" ca="1" si="2"/>
        <v>0.97368421052631582</v>
      </c>
      <c r="L19" s="18">
        <f ca="1">IFERROR(__xludf.DUMMYFUNCTION("""COMPUTED_VALUE"""),19)</f>
        <v>19</v>
      </c>
      <c r="M19" s="51">
        <f t="shared" ca="1" si="3"/>
        <v>0.5</v>
      </c>
      <c r="N19" s="19">
        <f ca="1">IFERROR(__xludf.DUMMYFUNCTION("""COMPUTED_VALUE"""),48)</f>
        <v>48</v>
      </c>
      <c r="O19" s="18">
        <f ca="1">IFERROR(__xludf.DUMMYFUNCTION("""COMPUTED_VALUE"""),4)</f>
        <v>4</v>
      </c>
      <c r="P19" s="51">
        <f t="shared" ca="1" si="4"/>
        <v>8.3333333333333329E-2</v>
      </c>
      <c r="Q19" s="18">
        <f ca="1">IFERROR(__xludf.DUMMYFUNCTION("""COMPUTED_VALUE"""),1)</f>
        <v>1</v>
      </c>
      <c r="R19" s="51">
        <f t="shared" ca="1" si="5"/>
        <v>2.0833333333333332E-2</v>
      </c>
      <c r="S19" s="19">
        <f ca="1">IFERROR(__xludf.DUMMYFUNCTION("""COMPUTED_VALUE"""),0)</f>
        <v>0</v>
      </c>
      <c r="T19" s="18">
        <f ca="1">IFERROR(__xludf.DUMMYFUNCTION("""COMPUTED_VALUE"""),0)</f>
        <v>0</v>
      </c>
      <c r="U19" s="51" t="str">
        <f t="shared" ca="1" si="6"/>
        <v/>
      </c>
      <c r="V19" s="18">
        <f ca="1">IFERROR(__xludf.DUMMYFUNCTION("""COMPUTED_VALUE"""),0)</f>
        <v>0</v>
      </c>
      <c r="W19" s="51" t="str">
        <f t="shared" ca="1" si="7"/>
        <v/>
      </c>
      <c r="X19" s="18">
        <f ca="1">IFERROR(__xludf.DUMMYFUNCTION("""COMPUTED_VALUE"""),0)</f>
        <v>0</v>
      </c>
      <c r="Y19" s="51" t="str">
        <f t="shared" ca="1" si="8"/>
        <v/>
      </c>
      <c r="Z19" s="2"/>
      <c r="AA19" s="2"/>
      <c r="AB19" s="2"/>
      <c r="AC19" s="2"/>
      <c r="AD19" s="2"/>
    </row>
    <row r="20" spans="1:30" ht="12.75" x14ac:dyDescent="0.2">
      <c r="A20" s="79">
        <f ca="1">IFERROR(__xludf.DUMMYFUNCTION("""COMPUTED_VALUE"""),14)</f>
        <v>14</v>
      </c>
      <c r="B20" s="21" t="str">
        <f ca="1">IFERROR(__xludf.DUMMYFUNCTION("""COMPUTED_VALUE"""),"Mầm Non 11")</f>
        <v>Mầm Non 11</v>
      </c>
      <c r="C20" s="21" t="str">
        <f ca="1">IFERROR(__xludf.DUMMYFUNCTION("""COMPUTED_VALUE"""),"MN")</f>
        <v>MN</v>
      </c>
      <c r="D20" s="21">
        <f ca="1">IFERROR(__xludf.DUMMYFUNCTION("""COMPUTED_VALUE"""),3)</f>
        <v>3</v>
      </c>
      <c r="E20" s="18">
        <f ca="1">IFERROR(__xludf.DUMMYFUNCTION("""COMPUTED_VALUE"""),26)</f>
        <v>26</v>
      </c>
      <c r="F20" s="18">
        <f ca="1">IFERROR(__xludf.DUMMYFUNCTION("""COMPUTED_VALUE"""),26)</f>
        <v>26</v>
      </c>
      <c r="G20" s="51">
        <f t="shared" ca="1" si="0"/>
        <v>1</v>
      </c>
      <c r="H20" s="18">
        <f ca="1">IFERROR(__xludf.DUMMYFUNCTION("""COMPUTED_VALUE"""),26)</f>
        <v>26</v>
      </c>
      <c r="I20" s="51">
        <f t="shared" ca="1" si="1"/>
        <v>1</v>
      </c>
      <c r="J20" s="18">
        <f ca="1">IFERROR(__xludf.DUMMYFUNCTION("""COMPUTED_VALUE"""),22)</f>
        <v>22</v>
      </c>
      <c r="K20" s="51">
        <f t="shared" ca="1" si="2"/>
        <v>0.84615384615384615</v>
      </c>
      <c r="L20" s="18">
        <f ca="1">IFERROR(__xludf.DUMMYFUNCTION("""COMPUTED_VALUE"""),20)</f>
        <v>20</v>
      </c>
      <c r="M20" s="51">
        <f t="shared" ca="1" si="3"/>
        <v>0.76923076923076927</v>
      </c>
      <c r="N20" s="19">
        <f ca="1">IFERROR(__xludf.DUMMYFUNCTION("""COMPUTED_VALUE"""),45)</f>
        <v>45</v>
      </c>
      <c r="O20" s="18">
        <f ca="1">IFERROR(__xludf.DUMMYFUNCTION("""COMPUTED_VALUE"""),12)</f>
        <v>12</v>
      </c>
      <c r="P20" s="51">
        <f t="shared" ca="1" si="4"/>
        <v>0.26666666666666666</v>
      </c>
      <c r="Q20" s="18">
        <f ca="1">IFERROR(__xludf.DUMMYFUNCTION("""COMPUTED_VALUE"""),3)</f>
        <v>3</v>
      </c>
      <c r="R20" s="51">
        <f t="shared" ca="1" si="5"/>
        <v>6.6666666666666666E-2</v>
      </c>
      <c r="S20" s="19">
        <f ca="1">IFERROR(__xludf.DUMMYFUNCTION("""COMPUTED_VALUE"""),0)</f>
        <v>0</v>
      </c>
      <c r="T20" s="21">
        <f ca="1">IFERROR(__xludf.DUMMYFUNCTION("""COMPUTED_VALUE"""),0)</f>
        <v>0</v>
      </c>
      <c r="U20" s="51" t="str">
        <f t="shared" ca="1" si="6"/>
        <v/>
      </c>
      <c r="V20" s="18">
        <f ca="1">IFERROR(__xludf.DUMMYFUNCTION("""COMPUTED_VALUE"""),0)</f>
        <v>0</v>
      </c>
      <c r="W20" s="51" t="str">
        <f t="shared" ca="1" si="7"/>
        <v/>
      </c>
      <c r="X20" s="18">
        <f ca="1">IFERROR(__xludf.DUMMYFUNCTION("""COMPUTED_VALUE"""),0)</f>
        <v>0</v>
      </c>
      <c r="Y20" s="51" t="str">
        <f t="shared" ca="1" si="8"/>
        <v/>
      </c>
      <c r="Z20" s="2"/>
      <c r="AA20" s="2"/>
      <c r="AB20" s="2"/>
      <c r="AC20" s="2"/>
      <c r="AD20" s="2"/>
    </row>
    <row r="21" spans="1:30" ht="12.75" x14ac:dyDescent="0.2">
      <c r="A21" s="79">
        <f ca="1">IFERROR(__xludf.DUMMYFUNCTION("""COMPUTED_VALUE"""),15)</f>
        <v>15</v>
      </c>
      <c r="B21" s="21" t="str">
        <f ca="1">IFERROR(__xludf.DUMMYFUNCTION("""COMPUTED_VALUE"""),"Mầm Non 12")</f>
        <v>Mầm Non 12</v>
      </c>
      <c r="C21" s="21" t="str">
        <f ca="1">IFERROR(__xludf.DUMMYFUNCTION("""COMPUTED_VALUE"""),"MN")</f>
        <v>MN</v>
      </c>
      <c r="D21" s="21">
        <f ca="1">IFERROR(__xludf.DUMMYFUNCTION("""COMPUTED_VALUE"""),3)</f>
        <v>3</v>
      </c>
      <c r="E21" s="17">
        <f ca="1">IFERROR(__xludf.DUMMYFUNCTION("""COMPUTED_VALUE"""),26)</f>
        <v>26</v>
      </c>
      <c r="F21" s="18">
        <f ca="1">IFERROR(__xludf.DUMMYFUNCTION("""COMPUTED_VALUE"""),26)</f>
        <v>26</v>
      </c>
      <c r="G21" s="51">
        <f t="shared" ca="1" si="0"/>
        <v>1</v>
      </c>
      <c r="H21" s="18">
        <f ca="1">IFERROR(__xludf.DUMMYFUNCTION("""COMPUTED_VALUE"""),25)</f>
        <v>25</v>
      </c>
      <c r="I21" s="51">
        <f t="shared" ca="1" si="1"/>
        <v>0.96153846153846156</v>
      </c>
      <c r="J21" s="18">
        <f ca="1">IFERROR(__xludf.DUMMYFUNCTION("""COMPUTED_VALUE"""),25)</f>
        <v>25</v>
      </c>
      <c r="K21" s="51">
        <f t="shared" ca="1" si="2"/>
        <v>0.96153846153846156</v>
      </c>
      <c r="L21" s="18">
        <f ca="1">IFERROR(__xludf.DUMMYFUNCTION("""COMPUTED_VALUE"""),13)</f>
        <v>13</v>
      </c>
      <c r="M21" s="51">
        <f t="shared" ca="1" si="3"/>
        <v>0.5</v>
      </c>
      <c r="N21" s="18">
        <f ca="1">IFERROR(__xludf.DUMMYFUNCTION("""COMPUTED_VALUE"""),42)</f>
        <v>42</v>
      </c>
      <c r="O21" s="18">
        <f ca="1">IFERROR(__xludf.DUMMYFUNCTION("""COMPUTED_VALUE"""),9)</f>
        <v>9</v>
      </c>
      <c r="P21" s="51">
        <f t="shared" ca="1" si="4"/>
        <v>0.21428571428571427</v>
      </c>
      <c r="Q21" s="18">
        <f ca="1">IFERROR(__xludf.DUMMYFUNCTION("""COMPUTED_VALUE"""),4)</f>
        <v>4</v>
      </c>
      <c r="R21" s="51">
        <f t="shared" ca="1" si="5"/>
        <v>9.5238095238095233E-2</v>
      </c>
      <c r="S21" s="19">
        <f ca="1">IFERROR(__xludf.DUMMYFUNCTION("""COMPUTED_VALUE"""),0)</f>
        <v>0</v>
      </c>
      <c r="T21" s="19">
        <f ca="1">IFERROR(__xludf.DUMMYFUNCTION("""COMPUTED_VALUE"""),0)</f>
        <v>0</v>
      </c>
      <c r="U21" s="51" t="str">
        <f t="shared" ca="1" si="6"/>
        <v/>
      </c>
      <c r="V21" s="19">
        <f ca="1">IFERROR(__xludf.DUMMYFUNCTION("""COMPUTED_VALUE"""),0)</f>
        <v>0</v>
      </c>
      <c r="W21" s="51" t="str">
        <f t="shared" ca="1" si="7"/>
        <v/>
      </c>
      <c r="X21" s="19">
        <f ca="1">IFERROR(__xludf.DUMMYFUNCTION("""COMPUTED_VALUE"""),0)</f>
        <v>0</v>
      </c>
      <c r="Y21" s="51" t="str">
        <f t="shared" ca="1" si="8"/>
        <v/>
      </c>
      <c r="Z21" s="2"/>
      <c r="AA21" s="2"/>
      <c r="AB21" s="2"/>
      <c r="AC21" s="2"/>
      <c r="AD21" s="2"/>
    </row>
    <row r="22" spans="1:30" ht="12.75" x14ac:dyDescent="0.2">
      <c r="A22" s="79">
        <f ca="1">IFERROR(__xludf.DUMMYFUNCTION("""COMPUTED_VALUE"""),16)</f>
        <v>16</v>
      </c>
      <c r="B22" s="21" t="str">
        <f ca="1">IFERROR(__xludf.DUMMYFUNCTION("""COMPUTED_VALUE"""),"Mầm Non 13")</f>
        <v>Mầm Non 13</v>
      </c>
      <c r="C22" s="21" t="str">
        <f ca="1">IFERROR(__xludf.DUMMYFUNCTION("""COMPUTED_VALUE"""),"MN")</f>
        <v>MN</v>
      </c>
      <c r="D22" s="21">
        <f ca="1">IFERROR(__xludf.DUMMYFUNCTION("""COMPUTED_VALUE"""),3)</f>
        <v>3</v>
      </c>
      <c r="E22" s="18">
        <f ca="1">IFERROR(__xludf.DUMMYFUNCTION("""COMPUTED_VALUE"""),14)</f>
        <v>14</v>
      </c>
      <c r="F22" s="18">
        <f ca="1">IFERROR(__xludf.DUMMYFUNCTION("""COMPUTED_VALUE"""),14)</f>
        <v>14</v>
      </c>
      <c r="G22" s="51">
        <f t="shared" ca="1" si="0"/>
        <v>1</v>
      </c>
      <c r="H22" s="18">
        <f ca="1">IFERROR(__xludf.DUMMYFUNCTION("""COMPUTED_VALUE"""),14)</f>
        <v>14</v>
      </c>
      <c r="I22" s="51">
        <f t="shared" ca="1" si="1"/>
        <v>1</v>
      </c>
      <c r="J22" s="18">
        <f ca="1">IFERROR(__xludf.DUMMYFUNCTION("""COMPUTED_VALUE"""),14)</f>
        <v>14</v>
      </c>
      <c r="K22" s="51">
        <f t="shared" ca="1" si="2"/>
        <v>1</v>
      </c>
      <c r="L22" s="18">
        <f ca="1">IFERROR(__xludf.DUMMYFUNCTION("""COMPUTED_VALUE"""),4)</f>
        <v>4</v>
      </c>
      <c r="M22" s="51">
        <f t="shared" ca="1" si="3"/>
        <v>0.2857142857142857</v>
      </c>
      <c r="N22" s="19">
        <f ca="1">IFERROR(__xludf.DUMMYFUNCTION("""COMPUTED_VALUE"""),20)</f>
        <v>20</v>
      </c>
      <c r="O22" s="18">
        <f ca="1">IFERROR(__xludf.DUMMYFUNCTION("""COMPUTED_VALUE"""),5)</f>
        <v>5</v>
      </c>
      <c r="P22" s="51">
        <f t="shared" ca="1" si="4"/>
        <v>0.25</v>
      </c>
      <c r="Q22" s="18">
        <f ca="1">IFERROR(__xludf.DUMMYFUNCTION("""COMPUTED_VALUE"""),3)</f>
        <v>3</v>
      </c>
      <c r="R22" s="51">
        <f t="shared" ca="1" si="5"/>
        <v>0.15</v>
      </c>
      <c r="S22" s="19">
        <f ca="1">IFERROR(__xludf.DUMMYFUNCTION("""COMPUTED_VALUE"""),0)</f>
        <v>0</v>
      </c>
      <c r="T22" s="18">
        <f ca="1">IFERROR(__xludf.DUMMYFUNCTION("""COMPUTED_VALUE"""),0)</f>
        <v>0</v>
      </c>
      <c r="U22" s="51" t="str">
        <f t="shared" ca="1" si="6"/>
        <v/>
      </c>
      <c r="V22" s="18">
        <f ca="1">IFERROR(__xludf.DUMMYFUNCTION("""COMPUTED_VALUE"""),0)</f>
        <v>0</v>
      </c>
      <c r="W22" s="51" t="str">
        <f t="shared" ca="1" si="7"/>
        <v/>
      </c>
      <c r="X22" s="18">
        <f ca="1">IFERROR(__xludf.DUMMYFUNCTION("""COMPUTED_VALUE"""),0)</f>
        <v>0</v>
      </c>
      <c r="Y22" s="51" t="str">
        <f t="shared" ca="1" si="8"/>
        <v/>
      </c>
      <c r="Z22" s="2"/>
      <c r="AA22" s="2"/>
      <c r="AB22" s="2"/>
      <c r="AC22" s="2"/>
      <c r="AD22" s="2"/>
    </row>
    <row r="23" spans="1:30" ht="12.75" x14ac:dyDescent="0.2">
      <c r="A23" s="79">
        <f ca="1">IFERROR(__xludf.DUMMYFUNCTION("""COMPUTED_VALUE"""),17)</f>
        <v>17</v>
      </c>
      <c r="B23" s="21" t="str">
        <f ca="1">IFERROR(__xludf.DUMMYFUNCTION("""COMPUTED_VALUE"""),"Mầm Non 14")</f>
        <v>Mầm Non 14</v>
      </c>
      <c r="C23" s="21" t="str">
        <f ca="1">IFERROR(__xludf.DUMMYFUNCTION("""COMPUTED_VALUE"""),"MN")</f>
        <v>MN</v>
      </c>
      <c r="D23" s="21">
        <f ca="1">IFERROR(__xludf.DUMMYFUNCTION("""COMPUTED_VALUE"""),3)</f>
        <v>3</v>
      </c>
      <c r="E23" s="17">
        <f ca="1">IFERROR(__xludf.DUMMYFUNCTION("""COMPUTED_VALUE"""),30)</f>
        <v>30</v>
      </c>
      <c r="F23" s="19">
        <f ca="1">IFERROR(__xludf.DUMMYFUNCTION("""COMPUTED_VALUE"""),30)</f>
        <v>30</v>
      </c>
      <c r="G23" s="51">
        <f t="shared" ca="1" si="0"/>
        <v>1</v>
      </c>
      <c r="H23" s="19">
        <f ca="1">IFERROR(__xludf.DUMMYFUNCTION("""COMPUTED_VALUE"""),30)</f>
        <v>30</v>
      </c>
      <c r="I23" s="51">
        <f t="shared" ca="1" si="1"/>
        <v>1</v>
      </c>
      <c r="J23" s="19">
        <f ca="1">IFERROR(__xludf.DUMMYFUNCTION("""COMPUTED_VALUE"""),30)</f>
        <v>30</v>
      </c>
      <c r="K23" s="51">
        <f t="shared" ca="1" si="2"/>
        <v>1</v>
      </c>
      <c r="L23" s="18">
        <f ca="1">IFERROR(__xludf.DUMMYFUNCTION("""COMPUTED_VALUE"""),28)</f>
        <v>28</v>
      </c>
      <c r="M23" s="51">
        <f t="shared" ca="1" si="3"/>
        <v>0.93333333333333335</v>
      </c>
      <c r="N23" s="19">
        <f ca="1">IFERROR(__xludf.DUMMYFUNCTION("""COMPUTED_VALUE"""),37)</f>
        <v>37</v>
      </c>
      <c r="O23" s="19">
        <f ca="1">IFERROR(__xludf.DUMMYFUNCTION("""COMPUTED_VALUE"""),7)</f>
        <v>7</v>
      </c>
      <c r="P23" s="51">
        <f t="shared" ca="1" si="4"/>
        <v>0.1891891891891892</v>
      </c>
      <c r="Q23" s="19">
        <f ca="1">IFERROR(__xludf.DUMMYFUNCTION("""COMPUTED_VALUE"""),5)</f>
        <v>5</v>
      </c>
      <c r="R23" s="51">
        <f t="shared" ca="1" si="5"/>
        <v>0.13513513513513514</v>
      </c>
      <c r="S23" s="19">
        <f ca="1">IFERROR(__xludf.DUMMYFUNCTION("""COMPUTED_VALUE"""),0)</f>
        <v>0</v>
      </c>
      <c r="T23" s="14">
        <f ca="1">IFERROR(__xludf.DUMMYFUNCTION("""COMPUTED_VALUE"""),0)</f>
        <v>0</v>
      </c>
      <c r="U23" s="51" t="str">
        <f t="shared" ca="1" si="6"/>
        <v/>
      </c>
      <c r="V23" s="19">
        <f ca="1">IFERROR(__xludf.DUMMYFUNCTION("""COMPUTED_VALUE"""),0)</f>
        <v>0</v>
      </c>
      <c r="W23" s="51" t="str">
        <f t="shared" ca="1" si="7"/>
        <v/>
      </c>
      <c r="X23" s="19">
        <f ca="1">IFERROR(__xludf.DUMMYFUNCTION("""COMPUTED_VALUE"""),0)</f>
        <v>0</v>
      </c>
      <c r="Y23" s="51" t="str">
        <f t="shared" ca="1" si="8"/>
        <v/>
      </c>
      <c r="Z23" s="2"/>
      <c r="AA23" s="2"/>
      <c r="AB23" s="2"/>
      <c r="AC23" s="2"/>
      <c r="AD23" s="2"/>
    </row>
    <row r="24" spans="1:30" ht="12.75" x14ac:dyDescent="0.2">
      <c r="A24" s="79">
        <f ca="1">IFERROR(__xludf.DUMMYFUNCTION("""COMPUTED_VALUE"""),18)</f>
        <v>18</v>
      </c>
      <c r="B24" s="14" t="str">
        <f ca="1">IFERROR(__xludf.DUMMYFUNCTION("""COMPUTED_VALUE"""),"MN Thành phố")</f>
        <v>MN Thành phố</v>
      </c>
      <c r="C24" s="21" t="str">
        <f ca="1">IFERROR(__xludf.DUMMYFUNCTION("""COMPUTED_VALUE"""),"MN")</f>
        <v>MN</v>
      </c>
      <c r="D24" s="21">
        <f ca="1">IFERROR(__xludf.DUMMYFUNCTION("""COMPUTED_VALUE"""),3)</f>
        <v>3</v>
      </c>
      <c r="E24" s="17">
        <f ca="1">IFERROR(__xludf.DUMMYFUNCTION("""COMPUTED_VALUE"""),67)</f>
        <v>67</v>
      </c>
      <c r="F24" s="19">
        <f ca="1">IFERROR(__xludf.DUMMYFUNCTION("""COMPUTED_VALUE"""),67)</f>
        <v>67</v>
      </c>
      <c r="G24" s="51">
        <f t="shared" ca="1" si="0"/>
        <v>1</v>
      </c>
      <c r="H24" s="19">
        <f ca="1">IFERROR(__xludf.DUMMYFUNCTION("""COMPUTED_VALUE"""),67)</f>
        <v>67</v>
      </c>
      <c r="I24" s="51">
        <f t="shared" ca="1" si="1"/>
        <v>1</v>
      </c>
      <c r="J24" s="19">
        <f ca="1">IFERROR(__xludf.DUMMYFUNCTION("""COMPUTED_VALUE"""),67)</f>
        <v>67</v>
      </c>
      <c r="K24" s="51">
        <f t="shared" ca="1" si="2"/>
        <v>1</v>
      </c>
      <c r="L24" s="18">
        <f ca="1">IFERROR(__xludf.DUMMYFUNCTION("""COMPUTED_VALUE"""),14)</f>
        <v>14</v>
      </c>
      <c r="M24" s="51">
        <f t="shared" ca="1" si="3"/>
        <v>0.20895522388059701</v>
      </c>
      <c r="N24" s="19">
        <f ca="1">IFERROR(__xludf.DUMMYFUNCTION("""COMPUTED_VALUE"""),99)</f>
        <v>99</v>
      </c>
      <c r="O24" s="19">
        <f ca="1">IFERROR(__xludf.DUMMYFUNCTION("""COMPUTED_VALUE"""),9)</f>
        <v>9</v>
      </c>
      <c r="P24" s="51">
        <f t="shared" ca="1" si="4"/>
        <v>9.0909090909090912E-2</v>
      </c>
      <c r="Q24" s="19">
        <f ca="1">IFERROR(__xludf.DUMMYFUNCTION("""COMPUTED_VALUE"""),2)</f>
        <v>2</v>
      </c>
      <c r="R24" s="51">
        <f t="shared" ca="1" si="5"/>
        <v>2.0202020202020204E-2</v>
      </c>
      <c r="S24" s="19">
        <f ca="1">IFERROR(__xludf.DUMMYFUNCTION("""COMPUTED_VALUE"""),0)</f>
        <v>0</v>
      </c>
      <c r="T24" s="14">
        <f ca="1">IFERROR(__xludf.DUMMYFUNCTION("""COMPUTED_VALUE"""),0)</f>
        <v>0</v>
      </c>
      <c r="U24" s="51" t="str">
        <f t="shared" ca="1" si="6"/>
        <v/>
      </c>
      <c r="V24" s="19">
        <f ca="1">IFERROR(__xludf.DUMMYFUNCTION("""COMPUTED_VALUE"""),0)</f>
        <v>0</v>
      </c>
      <c r="W24" s="51" t="str">
        <f t="shared" ca="1" si="7"/>
        <v/>
      </c>
      <c r="X24" s="19">
        <f ca="1">IFERROR(__xludf.DUMMYFUNCTION("""COMPUTED_VALUE"""),0)</f>
        <v>0</v>
      </c>
      <c r="Y24" s="51" t="str">
        <f t="shared" ca="1" si="8"/>
        <v/>
      </c>
      <c r="Z24" s="2"/>
      <c r="AA24" s="2"/>
      <c r="AB24" s="2"/>
      <c r="AC24" s="2"/>
      <c r="AD24" s="2"/>
    </row>
    <row r="25" spans="1:30" ht="12.75" x14ac:dyDescent="0.2">
      <c r="A25" s="80"/>
      <c r="B25" s="14"/>
      <c r="C25" s="14"/>
      <c r="D25" s="14"/>
      <c r="E25" s="17">
        <f ca="1">IFERROR(__xludf.DUMMYFUNCTION("""COMPUTED_VALUE"""),685)</f>
        <v>685</v>
      </c>
      <c r="F25" s="17">
        <f ca="1">IFERROR(__xludf.DUMMYFUNCTION("""COMPUTED_VALUE"""),685)</f>
        <v>685</v>
      </c>
      <c r="G25" s="51">
        <f t="shared" ca="1" si="0"/>
        <v>1</v>
      </c>
      <c r="H25" s="17">
        <f ca="1">IFERROR(__xludf.DUMMYFUNCTION("""COMPUTED_VALUE"""),684)</f>
        <v>684</v>
      </c>
      <c r="I25" s="51">
        <f t="shared" ca="1" si="1"/>
        <v>0.99854014598540142</v>
      </c>
      <c r="J25" s="17">
        <f ca="1">IFERROR(__xludf.DUMMYFUNCTION("""COMPUTED_VALUE"""),658)</f>
        <v>658</v>
      </c>
      <c r="K25" s="51">
        <f t="shared" ca="1" si="2"/>
        <v>0.96058394160583938</v>
      </c>
      <c r="L25" s="18">
        <f ca="1">IFERROR(__xludf.DUMMYFUNCTION("""COMPUTED_VALUE"""),325)</f>
        <v>325</v>
      </c>
      <c r="M25" s="51">
        <f t="shared" ca="1" si="3"/>
        <v>0.47445255474452552</v>
      </c>
      <c r="N25" s="17">
        <f ca="1">IFERROR(__xludf.DUMMYFUNCTION("""COMPUTED_VALUE"""),1002)</f>
        <v>1002</v>
      </c>
      <c r="O25" s="81">
        <f ca="1">IFERROR(__xludf.DUMMYFUNCTION("""COMPUTED_VALUE"""),144)</f>
        <v>144</v>
      </c>
      <c r="P25" s="51">
        <f t="shared" ca="1" si="4"/>
        <v>0.1437125748502994</v>
      </c>
      <c r="Q25" s="81">
        <f ca="1">IFERROR(__xludf.DUMMYFUNCTION("""COMPUTED_VALUE"""),67)</f>
        <v>67</v>
      </c>
      <c r="R25" s="51">
        <f t="shared" ca="1" si="5"/>
        <v>6.6866267465069865E-2</v>
      </c>
      <c r="S25" s="17">
        <f ca="1">IFERROR(__xludf.DUMMYFUNCTION("""COMPUTED_VALUE"""),0)</f>
        <v>0</v>
      </c>
      <c r="T25" s="81">
        <f ca="1">IFERROR(__xludf.DUMMYFUNCTION("""COMPUTED_VALUE"""),0)</f>
        <v>0</v>
      </c>
      <c r="U25" s="51" t="str">
        <f t="shared" ca="1" si="6"/>
        <v/>
      </c>
      <c r="V25" s="81">
        <f ca="1">IFERROR(__xludf.DUMMYFUNCTION("""COMPUTED_VALUE"""),0)</f>
        <v>0</v>
      </c>
      <c r="W25" s="51" t="str">
        <f t="shared" ca="1" si="7"/>
        <v/>
      </c>
      <c r="X25" s="81">
        <f ca="1">IFERROR(__xludf.DUMMYFUNCTION("""COMPUTED_VALUE"""),0)</f>
        <v>0</v>
      </c>
      <c r="Y25" s="51" t="str">
        <f t="shared" ca="1" si="8"/>
        <v/>
      </c>
      <c r="Z25" s="2"/>
      <c r="AA25" s="2"/>
      <c r="AB25" s="2"/>
      <c r="AC25" s="2"/>
      <c r="AD25" s="2"/>
    </row>
    <row r="26" spans="1:30" ht="12.75" x14ac:dyDescent="0.2">
      <c r="A26" s="86" t="str">
        <f ca="1">IFERROR(__xludf.DUMMYFUNCTION("""COMPUTED_VALUE"""),"Tiểu học")</f>
        <v>Tiểu học</v>
      </c>
      <c r="B26" s="88"/>
      <c r="C26" s="14"/>
      <c r="D26" s="14"/>
      <c r="E26" s="82"/>
      <c r="F26" s="82"/>
      <c r="G26" s="51" t="str">
        <f t="shared" si="0"/>
        <v/>
      </c>
      <c r="H26" s="82"/>
      <c r="I26" s="51" t="str">
        <f t="shared" si="1"/>
        <v/>
      </c>
      <c r="J26" s="82"/>
      <c r="K26" s="51" t="str">
        <f t="shared" si="2"/>
        <v/>
      </c>
      <c r="L26" s="21"/>
      <c r="M26" s="51" t="str">
        <f t="shared" si="3"/>
        <v/>
      </c>
      <c r="N26" s="82"/>
      <c r="O26" s="82"/>
      <c r="P26" s="51" t="str">
        <f t="shared" si="4"/>
        <v/>
      </c>
      <c r="Q26" s="82"/>
      <c r="R26" s="51" t="str">
        <f t="shared" si="5"/>
        <v/>
      </c>
      <c r="S26" s="82"/>
      <c r="T26" s="82"/>
      <c r="U26" s="51" t="str">
        <f t="shared" si="6"/>
        <v/>
      </c>
      <c r="V26" s="82"/>
      <c r="W26" s="51" t="str">
        <f t="shared" si="7"/>
        <v/>
      </c>
      <c r="X26" s="82"/>
      <c r="Y26" s="51" t="str">
        <f t="shared" si="8"/>
        <v/>
      </c>
      <c r="Z26" s="2"/>
      <c r="AA26" s="2"/>
      <c r="AB26" s="2"/>
      <c r="AC26" s="2"/>
      <c r="AD26" s="2"/>
    </row>
    <row r="27" spans="1:30" ht="12.75" x14ac:dyDescent="0.2">
      <c r="A27" s="16">
        <f ca="1">IFERROR(__xludf.DUMMYFUNCTION("""COMPUTED_VALUE"""),1)</f>
        <v>1</v>
      </c>
      <c r="B27" s="14" t="str">
        <f ca="1">IFERROR(__xludf.DUMMYFUNCTION("""COMPUTED_VALUE"""),"TH Nguyễn Thiện Thuật")</f>
        <v>TH Nguyễn Thiện Thuật</v>
      </c>
      <c r="C27" s="14" t="str">
        <f ca="1">IFERROR(__xludf.DUMMYFUNCTION("""COMPUTED_VALUE"""),"TH")</f>
        <v>TH</v>
      </c>
      <c r="D27" s="14">
        <f ca="1">IFERROR(__xludf.DUMMYFUNCTION("""COMPUTED_VALUE"""),3)</f>
        <v>3</v>
      </c>
      <c r="E27" s="17">
        <f ca="1">IFERROR(__xludf.DUMMYFUNCTION("""COMPUTED_VALUE"""),37)</f>
        <v>37</v>
      </c>
      <c r="F27" s="19">
        <f ca="1">IFERROR(__xludf.DUMMYFUNCTION("""COMPUTED_VALUE"""),37)</f>
        <v>37</v>
      </c>
      <c r="G27" s="51">
        <f t="shared" ca="1" si="0"/>
        <v>1</v>
      </c>
      <c r="H27" s="19">
        <f ca="1">IFERROR(__xludf.DUMMYFUNCTION("""COMPUTED_VALUE"""),37)</f>
        <v>37</v>
      </c>
      <c r="I27" s="51">
        <f t="shared" ca="1" si="1"/>
        <v>1</v>
      </c>
      <c r="J27" s="19">
        <f ca="1">IFERROR(__xludf.DUMMYFUNCTION("""COMPUTED_VALUE"""),37)</f>
        <v>37</v>
      </c>
      <c r="K27" s="51">
        <f t="shared" ca="1" si="2"/>
        <v>1</v>
      </c>
      <c r="L27" s="18">
        <f ca="1">IFERROR(__xludf.DUMMYFUNCTION("""COMPUTED_VALUE"""),13)</f>
        <v>13</v>
      </c>
      <c r="M27" s="51">
        <f t="shared" ca="1" si="3"/>
        <v>0.35135135135135137</v>
      </c>
      <c r="N27" s="19">
        <f ca="1">IFERROR(__xludf.DUMMYFUNCTION("""COMPUTED_VALUE"""),520)</f>
        <v>520</v>
      </c>
      <c r="O27" s="19">
        <f ca="1">IFERROR(__xludf.DUMMYFUNCTION("""COMPUTED_VALUE"""),337)</f>
        <v>337</v>
      </c>
      <c r="P27" s="51">
        <f t="shared" ca="1" si="4"/>
        <v>0.64807692307692311</v>
      </c>
      <c r="Q27" s="19">
        <f ca="1">IFERROR(__xludf.DUMMYFUNCTION("""COMPUTED_VALUE"""),186)</f>
        <v>186</v>
      </c>
      <c r="R27" s="51">
        <f t="shared" ca="1" si="5"/>
        <v>0.3576923076923077</v>
      </c>
      <c r="S27" s="19">
        <f ca="1">IFERROR(__xludf.DUMMYFUNCTION("""COMPUTED_VALUE"""),0)</f>
        <v>0</v>
      </c>
      <c r="T27" s="14">
        <f ca="1">IFERROR(__xludf.DUMMYFUNCTION("""COMPUTED_VALUE"""),0)</f>
        <v>0</v>
      </c>
      <c r="U27" s="51" t="str">
        <f t="shared" ca="1" si="6"/>
        <v/>
      </c>
      <c r="V27" s="19">
        <f ca="1">IFERROR(__xludf.DUMMYFUNCTION("""COMPUTED_VALUE"""),0)</f>
        <v>0</v>
      </c>
      <c r="W27" s="51" t="str">
        <f t="shared" ca="1" si="7"/>
        <v/>
      </c>
      <c r="X27" s="19">
        <f ca="1">IFERROR(__xludf.DUMMYFUNCTION("""COMPUTED_VALUE"""),0)</f>
        <v>0</v>
      </c>
      <c r="Y27" s="51" t="str">
        <f t="shared" ca="1" si="8"/>
        <v/>
      </c>
      <c r="Z27" s="2"/>
      <c r="AA27" s="2"/>
      <c r="AB27" s="2"/>
      <c r="AC27" s="2"/>
      <c r="AD27" s="2"/>
    </row>
    <row r="28" spans="1:30" ht="12.75" x14ac:dyDescent="0.2">
      <c r="A28" s="16">
        <f ca="1">IFERROR(__xludf.DUMMYFUNCTION("""COMPUTED_VALUE"""),2)</f>
        <v>2</v>
      </c>
      <c r="B28" s="14" t="str">
        <f ca="1">IFERROR(__xludf.DUMMYFUNCTION("""COMPUTED_VALUE"""),"TH Nguyễn Thi")</f>
        <v>TH Nguyễn Thi</v>
      </c>
      <c r="C28" s="14" t="str">
        <f ca="1">IFERROR(__xludf.DUMMYFUNCTION("""COMPUTED_VALUE"""),"TH")</f>
        <v>TH</v>
      </c>
      <c r="D28" s="14">
        <f ca="1">IFERROR(__xludf.DUMMYFUNCTION("""COMPUTED_VALUE"""),3)</f>
        <v>3</v>
      </c>
      <c r="E28" s="17">
        <f ca="1">IFERROR(__xludf.DUMMYFUNCTION("""COMPUTED_VALUE"""),30)</f>
        <v>30</v>
      </c>
      <c r="F28" s="19">
        <f ca="1">IFERROR(__xludf.DUMMYFUNCTION("""COMPUTED_VALUE"""),30)</f>
        <v>30</v>
      </c>
      <c r="G28" s="51">
        <f t="shared" ca="1" si="0"/>
        <v>1</v>
      </c>
      <c r="H28" s="19">
        <f ca="1">IFERROR(__xludf.DUMMYFUNCTION("""COMPUTED_VALUE"""),30)</f>
        <v>30</v>
      </c>
      <c r="I28" s="51">
        <f t="shared" ca="1" si="1"/>
        <v>1</v>
      </c>
      <c r="J28" s="19">
        <f ca="1">IFERROR(__xludf.DUMMYFUNCTION("""COMPUTED_VALUE"""),30)</f>
        <v>30</v>
      </c>
      <c r="K28" s="51">
        <f t="shared" ca="1" si="2"/>
        <v>1</v>
      </c>
      <c r="L28" s="18">
        <f ca="1">IFERROR(__xludf.DUMMYFUNCTION("""COMPUTED_VALUE"""),17)</f>
        <v>17</v>
      </c>
      <c r="M28" s="51">
        <f t="shared" ca="1" si="3"/>
        <v>0.56666666666666665</v>
      </c>
      <c r="N28" s="19">
        <f ca="1">IFERROR(__xludf.DUMMYFUNCTION("""COMPUTED_VALUE"""),355)</f>
        <v>355</v>
      </c>
      <c r="O28" s="19">
        <f ca="1">IFERROR(__xludf.DUMMYFUNCTION("""COMPUTED_VALUE"""),167)</f>
        <v>167</v>
      </c>
      <c r="P28" s="51">
        <f t="shared" ca="1" si="4"/>
        <v>0.47042253521126759</v>
      </c>
      <c r="Q28" s="19">
        <f ca="1">IFERROR(__xludf.DUMMYFUNCTION("""COMPUTED_VALUE"""),86)</f>
        <v>86</v>
      </c>
      <c r="R28" s="51">
        <f t="shared" ca="1" si="5"/>
        <v>0.24225352112676057</v>
      </c>
      <c r="S28" s="19">
        <f ca="1">IFERROR(__xludf.DUMMYFUNCTION("""COMPUTED_VALUE"""),0)</f>
        <v>0</v>
      </c>
      <c r="T28" s="19">
        <f ca="1">IFERROR(__xludf.DUMMYFUNCTION("""COMPUTED_VALUE"""),0)</f>
        <v>0</v>
      </c>
      <c r="U28" s="51" t="str">
        <f t="shared" ca="1" si="6"/>
        <v/>
      </c>
      <c r="V28" s="19">
        <f ca="1">IFERROR(__xludf.DUMMYFUNCTION("""COMPUTED_VALUE"""),0)</f>
        <v>0</v>
      </c>
      <c r="W28" s="51" t="str">
        <f t="shared" ca="1" si="7"/>
        <v/>
      </c>
      <c r="X28" s="19">
        <f ca="1">IFERROR(__xludf.DUMMYFUNCTION("""COMPUTED_VALUE"""),0)</f>
        <v>0</v>
      </c>
      <c r="Y28" s="51" t="str">
        <f t="shared" ca="1" si="8"/>
        <v/>
      </c>
      <c r="Z28" s="2"/>
      <c r="AA28" s="2"/>
      <c r="AB28" s="2"/>
      <c r="AC28" s="2"/>
      <c r="AD28" s="2"/>
    </row>
    <row r="29" spans="1:30" ht="12.75" x14ac:dyDescent="0.2">
      <c r="A29" s="16">
        <f ca="1">IFERROR(__xludf.DUMMYFUNCTION("""COMPUTED_VALUE"""),3)</f>
        <v>3</v>
      </c>
      <c r="B29" s="14" t="str">
        <f ca="1">IFERROR(__xludf.DUMMYFUNCTION("""COMPUTED_VALUE"""),"TH Trần Văn Đang")</f>
        <v>TH Trần Văn Đang</v>
      </c>
      <c r="C29" s="14" t="str">
        <f ca="1">IFERROR(__xludf.DUMMYFUNCTION("""COMPUTED_VALUE"""),"TH")</f>
        <v>TH</v>
      </c>
      <c r="D29" s="14">
        <f ca="1">IFERROR(__xludf.DUMMYFUNCTION("""COMPUTED_VALUE"""),3)</f>
        <v>3</v>
      </c>
      <c r="E29" s="17">
        <f ca="1">IFERROR(__xludf.DUMMYFUNCTION("""COMPUTED_VALUE"""),21)</f>
        <v>21</v>
      </c>
      <c r="F29" s="19">
        <f ca="1">IFERROR(__xludf.DUMMYFUNCTION("""COMPUTED_VALUE"""),21)</f>
        <v>21</v>
      </c>
      <c r="G29" s="51">
        <f t="shared" ca="1" si="0"/>
        <v>1</v>
      </c>
      <c r="H29" s="19">
        <f ca="1">IFERROR(__xludf.DUMMYFUNCTION("""COMPUTED_VALUE"""),21)</f>
        <v>21</v>
      </c>
      <c r="I29" s="51">
        <f t="shared" ca="1" si="1"/>
        <v>1</v>
      </c>
      <c r="J29" s="19">
        <f ca="1">IFERROR(__xludf.DUMMYFUNCTION("""COMPUTED_VALUE"""),18)</f>
        <v>18</v>
      </c>
      <c r="K29" s="51">
        <f t="shared" ca="1" si="2"/>
        <v>0.8571428571428571</v>
      </c>
      <c r="L29" s="18">
        <f ca="1">IFERROR(__xludf.DUMMYFUNCTION("""COMPUTED_VALUE"""),9)</f>
        <v>9</v>
      </c>
      <c r="M29" s="51">
        <f t="shared" ca="1" si="3"/>
        <v>0.42857142857142855</v>
      </c>
      <c r="N29" s="19">
        <f ca="1">IFERROR(__xludf.DUMMYFUNCTION("""COMPUTED_VALUE"""),280)</f>
        <v>280</v>
      </c>
      <c r="O29" s="19">
        <f ca="1">IFERROR(__xludf.DUMMYFUNCTION("""COMPUTED_VALUE"""),120)</f>
        <v>120</v>
      </c>
      <c r="P29" s="51">
        <f t="shared" ca="1" si="4"/>
        <v>0.42857142857142855</v>
      </c>
      <c r="Q29" s="19">
        <f ca="1">IFERROR(__xludf.DUMMYFUNCTION("""COMPUTED_VALUE"""),61)</f>
        <v>61</v>
      </c>
      <c r="R29" s="51">
        <f t="shared" ca="1" si="5"/>
        <v>0.21785714285714286</v>
      </c>
      <c r="S29" s="19">
        <f ca="1">IFERROR(__xludf.DUMMYFUNCTION("""COMPUTED_VALUE"""),0)</f>
        <v>0</v>
      </c>
      <c r="T29" s="19">
        <f ca="1">IFERROR(__xludf.DUMMYFUNCTION("""COMPUTED_VALUE"""),0)</f>
        <v>0</v>
      </c>
      <c r="U29" s="51" t="str">
        <f t="shared" ca="1" si="6"/>
        <v/>
      </c>
      <c r="V29" s="19">
        <f ca="1">IFERROR(__xludf.DUMMYFUNCTION("""COMPUTED_VALUE"""),0)</f>
        <v>0</v>
      </c>
      <c r="W29" s="51" t="str">
        <f t="shared" ca="1" si="7"/>
        <v/>
      </c>
      <c r="X29" s="19">
        <f ca="1">IFERROR(__xludf.DUMMYFUNCTION("""COMPUTED_VALUE"""),0)</f>
        <v>0</v>
      </c>
      <c r="Y29" s="51" t="str">
        <f t="shared" ca="1" si="8"/>
        <v/>
      </c>
      <c r="Z29" s="2"/>
      <c r="AA29" s="2"/>
      <c r="AB29" s="2"/>
      <c r="AC29" s="2"/>
      <c r="AD29" s="2"/>
    </row>
    <row r="30" spans="1:30" ht="12.75" x14ac:dyDescent="0.2">
      <c r="A30" s="16">
        <f ca="1">IFERROR(__xludf.DUMMYFUNCTION("""COMPUTED_VALUE"""),4)</f>
        <v>4</v>
      </c>
      <c r="B30" s="14" t="str">
        <f ca="1">IFERROR(__xludf.DUMMYFUNCTION("""COMPUTED_VALUE"""),"TH Nguyễn Việt Hồng")</f>
        <v>TH Nguyễn Việt Hồng</v>
      </c>
      <c r="C30" s="14" t="str">
        <f ca="1">IFERROR(__xludf.DUMMYFUNCTION("""COMPUTED_VALUE"""),"TH")</f>
        <v>TH</v>
      </c>
      <c r="D30" s="14">
        <f ca="1">IFERROR(__xludf.DUMMYFUNCTION("""COMPUTED_VALUE"""),3)</f>
        <v>3</v>
      </c>
      <c r="E30" s="17">
        <f ca="1">IFERROR(__xludf.DUMMYFUNCTION("""COMPUTED_VALUE"""),66)</f>
        <v>66</v>
      </c>
      <c r="F30" s="19">
        <f ca="1">IFERROR(__xludf.DUMMYFUNCTION("""COMPUTED_VALUE"""),66)</f>
        <v>66</v>
      </c>
      <c r="G30" s="51">
        <f t="shared" ca="1" si="0"/>
        <v>1</v>
      </c>
      <c r="H30" s="19">
        <f ca="1">IFERROR(__xludf.DUMMYFUNCTION("""COMPUTED_VALUE"""),66)</f>
        <v>66</v>
      </c>
      <c r="I30" s="51">
        <f t="shared" ca="1" si="1"/>
        <v>1</v>
      </c>
      <c r="J30" s="19">
        <f ca="1">IFERROR(__xludf.DUMMYFUNCTION("""COMPUTED_VALUE"""),63)</f>
        <v>63</v>
      </c>
      <c r="K30" s="51">
        <f t="shared" ca="1" si="2"/>
        <v>0.95454545454545459</v>
      </c>
      <c r="L30" s="18">
        <f ca="1">IFERROR(__xludf.DUMMYFUNCTION("""COMPUTED_VALUE"""),54)</f>
        <v>54</v>
      </c>
      <c r="M30" s="51">
        <f t="shared" ca="1" si="3"/>
        <v>0.81818181818181823</v>
      </c>
      <c r="N30" s="19">
        <f ca="1">IFERROR(__xludf.DUMMYFUNCTION("""COMPUTED_VALUE"""),783)</f>
        <v>783</v>
      </c>
      <c r="O30" s="19">
        <f ca="1">IFERROR(__xludf.DUMMYFUNCTION("""COMPUTED_VALUE"""),264)</f>
        <v>264</v>
      </c>
      <c r="P30" s="51">
        <f t="shared" ca="1" si="4"/>
        <v>0.33716475095785442</v>
      </c>
      <c r="Q30" s="19">
        <f ca="1">IFERROR(__xludf.DUMMYFUNCTION("""COMPUTED_VALUE"""),137)</f>
        <v>137</v>
      </c>
      <c r="R30" s="51">
        <f t="shared" ca="1" si="5"/>
        <v>0.17496807151979565</v>
      </c>
      <c r="S30" s="19">
        <f ca="1">IFERROR(__xludf.DUMMYFUNCTION("""COMPUTED_VALUE"""),0)</f>
        <v>0</v>
      </c>
      <c r="T30" s="19">
        <f ca="1">IFERROR(__xludf.DUMMYFUNCTION("""COMPUTED_VALUE"""),0)</f>
        <v>0</v>
      </c>
      <c r="U30" s="51" t="str">
        <f t="shared" ca="1" si="6"/>
        <v/>
      </c>
      <c r="V30" s="19">
        <f ca="1">IFERROR(__xludf.DUMMYFUNCTION("""COMPUTED_VALUE"""),0)</f>
        <v>0</v>
      </c>
      <c r="W30" s="51" t="str">
        <f t="shared" ca="1" si="7"/>
        <v/>
      </c>
      <c r="X30" s="19">
        <f ca="1">IFERROR(__xludf.DUMMYFUNCTION("""COMPUTED_VALUE"""),0)</f>
        <v>0</v>
      </c>
      <c r="Y30" s="51" t="str">
        <f t="shared" ca="1" si="8"/>
        <v/>
      </c>
      <c r="Z30" s="2"/>
      <c r="AA30" s="2"/>
      <c r="AB30" s="2"/>
      <c r="AC30" s="2"/>
      <c r="AD30" s="2"/>
    </row>
    <row r="31" spans="1:30" ht="12.75" x14ac:dyDescent="0.2">
      <c r="A31" s="16">
        <f ca="1">IFERROR(__xludf.DUMMYFUNCTION("""COMPUTED_VALUE"""),5)</f>
        <v>5</v>
      </c>
      <c r="B31" s="14" t="str">
        <f ca="1">IFERROR(__xludf.DUMMYFUNCTION("""COMPUTED_VALUE"""),"TH Trần Quang Diệu")</f>
        <v>TH Trần Quang Diệu</v>
      </c>
      <c r="C31" s="14" t="str">
        <f ca="1">IFERROR(__xludf.DUMMYFUNCTION("""COMPUTED_VALUE"""),"TH")</f>
        <v>TH</v>
      </c>
      <c r="D31" s="14">
        <f ca="1">IFERROR(__xludf.DUMMYFUNCTION("""COMPUTED_VALUE"""),3)</f>
        <v>3</v>
      </c>
      <c r="E31" s="17">
        <f ca="1">IFERROR(__xludf.DUMMYFUNCTION("""COMPUTED_VALUE"""),38)</f>
        <v>38</v>
      </c>
      <c r="F31" s="19">
        <f ca="1">IFERROR(__xludf.DUMMYFUNCTION("""COMPUTED_VALUE"""),38)</f>
        <v>38</v>
      </c>
      <c r="G31" s="51">
        <f t="shared" ca="1" si="0"/>
        <v>1</v>
      </c>
      <c r="H31" s="19">
        <f ca="1">IFERROR(__xludf.DUMMYFUNCTION("""COMPUTED_VALUE"""),38)</f>
        <v>38</v>
      </c>
      <c r="I31" s="51">
        <f t="shared" ca="1" si="1"/>
        <v>1</v>
      </c>
      <c r="J31" s="19">
        <f ca="1">IFERROR(__xludf.DUMMYFUNCTION("""COMPUTED_VALUE"""),35)</f>
        <v>35</v>
      </c>
      <c r="K31" s="51">
        <f t="shared" ca="1" si="2"/>
        <v>0.92105263157894735</v>
      </c>
      <c r="L31" s="18">
        <f ca="1">IFERROR(__xludf.DUMMYFUNCTION("""COMPUTED_VALUE"""),14)</f>
        <v>14</v>
      </c>
      <c r="M31" s="51">
        <f t="shared" ca="1" si="3"/>
        <v>0.36842105263157893</v>
      </c>
      <c r="N31" s="19">
        <f ca="1">IFERROR(__xludf.DUMMYFUNCTION("""COMPUTED_VALUE"""),451)</f>
        <v>451</v>
      </c>
      <c r="O31" s="19">
        <f ca="1">IFERROR(__xludf.DUMMYFUNCTION("""COMPUTED_VALUE"""),235)</f>
        <v>235</v>
      </c>
      <c r="P31" s="51">
        <f t="shared" ca="1" si="4"/>
        <v>0.52106430155210648</v>
      </c>
      <c r="Q31" s="19">
        <f ca="1">IFERROR(__xludf.DUMMYFUNCTION("""COMPUTED_VALUE"""),138)</f>
        <v>138</v>
      </c>
      <c r="R31" s="51">
        <f t="shared" ca="1" si="5"/>
        <v>0.30598669623059865</v>
      </c>
      <c r="S31" s="19">
        <f ca="1">IFERROR(__xludf.DUMMYFUNCTION("""COMPUTED_VALUE"""),0)</f>
        <v>0</v>
      </c>
      <c r="T31" s="19">
        <f ca="1">IFERROR(__xludf.DUMMYFUNCTION("""COMPUTED_VALUE"""),0)</f>
        <v>0</v>
      </c>
      <c r="U31" s="51" t="str">
        <f t="shared" ca="1" si="6"/>
        <v/>
      </c>
      <c r="V31" s="19">
        <f ca="1">IFERROR(__xludf.DUMMYFUNCTION("""COMPUTED_VALUE"""),0)</f>
        <v>0</v>
      </c>
      <c r="W31" s="51" t="str">
        <f t="shared" ca="1" si="7"/>
        <v/>
      </c>
      <c r="X31" s="19">
        <f ca="1">IFERROR(__xludf.DUMMYFUNCTION("""COMPUTED_VALUE"""),0)</f>
        <v>0</v>
      </c>
      <c r="Y31" s="51" t="str">
        <f t="shared" ca="1" si="8"/>
        <v/>
      </c>
      <c r="Z31" s="2"/>
      <c r="AA31" s="2"/>
      <c r="AB31" s="2"/>
      <c r="AC31" s="2"/>
      <c r="AD31" s="2"/>
    </row>
    <row r="32" spans="1:30" ht="12.75" x14ac:dyDescent="0.2">
      <c r="A32" s="16">
        <f ca="1">IFERROR(__xludf.DUMMYFUNCTION("""COMPUTED_VALUE"""),6)</f>
        <v>6</v>
      </c>
      <c r="B32" s="14" t="str">
        <f ca="1">IFERROR(__xludf.DUMMYFUNCTION("""COMPUTED_VALUE"""),"TH Phan Đình Phùng")</f>
        <v>TH Phan Đình Phùng</v>
      </c>
      <c r="C32" s="14" t="str">
        <f ca="1">IFERROR(__xludf.DUMMYFUNCTION("""COMPUTED_VALUE"""),"TH")</f>
        <v>TH</v>
      </c>
      <c r="D32" s="14">
        <f ca="1">IFERROR(__xludf.DUMMYFUNCTION("""COMPUTED_VALUE"""),3)</f>
        <v>3</v>
      </c>
      <c r="E32" s="15">
        <f ca="1">IFERROR(__xludf.DUMMYFUNCTION("""COMPUTED_VALUE"""),128)</f>
        <v>128</v>
      </c>
      <c r="F32" s="19">
        <f ca="1">IFERROR(__xludf.DUMMYFUNCTION("""COMPUTED_VALUE"""),128)</f>
        <v>128</v>
      </c>
      <c r="G32" s="51">
        <f t="shared" ca="1" si="0"/>
        <v>1</v>
      </c>
      <c r="H32" s="19">
        <f ca="1">IFERROR(__xludf.DUMMYFUNCTION("""COMPUTED_VALUE"""),128)</f>
        <v>128</v>
      </c>
      <c r="I32" s="51">
        <f t="shared" ca="1" si="1"/>
        <v>1</v>
      </c>
      <c r="J32" s="19">
        <f ca="1">IFERROR(__xludf.DUMMYFUNCTION("""COMPUTED_VALUE"""),122)</f>
        <v>122</v>
      </c>
      <c r="K32" s="51">
        <f t="shared" ca="1" si="2"/>
        <v>0.953125</v>
      </c>
      <c r="L32" s="18">
        <f ca="1">IFERROR(__xludf.DUMMYFUNCTION("""COMPUTED_VALUE"""),69)</f>
        <v>69</v>
      </c>
      <c r="M32" s="51">
        <f t="shared" ca="1" si="3"/>
        <v>0.5390625</v>
      </c>
      <c r="N32" s="19">
        <f ca="1">IFERROR(__xludf.DUMMYFUNCTION("""COMPUTED_VALUE"""),1584)</f>
        <v>1584</v>
      </c>
      <c r="O32" s="19">
        <f ca="1">IFERROR(__xludf.DUMMYFUNCTION("""COMPUTED_VALUE"""),800)</f>
        <v>800</v>
      </c>
      <c r="P32" s="51">
        <f t="shared" ca="1" si="4"/>
        <v>0.50505050505050508</v>
      </c>
      <c r="Q32" s="19">
        <f ca="1">IFERROR(__xludf.DUMMYFUNCTION("""COMPUTED_VALUE"""),447)</f>
        <v>447</v>
      </c>
      <c r="R32" s="51">
        <f t="shared" ca="1" si="5"/>
        <v>0.28219696969696972</v>
      </c>
      <c r="S32" s="19">
        <f ca="1">IFERROR(__xludf.DUMMYFUNCTION("""COMPUTED_VALUE"""),0)</f>
        <v>0</v>
      </c>
      <c r="T32" s="19">
        <f ca="1">IFERROR(__xludf.DUMMYFUNCTION("""COMPUTED_VALUE"""),0)</f>
        <v>0</v>
      </c>
      <c r="U32" s="51" t="str">
        <f t="shared" ca="1" si="6"/>
        <v/>
      </c>
      <c r="V32" s="19">
        <f ca="1">IFERROR(__xludf.DUMMYFUNCTION("""COMPUTED_VALUE"""),0)</f>
        <v>0</v>
      </c>
      <c r="W32" s="51" t="str">
        <f t="shared" ca="1" si="7"/>
        <v/>
      </c>
      <c r="X32" s="19">
        <f ca="1">IFERROR(__xludf.DUMMYFUNCTION("""COMPUTED_VALUE"""),0)</f>
        <v>0</v>
      </c>
      <c r="Y32" s="51" t="str">
        <f t="shared" ca="1" si="8"/>
        <v/>
      </c>
      <c r="Z32" s="2"/>
      <c r="AA32" s="2"/>
      <c r="AB32" s="2"/>
      <c r="AC32" s="2"/>
      <c r="AD32" s="2"/>
    </row>
    <row r="33" spans="1:30" ht="12.75" x14ac:dyDescent="0.2">
      <c r="A33" s="16">
        <f ca="1">IFERROR(__xludf.DUMMYFUNCTION("""COMPUTED_VALUE"""),7)</f>
        <v>7</v>
      </c>
      <c r="B33" s="14" t="str">
        <f ca="1">IFERROR(__xludf.DUMMYFUNCTION("""COMPUTED_VALUE"""),"TH Nguyễn Thái Sơn")</f>
        <v>TH Nguyễn Thái Sơn</v>
      </c>
      <c r="C33" s="14" t="str">
        <f ca="1">IFERROR(__xludf.DUMMYFUNCTION("""COMPUTED_VALUE"""),"TH")</f>
        <v>TH</v>
      </c>
      <c r="D33" s="14">
        <f ca="1">IFERROR(__xludf.DUMMYFUNCTION("""COMPUTED_VALUE"""),3)</f>
        <v>3</v>
      </c>
      <c r="E33" s="77">
        <f ca="1">IFERROR(__xludf.DUMMYFUNCTION("""COMPUTED_VALUE"""),143)</f>
        <v>143</v>
      </c>
      <c r="F33" s="77">
        <f ca="1">IFERROR(__xludf.DUMMYFUNCTION("""COMPUTED_VALUE"""),143)</f>
        <v>143</v>
      </c>
      <c r="G33" s="51">
        <f t="shared" ca="1" si="0"/>
        <v>1</v>
      </c>
      <c r="H33" s="77">
        <f ca="1">IFERROR(__xludf.DUMMYFUNCTION("""COMPUTED_VALUE"""),143)</f>
        <v>143</v>
      </c>
      <c r="I33" s="51">
        <f t="shared" ca="1" si="1"/>
        <v>1</v>
      </c>
      <c r="J33" s="77">
        <f ca="1">IFERROR(__xludf.DUMMYFUNCTION("""COMPUTED_VALUE"""),142)</f>
        <v>142</v>
      </c>
      <c r="K33" s="51">
        <f t="shared" ca="1" si="2"/>
        <v>0.99300699300699302</v>
      </c>
      <c r="L33" s="83">
        <f ca="1">IFERROR(__xludf.DUMMYFUNCTION("""COMPUTED_VALUE"""),116)</f>
        <v>116</v>
      </c>
      <c r="M33" s="51">
        <f t="shared" ca="1" si="3"/>
        <v>0.81118881118881114</v>
      </c>
      <c r="N33" s="77">
        <f ca="1">IFERROR(__xludf.DUMMYFUNCTION("""COMPUTED_VALUE"""),2181)</f>
        <v>2181</v>
      </c>
      <c r="O33" s="77">
        <f ca="1">IFERROR(__xludf.DUMMYFUNCTION("""COMPUTED_VALUE"""),1383)</f>
        <v>1383</v>
      </c>
      <c r="P33" s="51">
        <f t="shared" ca="1" si="4"/>
        <v>0.63411279229711137</v>
      </c>
      <c r="Q33" s="19">
        <f ca="1">IFERROR(__xludf.DUMMYFUNCTION("""COMPUTED_VALUE"""),833)</f>
        <v>833</v>
      </c>
      <c r="R33" s="51">
        <f t="shared" ca="1" si="5"/>
        <v>0.38193489225126087</v>
      </c>
      <c r="S33" s="19">
        <f ca="1">IFERROR(__xludf.DUMMYFUNCTION("""COMPUTED_VALUE"""),0)</f>
        <v>0</v>
      </c>
      <c r="T33" s="14">
        <f ca="1">IFERROR(__xludf.DUMMYFUNCTION("""COMPUTED_VALUE"""),0)</f>
        <v>0</v>
      </c>
      <c r="U33" s="51" t="str">
        <f t="shared" ca="1" si="6"/>
        <v/>
      </c>
      <c r="V33" s="19">
        <f ca="1">IFERROR(__xludf.DUMMYFUNCTION("""COMPUTED_VALUE"""),0)</f>
        <v>0</v>
      </c>
      <c r="W33" s="51" t="str">
        <f t="shared" ca="1" si="7"/>
        <v/>
      </c>
      <c r="X33" s="19">
        <f ca="1">IFERROR(__xludf.DUMMYFUNCTION("""COMPUTED_VALUE"""),0)</f>
        <v>0</v>
      </c>
      <c r="Y33" s="51" t="str">
        <f t="shared" ca="1" si="8"/>
        <v/>
      </c>
      <c r="Z33" s="2"/>
      <c r="AA33" s="2"/>
      <c r="AB33" s="2"/>
      <c r="AC33" s="2"/>
      <c r="AD33" s="2"/>
    </row>
    <row r="34" spans="1:30" ht="12.75" x14ac:dyDescent="0.2">
      <c r="A34" s="16">
        <f ca="1">IFERROR(__xludf.DUMMYFUNCTION("""COMPUTED_VALUE"""),8)</f>
        <v>8</v>
      </c>
      <c r="B34" s="14" t="str">
        <f ca="1">IFERROR(__xludf.DUMMYFUNCTION("""COMPUTED_VALUE"""),"TH Nguyễn Thanh Tuyền")</f>
        <v>TH Nguyễn Thanh Tuyền</v>
      </c>
      <c r="C34" s="14" t="str">
        <f ca="1">IFERROR(__xludf.DUMMYFUNCTION("""COMPUTED_VALUE"""),"TH")</f>
        <v>TH</v>
      </c>
      <c r="D34" s="14">
        <f ca="1">IFERROR(__xludf.DUMMYFUNCTION("""COMPUTED_VALUE"""),3)</f>
        <v>3</v>
      </c>
      <c r="E34" s="17">
        <f ca="1">IFERROR(__xludf.DUMMYFUNCTION("""COMPUTED_VALUE"""),57)</f>
        <v>57</v>
      </c>
      <c r="F34" s="19">
        <f ca="1">IFERROR(__xludf.DUMMYFUNCTION("""COMPUTED_VALUE"""),57)</f>
        <v>57</v>
      </c>
      <c r="G34" s="51">
        <f t="shared" ca="1" si="0"/>
        <v>1</v>
      </c>
      <c r="H34" s="19">
        <f ca="1">IFERROR(__xludf.DUMMYFUNCTION("""COMPUTED_VALUE"""),57)</f>
        <v>57</v>
      </c>
      <c r="I34" s="51">
        <f t="shared" ca="1" si="1"/>
        <v>1</v>
      </c>
      <c r="J34" s="19">
        <f ca="1">IFERROR(__xludf.DUMMYFUNCTION("""COMPUTED_VALUE"""),57)</f>
        <v>57</v>
      </c>
      <c r="K34" s="51">
        <f t="shared" ca="1" si="2"/>
        <v>1</v>
      </c>
      <c r="L34" s="18">
        <f ca="1">IFERROR(__xludf.DUMMYFUNCTION("""COMPUTED_VALUE"""),28)</f>
        <v>28</v>
      </c>
      <c r="M34" s="51">
        <f t="shared" ca="1" si="3"/>
        <v>0.49122807017543857</v>
      </c>
      <c r="N34" s="19">
        <f ca="1">IFERROR(__xludf.DUMMYFUNCTION("""COMPUTED_VALUE"""),621)</f>
        <v>621</v>
      </c>
      <c r="O34" s="19">
        <f ca="1">IFERROR(__xludf.DUMMYFUNCTION("""COMPUTED_VALUE"""),315)</f>
        <v>315</v>
      </c>
      <c r="P34" s="51">
        <f t="shared" ca="1" si="4"/>
        <v>0.50724637681159424</v>
      </c>
      <c r="Q34" s="19">
        <f ca="1">IFERROR(__xludf.DUMMYFUNCTION("""COMPUTED_VALUE"""),147)</f>
        <v>147</v>
      </c>
      <c r="R34" s="51">
        <f t="shared" ca="1" si="5"/>
        <v>0.23671497584541062</v>
      </c>
      <c r="S34" s="19">
        <f ca="1">IFERROR(__xludf.DUMMYFUNCTION("""COMPUTED_VALUE"""),0)</f>
        <v>0</v>
      </c>
      <c r="T34" s="19">
        <f ca="1">IFERROR(__xludf.DUMMYFUNCTION("""COMPUTED_VALUE"""),0)</f>
        <v>0</v>
      </c>
      <c r="U34" s="51" t="str">
        <f t="shared" ca="1" si="6"/>
        <v/>
      </c>
      <c r="V34" s="19">
        <f ca="1">IFERROR(__xludf.DUMMYFUNCTION("""COMPUTED_VALUE"""),0)</f>
        <v>0</v>
      </c>
      <c r="W34" s="51" t="str">
        <f t="shared" ca="1" si="7"/>
        <v/>
      </c>
      <c r="X34" s="19">
        <f ca="1">IFERROR(__xludf.DUMMYFUNCTION("""COMPUTED_VALUE"""),0)</f>
        <v>0</v>
      </c>
      <c r="Y34" s="51" t="str">
        <f t="shared" ca="1" si="8"/>
        <v/>
      </c>
      <c r="Z34" s="2"/>
      <c r="AA34" s="2"/>
      <c r="AB34" s="2"/>
      <c r="AC34" s="2"/>
      <c r="AD34" s="2"/>
    </row>
    <row r="35" spans="1:30" ht="12.75" x14ac:dyDescent="0.2">
      <c r="A35" s="16">
        <f ca="1">IFERROR(__xludf.DUMMYFUNCTION("""COMPUTED_VALUE"""),9)</f>
        <v>9</v>
      </c>
      <c r="B35" s="21" t="str">
        <f ca="1">IFERROR(__xludf.DUMMYFUNCTION("""COMPUTED_VALUE"""),"TH Lương Định Của")</f>
        <v>TH Lương Định Của</v>
      </c>
      <c r="C35" s="14" t="str">
        <f ca="1">IFERROR(__xludf.DUMMYFUNCTION("""COMPUTED_VALUE"""),"TH")</f>
        <v>TH</v>
      </c>
      <c r="D35" s="14">
        <f ca="1">IFERROR(__xludf.DUMMYFUNCTION("""COMPUTED_VALUE"""),3)</f>
        <v>3</v>
      </c>
      <c r="E35" s="17">
        <f ca="1">IFERROR(__xludf.DUMMYFUNCTION("""COMPUTED_VALUE"""),169)</f>
        <v>169</v>
      </c>
      <c r="F35" s="19">
        <f ca="1">IFERROR(__xludf.DUMMYFUNCTION("""COMPUTED_VALUE"""),169)</f>
        <v>169</v>
      </c>
      <c r="G35" s="51">
        <f t="shared" ca="1" si="0"/>
        <v>1</v>
      </c>
      <c r="H35" s="19">
        <f ca="1">IFERROR(__xludf.DUMMYFUNCTION("""COMPUTED_VALUE"""),169)</f>
        <v>169</v>
      </c>
      <c r="I35" s="51">
        <f t="shared" ca="1" si="1"/>
        <v>1</v>
      </c>
      <c r="J35" s="19">
        <f ca="1">IFERROR(__xludf.DUMMYFUNCTION("""COMPUTED_VALUE"""),167)</f>
        <v>167</v>
      </c>
      <c r="K35" s="51">
        <f t="shared" ca="1" si="2"/>
        <v>0.98816568047337283</v>
      </c>
      <c r="L35" s="18">
        <f ca="1">IFERROR(__xludf.DUMMYFUNCTION("""COMPUTED_VALUE"""),136)</f>
        <v>136</v>
      </c>
      <c r="M35" s="51">
        <f t="shared" ca="1" si="3"/>
        <v>0.80473372781065089</v>
      </c>
      <c r="N35" s="19">
        <f ca="1">IFERROR(__xludf.DUMMYFUNCTION("""COMPUTED_VALUE"""),2451)</f>
        <v>2451</v>
      </c>
      <c r="O35" s="19">
        <f ca="1">IFERROR(__xludf.DUMMYFUNCTION("""COMPUTED_VALUE"""),1278)</f>
        <v>1278</v>
      </c>
      <c r="P35" s="51">
        <f t="shared" ca="1" si="4"/>
        <v>0.52141982864137082</v>
      </c>
      <c r="Q35" s="19">
        <f ca="1">IFERROR(__xludf.DUMMYFUNCTION("""COMPUTED_VALUE"""),710)</f>
        <v>710</v>
      </c>
      <c r="R35" s="51">
        <f t="shared" ca="1" si="5"/>
        <v>0.28967768257853937</v>
      </c>
      <c r="S35" s="19">
        <f ca="1">IFERROR(__xludf.DUMMYFUNCTION("""COMPUTED_VALUE"""),0)</f>
        <v>0</v>
      </c>
      <c r="T35" s="19">
        <f ca="1">IFERROR(__xludf.DUMMYFUNCTION("""COMPUTED_VALUE"""),0)</f>
        <v>0</v>
      </c>
      <c r="U35" s="51" t="str">
        <f t="shared" ca="1" si="6"/>
        <v/>
      </c>
      <c r="V35" s="19">
        <f ca="1">IFERROR(__xludf.DUMMYFUNCTION("""COMPUTED_VALUE"""),0)</f>
        <v>0</v>
      </c>
      <c r="W35" s="51" t="str">
        <f t="shared" ca="1" si="7"/>
        <v/>
      </c>
      <c r="X35" s="19">
        <f ca="1">IFERROR(__xludf.DUMMYFUNCTION("""COMPUTED_VALUE"""),0)</f>
        <v>0</v>
      </c>
      <c r="Y35" s="51" t="str">
        <f t="shared" ca="1" si="8"/>
        <v/>
      </c>
      <c r="Z35" s="2"/>
      <c r="AA35" s="2"/>
      <c r="AB35" s="2"/>
      <c r="AC35" s="2"/>
      <c r="AD35" s="2"/>
    </row>
    <row r="36" spans="1:30" ht="12.75" x14ac:dyDescent="0.2">
      <c r="A36" s="16">
        <f ca="1">IFERROR(__xludf.DUMMYFUNCTION("""COMPUTED_VALUE"""),10)</f>
        <v>10</v>
      </c>
      <c r="B36" s="14"/>
      <c r="C36" s="14"/>
      <c r="D36" s="14">
        <f ca="1">IFERROR(__xludf.DUMMYFUNCTION("""COMPUTED_VALUE"""),3)</f>
        <v>3</v>
      </c>
      <c r="E36" s="17">
        <f ca="1">IFERROR(__xludf.DUMMYFUNCTION("""COMPUTED_VALUE"""),78)</f>
        <v>78</v>
      </c>
      <c r="F36" s="19">
        <f ca="1">IFERROR(__xludf.DUMMYFUNCTION("""COMPUTED_VALUE"""),78)</f>
        <v>78</v>
      </c>
      <c r="G36" s="51">
        <f t="shared" ca="1" si="0"/>
        <v>1</v>
      </c>
      <c r="H36" s="19">
        <f ca="1">IFERROR(__xludf.DUMMYFUNCTION("""COMPUTED_VALUE"""),78)</f>
        <v>78</v>
      </c>
      <c r="I36" s="51">
        <f t="shared" ca="1" si="1"/>
        <v>1</v>
      </c>
      <c r="J36" s="19">
        <f ca="1">IFERROR(__xludf.DUMMYFUNCTION("""COMPUTED_VALUE"""),76)</f>
        <v>76</v>
      </c>
      <c r="K36" s="51">
        <f t="shared" ca="1" si="2"/>
        <v>0.97435897435897434</v>
      </c>
      <c r="L36" s="18">
        <f ca="1">IFERROR(__xludf.DUMMYFUNCTION("""COMPUTED_VALUE"""),18)</f>
        <v>18</v>
      </c>
      <c r="M36" s="51">
        <f t="shared" ca="1" si="3"/>
        <v>0.23076923076923078</v>
      </c>
      <c r="N36" s="19">
        <f ca="1">IFERROR(__xludf.DUMMYFUNCTION("""COMPUTED_VALUE"""),995)</f>
        <v>995</v>
      </c>
      <c r="O36" s="19">
        <f ca="1">IFERROR(__xludf.DUMMYFUNCTION("""COMPUTED_VALUE"""),411)</f>
        <v>411</v>
      </c>
      <c r="P36" s="51">
        <f t="shared" ca="1" si="4"/>
        <v>0.41306532663316581</v>
      </c>
      <c r="Q36" s="19">
        <f ca="1">IFERROR(__xludf.DUMMYFUNCTION("""COMPUTED_VALUE"""),299)</f>
        <v>299</v>
      </c>
      <c r="R36" s="51">
        <f t="shared" ca="1" si="5"/>
        <v>0.30050251256281407</v>
      </c>
      <c r="S36" s="19">
        <f ca="1">IFERROR(__xludf.DUMMYFUNCTION("""COMPUTED_VALUE"""),0)</f>
        <v>0</v>
      </c>
      <c r="T36" s="19">
        <f ca="1">IFERROR(__xludf.DUMMYFUNCTION("""COMPUTED_VALUE"""),0)</f>
        <v>0</v>
      </c>
      <c r="U36" s="51" t="str">
        <f t="shared" ca="1" si="6"/>
        <v/>
      </c>
      <c r="V36" s="19">
        <f ca="1">IFERROR(__xludf.DUMMYFUNCTION("""COMPUTED_VALUE"""),0)</f>
        <v>0</v>
      </c>
      <c r="W36" s="51" t="str">
        <f t="shared" ca="1" si="7"/>
        <v/>
      </c>
      <c r="X36" s="19">
        <f ca="1">IFERROR(__xludf.DUMMYFUNCTION("""COMPUTED_VALUE"""),0)</f>
        <v>0</v>
      </c>
      <c r="Y36" s="51" t="str">
        <f t="shared" ca="1" si="8"/>
        <v/>
      </c>
      <c r="Z36" s="2"/>
      <c r="AA36" s="2"/>
      <c r="AB36" s="2"/>
      <c r="AC36" s="2"/>
      <c r="AD36" s="2"/>
    </row>
    <row r="37" spans="1:30" ht="12.75" x14ac:dyDescent="0.2">
      <c r="A37" s="16">
        <f ca="1">IFERROR(__xludf.DUMMYFUNCTION("""COMPUTED_VALUE"""),11)</f>
        <v>11</v>
      </c>
      <c r="B37" s="14" t="str">
        <f ca="1">IFERROR(__xludf.DUMMYFUNCTION("""COMPUTED_VALUE"""),"TH Mê Linh")</f>
        <v>TH Mê Linh</v>
      </c>
      <c r="C37" s="14" t="str">
        <f ca="1">IFERROR(__xludf.DUMMYFUNCTION("""COMPUTED_VALUE"""),"TH")</f>
        <v>TH</v>
      </c>
      <c r="D37" s="14">
        <f ca="1">IFERROR(__xludf.DUMMYFUNCTION("""COMPUTED_VALUE"""),3)</f>
        <v>3</v>
      </c>
      <c r="E37" s="17">
        <f ca="1">IFERROR(__xludf.DUMMYFUNCTION("""COMPUTED_VALUE"""),43)</f>
        <v>43</v>
      </c>
      <c r="F37" s="19">
        <f ca="1">IFERROR(__xludf.DUMMYFUNCTION("""COMPUTED_VALUE"""),43)</f>
        <v>43</v>
      </c>
      <c r="G37" s="51">
        <f t="shared" ca="1" si="0"/>
        <v>1</v>
      </c>
      <c r="H37" s="19">
        <f ca="1">IFERROR(__xludf.DUMMYFUNCTION("""COMPUTED_VALUE"""),43)</f>
        <v>43</v>
      </c>
      <c r="I37" s="51">
        <f t="shared" ca="1" si="1"/>
        <v>1</v>
      </c>
      <c r="J37" s="19">
        <f ca="1">IFERROR(__xludf.DUMMYFUNCTION("""COMPUTED_VALUE"""),42)</f>
        <v>42</v>
      </c>
      <c r="K37" s="51">
        <f t="shared" ca="1" si="2"/>
        <v>0.97674418604651159</v>
      </c>
      <c r="L37" s="18">
        <f ca="1">IFERROR(__xludf.DUMMYFUNCTION("""COMPUTED_VALUE"""),27)</f>
        <v>27</v>
      </c>
      <c r="M37" s="51">
        <f t="shared" ca="1" si="3"/>
        <v>0.62790697674418605</v>
      </c>
      <c r="N37" s="19">
        <f ca="1">IFERROR(__xludf.DUMMYFUNCTION("""COMPUTED_VALUE"""),395)</f>
        <v>395</v>
      </c>
      <c r="O37" s="19">
        <f ca="1">IFERROR(__xludf.DUMMYFUNCTION("""COMPUTED_VALUE"""),189)</f>
        <v>189</v>
      </c>
      <c r="P37" s="51">
        <f t="shared" ca="1" si="4"/>
        <v>0.47848101265822784</v>
      </c>
      <c r="Q37" s="19">
        <f ca="1">IFERROR(__xludf.DUMMYFUNCTION("""COMPUTED_VALUE"""),88)</f>
        <v>88</v>
      </c>
      <c r="R37" s="51">
        <f t="shared" ca="1" si="5"/>
        <v>0.22278481012658227</v>
      </c>
      <c r="S37" s="19">
        <f ca="1">IFERROR(__xludf.DUMMYFUNCTION("""COMPUTED_VALUE"""),1)</f>
        <v>1</v>
      </c>
      <c r="T37" s="19">
        <f ca="1">IFERROR(__xludf.DUMMYFUNCTION("""COMPUTED_VALUE"""),1)</f>
        <v>1</v>
      </c>
      <c r="U37" s="51">
        <f t="shared" ca="1" si="6"/>
        <v>1</v>
      </c>
      <c r="V37" s="19">
        <f ca="1">IFERROR(__xludf.DUMMYFUNCTION("""COMPUTED_VALUE"""),1)</f>
        <v>1</v>
      </c>
      <c r="W37" s="51">
        <f t="shared" ca="1" si="7"/>
        <v>1</v>
      </c>
      <c r="X37" s="19">
        <f ca="1">IFERROR(__xludf.DUMMYFUNCTION("""COMPUTED_VALUE"""),1)</f>
        <v>1</v>
      </c>
      <c r="Y37" s="51">
        <f t="shared" ca="1" si="8"/>
        <v>1</v>
      </c>
      <c r="Z37" s="2"/>
      <c r="AA37" s="2"/>
      <c r="AB37" s="2"/>
      <c r="AC37" s="2"/>
      <c r="AD37" s="2"/>
    </row>
    <row r="38" spans="1:30" ht="12.75" x14ac:dyDescent="0.2">
      <c r="A38" s="16">
        <f ca="1">IFERROR(__xludf.DUMMYFUNCTION("""COMPUTED_VALUE"""),12)</f>
        <v>12</v>
      </c>
      <c r="B38" s="14" t="str">
        <f ca="1">IFERROR(__xludf.DUMMYFUNCTION("""COMPUTED_VALUE"""),"TH Trần Quốc Thảo")</f>
        <v>TH Trần Quốc Thảo</v>
      </c>
      <c r="C38" s="14" t="str">
        <f ca="1">IFERROR(__xludf.DUMMYFUNCTION("""COMPUTED_VALUE"""),"TH")</f>
        <v>TH</v>
      </c>
      <c r="D38" s="14">
        <f ca="1">IFERROR(__xludf.DUMMYFUNCTION("""COMPUTED_VALUE"""),3)</f>
        <v>3</v>
      </c>
      <c r="E38" s="17">
        <f ca="1">IFERROR(__xludf.DUMMYFUNCTION("""COMPUTED_VALUE"""),63)</f>
        <v>63</v>
      </c>
      <c r="F38" s="19">
        <f ca="1">IFERROR(__xludf.DUMMYFUNCTION("""COMPUTED_VALUE"""),63)</f>
        <v>63</v>
      </c>
      <c r="G38" s="51">
        <f t="shared" ca="1" si="0"/>
        <v>1</v>
      </c>
      <c r="H38" s="19">
        <f ca="1">IFERROR(__xludf.DUMMYFUNCTION("""COMPUTED_VALUE"""),63)</f>
        <v>63</v>
      </c>
      <c r="I38" s="51">
        <f t="shared" ca="1" si="1"/>
        <v>1</v>
      </c>
      <c r="J38" s="19">
        <f ca="1">IFERROR(__xludf.DUMMYFUNCTION("""COMPUTED_VALUE"""),63)</f>
        <v>63</v>
      </c>
      <c r="K38" s="51">
        <f t="shared" ca="1" si="2"/>
        <v>1</v>
      </c>
      <c r="L38" s="18">
        <f ca="1">IFERROR(__xludf.DUMMYFUNCTION("""COMPUTED_VALUE"""),46)</f>
        <v>46</v>
      </c>
      <c r="M38" s="51">
        <f t="shared" ca="1" si="3"/>
        <v>0.73015873015873012</v>
      </c>
      <c r="N38" s="19">
        <f ca="1">IFERROR(__xludf.DUMMYFUNCTION("""COMPUTED_VALUE"""),934)</f>
        <v>934</v>
      </c>
      <c r="O38" s="19">
        <f ca="1">IFERROR(__xludf.DUMMYFUNCTION("""COMPUTED_VALUE"""),282)</f>
        <v>282</v>
      </c>
      <c r="P38" s="51">
        <f t="shared" ca="1" si="4"/>
        <v>0.30192719486081371</v>
      </c>
      <c r="Q38" s="19">
        <f ca="1">IFERROR(__xludf.DUMMYFUNCTION("""COMPUTED_VALUE"""),119)</f>
        <v>119</v>
      </c>
      <c r="R38" s="51">
        <f t="shared" ca="1" si="5"/>
        <v>0.12740899357601712</v>
      </c>
      <c r="S38" s="19">
        <f ca="1">IFERROR(__xludf.DUMMYFUNCTION("""COMPUTED_VALUE"""),0)</f>
        <v>0</v>
      </c>
      <c r="T38" s="14">
        <f ca="1">IFERROR(__xludf.DUMMYFUNCTION("""COMPUTED_VALUE"""),0)</f>
        <v>0</v>
      </c>
      <c r="U38" s="51" t="str">
        <f t="shared" ca="1" si="6"/>
        <v/>
      </c>
      <c r="V38" s="19">
        <f ca="1">IFERROR(__xludf.DUMMYFUNCTION("""COMPUTED_VALUE"""),0)</f>
        <v>0</v>
      </c>
      <c r="W38" s="51" t="str">
        <f t="shared" ca="1" si="7"/>
        <v/>
      </c>
      <c r="X38" s="19">
        <f ca="1">IFERROR(__xludf.DUMMYFUNCTION("""COMPUTED_VALUE"""),0)</f>
        <v>0</v>
      </c>
      <c r="Y38" s="51" t="str">
        <f t="shared" ca="1" si="8"/>
        <v/>
      </c>
      <c r="Z38" s="2"/>
      <c r="AA38" s="2"/>
      <c r="AB38" s="2"/>
      <c r="AC38" s="2"/>
      <c r="AD38" s="2"/>
    </row>
    <row r="39" spans="1:30" ht="12.75" x14ac:dyDescent="0.2">
      <c r="A39" s="16">
        <f ca="1">IFERROR(__xludf.DUMMYFUNCTION("""COMPUTED_VALUE"""),13)</f>
        <v>13</v>
      </c>
      <c r="B39" s="14" t="str">
        <f ca="1">IFERROR(__xludf.DUMMYFUNCTION("""COMPUTED_VALUE"""),"Trường TH Kỳ Đồng")</f>
        <v>Trường TH Kỳ Đồng</v>
      </c>
      <c r="C39" s="14" t="str">
        <f ca="1">IFERROR(__xludf.DUMMYFUNCTION("""COMPUTED_VALUE"""),"TH")</f>
        <v>TH</v>
      </c>
      <c r="D39" s="14">
        <f ca="1">IFERROR(__xludf.DUMMYFUNCTION("""COMPUTED_VALUE"""),3)</f>
        <v>3</v>
      </c>
      <c r="E39" s="17">
        <f ca="1">IFERROR(__xludf.DUMMYFUNCTION("""COMPUTED_VALUE"""),150)</f>
        <v>150</v>
      </c>
      <c r="F39" s="19">
        <f ca="1">IFERROR(__xludf.DUMMYFUNCTION("""COMPUTED_VALUE"""),150)</f>
        <v>150</v>
      </c>
      <c r="G39" s="51">
        <f t="shared" ca="1" si="0"/>
        <v>1</v>
      </c>
      <c r="H39" s="19">
        <f ca="1">IFERROR(__xludf.DUMMYFUNCTION("""COMPUTED_VALUE"""),150)</f>
        <v>150</v>
      </c>
      <c r="I39" s="51">
        <f t="shared" ca="1" si="1"/>
        <v>1</v>
      </c>
      <c r="J39" s="19">
        <f ca="1">IFERROR(__xludf.DUMMYFUNCTION("""COMPUTED_VALUE"""),150)</f>
        <v>150</v>
      </c>
      <c r="K39" s="51">
        <f t="shared" ca="1" si="2"/>
        <v>1</v>
      </c>
      <c r="L39" s="18">
        <f ca="1">IFERROR(__xludf.DUMMYFUNCTION("""COMPUTED_VALUE"""),106)</f>
        <v>106</v>
      </c>
      <c r="M39" s="51">
        <f t="shared" ca="1" si="3"/>
        <v>0.70666666666666667</v>
      </c>
      <c r="N39" s="19">
        <f ca="1">IFERROR(__xludf.DUMMYFUNCTION("""COMPUTED_VALUE"""),2059)</f>
        <v>2059</v>
      </c>
      <c r="O39" s="19">
        <f ca="1">IFERROR(__xludf.DUMMYFUNCTION("""COMPUTED_VALUE"""),1051)</f>
        <v>1051</v>
      </c>
      <c r="P39" s="51">
        <f t="shared" ca="1" si="4"/>
        <v>0.51044196211753279</v>
      </c>
      <c r="Q39" s="19">
        <f ca="1">IFERROR(__xludf.DUMMYFUNCTION("""COMPUTED_VALUE"""),509)</f>
        <v>509</v>
      </c>
      <c r="R39" s="51">
        <f t="shared" ca="1" si="5"/>
        <v>0.24720738222438077</v>
      </c>
      <c r="S39" s="19">
        <f ca="1">IFERROR(__xludf.DUMMYFUNCTION("""COMPUTED_VALUE"""),0)</f>
        <v>0</v>
      </c>
      <c r="T39" s="14">
        <f ca="1">IFERROR(__xludf.DUMMYFUNCTION("""COMPUTED_VALUE"""),0)</f>
        <v>0</v>
      </c>
      <c r="U39" s="51" t="str">
        <f t="shared" ca="1" si="6"/>
        <v/>
      </c>
      <c r="V39" s="19">
        <f ca="1">IFERROR(__xludf.DUMMYFUNCTION("""COMPUTED_VALUE"""),0)</f>
        <v>0</v>
      </c>
      <c r="W39" s="51" t="str">
        <f t="shared" ca="1" si="7"/>
        <v/>
      </c>
      <c r="X39" s="19">
        <f ca="1">IFERROR(__xludf.DUMMYFUNCTION("""COMPUTED_VALUE"""),0)</f>
        <v>0</v>
      </c>
      <c r="Y39" s="51" t="str">
        <f t="shared" ca="1" si="8"/>
        <v/>
      </c>
      <c r="Z39" s="2"/>
      <c r="AA39" s="2"/>
      <c r="AB39" s="2"/>
      <c r="AC39" s="2"/>
      <c r="AD39" s="2"/>
    </row>
    <row r="40" spans="1:30" ht="12.75" x14ac:dyDescent="0.2">
      <c r="A40" s="16">
        <f ca="1">IFERROR(__xludf.DUMMYFUNCTION("""COMPUTED_VALUE"""),14)</f>
        <v>14</v>
      </c>
      <c r="B40" s="14" t="str">
        <f ca="1">IFERROR(__xludf.DUMMYFUNCTION("""COMPUTED_VALUE"""),"TH Phan Văn Hân")</f>
        <v>TH Phan Văn Hân</v>
      </c>
      <c r="C40" s="14" t="str">
        <f ca="1">IFERROR(__xludf.DUMMYFUNCTION("""COMPUTED_VALUE"""),"TH")</f>
        <v>TH</v>
      </c>
      <c r="D40" s="14">
        <f ca="1">IFERROR(__xludf.DUMMYFUNCTION("""COMPUTED_VALUE"""),3)</f>
        <v>3</v>
      </c>
      <c r="E40" s="17">
        <f ca="1">IFERROR(__xludf.DUMMYFUNCTION("""COMPUTED_VALUE"""),40)</f>
        <v>40</v>
      </c>
      <c r="F40" s="19">
        <f ca="1">IFERROR(__xludf.DUMMYFUNCTION("""COMPUTED_VALUE"""),40)</f>
        <v>40</v>
      </c>
      <c r="G40" s="51">
        <f t="shared" ca="1" si="0"/>
        <v>1</v>
      </c>
      <c r="H40" s="19">
        <f ca="1">IFERROR(__xludf.DUMMYFUNCTION("""COMPUTED_VALUE"""),40)</f>
        <v>40</v>
      </c>
      <c r="I40" s="51">
        <f t="shared" ca="1" si="1"/>
        <v>1</v>
      </c>
      <c r="J40" s="19">
        <f ca="1">IFERROR(__xludf.DUMMYFUNCTION("""COMPUTED_VALUE"""),40)</f>
        <v>40</v>
      </c>
      <c r="K40" s="51">
        <f t="shared" ca="1" si="2"/>
        <v>1</v>
      </c>
      <c r="L40" s="18">
        <f ca="1">IFERROR(__xludf.DUMMYFUNCTION("""COMPUTED_VALUE"""),20)</f>
        <v>20</v>
      </c>
      <c r="M40" s="51">
        <f t="shared" ca="1" si="3"/>
        <v>0.5</v>
      </c>
      <c r="N40" s="19">
        <f ca="1">IFERROR(__xludf.DUMMYFUNCTION("""COMPUTED_VALUE"""),459)</f>
        <v>459</v>
      </c>
      <c r="O40" s="19">
        <f ca="1">IFERROR(__xludf.DUMMYFUNCTION("""COMPUTED_VALUE"""),269)</f>
        <v>269</v>
      </c>
      <c r="P40" s="51">
        <f t="shared" ca="1" si="4"/>
        <v>0.58605664488017428</v>
      </c>
      <c r="Q40" s="19">
        <f ca="1">IFERROR(__xludf.DUMMYFUNCTION("""COMPUTED_VALUE"""),286)</f>
        <v>286</v>
      </c>
      <c r="R40" s="51">
        <f t="shared" ca="1" si="5"/>
        <v>0.62309368191721137</v>
      </c>
      <c r="S40" s="19">
        <f ca="1">IFERROR(__xludf.DUMMYFUNCTION("""COMPUTED_VALUE"""),0)</f>
        <v>0</v>
      </c>
      <c r="T40" s="14">
        <f ca="1">IFERROR(__xludf.DUMMYFUNCTION("""COMPUTED_VALUE"""),0)</f>
        <v>0</v>
      </c>
      <c r="U40" s="51" t="str">
        <f t="shared" ca="1" si="6"/>
        <v/>
      </c>
      <c r="V40" s="19">
        <f ca="1">IFERROR(__xludf.DUMMYFUNCTION("""COMPUTED_VALUE"""),0)</f>
        <v>0</v>
      </c>
      <c r="W40" s="51" t="str">
        <f t="shared" ca="1" si="7"/>
        <v/>
      </c>
      <c r="X40" s="19">
        <f ca="1">IFERROR(__xludf.DUMMYFUNCTION("""COMPUTED_VALUE"""),0)</f>
        <v>0</v>
      </c>
      <c r="Y40" s="51" t="str">
        <f t="shared" ca="1" si="8"/>
        <v/>
      </c>
      <c r="Z40" s="2"/>
      <c r="AA40" s="2"/>
      <c r="AB40" s="2"/>
      <c r="AC40" s="2"/>
      <c r="AD40" s="2"/>
    </row>
    <row r="41" spans="1:30" ht="12.75" x14ac:dyDescent="0.2">
      <c r="A41" s="16">
        <f ca="1">IFERROR(__xludf.DUMMYFUNCTION("""COMPUTED_VALUE"""),15)</f>
        <v>15</v>
      </c>
      <c r="B41" s="14" t="str">
        <f ca="1">IFERROR(__xludf.DUMMYFUNCTION("""COMPUTED_VALUE"""),"TH Nguyễn Sơn Hà")</f>
        <v>TH Nguyễn Sơn Hà</v>
      </c>
      <c r="C41" s="14" t="str">
        <f ca="1">IFERROR(__xludf.DUMMYFUNCTION("""COMPUTED_VALUE"""),"TH")</f>
        <v>TH</v>
      </c>
      <c r="D41" s="14">
        <f ca="1">IFERROR(__xludf.DUMMYFUNCTION("""COMPUTED_VALUE"""),3)</f>
        <v>3</v>
      </c>
      <c r="E41" s="17">
        <f ca="1">IFERROR(__xludf.DUMMYFUNCTION("""COMPUTED_VALUE"""),21)</f>
        <v>21</v>
      </c>
      <c r="F41" s="19">
        <f ca="1">IFERROR(__xludf.DUMMYFUNCTION("""COMPUTED_VALUE"""),21)</f>
        <v>21</v>
      </c>
      <c r="G41" s="51">
        <f t="shared" ca="1" si="0"/>
        <v>1</v>
      </c>
      <c r="H41" s="19">
        <f ca="1">IFERROR(__xludf.DUMMYFUNCTION("""COMPUTED_VALUE"""),21)</f>
        <v>21</v>
      </c>
      <c r="I41" s="51">
        <f t="shared" ca="1" si="1"/>
        <v>1</v>
      </c>
      <c r="J41" s="19">
        <f ca="1">IFERROR(__xludf.DUMMYFUNCTION("""COMPUTED_VALUE"""),17)</f>
        <v>17</v>
      </c>
      <c r="K41" s="51">
        <f t="shared" ca="1" si="2"/>
        <v>0.80952380952380953</v>
      </c>
      <c r="L41" s="18">
        <f ca="1">IFERROR(__xludf.DUMMYFUNCTION("""COMPUTED_VALUE"""),8)</f>
        <v>8</v>
      </c>
      <c r="M41" s="51">
        <f t="shared" ca="1" si="3"/>
        <v>0.38095238095238093</v>
      </c>
      <c r="N41" s="19">
        <f ca="1">IFERROR(__xludf.DUMMYFUNCTION("""COMPUTED_VALUE"""),359)</f>
        <v>359</v>
      </c>
      <c r="O41" s="19">
        <f ca="1">IFERROR(__xludf.DUMMYFUNCTION("""COMPUTED_VALUE"""),175)</f>
        <v>175</v>
      </c>
      <c r="P41" s="51">
        <f t="shared" ca="1" si="4"/>
        <v>0.48746518105849584</v>
      </c>
      <c r="Q41" s="19">
        <f ca="1">IFERROR(__xludf.DUMMYFUNCTION("""COMPUTED_VALUE"""),78)</f>
        <v>78</v>
      </c>
      <c r="R41" s="51">
        <f t="shared" ca="1" si="5"/>
        <v>0.21727019498607242</v>
      </c>
      <c r="S41" s="19">
        <f ca="1">IFERROR(__xludf.DUMMYFUNCTION("""COMPUTED_VALUE"""),0)</f>
        <v>0</v>
      </c>
      <c r="T41" s="19">
        <f ca="1">IFERROR(__xludf.DUMMYFUNCTION("""COMPUTED_VALUE"""),0)</f>
        <v>0</v>
      </c>
      <c r="U41" s="51" t="str">
        <f t="shared" ca="1" si="6"/>
        <v/>
      </c>
      <c r="V41" s="19">
        <f ca="1">IFERROR(__xludf.DUMMYFUNCTION("""COMPUTED_VALUE"""),0)</f>
        <v>0</v>
      </c>
      <c r="W41" s="51" t="str">
        <f t="shared" ca="1" si="7"/>
        <v/>
      </c>
      <c r="X41" s="19">
        <f ca="1">IFERROR(__xludf.DUMMYFUNCTION("""COMPUTED_VALUE"""),0)</f>
        <v>0</v>
      </c>
      <c r="Y41" s="51" t="str">
        <f t="shared" ca="1" si="8"/>
        <v/>
      </c>
      <c r="Z41" s="2"/>
      <c r="AA41" s="2"/>
      <c r="AB41" s="2"/>
      <c r="AC41" s="2"/>
      <c r="AD41" s="2"/>
    </row>
    <row r="42" spans="1:30" ht="12.75" x14ac:dyDescent="0.2">
      <c r="A42" s="16">
        <f ca="1">IFERROR(__xludf.DUMMYFUNCTION("""COMPUTED_VALUE"""),16)</f>
        <v>16</v>
      </c>
      <c r="B42" s="14" t="str">
        <f ca="1">IFERROR(__xludf.DUMMYFUNCTION("""COMPUTED_VALUE"""),"TH Fosco")</f>
        <v>TH Fosco</v>
      </c>
      <c r="C42" s="14" t="str">
        <f ca="1">IFERROR(__xludf.DUMMYFUNCTION("""COMPUTED_VALUE"""),"TH")</f>
        <v>TH</v>
      </c>
      <c r="D42" s="14">
        <f ca="1">IFERROR(__xludf.DUMMYFUNCTION("""COMPUTED_VALUE"""),3)</f>
        <v>3</v>
      </c>
      <c r="E42" s="17">
        <f ca="1">IFERROR(__xludf.DUMMYFUNCTION("""COMPUTED_VALUE"""),25)</f>
        <v>25</v>
      </c>
      <c r="F42" s="19">
        <f ca="1">IFERROR(__xludf.DUMMYFUNCTION("""COMPUTED_VALUE"""),25)</f>
        <v>25</v>
      </c>
      <c r="G42" s="51">
        <f t="shared" ca="1" si="0"/>
        <v>1</v>
      </c>
      <c r="H42" s="19">
        <f ca="1">IFERROR(__xludf.DUMMYFUNCTION("""COMPUTED_VALUE"""),25)</f>
        <v>25</v>
      </c>
      <c r="I42" s="51">
        <f t="shared" ca="1" si="1"/>
        <v>1</v>
      </c>
      <c r="J42" s="19">
        <f ca="1">IFERROR(__xludf.DUMMYFUNCTION("""COMPUTED_VALUE"""),25)</f>
        <v>25</v>
      </c>
      <c r="K42" s="51">
        <f t="shared" ca="1" si="2"/>
        <v>1</v>
      </c>
      <c r="L42" s="18">
        <f ca="1">IFERROR(__xludf.DUMMYFUNCTION("""COMPUTED_VALUE"""),3)</f>
        <v>3</v>
      </c>
      <c r="M42" s="51">
        <f t="shared" ca="1" si="3"/>
        <v>0.12</v>
      </c>
      <c r="N42" s="19">
        <f ca="1">IFERROR(__xludf.DUMMYFUNCTION("""COMPUTED_VALUE"""),66)</f>
        <v>66</v>
      </c>
      <c r="O42" s="19">
        <f ca="1">IFERROR(__xludf.DUMMYFUNCTION("""COMPUTED_VALUE"""),8)</f>
        <v>8</v>
      </c>
      <c r="P42" s="51">
        <f t="shared" ca="1" si="4"/>
        <v>0.12121212121212122</v>
      </c>
      <c r="Q42" s="19">
        <f ca="1">IFERROR(__xludf.DUMMYFUNCTION("""COMPUTED_VALUE"""),8)</f>
        <v>8</v>
      </c>
      <c r="R42" s="51">
        <f t="shared" ca="1" si="5"/>
        <v>0.12121212121212122</v>
      </c>
      <c r="S42" s="19">
        <f ca="1">IFERROR(__xludf.DUMMYFUNCTION("""COMPUTED_VALUE"""),0)</f>
        <v>0</v>
      </c>
      <c r="T42" s="19">
        <f ca="1">IFERROR(__xludf.DUMMYFUNCTION("""COMPUTED_VALUE"""),0)</f>
        <v>0</v>
      </c>
      <c r="U42" s="51" t="str">
        <f t="shared" ca="1" si="6"/>
        <v/>
      </c>
      <c r="V42" s="19">
        <f ca="1">IFERROR(__xludf.DUMMYFUNCTION("""COMPUTED_VALUE"""),0)</f>
        <v>0</v>
      </c>
      <c r="W42" s="51" t="str">
        <f t="shared" ca="1" si="7"/>
        <v/>
      </c>
      <c r="X42" s="19">
        <f ca="1">IFERROR(__xludf.DUMMYFUNCTION("""COMPUTED_VALUE"""),0)</f>
        <v>0</v>
      </c>
      <c r="Y42" s="51" t="str">
        <f t="shared" ca="1" si="8"/>
        <v/>
      </c>
      <c r="Z42" s="2"/>
      <c r="AA42" s="2"/>
      <c r="AB42" s="2"/>
      <c r="AC42" s="2"/>
      <c r="AD42" s="2"/>
    </row>
    <row r="43" spans="1:30" ht="12.75" x14ac:dyDescent="0.2">
      <c r="A43" s="16">
        <f ca="1">IFERROR(__xludf.DUMMYFUNCTION("""COMPUTED_VALUE"""),17)</f>
        <v>17</v>
      </c>
      <c r="B43" s="14" t="str">
        <f ca="1">IFERROR(__xludf.DUMMYFUNCTION("""COMPUTED_VALUE"""),"TH Đại học Sài Gòn")</f>
        <v>TH Đại học Sài Gòn</v>
      </c>
      <c r="C43" s="14" t="str">
        <f ca="1">IFERROR(__xludf.DUMMYFUNCTION("""COMPUTED_VALUE"""),"TH")</f>
        <v>TH</v>
      </c>
      <c r="D43" s="14">
        <f ca="1">IFERROR(__xludf.DUMMYFUNCTION("""COMPUTED_VALUE"""),3)</f>
        <v>3</v>
      </c>
      <c r="E43" s="17">
        <f ca="1">IFERROR(__xludf.DUMMYFUNCTION("""COMPUTED_VALUE"""),63)</f>
        <v>63</v>
      </c>
      <c r="F43" s="19">
        <f ca="1">IFERROR(__xludf.DUMMYFUNCTION("""COMPUTED_VALUE"""),63)</f>
        <v>63</v>
      </c>
      <c r="G43" s="51">
        <f t="shared" ca="1" si="0"/>
        <v>1</v>
      </c>
      <c r="H43" s="19">
        <f ca="1">IFERROR(__xludf.DUMMYFUNCTION("""COMPUTED_VALUE"""),63)</f>
        <v>63</v>
      </c>
      <c r="I43" s="51">
        <f t="shared" ca="1" si="1"/>
        <v>1</v>
      </c>
      <c r="J43" s="19">
        <f ca="1">IFERROR(__xludf.DUMMYFUNCTION("""COMPUTED_VALUE"""),56)</f>
        <v>56</v>
      </c>
      <c r="K43" s="51">
        <f t="shared" ca="1" si="2"/>
        <v>0.88888888888888884</v>
      </c>
      <c r="L43" s="18">
        <f ca="1">IFERROR(__xludf.DUMMYFUNCTION("""COMPUTED_VALUE"""),12)</f>
        <v>12</v>
      </c>
      <c r="M43" s="51">
        <f t="shared" ca="1" si="3"/>
        <v>0.19047619047619047</v>
      </c>
      <c r="N43" s="19">
        <f ca="1">IFERROR(__xludf.DUMMYFUNCTION("""COMPUTED_VALUE"""),738)</f>
        <v>738</v>
      </c>
      <c r="O43" s="19">
        <f ca="1">IFERROR(__xludf.DUMMYFUNCTION("""COMPUTED_VALUE"""),191)</f>
        <v>191</v>
      </c>
      <c r="P43" s="51">
        <f t="shared" ca="1" si="4"/>
        <v>0.25880758807588078</v>
      </c>
      <c r="Q43" s="19">
        <f ca="1">IFERROR(__xludf.DUMMYFUNCTION("""COMPUTED_VALUE"""),98)</f>
        <v>98</v>
      </c>
      <c r="R43" s="51">
        <f t="shared" ca="1" si="5"/>
        <v>0.13279132791327913</v>
      </c>
      <c r="S43" s="19">
        <f ca="1">IFERROR(__xludf.DUMMYFUNCTION("""COMPUTED_VALUE"""),0)</f>
        <v>0</v>
      </c>
      <c r="T43" s="19">
        <f ca="1">IFERROR(__xludf.DUMMYFUNCTION("""COMPUTED_VALUE"""),0)</f>
        <v>0</v>
      </c>
      <c r="U43" s="51" t="str">
        <f t="shared" ca="1" si="6"/>
        <v/>
      </c>
      <c r="V43" s="19">
        <f ca="1">IFERROR(__xludf.DUMMYFUNCTION("""COMPUTED_VALUE"""),0)</f>
        <v>0</v>
      </c>
      <c r="W43" s="51" t="str">
        <f t="shared" ca="1" si="7"/>
        <v/>
      </c>
      <c r="X43" s="19">
        <f ca="1">IFERROR(__xludf.DUMMYFUNCTION("""COMPUTED_VALUE"""),0)</f>
        <v>0</v>
      </c>
      <c r="Y43" s="51" t="str">
        <f t="shared" ca="1" si="8"/>
        <v/>
      </c>
      <c r="Z43" s="2"/>
      <c r="AA43" s="2"/>
      <c r="AB43" s="2"/>
      <c r="AC43" s="2"/>
      <c r="AD43" s="2"/>
    </row>
    <row r="44" spans="1:30" ht="12.75" x14ac:dyDescent="0.2">
      <c r="A44" s="80"/>
      <c r="B44" s="14"/>
      <c r="C44" s="14"/>
      <c r="D44" s="14"/>
      <c r="E44" s="17">
        <f ca="1">IFERROR(__xludf.DUMMYFUNCTION("""COMPUTED_VALUE"""),1172)</f>
        <v>1172</v>
      </c>
      <c r="F44" s="17">
        <f ca="1">IFERROR(__xludf.DUMMYFUNCTION("""COMPUTED_VALUE"""),1172)</f>
        <v>1172</v>
      </c>
      <c r="G44" s="51">
        <f t="shared" ca="1" si="0"/>
        <v>1</v>
      </c>
      <c r="H44" s="17">
        <f ca="1">IFERROR(__xludf.DUMMYFUNCTION("""COMPUTED_VALUE"""),1172)</f>
        <v>1172</v>
      </c>
      <c r="I44" s="51">
        <f t="shared" ca="1" si="1"/>
        <v>1</v>
      </c>
      <c r="J44" s="17">
        <f ca="1">IFERROR(__xludf.DUMMYFUNCTION("""COMPUTED_VALUE"""),1140)</f>
        <v>1140</v>
      </c>
      <c r="K44" s="51">
        <f t="shared" ca="1" si="2"/>
        <v>0.97269624573378843</v>
      </c>
      <c r="L44" s="18">
        <f ca="1">IFERROR(__xludf.DUMMYFUNCTION("""COMPUTED_VALUE"""),696)</f>
        <v>696</v>
      </c>
      <c r="M44" s="51">
        <f t="shared" ca="1" si="3"/>
        <v>0.59385665529010234</v>
      </c>
      <c r="N44" s="17">
        <f ca="1">IFERROR(__xludf.DUMMYFUNCTION("""COMPUTED_VALUE"""),15231)</f>
        <v>15231</v>
      </c>
      <c r="O44" s="81">
        <f ca="1">IFERROR(__xludf.DUMMYFUNCTION("""COMPUTED_VALUE"""),7475)</f>
        <v>7475</v>
      </c>
      <c r="P44" s="51">
        <f t="shared" ca="1" si="4"/>
        <v>0.49077539229203598</v>
      </c>
      <c r="Q44" s="81">
        <f ca="1">IFERROR(__xludf.DUMMYFUNCTION("""COMPUTED_VALUE"""),4230)</f>
        <v>4230</v>
      </c>
      <c r="R44" s="51">
        <f t="shared" ca="1" si="5"/>
        <v>0.27772306480204845</v>
      </c>
      <c r="S44" s="17">
        <f ca="1">IFERROR(__xludf.DUMMYFUNCTION("""COMPUTED_VALUE"""),1)</f>
        <v>1</v>
      </c>
      <c r="T44" s="81">
        <f ca="1">IFERROR(__xludf.DUMMYFUNCTION("""COMPUTED_VALUE"""),1)</f>
        <v>1</v>
      </c>
      <c r="U44" s="51">
        <f t="shared" ca="1" si="6"/>
        <v>1</v>
      </c>
      <c r="V44" s="81">
        <f ca="1">IFERROR(__xludf.DUMMYFUNCTION("""COMPUTED_VALUE"""),1)</f>
        <v>1</v>
      </c>
      <c r="W44" s="51">
        <f t="shared" ca="1" si="7"/>
        <v>1</v>
      </c>
      <c r="X44" s="81">
        <f ca="1">IFERROR(__xludf.DUMMYFUNCTION("""COMPUTED_VALUE"""),1)</f>
        <v>1</v>
      </c>
      <c r="Y44" s="51">
        <f t="shared" ca="1" si="8"/>
        <v>1</v>
      </c>
      <c r="Z44" s="2"/>
      <c r="AA44" s="2"/>
      <c r="AB44" s="2"/>
      <c r="AC44" s="2"/>
      <c r="AD44" s="2"/>
    </row>
    <row r="45" spans="1:30" ht="12.75" x14ac:dyDescent="0.2">
      <c r="A45" s="86" t="str">
        <f ca="1">IFERROR(__xludf.DUMMYFUNCTION("""COMPUTED_VALUE"""),"THCS")</f>
        <v>THCS</v>
      </c>
      <c r="B45" s="88"/>
      <c r="C45" s="14"/>
      <c r="D45" s="14"/>
      <c r="E45" s="82"/>
      <c r="F45" s="82"/>
      <c r="G45" s="51" t="str">
        <f t="shared" si="0"/>
        <v/>
      </c>
      <c r="H45" s="82"/>
      <c r="I45" s="51" t="str">
        <f t="shared" si="1"/>
        <v/>
      </c>
      <c r="J45" s="82"/>
      <c r="K45" s="51" t="str">
        <f t="shared" si="2"/>
        <v/>
      </c>
      <c r="L45" s="21"/>
      <c r="M45" s="51" t="str">
        <f t="shared" si="3"/>
        <v/>
      </c>
      <c r="N45" s="82"/>
      <c r="O45" s="82"/>
      <c r="P45" s="51" t="str">
        <f t="shared" si="4"/>
        <v/>
      </c>
      <c r="Q45" s="82"/>
      <c r="R45" s="51" t="str">
        <f t="shared" si="5"/>
        <v/>
      </c>
      <c r="S45" s="82"/>
      <c r="T45" s="82"/>
      <c r="U45" s="51" t="str">
        <f t="shared" si="6"/>
        <v/>
      </c>
      <c r="V45" s="82"/>
      <c r="W45" s="51" t="str">
        <f t="shared" si="7"/>
        <v/>
      </c>
      <c r="X45" s="82"/>
      <c r="Y45" s="51" t="str">
        <f t="shared" si="8"/>
        <v/>
      </c>
      <c r="Z45" s="2"/>
      <c r="AA45" s="2"/>
      <c r="AB45" s="2"/>
      <c r="AC45" s="2"/>
      <c r="AD45" s="2"/>
    </row>
    <row r="46" spans="1:30" ht="12.75" x14ac:dyDescent="0.2">
      <c r="A46" s="16">
        <f ca="1">IFERROR(__xludf.DUMMYFUNCTION("""COMPUTED_VALUE"""),1)</f>
        <v>1</v>
      </c>
      <c r="B46" s="14" t="str">
        <f ca="1">IFERROR(__xludf.DUMMYFUNCTION("""COMPUTED_VALUE"""),"THCS Lê Quý Đôn")</f>
        <v>THCS Lê Quý Đôn</v>
      </c>
      <c r="C46" s="14" t="str">
        <f ca="1">IFERROR(__xludf.DUMMYFUNCTION("""COMPUTED_VALUE"""),"THCS")</f>
        <v>THCS</v>
      </c>
      <c r="D46" s="14">
        <f ca="1">IFERROR(__xludf.DUMMYFUNCTION("""COMPUTED_VALUE"""),3)</f>
        <v>3</v>
      </c>
      <c r="E46" s="17">
        <f ca="1">IFERROR(__xludf.DUMMYFUNCTION("""COMPUTED_VALUE"""),123)</f>
        <v>123</v>
      </c>
      <c r="F46" s="19">
        <f ca="1">IFERROR(__xludf.DUMMYFUNCTION("""COMPUTED_VALUE"""),123)</f>
        <v>123</v>
      </c>
      <c r="G46" s="51">
        <f t="shared" ca="1" si="0"/>
        <v>1</v>
      </c>
      <c r="H46" s="19">
        <f ca="1">IFERROR(__xludf.DUMMYFUNCTION("""COMPUTED_VALUE"""),123)</f>
        <v>123</v>
      </c>
      <c r="I46" s="51">
        <f t="shared" ca="1" si="1"/>
        <v>1</v>
      </c>
      <c r="J46" s="19">
        <f ca="1">IFERROR(__xludf.DUMMYFUNCTION("""COMPUTED_VALUE"""),117)</f>
        <v>117</v>
      </c>
      <c r="K46" s="51">
        <f t="shared" ca="1" si="2"/>
        <v>0.95121951219512191</v>
      </c>
      <c r="L46" s="18">
        <f ca="1">IFERROR(__xludf.DUMMYFUNCTION("""COMPUTED_VALUE"""),44)</f>
        <v>44</v>
      </c>
      <c r="M46" s="51">
        <f t="shared" ca="1" si="3"/>
        <v>0.35772357723577236</v>
      </c>
      <c r="N46" s="19">
        <f ca="1">IFERROR(__xludf.DUMMYFUNCTION("""COMPUTED_VALUE"""),711)</f>
        <v>711</v>
      </c>
      <c r="O46" s="19">
        <f ca="1">IFERROR(__xludf.DUMMYFUNCTION("""COMPUTED_VALUE"""),294)</f>
        <v>294</v>
      </c>
      <c r="P46" s="51">
        <f t="shared" ca="1" si="4"/>
        <v>0.41350210970464135</v>
      </c>
      <c r="Q46" s="19">
        <f ca="1">IFERROR(__xludf.DUMMYFUNCTION("""COMPUTED_VALUE"""),130)</f>
        <v>130</v>
      </c>
      <c r="R46" s="51">
        <f t="shared" ca="1" si="5"/>
        <v>0.18284106891701829</v>
      </c>
      <c r="S46" s="19">
        <f ca="1">IFERROR(__xludf.DUMMYFUNCTION("""COMPUTED_VALUE"""),1880)</f>
        <v>1880</v>
      </c>
      <c r="T46" s="14">
        <f ca="1">IFERROR(__xludf.DUMMYFUNCTION("""COMPUTED_VALUE"""),1355)</f>
        <v>1355</v>
      </c>
      <c r="U46" s="51">
        <f t="shared" ca="1" si="6"/>
        <v>0.7207446808510638</v>
      </c>
      <c r="V46" s="19">
        <f ca="1">IFERROR(__xludf.DUMMYFUNCTION("""COMPUTED_VALUE"""),1201)</f>
        <v>1201</v>
      </c>
      <c r="W46" s="51">
        <f t="shared" ca="1" si="7"/>
        <v>0.6388297872340426</v>
      </c>
      <c r="X46" s="19">
        <f ca="1">IFERROR(__xludf.DUMMYFUNCTION("""COMPUTED_VALUE"""),297)</f>
        <v>297</v>
      </c>
      <c r="Y46" s="51">
        <f t="shared" ca="1" si="8"/>
        <v>0.15797872340425531</v>
      </c>
      <c r="Z46" s="2"/>
      <c r="AA46" s="2"/>
      <c r="AB46" s="2"/>
      <c r="AC46" s="2"/>
      <c r="AD46" s="2"/>
    </row>
    <row r="47" spans="1:30" ht="12.75" x14ac:dyDescent="0.2">
      <c r="A47" s="16">
        <f ca="1">IFERROR(__xludf.DUMMYFUNCTION("""COMPUTED_VALUE"""),2)</f>
        <v>2</v>
      </c>
      <c r="B47" s="14" t="str">
        <f ca="1">IFERROR(__xludf.DUMMYFUNCTION("""COMPUTED_VALUE"""),"THCS Đoàn Thị Điểm")</f>
        <v>THCS Đoàn Thị Điểm</v>
      </c>
      <c r="C47" s="14" t="str">
        <f ca="1">IFERROR(__xludf.DUMMYFUNCTION("""COMPUTED_VALUE"""),"THCS")</f>
        <v>THCS</v>
      </c>
      <c r="D47" s="14">
        <f ca="1">IFERROR(__xludf.DUMMYFUNCTION("""COMPUTED_VALUE"""),3)</f>
        <v>3</v>
      </c>
      <c r="E47" s="17">
        <f ca="1">IFERROR(__xludf.DUMMYFUNCTION("""COMPUTED_VALUE"""),64)</f>
        <v>64</v>
      </c>
      <c r="F47" s="19">
        <f ca="1">IFERROR(__xludf.DUMMYFUNCTION("""COMPUTED_VALUE"""),64)</f>
        <v>64</v>
      </c>
      <c r="G47" s="51">
        <f t="shared" ca="1" si="0"/>
        <v>1</v>
      </c>
      <c r="H47" s="19">
        <f ca="1">IFERROR(__xludf.DUMMYFUNCTION("""COMPUTED_VALUE"""),64)</f>
        <v>64</v>
      </c>
      <c r="I47" s="51">
        <f t="shared" ca="1" si="1"/>
        <v>1</v>
      </c>
      <c r="J47" s="19">
        <f ca="1">IFERROR(__xludf.DUMMYFUNCTION("""COMPUTED_VALUE"""),60)</f>
        <v>60</v>
      </c>
      <c r="K47" s="51">
        <f t="shared" ca="1" si="2"/>
        <v>0.9375</v>
      </c>
      <c r="L47" s="18">
        <f ca="1">IFERROR(__xludf.DUMMYFUNCTION("""COMPUTED_VALUE"""),46)</f>
        <v>46</v>
      </c>
      <c r="M47" s="51">
        <f t="shared" ca="1" si="3"/>
        <v>0.71875</v>
      </c>
      <c r="N47" s="19">
        <f ca="1">IFERROR(__xludf.DUMMYFUNCTION("""COMPUTED_VALUE"""),282)</f>
        <v>282</v>
      </c>
      <c r="O47" s="19">
        <f ca="1">IFERROR(__xludf.DUMMYFUNCTION("""COMPUTED_VALUE"""),170)</f>
        <v>170</v>
      </c>
      <c r="P47" s="51">
        <f t="shared" ca="1" si="4"/>
        <v>0.6028368794326241</v>
      </c>
      <c r="Q47" s="19">
        <f ca="1">IFERROR(__xludf.DUMMYFUNCTION("""COMPUTED_VALUE"""),85)</f>
        <v>85</v>
      </c>
      <c r="R47" s="51">
        <f t="shared" ca="1" si="5"/>
        <v>0.30141843971631205</v>
      </c>
      <c r="S47" s="19">
        <f ca="1">IFERROR(__xludf.DUMMYFUNCTION("""COMPUTED_VALUE"""),927)</f>
        <v>927</v>
      </c>
      <c r="T47" s="14">
        <f ca="1">IFERROR(__xludf.DUMMYFUNCTION("""COMPUTED_VALUE"""),830)</f>
        <v>830</v>
      </c>
      <c r="U47" s="51">
        <f t="shared" ca="1" si="6"/>
        <v>0.89536138079827399</v>
      </c>
      <c r="V47" s="19">
        <f ca="1">IFERROR(__xludf.DUMMYFUNCTION("""COMPUTED_VALUE"""),750)</f>
        <v>750</v>
      </c>
      <c r="W47" s="51">
        <f t="shared" ca="1" si="7"/>
        <v>0.80906148867313921</v>
      </c>
      <c r="X47" s="19">
        <f ca="1">IFERROR(__xludf.DUMMYFUNCTION("""COMPUTED_VALUE"""),302)</f>
        <v>302</v>
      </c>
      <c r="Y47" s="51">
        <f t="shared" ca="1" si="8"/>
        <v>0.32578209277238401</v>
      </c>
      <c r="Z47" s="2"/>
      <c r="AA47" s="2"/>
      <c r="AB47" s="2"/>
      <c r="AC47" s="2"/>
      <c r="AD47" s="2"/>
    </row>
    <row r="48" spans="1:30" ht="12.75" x14ac:dyDescent="0.2">
      <c r="A48" s="16">
        <f ca="1">IFERROR(__xludf.DUMMYFUNCTION("""COMPUTED_VALUE"""),3)</f>
        <v>3</v>
      </c>
      <c r="B48" s="14" t="str">
        <f ca="1">IFERROR(__xludf.DUMMYFUNCTION("""COMPUTED_VALUE"""),"THCS Lương Thế Vinh")</f>
        <v>THCS Lương Thế Vinh</v>
      </c>
      <c r="C48" s="14" t="str">
        <f ca="1">IFERROR(__xludf.DUMMYFUNCTION("""COMPUTED_VALUE"""),"THCS")</f>
        <v>THCS</v>
      </c>
      <c r="D48" s="14">
        <f ca="1">IFERROR(__xludf.DUMMYFUNCTION("""COMPUTED_VALUE"""),3)</f>
        <v>3</v>
      </c>
      <c r="E48" s="17">
        <f ca="1">IFERROR(__xludf.DUMMYFUNCTION("""COMPUTED_VALUE"""),31)</f>
        <v>31</v>
      </c>
      <c r="F48" s="19">
        <f ca="1">IFERROR(__xludf.DUMMYFUNCTION("""COMPUTED_VALUE"""),31)</f>
        <v>31</v>
      </c>
      <c r="G48" s="51">
        <f t="shared" ca="1" si="0"/>
        <v>1</v>
      </c>
      <c r="H48" s="19">
        <f ca="1">IFERROR(__xludf.DUMMYFUNCTION("""COMPUTED_VALUE"""),30)</f>
        <v>30</v>
      </c>
      <c r="I48" s="51">
        <f t="shared" ca="1" si="1"/>
        <v>0.967741935483871</v>
      </c>
      <c r="J48" s="19">
        <f ca="1">IFERROR(__xludf.DUMMYFUNCTION("""COMPUTED_VALUE"""),27)</f>
        <v>27</v>
      </c>
      <c r="K48" s="51">
        <f t="shared" ca="1" si="2"/>
        <v>0.87096774193548387</v>
      </c>
      <c r="L48" s="19">
        <f ca="1">IFERROR(__xludf.DUMMYFUNCTION("""COMPUTED_VALUE"""),14)</f>
        <v>14</v>
      </c>
      <c r="M48" s="51">
        <f t="shared" ca="1" si="3"/>
        <v>0.45161290322580644</v>
      </c>
      <c r="N48" s="19">
        <f ca="1">IFERROR(__xludf.DUMMYFUNCTION("""COMPUTED_VALUE"""),271)</f>
        <v>271</v>
      </c>
      <c r="O48" s="19">
        <f ca="1">IFERROR(__xludf.DUMMYFUNCTION("""COMPUTED_VALUE"""),170)</f>
        <v>170</v>
      </c>
      <c r="P48" s="51">
        <f t="shared" ca="1" si="4"/>
        <v>0.62730627306273068</v>
      </c>
      <c r="Q48" s="19">
        <f ca="1">IFERROR(__xludf.DUMMYFUNCTION("""COMPUTED_VALUE"""),120)</f>
        <v>120</v>
      </c>
      <c r="R48" s="51">
        <f t="shared" ca="1" si="5"/>
        <v>0.44280442804428044</v>
      </c>
      <c r="S48" s="19">
        <f ca="1">IFERROR(__xludf.DUMMYFUNCTION("""COMPUTED_VALUE"""),235)</f>
        <v>235</v>
      </c>
      <c r="T48" s="14">
        <f ca="1">IFERROR(__xludf.DUMMYFUNCTION("""COMPUTED_VALUE"""),243)</f>
        <v>243</v>
      </c>
      <c r="U48" s="51">
        <f t="shared" ca="1" si="6"/>
        <v>1.0340425531914894</v>
      </c>
      <c r="V48" s="19">
        <f ca="1">IFERROR(__xludf.DUMMYFUNCTION("""COMPUTED_VALUE"""),215)</f>
        <v>215</v>
      </c>
      <c r="W48" s="51">
        <f t="shared" ca="1" si="7"/>
        <v>0.91489361702127658</v>
      </c>
      <c r="X48" s="19">
        <f ca="1">IFERROR(__xludf.DUMMYFUNCTION("""COMPUTED_VALUE"""),34)</f>
        <v>34</v>
      </c>
      <c r="Y48" s="51">
        <f t="shared" ca="1" si="8"/>
        <v>0.14468085106382977</v>
      </c>
      <c r="Z48" s="2"/>
      <c r="AA48" s="2"/>
      <c r="AB48" s="2"/>
      <c r="AC48" s="2"/>
      <c r="AD48" s="2"/>
    </row>
    <row r="49" spans="1:30" ht="12.75" x14ac:dyDescent="0.2">
      <c r="A49" s="16">
        <f ca="1">IFERROR(__xludf.DUMMYFUNCTION("""COMPUTED_VALUE"""),4)</f>
        <v>4</v>
      </c>
      <c r="B49" s="14" t="str">
        <f ca="1">IFERROR(__xludf.DUMMYFUNCTION("""COMPUTED_VALUE"""),"THCS Lê Lợi")</f>
        <v>THCS Lê Lợi</v>
      </c>
      <c r="C49" s="14" t="str">
        <f ca="1">IFERROR(__xludf.DUMMYFUNCTION("""COMPUTED_VALUE"""),"THCS")</f>
        <v>THCS</v>
      </c>
      <c r="D49" s="14">
        <f ca="1">IFERROR(__xludf.DUMMYFUNCTION("""COMPUTED_VALUE"""),3)</f>
        <v>3</v>
      </c>
      <c r="E49" s="17">
        <f ca="1">IFERROR(__xludf.DUMMYFUNCTION("""COMPUTED_VALUE"""),80)</f>
        <v>80</v>
      </c>
      <c r="F49" s="19">
        <f ca="1">IFERROR(__xludf.DUMMYFUNCTION("""COMPUTED_VALUE"""),80)</f>
        <v>80</v>
      </c>
      <c r="G49" s="51">
        <f t="shared" ca="1" si="0"/>
        <v>1</v>
      </c>
      <c r="H49" s="19">
        <f ca="1">IFERROR(__xludf.DUMMYFUNCTION("""COMPUTED_VALUE"""),80)</f>
        <v>80</v>
      </c>
      <c r="I49" s="51">
        <f t="shared" ca="1" si="1"/>
        <v>1</v>
      </c>
      <c r="J49" s="19">
        <f ca="1">IFERROR(__xludf.DUMMYFUNCTION("""COMPUTED_VALUE"""),75)</f>
        <v>75</v>
      </c>
      <c r="K49" s="51">
        <f t="shared" ca="1" si="2"/>
        <v>0.9375</v>
      </c>
      <c r="L49" s="18">
        <f ca="1">IFERROR(__xludf.DUMMYFUNCTION("""COMPUTED_VALUE"""),27)</f>
        <v>27</v>
      </c>
      <c r="M49" s="51">
        <f t="shared" ca="1" si="3"/>
        <v>0.33750000000000002</v>
      </c>
      <c r="N49" s="19">
        <f ca="1">IFERROR(__xludf.DUMMYFUNCTION("""COMPUTED_VALUE"""),360)</f>
        <v>360</v>
      </c>
      <c r="O49" s="19">
        <f ca="1">IFERROR(__xludf.DUMMYFUNCTION("""COMPUTED_VALUE"""),211)</f>
        <v>211</v>
      </c>
      <c r="P49" s="51">
        <f t="shared" ca="1" si="4"/>
        <v>0.58611111111111114</v>
      </c>
      <c r="Q49" s="19">
        <f ca="1">IFERROR(__xludf.DUMMYFUNCTION("""COMPUTED_VALUE"""),113)</f>
        <v>113</v>
      </c>
      <c r="R49" s="51">
        <f t="shared" ca="1" si="5"/>
        <v>0.31388888888888888</v>
      </c>
      <c r="S49" s="19">
        <f ca="1">IFERROR(__xludf.DUMMYFUNCTION("""COMPUTED_VALUE"""),898)</f>
        <v>898</v>
      </c>
      <c r="T49" s="14">
        <f ca="1">IFERROR(__xludf.DUMMYFUNCTION("""COMPUTED_VALUE"""),843)</f>
        <v>843</v>
      </c>
      <c r="U49" s="51">
        <f t="shared" ca="1" si="6"/>
        <v>0.93875278396436523</v>
      </c>
      <c r="V49" s="19">
        <f ca="1">IFERROR(__xludf.DUMMYFUNCTION("""COMPUTED_VALUE"""),753)</f>
        <v>753</v>
      </c>
      <c r="W49" s="51">
        <f t="shared" ca="1" si="7"/>
        <v>0.83853006681514475</v>
      </c>
      <c r="X49" s="19">
        <f ca="1">IFERROR(__xludf.DUMMYFUNCTION("""COMPUTED_VALUE"""),260)</f>
        <v>260</v>
      </c>
      <c r="Y49" s="51">
        <f t="shared" ca="1" si="8"/>
        <v>0.28953229398663699</v>
      </c>
      <c r="Z49" s="2"/>
      <c r="AA49" s="2"/>
      <c r="AB49" s="2"/>
      <c r="AC49" s="2"/>
      <c r="AD49" s="2"/>
    </row>
    <row r="50" spans="1:30" ht="12.75" x14ac:dyDescent="0.2">
      <c r="A50" s="16">
        <f ca="1">IFERROR(__xludf.DUMMYFUNCTION("""COMPUTED_VALUE"""),5)</f>
        <v>5</v>
      </c>
      <c r="B50" s="14" t="str">
        <f ca="1">IFERROR(__xludf.DUMMYFUNCTION("""COMPUTED_VALUE"""),"THCS COLETTE")</f>
        <v>THCS COLETTE</v>
      </c>
      <c r="C50" s="14" t="str">
        <f ca="1">IFERROR(__xludf.DUMMYFUNCTION("""COMPUTED_VALUE"""),"THCS")</f>
        <v>THCS</v>
      </c>
      <c r="D50" s="14">
        <f ca="1">IFERROR(__xludf.DUMMYFUNCTION("""COMPUTED_VALUE"""),3)</f>
        <v>3</v>
      </c>
      <c r="E50" s="17">
        <f ca="1">IFERROR(__xludf.DUMMYFUNCTION("""COMPUTED_VALUE"""),96)</f>
        <v>96</v>
      </c>
      <c r="F50" s="19">
        <f ca="1">IFERROR(__xludf.DUMMYFUNCTION("""COMPUTED_VALUE"""),96)</f>
        <v>96</v>
      </c>
      <c r="G50" s="51">
        <f t="shared" ca="1" si="0"/>
        <v>1</v>
      </c>
      <c r="H50" s="19">
        <f ca="1">IFERROR(__xludf.DUMMYFUNCTION("""COMPUTED_VALUE"""),96)</f>
        <v>96</v>
      </c>
      <c r="I50" s="51">
        <f t="shared" ca="1" si="1"/>
        <v>1</v>
      </c>
      <c r="J50" s="19">
        <f ca="1">IFERROR(__xludf.DUMMYFUNCTION("""COMPUTED_VALUE"""),80)</f>
        <v>80</v>
      </c>
      <c r="K50" s="51">
        <f t="shared" ca="1" si="2"/>
        <v>0.83333333333333337</v>
      </c>
      <c r="L50" s="18">
        <f ca="1">IFERROR(__xludf.DUMMYFUNCTION("""COMPUTED_VALUE"""),23)</f>
        <v>23</v>
      </c>
      <c r="M50" s="51">
        <f t="shared" ca="1" si="3"/>
        <v>0.23958333333333334</v>
      </c>
      <c r="N50" s="19">
        <f ca="1">IFERROR(__xludf.DUMMYFUNCTION("""COMPUTED_VALUE"""),531)</f>
        <v>531</v>
      </c>
      <c r="O50" s="19">
        <f ca="1">IFERROR(__xludf.DUMMYFUNCTION("""COMPUTED_VALUE"""),276)</f>
        <v>276</v>
      </c>
      <c r="P50" s="51">
        <f t="shared" ca="1" si="4"/>
        <v>0.51977401129943501</v>
      </c>
      <c r="Q50" s="19">
        <f ca="1">IFERROR(__xludf.DUMMYFUNCTION("""COMPUTED_VALUE"""),151)</f>
        <v>151</v>
      </c>
      <c r="R50" s="51">
        <f t="shared" ca="1" si="5"/>
        <v>0.28436911487758948</v>
      </c>
      <c r="S50" s="19">
        <f ca="1">IFERROR(__xludf.DUMMYFUNCTION("""COMPUTED_VALUE"""),1073)</f>
        <v>1073</v>
      </c>
      <c r="T50" s="19">
        <f ca="1">IFERROR(__xludf.DUMMYFUNCTION("""COMPUTED_VALUE"""),962)</f>
        <v>962</v>
      </c>
      <c r="U50" s="51">
        <f t="shared" ca="1" si="6"/>
        <v>0.89655172413793105</v>
      </c>
      <c r="V50" s="19">
        <f ca="1">IFERROR(__xludf.DUMMYFUNCTION("""COMPUTED_VALUE"""),903)</f>
        <v>903</v>
      </c>
      <c r="W50" s="51">
        <f t="shared" ca="1" si="7"/>
        <v>0.8415657036346692</v>
      </c>
      <c r="X50" s="19">
        <f ca="1">IFERROR(__xludf.DUMMYFUNCTION("""COMPUTED_VALUE"""),222)</f>
        <v>222</v>
      </c>
      <c r="Y50" s="51">
        <f t="shared" ca="1" si="8"/>
        <v>0.20689655172413793</v>
      </c>
      <c r="Z50" s="2"/>
      <c r="AA50" s="2"/>
      <c r="AB50" s="2"/>
      <c r="AC50" s="2"/>
      <c r="AD50" s="2"/>
    </row>
    <row r="51" spans="1:30" ht="12.75" x14ac:dyDescent="0.2">
      <c r="A51" s="16">
        <f ca="1">IFERROR(__xludf.DUMMYFUNCTION("""COMPUTED_VALUE"""),6)</f>
        <v>6</v>
      </c>
      <c r="B51" s="14" t="str">
        <f ca="1">IFERROR(__xludf.DUMMYFUNCTION("""COMPUTED_VALUE"""),"THCS Hai Bà Trưng")</f>
        <v>THCS Hai Bà Trưng</v>
      </c>
      <c r="C51" s="14" t="str">
        <f ca="1">IFERROR(__xludf.DUMMYFUNCTION("""COMPUTED_VALUE"""),"THCS")</f>
        <v>THCS</v>
      </c>
      <c r="D51" s="14">
        <f ca="1">IFERROR(__xludf.DUMMYFUNCTION("""COMPUTED_VALUE"""),3)</f>
        <v>3</v>
      </c>
      <c r="E51" s="19">
        <f ca="1">IFERROR(__xludf.DUMMYFUNCTION("""COMPUTED_VALUE"""),85)</f>
        <v>85</v>
      </c>
      <c r="F51" s="19">
        <f ca="1">IFERROR(__xludf.DUMMYFUNCTION("""COMPUTED_VALUE"""),85)</f>
        <v>85</v>
      </c>
      <c r="G51" s="51">
        <f t="shared" ca="1" si="0"/>
        <v>1</v>
      </c>
      <c r="H51" s="19">
        <f ca="1">IFERROR(__xludf.DUMMYFUNCTION("""COMPUTED_VALUE"""),85)</f>
        <v>85</v>
      </c>
      <c r="I51" s="51">
        <f t="shared" ca="1" si="1"/>
        <v>1</v>
      </c>
      <c r="J51" s="19">
        <f ca="1">IFERROR(__xludf.DUMMYFUNCTION("""COMPUTED_VALUE"""),78)</f>
        <v>78</v>
      </c>
      <c r="K51" s="51">
        <f t="shared" ca="1" si="2"/>
        <v>0.91764705882352937</v>
      </c>
      <c r="L51" s="19">
        <f ca="1">IFERROR(__xludf.DUMMYFUNCTION("""COMPUTED_VALUE"""),39)</f>
        <v>39</v>
      </c>
      <c r="M51" s="51">
        <f t="shared" ca="1" si="3"/>
        <v>0.45882352941176469</v>
      </c>
      <c r="N51" s="19">
        <f ca="1">IFERROR(__xludf.DUMMYFUNCTION("""COMPUTED_VALUE"""),470)</f>
        <v>470</v>
      </c>
      <c r="O51" s="19">
        <f ca="1">IFERROR(__xludf.DUMMYFUNCTION("""COMPUTED_VALUE"""),297)</f>
        <v>297</v>
      </c>
      <c r="P51" s="51">
        <f t="shared" ca="1" si="4"/>
        <v>0.63191489361702124</v>
      </c>
      <c r="Q51" s="19">
        <f ca="1">IFERROR(__xludf.DUMMYFUNCTION("""COMPUTED_VALUE"""),174)</f>
        <v>174</v>
      </c>
      <c r="R51" s="51">
        <f t="shared" ca="1" si="5"/>
        <v>0.37021276595744679</v>
      </c>
      <c r="S51" s="19">
        <f ca="1">IFERROR(__xludf.DUMMYFUNCTION("""COMPUTED_VALUE"""),1159)</f>
        <v>1159</v>
      </c>
      <c r="T51" s="14">
        <f ca="1">IFERROR(__xludf.DUMMYFUNCTION("""COMPUTED_VALUE"""),1069)</f>
        <v>1069</v>
      </c>
      <c r="U51" s="51">
        <f t="shared" ca="1" si="6"/>
        <v>0.92234685073339084</v>
      </c>
      <c r="V51" s="19">
        <f ca="1">IFERROR(__xludf.DUMMYFUNCTION("""COMPUTED_VALUE"""),1000)</f>
        <v>1000</v>
      </c>
      <c r="W51" s="51">
        <f t="shared" ca="1" si="7"/>
        <v>0.86281276962899056</v>
      </c>
      <c r="X51" s="19">
        <f ca="1">IFERROR(__xludf.DUMMYFUNCTION("""COMPUTED_VALUE"""),352)</f>
        <v>352</v>
      </c>
      <c r="Y51" s="51">
        <f t="shared" ca="1" si="8"/>
        <v>0.30371009490940465</v>
      </c>
      <c r="Z51" s="2"/>
      <c r="AA51" s="2"/>
      <c r="AB51" s="2"/>
      <c r="AC51" s="2"/>
      <c r="AD51" s="2"/>
    </row>
    <row r="52" spans="1:30" ht="12.75" x14ac:dyDescent="0.2">
      <c r="A52" s="16">
        <f ca="1">IFERROR(__xludf.DUMMYFUNCTION("""COMPUTED_VALUE"""),7)</f>
        <v>7</v>
      </c>
      <c r="B52" s="14" t="str">
        <f ca="1">IFERROR(__xludf.DUMMYFUNCTION("""COMPUTED_VALUE"""),"THCS Bàn Cờ")</f>
        <v>THCS Bàn Cờ</v>
      </c>
      <c r="C52" s="14" t="str">
        <f ca="1">IFERROR(__xludf.DUMMYFUNCTION("""COMPUTED_VALUE"""),"THCS")</f>
        <v>THCS</v>
      </c>
      <c r="D52" s="14">
        <f ca="1">IFERROR(__xludf.DUMMYFUNCTION("""COMPUTED_VALUE"""),3)</f>
        <v>3</v>
      </c>
      <c r="E52" s="19">
        <f ca="1">IFERROR(__xludf.DUMMYFUNCTION("""COMPUTED_VALUE"""),78)</f>
        <v>78</v>
      </c>
      <c r="F52" s="19">
        <f ca="1">IFERROR(__xludf.DUMMYFUNCTION("""COMPUTED_VALUE"""),78)</f>
        <v>78</v>
      </c>
      <c r="G52" s="51">
        <f t="shared" ca="1" si="0"/>
        <v>1</v>
      </c>
      <c r="H52" s="19">
        <f ca="1">IFERROR(__xludf.DUMMYFUNCTION("""COMPUTED_VALUE"""),78)</f>
        <v>78</v>
      </c>
      <c r="I52" s="51">
        <f t="shared" ca="1" si="1"/>
        <v>1</v>
      </c>
      <c r="J52" s="19">
        <f ca="1">IFERROR(__xludf.DUMMYFUNCTION("""COMPUTED_VALUE"""),72)</f>
        <v>72</v>
      </c>
      <c r="K52" s="51">
        <f t="shared" ca="1" si="2"/>
        <v>0.92307692307692313</v>
      </c>
      <c r="L52" s="19">
        <f ca="1">IFERROR(__xludf.DUMMYFUNCTION("""COMPUTED_VALUE"""),35)</f>
        <v>35</v>
      </c>
      <c r="M52" s="51">
        <f t="shared" ca="1" si="3"/>
        <v>0.44871794871794873</v>
      </c>
      <c r="N52" s="19">
        <f ca="1">IFERROR(__xludf.DUMMYFUNCTION("""COMPUTED_VALUE"""),353)</f>
        <v>353</v>
      </c>
      <c r="O52" s="19">
        <f ca="1">IFERROR(__xludf.DUMMYFUNCTION("""COMPUTED_VALUE"""),218)</f>
        <v>218</v>
      </c>
      <c r="P52" s="51">
        <f t="shared" ca="1" si="4"/>
        <v>0.61756373937677056</v>
      </c>
      <c r="Q52" s="19">
        <f ca="1">IFERROR(__xludf.DUMMYFUNCTION("""COMPUTED_VALUE"""),155)</f>
        <v>155</v>
      </c>
      <c r="R52" s="51">
        <f t="shared" ca="1" si="5"/>
        <v>0.43909348441926344</v>
      </c>
      <c r="S52" s="19">
        <f ca="1">IFERROR(__xludf.DUMMYFUNCTION("""COMPUTED_VALUE"""),952)</f>
        <v>952</v>
      </c>
      <c r="T52" s="19">
        <f ca="1">IFERROR(__xludf.DUMMYFUNCTION("""COMPUTED_VALUE"""),942)</f>
        <v>942</v>
      </c>
      <c r="U52" s="51">
        <f t="shared" ca="1" si="6"/>
        <v>0.98949579831932777</v>
      </c>
      <c r="V52" s="19">
        <f ca="1">IFERROR(__xludf.DUMMYFUNCTION("""COMPUTED_VALUE"""),913)</f>
        <v>913</v>
      </c>
      <c r="W52" s="51">
        <f t="shared" ca="1" si="7"/>
        <v>0.95903361344537819</v>
      </c>
      <c r="X52" s="19">
        <f ca="1">IFERROR(__xludf.DUMMYFUNCTION("""COMPUTED_VALUE"""),344)</f>
        <v>344</v>
      </c>
      <c r="Y52" s="51">
        <f t="shared" ca="1" si="8"/>
        <v>0.36134453781512604</v>
      </c>
      <c r="Z52" s="2"/>
      <c r="AA52" s="2"/>
      <c r="AB52" s="2"/>
      <c r="AC52" s="2"/>
      <c r="AD52" s="2"/>
    </row>
    <row r="53" spans="1:30" ht="12.75" x14ac:dyDescent="0.2">
      <c r="A53" s="16">
        <f ca="1">IFERROR(__xludf.DUMMYFUNCTION("""COMPUTED_VALUE"""),8)</f>
        <v>8</v>
      </c>
      <c r="B53" s="14" t="str">
        <f ca="1">IFERROR(__xludf.DUMMYFUNCTION("""COMPUTED_VALUE"""),"THCS KIẾN THIẾT")</f>
        <v>THCS KIẾN THIẾT</v>
      </c>
      <c r="C53" s="14" t="str">
        <f ca="1">IFERROR(__xludf.DUMMYFUNCTION("""COMPUTED_VALUE"""),"THCS")</f>
        <v>THCS</v>
      </c>
      <c r="D53" s="14">
        <f ca="1">IFERROR(__xludf.DUMMYFUNCTION("""COMPUTED_VALUE"""),3)</f>
        <v>3</v>
      </c>
      <c r="E53" s="19">
        <f ca="1">IFERROR(__xludf.DUMMYFUNCTION("""COMPUTED_VALUE"""),49)</f>
        <v>49</v>
      </c>
      <c r="F53" s="19">
        <f ca="1">IFERROR(__xludf.DUMMYFUNCTION("""COMPUTED_VALUE"""),49)</f>
        <v>49</v>
      </c>
      <c r="G53" s="51">
        <f t="shared" ca="1" si="0"/>
        <v>1</v>
      </c>
      <c r="H53" s="19">
        <f ca="1">IFERROR(__xludf.DUMMYFUNCTION("""COMPUTED_VALUE"""),49)</f>
        <v>49</v>
      </c>
      <c r="I53" s="51">
        <f t="shared" ca="1" si="1"/>
        <v>1</v>
      </c>
      <c r="J53" s="19">
        <f ca="1">IFERROR(__xludf.DUMMYFUNCTION("""COMPUTED_VALUE"""),48)</f>
        <v>48</v>
      </c>
      <c r="K53" s="51">
        <f t="shared" ca="1" si="2"/>
        <v>0.97959183673469385</v>
      </c>
      <c r="L53" s="18">
        <f ca="1">IFERROR(__xludf.DUMMYFUNCTION("""COMPUTED_VALUE"""),7)</f>
        <v>7</v>
      </c>
      <c r="M53" s="51">
        <f t="shared" ca="1" si="3"/>
        <v>0.14285714285714285</v>
      </c>
      <c r="N53" s="19">
        <f ca="1">IFERROR(__xludf.DUMMYFUNCTION("""COMPUTED_VALUE"""),208)</f>
        <v>208</v>
      </c>
      <c r="O53" s="19">
        <f ca="1">IFERROR(__xludf.DUMMYFUNCTION("""COMPUTED_VALUE"""),147)</f>
        <v>147</v>
      </c>
      <c r="P53" s="51">
        <f t="shared" ca="1" si="4"/>
        <v>0.70673076923076927</v>
      </c>
      <c r="Q53" s="19">
        <f ca="1">IFERROR(__xludf.DUMMYFUNCTION("""COMPUTED_VALUE"""),89)</f>
        <v>89</v>
      </c>
      <c r="R53" s="51">
        <f t="shared" ca="1" si="5"/>
        <v>0.42788461538461536</v>
      </c>
      <c r="S53" s="19">
        <f ca="1">IFERROR(__xludf.DUMMYFUNCTION("""COMPUTED_VALUE"""),532)</f>
        <v>532</v>
      </c>
      <c r="T53" s="19">
        <f ca="1">IFERROR(__xludf.DUMMYFUNCTION("""COMPUTED_VALUE"""),487)</f>
        <v>487</v>
      </c>
      <c r="U53" s="51">
        <f t="shared" ca="1" si="6"/>
        <v>0.91541353383458646</v>
      </c>
      <c r="V53" s="19">
        <f ca="1">IFERROR(__xludf.DUMMYFUNCTION("""COMPUTED_VALUE"""),447)</f>
        <v>447</v>
      </c>
      <c r="W53" s="51">
        <f t="shared" ca="1" si="7"/>
        <v>0.84022556390977443</v>
      </c>
      <c r="X53" s="19">
        <f ca="1">IFERROR(__xludf.DUMMYFUNCTION("""COMPUTED_VALUE"""),136)</f>
        <v>136</v>
      </c>
      <c r="Y53" s="51">
        <f t="shared" ca="1" si="8"/>
        <v>0.25563909774436089</v>
      </c>
      <c r="Z53" s="2"/>
      <c r="AA53" s="2"/>
      <c r="AB53" s="2"/>
      <c r="AC53" s="2"/>
      <c r="AD53" s="2"/>
    </row>
    <row r="54" spans="1:30" ht="12.75" x14ac:dyDescent="0.2">
      <c r="A54" s="16">
        <f ca="1">IFERROR(__xludf.DUMMYFUNCTION("""COMPUTED_VALUE"""),9)</f>
        <v>9</v>
      </c>
      <c r="B54" s="14"/>
      <c r="C54" s="14"/>
      <c r="D54" s="14">
        <f ca="1">IFERROR(__xludf.DUMMYFUNCTION("""COMPUTED_VALUE"""),3)</f>
        <v>3</v>
      </c>
      <c r="E54" s="17">
        <f ca="1">IFERROR(__xludf.DUMMYFUNCTION("""COMPUTED_VALUE"""),28)</f>
        <v>28</v>
      </c>
      <c r="F54" s="19">
        <f ca="1">IFERROR(__xludf.DUMMYFUNCTION("""COMPUTED_VALUE"""),28)</f>
        <v>28</v>
      </c>
      <c r="G54" s="51">
        <f t="shared" ca="1" si="0"/>
        <v>1</v>
      </c>
      <c r="H54" s="19">
        <f ca="1">IFERROR(__xludf.DUMMYFUNCTION("""COMPUTED_VALUE"""),28)</f>
        <v>28</v>
      </c>
      <c r="I54" s="51">
        <f t="shared" ca="1" si="1"/>
        <v>1</v>
      </c>
      <c r="J54" s="19">
        <f ca="1">IFERROR(__xludf.DUMMYFUNCTION("""COMPUTED_VALUE"""),21)</f>
        <v>21</v>
      </c>
      <c r="K54" s="51">
        <f t="shared" ca="1" si="2"/>
        <v>0.75</v>
      </c>
      <c r="L54" s="18">
        <f ca="1">IFERROR(__xludf.DUMMYFUNCTION("""COMPUTED_VALUE"""),8)</f>
        <v>8</v>
      </c>
      <c r="M54" s="51">
        <f t="shared" ca="1" si="3"/>
        <v>0.2857142857142857</v>
      </c>
      <c r="N54" s="19">
        <f ca="1">IFERROR(__xludf.DUMMYFUNCTION("""COMPUTED_VALUE"""),57)</f>
        <v>57</v>
      </c>
      <c r="O54" s="19">
        <f ca="1">IFERROR(__xludf.DUMMYFUNCTION("""COMPUTED_VALUE"""),43)</f>
        <v>43</v>
      </c>
      <c r="P54" s="51">
        <f t="shared" ca="1" si="4"/>
        <v>0.75438596491228072</v>
      </c>
      <c r="Q54" s="19">
        <f ca="1">IFERROR(__xludf.DUMMYFUNCTION("""COMPUTED_VALUE"""),34)</f>
        <v>34</v>
      </c>
      <c r="R54" s="51">
        <f t="shared" ca="1" si="5"/>
        <v>0.59649122807017541</v>
      </c>
      <c r="S54" s="19">
        <f ca="1">IFERROR(__xludf.DUMMYFUNCTION("""COMPUTED_VALUE"""),226)</f>
        <v>226</v>
      </c>
      <c r="T54" s="14">
        <f ca="1">IFERROR(__xludf.DUMMYFUNCTION("""COMPUTED_VALUE"""),215)</f>
        <v>215</v>
      </c>
      <c r="U54" s="51">
        <f t="shared" ca="1" si="6"/>
        <v>0.95132743362831862</v>
      </c>
      <c r="V54" s="19">
        <f ca="1">IFERROR(__xludf.DUMMYFUNCTION("""COMPUTED_VALUE"""),207)</f>
        <v>207</v>
      </c>
      <c r="W54" s="51">
        <f t="shared" ca="1" si="7"/>
        <v>0.91592920353982299</v>
      </c>
      <c r="X54" s="19">
        <f ca="1">IFERROR(__xludf.DUMMYFUNCTION("""COMPUTED_VALUE"""),82)</f>
        <v>82</v>
      </c>
      <c r="Y54" s="51">
        <f t="shared" ca="1" si="8"/>
        <v>0.36283185840707965</v>
      </c>
      <c r="Z54" s="2"/>
      <c r="AA54" s="2"/>
      <c r="AB54" s="2"/>
      <c r="AC54" s="2"/>
      <c r="AD54" s="2"/>
    </row>
    <row r="55" spans="1:30" ht="12.75" x14ac:dyDescent="0.2">
      <c r="A55" s="16">
        <f ca="1">IFERROR(__xludf.DUMMYFUNCTION("""COMPUTED_VALUE"""),10)</f>
        <v>10</v>
      </c>
      <c r="B55" s="14" t="str">
        <f ca="1">IFERROR(__xludf.DUMMYFUNCTION("""COMPUTED_VALUE"""),"THCS Bạch Đằng")</f>
        <v>THCS Bạch Đằng</v>
      </c>
      <c r="C55" s="14" t="str">
        <f ca="1">IFERROR(__xludf.DUMMYFUNCTION("""COMPUTED_VALUE"""),"THCS")</f>
        <v>THCS</v>
      </c>
      <c r="D55" s="14">
        <f ca="1">IFERROR(__xludf.DUMMYFUNCTION("""COMPUTED_VALUE"""),3)</f>
        <v>3</v>
      </c>
      <c r="E55" s="17">
        <f ca="1">IFERROR(__xludf.DUMMYFUNCTION("""COMPUTED_VALUE"""),57)</f>
        <v>57</v>
      </c>
      <c r="F55" s="19">
        <f ca="1">IFERROR(__xludf.DUMMYFUNCTION("""COMPUTED_VALUE"""),57)</f>
        <v>57</v>
      </c>
      <c r="G55" s="51">
        <f t="shared" ca="1" si="0"/>
        <v>1</v>
      </c>
      <c r="H55" s="19">
        <f ca="1">IFERROR(__xludf.DUMMYFUNCTION("""COMPUTED_VALUE"""),57)</f>
        <v>57</v>
      </c>
      <c r="I55" s="51">
        <f t="shared" ca="1" si="1"/>
        <v>1</v>
      </c>
      <c r="J55" s="19">
        <f ca="1">IFERROR(__xludf.DUMMYFUNCTION("""COMPUTED_VALUE"""),51)</f>
        <v>51</v>
      </c>
      <c r="K55" s="51">
        <f t="shared" ca="1" si="2"/>
        <v>0.89473684210526316</v>
      </c>
      <c r="L55" s="18">
        <f ca="1">IFERROR(__xludf.DUMMYFUNCTION("""COMPUTED_VALUE"""),18)</f>
        <v>18</v>
      </c>
      <c r="M55" s="51">
        <f t="shared" ca="1" si="3"/>
        <v>0.31578947368421051</v>
      </c>
      <c r="N55" s="19">
        <f ca="1">IFERROR(__xludf.DUMMYFUNCTION("""COMPUTED_VALUE"""),59)</f>
        <v>59</v>
      </c>
      <c r="O55" s="19">
        <f ca="1">IFERROR(__xludf.DUMMYFUNCTION("""COMPUTED_VALUE"""),34)</f>
        <v>34</v>
      </c>
      <c r="P55" s="51">
        <f t="shared" ca="1" si="4"/>
        <v>0.57627118644067798</v>
      </c>
      <c r="Q55" s="19">
        <f ca="1">IFERROR(__xludf.DUMMYFUNCTION("""COMPUTED_VALUE"""),19)</f>
        <v>19</v>
      </c>
      <c r="R55" s="51">
        <f t="shared" ca="1" si="5"/>
        <v>0.32203389830508472</v>
      </c>
      <c r="S55" s="19">
        <f ca="1">IFERROR(__xludf.DUMMYFUNCTION("""COMPUTED_VALUE"""),1044)</f>
        <v>1044</v>
      </c>
      <c r="T55" s="14">
        <f ca="1">IFERROR(__xludf.DUMMYFUNCTION("""COMPUTED_VALUE"""),955)</f>
        <v>955</v>
      </c>
      <c r="U55" s="51">
        <f t="shared" ca="1" si="6"/>
        <v>0.91475095785440608</v>
      </c>
      <c r="V55" s="19">
        <f ca="1">IFERROR(__xludf.DUMMYFUNCTION("""COMPUTED_VALUE"""),892)</f>
        <v>892</v>
      </c>
      <c r="W55" s="51">
        <f t="shared" ca="1" si="7"/>
        <v>0.85440613026819923</v>
      </c>
      <c r="X55" s="19">
        <f ca="1">IFERROR(__xludf.DUMMYFUNCTION("""COMPUTED_VALUE"""),185)</f>
        <v>185</v>
      </c>
      <c r="Y55" s="51">
        <f t="shared" ca="1" si="8"/>
        <v>0.17720306513409961</v>
      </c>
      <c r="Z55" s="2"/>
      <c r="AA55" s="2"/>
      <c r="AB55" s="2"/>
      <c r="AC55" s="2"/>
      <c r="AD55" s="2"/>
    </row>
    <row r="56" spans="1:30" ht="12.75" x14ac:dyDescent="0.2">
      <c r="A56" s="16">
        <f ca="1">IFERROR(__xludf.DUMMYFUNCTION("""COMPUTED_VALUE"""),11)</f>
        <v>11</v>
      </c>
      <c r="B56" s="14" t="str">
        <f ca="1">IFERROR(__xludf.DUMMYFUNCTION("""COMPUTED_VALUE"""),"THCS Phan Sào Nam")</f>
        <v>THCS Phan Sào Nam</v>
      </c>
      <c r="C56" s="14" t="str">
        <f ca="1">IFERROR(__xludf.DUMMYFUNCTION("""COMPUTED_VALUE"""),"THCS")</f>
        <v>THCS</v>
      </c>
      <c r="D56" s="14">
        <f ca="1">IFERROR(__xludf.DUMMYFUNCTION("""COMPUTED_VALUE"""),3)</f>
        <v>3</v>
      </c>
      <c r="E56" s="17">
        <f ca="1">IFERROR(__xludf.DUMMYFUNCTION("""COMPUTED_VALUE"""),42)</f>
        <v>42</v>
      </c>
      <c r="F56" s="19">
        <f ca="1">IFERROR(__xludf.DUMMYFUNCTION("""COMPUTED_VALUE"""),41)</f>
        <v>41</v>
      </c>
      <c r="G56" s="51">
        <f t="shared" ca="1" si="0"/>
        <v>0.97619047619047616</v>
      </c>
      <c r="H56" s="19">
        <f ca="1">IFERROR(__xludf.DUMMYFUNCTION("""COMPUTED_VALUE"""),41)</f>
        <v>41</v>
      </c>
      <c r="I56" s="51">
        <f t="shared" ca="1" si="1"/>
        <v>0.97619047619047616</v>
      </c>
      <c r="J56" s="19">
        <f ca="1">IFERROR(__xludf.DUMMYFUNCTION("""COMPUTED_VALUE"""),39)</f>
        <v>39</v>
      </c>
      <c r="K56" s="51">
        <f t="shared" ca="1" si="2"/>
        <v>0.9285714285714286</v>
      </c>
      <c r="L56" s="18">
        <f ca="1">IFERROR(__xludf.DUMMYFUNCTION("""COMPUTED_VALUE"""),26)</f>
        <v>26</v>
      </c>
      <c r="M56" s="51">
        <f t="shared" ca="1" si="3"/>
        <v>0.61904761904761907</v>
      </c>
      <c r="N56" s="19">
        <f ca="1">IFERROR(__xludf.DUMMYFUNCTION("""COMPUTED_VALUE"""),168)</f>
        <v>168</v>
      </c>
      <c r="O56" s="19">
        <f ca="1">IFERROR(__xludf.DUMMYFUNCTION("""COMPUTED_VALUE"""),138)</f>
        <v>138</v>
      </c>
      <c r="P56" s="51">
        <f t="shared" ca="1" si="4"/>
        <v>0.8214285714285714</v>
      </c>
      <c r="Q56" s="19">
        <f ca="1">IFERROR(__xludf.DUMMYFUNCTION("""COMPUTED_VALUE"""),74)</f>
        <v>74</v>
      </c>
      <c r="R56" s="51">
        <f t="shared" ca="1" si="5"/>
        <v>0.44047619047619047</v>
      </c>
      <c r="S56" s="19">
        <f ca="1">IFERROR(__xludf.DUMMYFUNCTION("""COMPUTED_VALUE"""),300)</f>
        <v>300</v>
      </c>
      <c r="T56" s="14">
        <f ca="1">IFERROR(__xludf.DUMMYFUNCTION("""COMPUTED_VALUE"""),281)</f>
        <v>281</v>
      </c>
      <c r="U56" s="51">
        <f t="shared" ca="1" si="6"/>
        <v>0.93666666666666665</v>
      </c>
      <c r="V56" s="19">
        <f ca="1">IFERROR(__xludf.DUMMYFUNCTION("""COMPUTED_VALUE"""),243)</f>
        <v>243</v>
      </c>
      <c r="W56" s="51">
        <f t="shared" ca="1" si="7"/>
        <v>0.81</v>
      </c>
      <c r="X56" s="19">
        <f ca="1">IFERROR(__xludf.DUMMYFUNCTION("""COMPUTED_VALUE"""),112)</f>
        <v>112</v>
      </c>
      <c r="Y56" s="51">
        <f t="shared" ca="1" si="8"/>
        <v>0.37333333333333335</v>
      </c>
      <c r="Z56" s="2"/>
      <c r="AA56" s="2"/>
      <c r="AB56" s="2"/>
      <c r="AC56" s="2"/>
      <c r="AD56" s="2"/>
    </row>
    <row r="57" spans="1:30" ht="12.75" x14ac:dyDescent="0.2">
      <c r="A57" s="16">
        <f ca="1">IFERROR(__xludf.DUMMYFUNCTION("""COMPUTED_VALUE"""),12)</f>
        <v>12</v>
      </c>
      <c r="B57" s="14" t="str">
        <f ca="1">IFERROR(__xludf.DUMMYFUNCTION("""COMPUTED_VALUE"""),"TH - THCS &amp; THPT Tây Úc")</f>
        <v>TH - THCS &amp; THPT Tây Úc</v>
      </c>
      <c r="C57" s="14" t="str">
        <f ca="1">IFERROR(__xludf.DUMMYFUNCTION("""COMPUTED_VALUE"""),"THCS")</f>
        <v>THCS</v>
      </c>
      <c r="D57" s="14">
        <f ca="1">IFERROR(__xludf.DUMMYFUNCTION("""COMPUTED_VALUE"""),3)</f>
        <v>3</v>
      </c>
      <c r="E57" s="19">
        <f ca="1">IFERROR(__xludf.DUMMYFUNCTION("""COMPUTED_VALUE"""),102)</f>
        <v>102</v>
      </c>
      <c r="F57" s="19">
        <f ca="1">IFERROR(__xludf.DUMMYFUNCTION("""COMPUTED_VALUE"""),102)</f>
        <v>102</v>
      </c>
      <c r="G57" s="51">
        <f t="shared" ca="1" si="0"/>
        <v>1</v>
      </c>
      <c r="H57" s="19">
        <f ca="1">IFERROR(__xludf.DUMMYFUNCTION("""COMPUTED_VALUE"""),102)</f>
        <v>102</v>
      </c>
      <c r="I57" s="51">
        <f t="shared" ca="1" si="1"/>
        <v>1</v>
      </c>
      <c r="J57" s="19">
        <f ca="1">IFERROR(__xludf.DUMMYFUNCTION("""COMPUTED_VALUE"""),102)</f>
        <v>102</v>
      </c>
      <c r="K57" s="51">
        <f t="shared" ca="1" si="2"/>
        <v>1</v>
      </c>
      <c r="L57" s="18">
        <f ca="1">IFERROR(__xludf.DUMMYFUNCTION("""COMPUTED_VALUE"""),4)</f>
        <v>4</v>
      </c>
      <c r="M57" s="51">
        <f t="shared" ca="1" si="3"/>
        <v>3.9215686274509803E-2</v>
      </c>
      <c r="N57" s="19">
        <f ca="1">IFERROR(__xludf.DUMMYFUNCTION("""COMPUTED_VALUE"""),460)</f>
        <v>460</v>
      </c>
      <c r="O57" s="19">
        <f ca="1">IFERROR(__xludf.DUMMYFUNCTION("""COMPUTED_VALUE"""),77)</f>
        <v>77</v>
      </c>
      <c r="P57" s="51">
        <f t="shared" ca="1" si="4"/>
        <v>0.16739130434782609</v>
      </c>
      <c r="Q57" s="19">
        <f ca="1">IFERROR(__xludf.DUMMYFUNCTION("""COMPUTED_VALUE"""),22)</f>
        <v>22</v>
      </c>
      <c r="R57" s="51">
        <f t="shared" ca="1" si="5"/>
        <v>4.7826086956521741E-2</v>
      </c>
      <c r="S57" s="19">
        <f ca="1">IFERROR(__xludf.DUMMYFUNCTION("""COMPUTED_VALUE"""),500)</f>
        <v>500</v>
      </c>
      <c r="T57" s="19">
        <f ca="1">IFERROR(__xludf.DUMMYFUNCTION("""COMPUTED_VALUE"""),446)</f>
        <v>446</v>
      </c>
      <c r="U57" s="51">
        <f t="shared" ca="1" si="6"/>
        <v>0.89200000000000002</v>
      </c>
      <c r="V57" s="19">
        <f ca="1">IFERROR(__xludf.DUMMYFUNCTION("""COMPUTED_VALUE"""),446)</f>
        <v>446</v>
      </c>
      <c r="W57" s="51">
        <f t="shared" ca="1" si="7"/>
        <v>0.89200000000000002</v>
      </c>
      <c r="X57" s="19">
        <f ca="1">IFERROR(__xludf.DUMMYFUNCTION("""COMPUTED_VALUE"""),171)</f>
        <v>171</v>
      </c>
      <c r="Y57" s="51">
        <f t="shared" ca="1" si="8"/>
        <v>0.34200000000000003</v>
      </c>
      <c r="Z57" s="2"/>
      <c r="AA57" s="2"/>
      <c r="AB57" s="2"/>
      <c r="AC57" s="2"/>
      <c r="AD57" s="2"/>
    </row>
    <row r="58" spans="1:30" ht="12.75" x14ac:dyDescent="0.2">
      <c r="A58" s="16">
        <f ca="1">IFERROR(__xludf.DUMMYFUNCTION("""COMPUTED_VALUE"""),13)</f>
        <v>13</v>
      </c>
      <c r="B58" s="14" t="str">
        <f ca="1">IFERROR(__xludf.DUMMYFUNCTION("""COMPUTED_VALUE"""),"TH, THCS và THPT Úc Châu")</f>
        <v>TH, THCS và THPT Úc Châu</v>
      </c>
      <c r="C58" s="14" t="str">
        <f ca="1">IFERROR(__xludf.DUMMYFUNCTION("""COMPUTED_VALUE"""),"THCS")</f>
        <v>THCS</v>
      </c>
      <c r="D58" s="14">
        <f ca="1">IFERROR(__xludf.DUMMYFUNCTION("""COMPUTED_VALUE"""),3)</f>
        <v>3</v>
      </c>
      <c r="E58" s="17">
        <f ca="1">IFERROR(__xludf.DUMMYFUNCTION("""COMPUTED_VALUE"""),22)</f>
        <v>22</v>
      </c>
      <c r="F58" s="19">
        <f ca="1">IFERROR(__xludf.DUMMYFUNCTION("""COMPUTED_VALUE"""),22)</f>
        <v>22</v>
      </c>
      <c r="G58" s="51">
        <f t="shared" ca="1" si="0"/>
        <v>1</v>
      </c>
      <c r="H58" s="19">
        <f ca="1">IFERROR(__xludf.DUMMYFUNCTION("""COMPUTED_VALUE"""),21)</f>
        <v>21</v>
      </c>
      <c r="I58" s="51">
        <f t="shared" ca="1" si="1"/>
        <v>0.95454545454545459</v>
      </c>
      <c r="J58" s="19">
        <f ca="1">IFERROR(__xludf.DUMMYFUNCTION("""COMPUTED_VALUE"""),15)</f>
        <v>15</v>
      </c>
      <c r="K58" s="51">
        <f t="shared" ca="1" si="2"/>
        <v>0.68181818181818177</v>
      </c>
      <c r="L58" s="18">
        <f ca="1">IFERROR(__xludf.DUMMYFUNCTION("""COMPUTED_VALUE"""),6)</f>
        <v>6</v>
      </c>
      <c r="M58" s="51">
        <f t="shared" ca="1" si="3"/>
        <v>0.27272727272727271</v>
      </c>
      <c r="N58" s="19">
        <f ca="1">IFERROR(__xludf.DUMMYFUNCTION("""COMPUTED_VALUE"""),60)</f>
        <v>60</v>
      </c>
      <c r="O58" s="19">
        <f ca="1">IFERROR(__xludf.DUMMYFUNCTION("""COMPUTED_VALUE"""),7)</f>
        <v>7</v>
      </c>
      <c r="P58" s="51">
        <f t="shared" ca="1" si="4"/>
        <v>0.11666666666666667</v>
      </c>
      <c r="Q58" s="19">
        <f ca="1">IFERROR(__xludf.DUMMYFUNCTION("""COMPUTED_VALUE"""),4)</f>
        <v>4</v>
      </c>
      <c r="R58" s="51">
        <f t="shared" ca="1" si="5"/>
        <v>6.6666666666666666E-2</v>
      </c>
      <c r="S58" s="19">
        <f ca="1">IFERROR(__xludf.DUMMYFUNCTION("""COMPUTED_VALUE"""),11)</f>
        <v>11</v>
      </c>
      <c r="T58" s="14">
        <f ca="1">IFERROR(__xludf.DUMMYFUNCTION("""COMPUTED_VALUE"""),8)</f>
        <v>8</v>
      </c>
      <c r="U58" s="51">
        <f t="shared" ca="1" si="6"/>
        <v>0.72727272727272729</v>
      </c>
      <c r="V58" s="19">
        <f ca="1">IFERROR(__xludf.DUMMYFUNCTION("""COMPUTED_VALUE"""),8)</f>
        <v>8</v>
      </c>
      <c r="W58" s="51">
        <f t="shared" ca="1" si="7"/>
        <v>0.72727272727272729</v>
      </c>
      <c r="X58" s="19">
        <f ca="1">IFERROR(__xludf.DUMMYFUNCTION("""COMPUTED_VALUE"""),1)</f>
        <v>1</v>
      </c>
      <c r="Y58" s="51">
        <f t="shared" ca="1" si="8"/>
        <v>9.0909090909090912E-2</v>
      </c>
      <c r="Z58" s="2"/>
      <c r="AA58" s="2"/>
      <c r="AB58" s="2"/>
      <c r="AC58" s="2"/>
      <c r="AD58" s="2"/>
    </row>
    <row r="59" spans="1:30" ht="12.75" x14ac:dyDescent="0.2">
      <c r="A59" s="80"/>
      <c r="B59" s="14"/>
      <c r="C59" s="14"/>
      <c r="D59" s="14"/>
      <c r="E59" s="19">
        <f ca="1">IFERROR(__xludf.DUMMYFUNCTION("""COMPUTED_VALUE"""),857)</f>
        <v>857</v>
      </c>
      <c r="F59" s="19">
        <f ca="1">IFERROR(__xludf.DUMMYFUNCTION("""COMPUTED_VALUE"""),856)</f>
        <v>856</v>
      </c>
      <c r="G59" s="51">
        <f t="shared" ca="1" si="0"/>
        <v>0.99883313885647607</v>
      </c>
      <c r="H59" s="19">
        <f ca="1">IFERROR(__xludf.DUMMYFUNCTION("""COMPUTED_VALUE"""),854)</f>
        <v>854</v>
      </c>
      <c r="I59" s="51">
        <f t="shared" ca="1" si="1"/>
        <v>0.9964994165694282</v>
      </c>
      <c r="J59" s="19">
        <f ca="1">IFERROR(__xludf.DUMMYFUNCTION("""COMPUTED_VALUE"""),785)</f>
        <v>785</v>
      </c>
      <c r="K59" s="51">
        <f t="shared" ca="1" si="2"/>
        <v>0.91598599766627775</v>
      </c>
      <c r="L59" s="18">
        <f ca="1">IFERROR(__xludf.DUMMYFUNCTION("""COMPUTED_VALUE"""),297)</f>
        <v>297</v>
      </c>
      <c r="M59" s="51">
        <f t="shared" ca="1" si="3"/>
        <v>0.34655775962660446</v>
      </c>
      <c r="N59" s="19">
        <f ca="1">IFERROR(__xludf.DUMMYFUNCTION("""COMPUTED_VALUE"""),3990)</f>
        <v>3990</v>
      </c>
      <c r="O59" s="84">
        <f ca="1">IFERROR(__xludf.DUMMYFUNCTION("""COMPUTED_VALUE"""),2082)</f>
        <v>2082</v>
      </c>
      <c r="P59" s="51">
        <f t="shared" ca="1" si="4"/>
        <v>0.52180451127819549</v>
      </c>
      <c r="Q59" s="84">
        <f ca="1">IFERROR(__xludf.DUMMYFUNCTION("""COMPUTED_VALUE"""),1170)</f>
        <v>1170</v>
      </c>
      <c r="R59" s="51">
        <f t="shared" ca="1" si="5"/>
        <v>0.2932330827067669</v>
      </c>
      <c r="S59" s="19">
        <f ca="1">IFERROR(__xludf.DUMMYFUNCTION("""COMPUTED_VALUE"""),9737)</f>
        <v>9737</v>
      </c>
      <c r="T59" s="84">
        <f ca="1">IFERROR(__xludf.DUMMYFUNCTION("""COMPUTED_VALUE"""),8636)</f>
        <v>8636</v>
      </c>
      <c r="U59" s="51">
        <f t="shared" ca="1" si="6"/>
        <v>0.88692615795419538</v>
      </c>
      <c r="V59" s="84">
        <f ca="1">IFERROR(__xludf.DUMMYFUNCTION("""COMPUTED_VALUE"""),7978)</f>
        <v>7978</v>
      </c>
      <c r="W59" s="51">
        <f t="shared" ca="1" si="7"/>
        <v>0.81934887542364176</v>
      </c>
      <c r="X59" s="84">
        <f ca="1">IFERROR(__xludf.DUMMYFUNCTION("""COMPUTED_VALUE"""),2498)</f>
        <v>2498</v>
      </c>
      <c r="Y59" s="51">
        <f t="shared" ca="1" si="8"/>
        <v>0.25654719112663038</v>
      </c>
      <c r="Z59" s="2"/>
      <c r="AA59" s="2"/>
      <c r="AB59" s="2"/>
      <c r="AC59" s="2"/>
      <c r="AD59" s="2"/>
    </row>
    <row r="60" spans="1:30" ht="12.75" x14ac:dyDescent="0.2">
      <c r="A60" s="86" t="str">
        <f ca="1">IFERROR(__xludf.DUMMYFUNCTION("""COMPUTED_VALUE"""),"THPT")</f>
        <v>THPT</v>
      </c>
      <c r="B60" s="88"/>
      <c r="C60" s="14"/>
      <c r="D60" s="14"/>
      <c r="E60" s="82"/>
      <c r="F60" s="82"/>
      <c r="G60" s="51" t="str">
        <f t="shared" si="0"/>
        <v/>
      </c>
      <c r="H60" s="82"/>
      <c r="I60" s="51" t="str">
        <f t="shared" si="1"/>
        <v/>
      </c>
      <c r="J60" s="82"/>
      <c r="K60" s="51" t="str">
        <f t="shared" si="2"/>
        <v/>
      </c>
      <c r="L60" s="21"/>
      <c r="M60" s="51" t="str">
        <f t="shared" si="3"/>
        <v/>
      </c>
      <c r="N60" s="82"/>
      <c r="O60" s="82"/>
      <c r="P60" s="51" t="str">
        <f t="shared" si="4"/>
        <v/>
      </c>
      <c r="Q60" s="82"/>
      <c r="R60" s="51" t="str">
        <f t="shared" si="5"/>
        <v/>
      </c>
      <c r="S60" s="82"/>
      <c r="T60" s="82"/>
      <c r="U60" s="51" t="str">
        <f t="shared" si="6"/>
        <v/>
      </c>
      <c r="V60" s="82"/>
      <c r="W60" s="51" t="str">
        <f t="shared" si="7"/>
        <v/>
      </c>
      <c r="X60" s="82"/>
      <c r="Y60" s="51" t="str">
        <f t="shared" si="8"/>
        <v/>
      </c>
      <c r="Z60" s="2"/>
      <c r="AA60" s="2"/>
      <c r="AB60" s="2"/>
      <c r="AC60" s="2"/>
      <c r="AD60" s="2"/>
    </row>
    <row r="61" spans="1:30" ht="12.75" x14ac:dyDescent="0.2">
      <c r="A61" s="16">
        <f ca="1">IFERROR(__xludf.DUMMYFUNCTION("""COMPUTED_VALUE"""),1)</f>
        <v>1</v>
      </c>
      <c r="B61" s="14" t="str">
        <f ca="1">IFERROR(__xludf.DUMMYFUNCTION("""COMPUTED_VALUE"""),"Nguyễn Thị Minh Khai")</f>
        <v>Nguyễn Thị Minh Khai</v>
      </c>
      <c r="C61" s="14" t="str">
        <f ca="1">IFERROR(__xludf.DUMMYFUNCTION("""COMPUTED_VALUE"""),"THPT")</f>
        <v>THPT</v>
      </c>
      <c r="D61" s="14">
        <f ca="1">IFERROR(__xludf.DUMMYFUNCTION("""COMPUTED_VALUE"""),3)</f>
        <v>3</v>
      </c>
      <c r="E61" s="17">
        <f ca="1">IFERROR(__xludf.DUMMYFUNCTION("""COMPUTED_VALUE"""),120)</f>
        <v>120</v>
      </c>
      <c r="F61" s="19">
        <f ca="1">IFERROR(__xludf.DUMMYFUNCTION("""COMPUTED_VALUE"""),120)</f>
        <v>120</v>
      </c>
      <c r="G61" s="51">
        <f t="shared" ca="1" si="0"/>
        <v>1</v>
      </c>
      <c r="H61" s="19">
        <f ca="1">IFERROR(__xludf.DUMMYFUNCTION("""COMPUTED_VALUE"""),116)</f>
        <v>116</v>
      </c>
      <c r="I61" s="51">
        <f t="shared" ca="1" si="1"/>
        <v>0.96666666666666667</v>
      </c>
      <c r="J61" s="19">
        <f ca="1">IFERROR(__xludf.DUMMYFUNCTION("""COMPUTED_VALUE"""),111)</f>
        <v>111</v>
      </c>
      <c r="K61" s="51">
        <f t="shared" ca="1" si="2"/>
        <v>0.92500000000000004</v>
      </c>
      <c r="L61" s="18">
        <f ca="1">IFERROR(__xludf.DUMMYFUNCTION("""COMPUTED_VALUE"""),38)</f>
        <v>38</v>
      </c>
      <c r="M61" s="51">
        <f t="shared" ca="1" si="3"/>
        <v>0.31666666666666665</v>
      </c>
      <c r="N61" s="19">
        <f ca="1">IFERROR(__xludf.DUMMYFUNCTION("""COMPUTED_VALUE"""),0)</f>
        <v>0</v>
      </c>
      <c r="O61" s="19">
        <f ca="1">IFERROR(__xludf.DUMMYFUNCTION("""COMPUTED_VALUE"""),0)</f>
        <v>0</v>
      </c>
      <c r="P61" s="51" t="str">
        <f t="shared" ca="1" si="4"/>
        <v/>
      </c>
      <c r="Q61" s="19">
        <f ca="1">IFERROR(__xludf.DUMMYFUNCTION("""COMPUTED_VALUE"""),0)</f>
        <v>0</v>
      </c>
      <c r="R61" s="51" t="str">
        <f t="shared" ca="1" si="5"/>
        <v/>
      </c>
      <c r="S61" s="19">
        <f ca="1">IFERROR(__xludf.DUMMYFUNCTION("""COMPUTED_VALUE"""),1958)</f>
        <v>1958</v>
      </c>
      <c r="T61" s="14">
        <f ca="1">IFERROR(__xludf.DUMMYFUNCTION("""COMPUTED_VALUE"""),1903)</f>
        <v>1903</v>
      </c>
      <c r="U61" s="51">
        <f t="shared" ca="1" si="6"/>
        <v>0.9719101123595506</v>
      </c>
      <c r="V61" s="19">
        <f ca="1">IFERROR(__xludf.DUMMYFUNCTION("""COMPUTED_VALUE"""),1888)</f>
        <v>1888</v>
      </c>
      <c r="W61" s="51">
        <f t="shared" ca="1" si="7"/>
        <v>0.96424923391215522</v>
      </c>
      <c r="X61" s="19">
        <f ca="1">IFERROR(__xludf.DUMMYFUNCTION("""COMPUTED_VALUE"""),620)</f>
        <v>620</v>
      </c>
      <c r="Y61" s="51">
        <f t="shared" ca="1" si="8"/>
        <v>0.31664964249233912</v>
      </c>
      <c r="Z61" s="2"/>
      <c r="AA61" s="2"/>
      <c r="AB61" s="2"/>
      <c r="AC61" s="2"/>
      <c r="AD61" s="2"/>
    </row>
    <row r="62" spans="1:30" ht="12.75" x14ac:dyDescent="0.2">
      <c r="A62" s="16">
        <f ca="1">IFERROR(__xludf.DUMMYFUNCTION("""COMPUTED_VALUE"""),2)</f>
        <v>2</v>
      </c>
      <c r="B62" s="14" t="str">
        <f ca="1">IFERROR(__xludf.DUMMYFUNCTION("""COMPUTED_VALUE"""),"Lê Thị Hồng Gấm")</f>
        <v>Lê Thị Hồng Gấm</v>
      </c>
      <c r="C62" s="14" t="str">
        <f ca="1">IFERROR(__xludf.DUMMYFUNCTION("""COMPUTED_VALUE"""),"THPT")</f>
        <v>THPT</v>
      </c>
      <c r="D62" s="14">
        <f ca="1">IFERROR(__xludf.DUMMYFUNCTION("""COMPUTED_VALUE"""),3)</f>
        <v>3</v>
      </c>
      <c r="E62" s="17">
        <f ca="1">IFERROR(__xludf.DUMMYFUNCTION("""COMPUTED_VALUE"""),53)</f>
        <v>53</v>
      </c>
      <c r="F62" s="19">
        <f ca="1">IFERROR(__xludf.DUMMYFUNCTION("""COMPUTED_VALUE"""),53)</f>
        <v>53</v>
      </c>
      <c r="G62" s="51">
        <f t="shared" ca="1" si="0"/>
        <v>1</v>
      </c>
      <c r="H62" s="19">
        <f ca="1">IFERROR(__xludf.DUMMYFUNCTION("""COMPUTED_VALUE"""),53)</f>
        <v>53</v>
      </c>
      <c r="I62" s="51">
        <f t="shared" ca="1" si="1"/>
        <v>1</v>
      </c>
      <c r="J62" s="19">
        <f ca="1">IFERROR(__xludf.DUMMYFUNCTION("""COMPUTED_VALUE"""),53)</f>
        <v>53</v>
      </c>
      <c r="K62" s="51">
        <f t="shared" ca="1" si="2"/>
        <v>1</v>
      </c>
      <c r="L62" s="18">
        <f ca="1">IFERROR(__xludf.DUMMYFUNCTION("""COMPUTED_VALUE"""),25)</f>
        <v>25</v>
      </c>
      <c r="M62" s="51">
        <f t="shared" ca="1" si="3"/>
        <v>0.47169811320754718</v>
      </c>
      <c r="N62" s="19">
        <f ca="1">IFERROR(__xludf.DUMMYFUNCTION("""COMPUTED_VALUE"""),0)</f>
        <v>0</v>
      </c>
      <c r="O62" s="19">
        <f ca="1">IFERROR(__xludf.DUMMYFUNCTION("""COMPUTED_VALUE"""),0)</f>
        <v>0</v>
      </c>
      <c r="P62" s="51" t="str">
        <f t="shared" ca="1" si="4"/>
        <v/>
      </c>
      <c r="Q62" s="19">
        <f ca="1">IFERROR(__xludf.DUMMYFUNCTION("""COMPUTED_VALUE"""),0)</f>
        <v>0</v>
      </c>
      <c r="R62" s="51" t="str">
        <f t="shared" ca="1" si="5"/>
        <v/>
      </c>
      <c r="S62" s="19">
        <f ca="1">IFERROR(__xludf.DUMMYFUNCTION("""COMPUTED_VALUE"""),948)</f>
        <v>948</v>
      </c>
      <c r="T62" s="14">
        <f ca="1">IFERROR(__xludf.DUMMYFUNCTION("""COMPUTED_VALUE"""),901)</f>
        <v>901</v>
      </c>
      <c r="U62" s="51">
        <f t="shared" ca="1" si="6"/>
        <v>0.95042194092827004</v>
      </c>
      <c r="V62" s="19">
        <f ca="1">IFERROR(__xludf.DUMMYFUNCTION("""COMPUTED_VALUE"""),887)</f>
        <v>887</v>
      </c>
      <c r="W62" s="51">
        <f t="shared" ca="1" si="7"/>
        <v>0.93565400843881852</v>
      </c>
      <c r="X62" s="19">
        <f ca="1">IFERROR(__xludf.DUMMYFUNCTION("""COMPUTED_VALUE"""),381)</f>
        <v>381</v>
      </c>
      <c r="Y62" s="51">
        <f t="shared" ca="1" si="8"/>
        <v>0.40189873417721517</v>
      </c>
      <c r="Z62" s="2"/>
      <c r="AA62" s="2"/>
      <c r="AB62" s="2"/>
      <c r="AC62" s="2"/>
      <c r="AD62" s="2"/>
    </row>
    <row r="63" spans="1:30" ht="12.75" x14ac:dyDescent="0.2">
      <c r="A63" s="16">
        <f ca="1">IFERROR(__xludf.DUMMYFUNCTION("""COMPUTED_VALUE"""),3)</f>
        <v>3</v>
      </c>
      <c r="B63" s="14" t="str">
        <f ca="1">IFERROR(__xludf.DUMMYFUNCTION("""COMPUTED_VALUE"""),"Lê Quý Đôn")</f>
        <v>Lê Quý Đôn</v>
      </c>
      <c r="C63" s="14" t="str">
        <f ca="1">IFERROR(__xludf.DUMMYFUNCTION("""COMPUTED_VALUE"""),"THPT")</f>
        <v>THPT</v>
      </c>
      <c r="D63" s="14">
        <f ca="1">IFERROR(__xludf.DUMMYFUNCTION("""COMPUTED_VALUE"""),3)</f>
        <v>3</v>
      </c>
      <c r="E63" s="17">
        <f ca="1">IFERROR(__xludf.DUMMYFUNCTION("""COMPUTED_VALUE"""),93)</f>
        <v>93</v>
      </c>
      <c r="F63" s="19">
        <f ca="1">IFERROR(__xludf.DUMMYFUNCTION("""COMPUTED_VALUE"""),93)</f>
        <v>93</v>
      </c>
      <c r="G63" s="51">
        <f t="shared" ca="1" si="0"/>
        <v>1</v>
      </c>
      <c r="H63" s="19">
        <f ca="1">IFERROR(__xludf.DUMMYFUNCTION("""COMPUTED_VALUE"""),93)</f>
        <v>93</v>
      </c>
      <c r="I63" s="51">
        <f t="shared" ca="1" si="1"/>
        <v>1</v>
      </c>
      <c r="J63" s="19">
        <f ca="1">IFERROR(__xludf.DUMMYFUNCTION("""COMPUTED_VALUE"""),93)</f>
        <v>93</v>
      </c>
      <c r="K63" s="51">
        <f t="shared" ca="1" si="2"/>
        <v>1</v>
      </c>
      <c r="L63" s="18">
        <f ca="1">IFERROR(__xludf.DUMMYFUNCTION("""COMPUTED_VALUE"""),44)</f>
        <v>44</v>
      </c>
      <c r="M63" s="51">
        <f t="shared" ca="1" si="3"/>
        <v>0.4731182795698925</v>
      </c>
      <c r="N63" s="19">
        <f ca="1">IFERROR(__xludf.DUMMYFUNCTION("""COMPUTED_VALUE"""),0)</f>
        <v>0</v>
      </c>
      <c r="O63" s="19">
        <f ca="1">IFERROR(__xludf.DUMMYFUNCTION("""COMPUTED_VALUE"""),0)</f>
        <v>0</v>
      </c>
      <c r="P63" s="51" t="str">
        <f t="shared" ca="1" si="4"/>
        <v/>
      </c>
      <c r="Q63" s="19">
        <f ca="1">IFERROR(__xludf.DUMMYFUNCTION("""COMPUTED_VALUE"""),0)</f>
        <v>0</v>
      </c>
      <c r="R63" s="51" t="str">
        <f t="shared" ca="1" si="5"/>
        <v/>
      </c>
      <c r="S63" s="19">
        <f ca="1">IFERROR(__xludf.DUMMYFUNCTION("""COMPUTED_VALUE"""),1377)</f>
        <v>1377</v>
      </c>
      <c r="T63" s="19">
        <f ca="1">IFERROR(__xludf.DUMMYFUNCTION("""COMPUTED_VALUE"""),1377)</f>
        <v>1377</v>
      </c>
      <c r="U63" s="51">
        <f t="shared" ca="1" si="6"/>
        <v>1</v>
      </c>
      <c r="V63" s="19">
        <f ca="1">IFERROR(__xludf.DUMMYFUNCTION("""COMPUTED_VALUE"""),1377)</f>
        <v>1377</v>
      </c>
      <c r="W63" s="51">
        <f t="shared" ca="1" si="7"/>
        <v>1</v>
      </c>
      <c r="X63" s="19">
        <f ca="1">IFERROR(__xludf.DUMMYFUNCTION("""COMPUTED_VALUE"""),544)</f>
        <v>544</v>
      </c>
      <c r="Y63" s="51">
        <f t="shared" ca="1" si="8"/>
        <v>0.39506172839506171</v>
      </c>
      <c r="Z63" s="2"/>
      <c r="AA63" s="2"/>
      <c r="AB63" s="2"/>
      <c r="AC63" s="2"/>
      <c r="AD63" s="2"/>
    </row>
    <row r="64" spans="1:30" ht="12.75" x14ac:dyDescent="0.2">
      <c r="A64" s="16">
        <f ca="1">IFERROR(__xludf.DUMMYFUNCTION("""COMPUTED_VALUE"""),4)</f>
        <v>4</v>
      </c>
      <c r="B64" s="14" t="str">
        <f ca="1">IFERROR(__xludf.DUMMYFUNCTION("""COMPUTED_VALUE"""),"Marie Curie")</f>
        <v>Marie Curie</v>
      </c>
      <c r="C64" s="14" t="str">
        <f ca="1">IFERROR(__xludf.DUMMYFUNCTION("""COMPUTED_VALUE"""),"THPT")</f>
        <v>THPT</v>
      </c>
      <c r="D64" s="14">
        <f ca="1">IFERROR(__xludf.DUMMYFUNCTION("""COMPUTED_VALUE"""),3)</f>
        <v>3</v>
      </c>
      <c r="E64" s="17">
        <f ca="1">IFERROR(__xludf.DUMMYFUNCTION("""COMPUTED_VALUE"""),200)</f>
        <v>200</v>
      </c>
      <c r="F64" s="19">
        <f ca="1">IFERROR(__xludf.DUMMYFUNCTION("""COMPUTED_VALUE"""),200)</f>
        <v>200</v>
      </c>
      <c r="G64" s="51">
        <f t="shared" ca="1" si="0"/>
        <v>1</v>
      </c>
      <c r="H64" s="19">
        <f ca="1">IFERROR(__xludf.DUMMYFUNCTION("""COMPUTED_VALUE"""),200)</f>
        <v>200</v>
      </c>
      <c r="I64" s="51">
        <f t="shared" ca="1" si="1"/>
        <v>1</v>
      </c>
      <c r="J64" s="19">
        <f ca="1">IFERROR(__xludf.DUMMYFUNCTION("""COMPUTED_VALUE"""),200)</f>
        <v>200</v>
      </c>
      <c r="K64" s="51">
        <f t="shared" ca="1" si="2"/>
        <v>1</v>
      </c>
      <c r="L64" s="18">
        <f ca="1">IFERROR(__xludf.DUMMYFUNCTION("""COMPUTED_VALUE"""),86)</f>
        <v>86</v>
      </c>
      <c r="M64" s="51">
        <f t="shared" ca="1" si="3"/>
        <v>0.43</v>
      </c>
      <c r="N64" s="19">
        <f ca="1">IFERROR(__xludf.DUMMYFUNCTION("""COMPUTED_VALUE"""),0)</f>
        <v>0</v>
      </c>
      <c r="O64" s="19">
        <f ca="1">IFERROR(__xludf.DUMMYFUNCTION("""COMPUTED_VALUE"""),0)</f>
        <v>0</v>
      </c>
      <c r="P64" s="51" t="str">
        <f t="shared" ca="1" si="4"/>
        <v/>
      </c>
      <c r="Q64" s="19">
        <f ca="1">IFERROR(__xludf.DUMMYFUNCTION("""COMPUTED_VALUE"""),0)</f>
        <v>0</v>
      </c>
      <c r="R64" s="51" t="str">
        <f t="shared" ca="1" si="5"/>
        <v/>
      </c>
      <c r="S64" s="19">
        <f ca="1">IFERROR(__xludf.DUMMYFUNCTION("""COMPUTED_VALUE"""),3200)</f>
        <v>3200</v>
      </c>
      <c r="T64" s="14">
        <f ca="1">IFERROR(__xludf.DUMMYFUNCTION("""COMPUTED_VALUE"""),3200)</f>
        <v>3200</v>
      </c>
      <c r="U64" s="51">
        <f t="shared" ca="1" si="6"/>
        <v>1</v>
      </c>
      <c r="V64" s="19">
        <f ca="1">IFERROR(__xludf.DUMMYFUNCTION("""COMPUTED_VALUE"""),3200)</f>
        <v>3200</v>
      </c>
      <c r="W64" s="51">
        <f t="shared" ca="1" si="7"/>
        <v>1</v>
      </c>
      <c r="X64" s="19">
        <f ca="1">IFERROR(__xludf.DUMMYFUNCTION("""COMPUTED_VALUE"""),1144)</f>
        <v>1144</v>
      </c>
      <c r="Y64" s="51">
        <f t="shared" ca="1" si="8"/>
        <v>0.35749999999999998</v>
      </c>
      <c r="Z64" s="2"/>
      <c r="AA64" s="2"/>
      <c r="AB64" s="2"/>
      <c r="AC64" s="2"/>
      <c r="AD64" s="2"/>
    </row>
    <row r="65" spans="1:30" ht="12.75" x14ac:dyDescent="0.2">
      <c r="A65" s="16">
        <f ca="1">IFERROR(__xludf.DUMMYFUNCTION("""COMPUTED_VALUE"""),5)</f>
        <v>5</v>
      </c>
      <c r="B65" s="14" t="str">
        <f ca="1">IFERROR(__xludf.DUMMYFUNCTION("""COMPUTED_VALUE"""),"Nguyễn Thị Diệu")</f>
        <v>Nguyễn Thị Diệu</v>
      </c>
      <c r="C65" s="14" t="str">
        <f ca="1">IFERROR(__xludf.DUMMYFUNCTION("""COMPUTED_VALUE"""),"THPT")</f>
        <v>THPT</v>
      </c>
      <c r="D65" s="14">
        <f ca="1">IFERROR(__xludf.DUMMYFUNCTION("""COMPUTED_VALUE"""),3)</f>
        <v>3</v>
      </c>
      <c r="E65" s="20">
        <f ca="1">IFERROR(__xludf.DUMMYFUNCTION("""COMPUTED_VALUE"""),98)</f>
        <v>98</v>
      </c>
      <c r="F65" s="14">
        <f ca="1">IFERROR(__xludf.DUMMYFUNCTION("""COMPUTED_VALUE"""),98)</f>
        <v>98</v>
      </c>
      <c r="G65" s="51">
        <f t="shared" ca="1" si="0"/>
        <v>1</v>
      </c>
      <c r="H65" s="14">
        <f ca="1">IFERROR(__xludf.DUMMYFUNCTION("""COMPUTED_VALUE"""),98)</f>
        <v>98</v>
      </c>
      <c r="I65" s="51">
        <f t="shared" ca="1" si="1"/>
        <v>1</v>
      </c>
      <c r="J65" s="14">
        <f ca="1">IFERROR(__xludf.DUMMYFUNCTION("""COMPUTED_VALUE"""),98)</f>
        <v>98</v>
      </c>
      <c r="K65" s="51">
        <f t="shared" ca="1" si="2"/>
        <v>1</v>
      </c>
      <c r="L65" s="21">
        <f ca="1">IFERROR(__xludf.DUMMYFUNCTION("""COMPUTED_VALUE"""),46)</f>
        <v>46</v>
      </c>
      <c r="M65" s="51">
        <f t="shared" ca="1" si="3"/>
        <v>0.46938775510204084</v>
      </c>
      <c r="N65" s="19">
        <f ca="1">IFERROR(__xludf.DUMMYFUNCTION("""COMPUTED_VALUE"""),0)</f>
        <v>0</v>
      </c>
      <c r="O65" s="19">
        <f ca="1">IFERROR(__xludf.DUMMYFUNCTION("""COMPUTED_VALUE"""),0)</f>
        <v>0</v>
      </c>
      <c r="P65" s="51" t="str">
        <f t="shared" ca="1" si="4"/>
        <v/>
      </c>
      <c r="Q65" s="19">
        <f ca="1">IFERROR(__xludf.DUMMYFUNCTION("""COMPUTED_VALUE"""),0)</f>
        <v>0</v>
      </c>
      <c r="R65" s="51" t="str">
        <f t="shared" ca="1" si="5"/>
        <v/>
      </c>
      <c r="S65" s="19">
        <f ca="1">IFERROR(__xludf.DUMMYFUNCTION("""COMPUTED_VALUE"""),1636)</f>
        <v>1636</v>
      </c>
      <c r="T65" s="14">
        <f ca="1">IFERROR(__xludf.DUMMYFUNCTION("""COMPUTED_VALUE"""),1636)</f>
        <v>1636</v>
      </c>
      <c r="U65" s="51">
        <f t="shared" ca="1" si="6"/>
        <v>1</v>
      </c>
      <c r="V65" s="19">
        <f ca="1">IFERROR(__xludf.DUMMYFUNCTION("""COMPUTED_VALUE"""),1593)</f>
        <v>1593</v>
      </c>
      <c r="W65" s="51">
        <f t="shared" ca="1" si="7"/>
        <v>0.97371638141809291</v>
      </c>
      <c r="X65" s="19">
        <f ca="1">IFERROR(__xludf.DUMMYFUNCTION("""COMPUTED_VALUE"""),991)</f>
        <v>991</v>
      </c>
      <c r="Y65" s="51">
        <f t="shared" ca="1" si="8"/>
        <v>0.60574572127139359</v>
      </c>
      <c r="Z65" s="2"/>
      <c r="AA65" s="2"/>
      <c r="AB65" s="2"/>
      <c r="AC65" s="2"/>
      <c r="AD65" s="2"/>
    </row>
    <row r="66" spans="1:30" ht="12.75" x14ac:dyDescent="0.2">
      <c r="A66" s="80"/>
      <c r="B66" s="14"/>
      <c r="C66" s="14"/>
      <c r="D66" s="14"/>
      <c r="E66" s="19">
        <f ca="1">IFERROR(__xludf.DUMMYFUNCTION("""COMPUTED_VALUE"""),564)</f>
        <v>564</v>
      </c>
      <c r="F66" s="19">
        <f ca="1">IFERROR(__xludf.DUMMYFUNCTION("""COMPUTED_VALUE"""),564)</f>
        <v>564</v>
      </c>
      <c r="G66" s="51">
        <f t="shared" ca="1" si="0"/>
        <v>1</v>
      </c>
      <c r="H66" s="19">
        <f ca="1">IFERROR(__xludf.DUMMYFUNCTION("""COMPUTED_VALUE"""),560)</f>
        <v>560</v>
      </c>
      <c r="I66" s="51">
        <f t="shared" ca="1" si="1"/>
        <v>0.99290780141843971</v>
      </c>
      <c r="J66" s="19">
        <f ca="1">IFERROR(__xludf.DUMMYFUNCTION("""COMPUTED_VALUE"""),555)</f>
        <v>555</v>
      </c>
      <c r="K66" s="51">
        <f t="shared" ca="1" si="2"/>
        <v>0.98404255319148937</v>
      </c>
      <c r="L66" s="18">
        <f ca="1">IFERROR(__xludf.DUMMYFUNCTION("""COMPUTED_VALUE"""),239)</f>
        <v>239</v>
      </c>
      <c r="M66" s="51">
        <f t="shared" ca="1" si="3"/>
        <v>0.42375886524822692</v>
      </c>
      <c r="N66" s="19">
        <f ca="1">IFERROR(__xludf.DUMMYFUNCTION("""COMPUTED_VALUE"""),0)</f>
        <v>0</v>
      </c>
      <c r="O66" s="84">
        <f ca="1">IFERROR(__xludf.DUMMYFUNCTION("""COMPUTED_VALUE"""),0)</f>
        <v>0</v>
      </c>
      <c r="P66" s="51" t="str">
        <f t="shared" ca="1" si="4"/>
        <v/>
      </c>
      <c r="Q66" s="84">
        <f ca="1">IFERROR(__xludf.DUMMYFUNCTION("""COMPUTED_VALUE"""),0)</f>
        <v>0</v>
      </c>
      <c r="R66" s="51" t="str">
        <f t="shared" ca="1" si="5"/>
        <v/>
      </c>
      <c r="S66" s="19">
        <f ca="1">IFERROR(__xludf.DUMMYFUNCTION("""COMPUTED_VALUE"""),9119)</f>
        <v>9119</v>
      </c>
      <c r="T66" s="85">
        <f ca="1">IFERROR(__xludf.DUMMYFUNCTION("""COMPUTED_VALUE"""),9017)</f>
        <v>9017</v>
      </c>
      <c r="U66" s="51">
        <f t="shared" ca="1" si="6"/>
        <v>0.98881456300032899</v>
      </c>
      <c r="V66" s="84">
        <f ca="1">IFERROR(__xludf.DUMMYFUNCTION("""COMPUTED_VALUE"""),8945)</f>
        <v>8945</v>
      </c>
      <c r="W66" s="51">
        <f t="shared" ca="1" si="7"/>
        <v>0.98091896041232596</v>
      </c>
      <c r="X66" s="84">
        <f ca="1">IFERROR(__xludf.DUMMYFUNCTION("""COMPUTED_VALUE"""),3680)</f>
        <v>3680</v>
      </c>
      <c r="Y66" s="51">
        <f t="shared" ca="1" si="8"/>
        <v>0.4035530211646014</v>
      </c>
      <c r="Z66" s="2"/>
      <c r="AA66" s="2"/>
      <c r="AB66" s="2"/>
      <c r="AC66" s="2"/>
      <c r="AD66" s="2"/>
    </row>
    <row r="67" spans="1:30" ht="12.75" x14ac:dyDescent="0.2">
      <c r="A67" s="86" t="str">
        <f ca="1">IFERROR(__xludf.DUMMYFUNCTION("""COMPUTED_VALUE"""),"Chuyên biệt")</f>
        <v>Chuyên biệt</v>
      </c>
      <c r="B67" s="88"/>
      <c r="C67" s="14"/>
      <c r="D67" s="14"/>
      <c r="E67" s="82"/>
      <c r="F67" s="82"/>
      <c r="G67" s="51" t="str">
        <f t="shared" si="0"/>
        <v/>
      </c>
      <c r="H67" s="82"/>
      <c r="I67" s="51" t="str">
        <f t="shared" si="1"/>
        <v/>
      </c>
      <c r="J67" s="82"/>
      <c r="K67" s="51" t="str">
        <f t="shared" si="2"/>
        <v/>
      </c>
      <c r="L67" s="21"/>
      <c r="M67" s="51" t="str">
        <f t="shared" si="3"/>
        <v/>
      </c>
      <c r="N67" s="82"/>
      <c r="O67" s="82"/>
      <c r="P67" s="51" t="str">
        <f t="shared" si="4"/>
        <v/>
      </c>
      <c r="Q67" s="82"/>
      <c r="R67" s="51" t="str">
        <f t="shared" si="5"/>
        <v/>
      </c>
      <c r="S67" s="82"/>
      <c r="T67" s="82"/>
      <c r="U67" s="51" t="str">
        <f t="shared" si="6"/>
        <v/>
      </c>
      <c r="V67" s="82"/>
      <c r="W67" s="51" t="str">
        <f t="shared" si="7"/>
        <v/>
      </c>
      <c r="X67" s="82"/>
      <c r="Y67" s="51" t="str">
        <f t="shared" si="8"/>
        <v/>
      </c>
      <c r="Z67" s="2"/>
      <c r="AA67" s="2"/>
      <c r="AB67" s="2"/>
      <c r="AC67" s="2"/>
      <c r="AD67" s="2"/>
    </row>
    <row r="68" spans="1:30" ht="12.75" x14ac:dyDescent="0.2">
      <c r="A68" s="16"/>
      <c r="B68" s="14" t="str">
        <f ca="1">IFERROR(__xludf.DUMMYFUNCTION("""COMPUTED_VALUE"""),"Trường Tương Lai")</f>
        <v>Trường Tương Lai</v>
      </c>
      <c r="C68" s="14" t="str">
        <f ca="1">IFERROR(__xludf.DUMMYFUNCTION("""COMPUTED_VALUE"""),"CB")</f>
        <v>CB</v>
      </c>
      <c r="D68" s="14">
        <f ca="1">IFERROR(__xludf.DUMMYFUNCTION("""COMPUTED_VALUE"""),3)</f>
        <v>3</v>
      </c>
      <c r="E68" s="17">
        <f ca="1">IFERROR(__xludf.DUMMYFUNCTION("""COMPUTED_VALUE"""),11)</f>
        <v>11</v>
      </c>
      <c r="F68" s="19">
        <f ca="1">IFERROR(__xludf.DUMMYFUNCTION("""COMPUTED_VALUE"""),11)</f>
        <v>11</v>
      </c>
      <c r="G68" s="51">
        <f t="shared" ca="1" si="0"/>
        <v>1</v>
      </c>
      <c r="H68" s="19">
        <f ca="1">IFERROR(__xludf.DUMMYFUNCTION("""COMPUTED_VALUE"""),11)</f>
        <v>11</v>
      </c>
      <c r="I68" s="51">
        <f t="shared" ca="1" si="1"/>
        <v>1</v>
      </c>
      <c r="J68" s="19">
        <f ca="1">IFERROR(__xludf.DUMMYFUNCTION("""COMPUTED_VALUE"""),11)</f>
        <v>11</v>
      </c>
      <c r="K68" s="51">
        <f t="shared" ca="1" si="2"/>
        <v>1</v>
      </c>
      <c r="L68" s="18">
        <f ca="1">IFERROR(__xludf.DUMMYFUNCTION("""COMPUTED_VALUE"""),5)</f>
        <v>5</v>
      </c>
      <c r="M68" s="51">
        <f t="shared" ca="1" si="3"/>
        <v>0.45454545454545453</v>
      </c>
      <c r="N68" s="19">
        <f ca="1">IFERROR(__xludf.DUMMYFUNCTION("""COMPUTED_VALUE"""),23)</f>
        <v>23</v>
      </c>
      <c r="O68" s="19">
        <f ca="1">IFERROR(__xludf.DUMMYFUNCTION("""COMPUTED_VALUE"""),22)</f>
        <v>22</v>
      </c>
      <c r="P68" s="51">
        <f t="shared" ca="1" si="4"/>
        <v>0.95652173913043481</v>
      </c>
      <c r="Q68" s="19">
        <f ca="1">IFERROR(__xludf.DUMMYFUNCTION("""COMPUTED_VALUE"""),16)</f>
        <v>16</v>
      </c>
      <c r="R68" s="51">
        <f t="shared" ca="1" si="5"/>
        <v>0.69565217391304346</v>
      </c>
      <c r="S68" s="19">
        <f ca="1">IFERROR(__xludf.DUMMYFUNCTION("""COMPUTED_VALUE"""),11)</f>
        <v>11</v>
      </c>
      <c r="T68" s="14">
        <f ca="1">IFERROR(__xludf.DUMMYFUNCTION("""COMPUTED_VALUE"""),11)</f>
        <v>11</v>
      </c>
      <c r="U68" s="51">
        <f t="shared" ca="1" si="6"/>
        <v>1</v>
      </c>
      <c r="V68" s="19">
        <f ca="1">IFERROR(__xludf.DUMMYFUNCTION("""COMPUTED_VALUE"""),11)</f>
        <v>11</v>
      </c>
      <c r="W68" s="51">
        <f t="shared" ca="1" si="7"/>
        <v>1</v>
      </c>
      <c r="X68" s="19">
        <f ca="1">IFERROR(__xludf.DUMMYFUNCTION("""COMPUTED_VALUE"""),7)</f>
        <v>7</v>
      </c>
      <c r="Y68" s="51">
        <f t="shared" ca="1" si="8"/>
        <v>0.63636363636363635</v>
      </c>
      <c r="Z68" s="2"/>
      <c r="AA68" s="2"/>
      <c r="AB68" s="2"/>
      <c r="AC68" s="2"/>
      <c r="AD68" s="2"/>
    </row>
    <row r="69" spans="1:30" ht="12.75" x14ac:dyDescent="0.2">
      <c r="A69" s="100" t="str">
        <f ca="1">IFERROR(__xludf.DUMMYFUNCTION("""COMPUTED_VALUE"""),"GDTX")</f>
        <v>GDTX</v>
      </c>
      <c r="B69" s="88"/>
      <c r="C69" s="14" t="str">
        <f ca="1">IFERROR(__xludf.DUMMYFUNCTION("""COMPUTED_VALUE"""),"GDTX")</f>
        <v>GDTX</v>
      </c>
      <c r="D69" s="14">
        <f ca="1">IFERROR(__xludf.DUMMYFUNCTION("""COMPUTED_VALUE"""),3)</f>
        <v>3</v>
      </c>
      <c r="E69" s="17">
        <f ca="1">IFERROR(__xludf.DUMMYFUNCTION("""COMPUTED_VALUE"""),33)</f>
        <v>33</v>
      </c>
      <c r="F69" s="19">
        <f ca="1">IFERROR(__xludf.DUMMYFUNCTION("""COMPUTED_VALUE"""),33)</f>
        <v>33</v>
      </c>
      <c r="G69" s="51">
        <f t="shared" ca="1" si="0"/>
        <v>1</v>
      </c>
      <c r="H69" s="19">
        <f ca="1">IFERROR(__xludf.DUMMYFUNCTION("""COMPUTED_VALUE"""),33)</f>
        <v>33</v>
      </c>
      <c r="I69" s="51">
        <f t="shared" ca="1" si="1"/>
        <v>1</v>
      </c>
      <c r="J69" s="19">
        <f ca="1">IFERROR(__xludf.DUMMYFUNCTION("""COMPUTED_VALUE"""),33)</f>
        <v>33</v>
      </c>
      <c r="K69" s="51">
        <f t="shared" ca="1" si="2"/>
        <v>1</v>
      </c>
      <c r="L69" s="18">
        <f ca="1">IFERROR(__xludf.DUMMYFUNCTION("""COMPUTED_VALUE"""),25)</f>
        <v>25</v>
      </c>
      <c r="M69" s="51">
        <f t="shared" ca="1" si="3"/>
        <v>0.75757575757575757</v>
      </c>
      <c r="N69" s="19">
        <f ca="1">IFERROR(__xludf.DUMMYFUNCTION("""COMPUTED_VALUE"""),0)</f>
        <v>0</v>
      </c>
      <c r="O69" s="19">
        <f ca="1">IFERROR(__xludf.DUMMYFUNCTION("""COMPUTED_VALUE"""),0)</f>
        <v>0</v>
      </c>
      <c r="P69" s="51" t="str">
        <f t="shared" ca="1" si="4"/>
        <v/>
      </c>
      <c r="Q69" s="19">
        <f ca="1">IFERROR(__xludf.DUMMYFUNCTION("""COMPUTED_VALUE"""),0)</f>
        <v>0</v>
      </c>
      <c r="R69" s="51" t="str">
        <f t="shared" ca="1" si="5"/>
        <v/>
      </c>
      <c r="S69" s="19">
        <f ca="1">IFERROR(__xludf.DUMMYFUNCTION("""COMPUTED_VALUE"""),547)</f>
        <v>547</v>
      </c>
      <c r="T69" s="19">
        <f ca="1">IFERROR(__xludf.DUMMYFUNCTION("""COMPUTED_VALUE"""),541)</f>
        <v>541</v>
      </c>
      <c r="U69" s="51">
        <f t="shared" ca="1" si="6"/>
        <v>0.98903107861060324</v>
      </c>
      <c r="V69" s="19">
        <f ca="1">IFERROR(__xludf.DUMMYFUNCTION("""COMPUTED_VALUE"""),524)</f>
        <v>524</v>
      </c>
      <c r="W69" s="51">
        <f t="shared" ca="1" si="7"/>
        <v>0.9579524680073126</v>
      </c>
      <c r="X69" s="19">
        <f ca="1">IFERROR(__xludf.DUMMYFUNCTION("""COMPUTED_VALUE"""),269)</f>
        <v>269</v>
      </c>
      <c r="Y69" s="51">
        <f t="shared" ca="1" si="8"/>
        <v>0.49177330895795246</v>
      </c>
      <c r="Z69" s="2"/>
      <c r="AA69" s="2"/>
      <c r="AB69" s="2"/>
      <c r="AC69" s="2"/>
      <c r="AD69" s="2"/>
    </row>
    <row r="70" spans="1:30" ht="12.75" x14ac:dyDescent="0.2">
      <c r="A70" s="2"/>
      <c r="B70" s="2"/>
      <c r="C70" s="2"/>
      <c r="D70" s="2"/>
      <c r="E70" s="2"/>
      <c r="F70" s="2"/>
      <c r="G70" s="51" t="str">
        <f t="shared" ref="G70:G78" si="9">IFERROR(F70/E70,"")</f>
        <v/>
      </c>
      <c r="H70" s="2"/>
      <c r="I70" s="51" t="str">
        <f t="shared" ref="I70:I78" si="10">IFERROR(H70/E70,"")</f>
        <v/>
      </c>
      <c r="J70" s="2"/>
      <c r="K70" s="51" t="str">
        <f t="shared" ref="K70:K78" si="11">IFERROR(J70/E70,"")</f>
        <v/>
      </c>
      <c r="L70" s="2"/>
      <c r="M70" s="51" t="str">
        <f t="shared" ref="M70:M78" si="12">IFERROR(L70/E70,"")</f>
        <v/>
      </c>
      <c r="N70" s="2"/>
      <c r="O70" s="2"/>
      <c r="P70" s="51" t="str">
        <f t="shared" ref="P70:P78" si="13">IFERROR(O70/N70,"")</f>
        <v/>
      </c>
      <c r="Q70" s="2"/>
      <c r="R70" s="51" t="str">
        <f t="shared" ref="R70:R78" si="14">IFERROR(Q70/N70,"")</f>
        <v/>
      </c>
      <c r="S70" s="2"/>
      <c r="T70" s="2"/>
      <c r="U70" s="51" t="str">
        <f t="shared" ref="U70:U78" si="15">IFERROR(T70/S70,"")</f>
        <v/>
      </c>
      <c r="V70" s="2"/>
      <c r="W70" s="51" t="str">
        <f t="shared" ref="W70:W78" si="16">IFERROR(V70/S70,"")</f>
        <v/>
      </c>
      <c r="X70" s="2"/>
      <c r="Y70" s="51" t="str">
        <f t="shared" ref="Y70:Y78" si="17">IFERROR(X70/S70,"")</f>
        <v/>
      </c>
      <c r="Z70" s="2"/>
      <c r="AA70" s="2"/>
      <c r="AB70" s="2"/>
      <c r="AC70" s="2"/>
      <c r="AD70" s="2"/>
    </row>
    <row r="71" spans="1:30" ht="12.75" x14ac:dyDescent="0.2">
      <c r="A71" s="2"/>
      <c r="B71" s="2"/>
      <c r="C71" s="2"/>
      <c r="D71" s="2"/>
      <c r="E71" s="2"/>
      <c r="F71" s="2"/>
      <c r="G71" s="51" t="str">
        <f t="shared" si="9"/>
        <v/>
      </c>
      <c r="H71" s="2"/>
      <c r="I71" s="51" t="str">
        <f t="shared" si="10"/>
        <v/>
      </c>
      <c r="J71" s="2"/>
      <c r="K71" s="51" t="str">
        <f t="shared" si="11"/>
        <v/>
      </c>
      <c r="L71" s="2"/>
      <c r="M71" s="51" t="str">
        <f t="shared" si="12"/>
        <v/>
      </c>
      <c r="N71" s="2"/>
      <c r="O71" s="2"/>
      <c r="P71" s="51" t="str">
        <f t="shared" si="13"/>
        <v/>
      </c>
      <c r="Q71" s="2"/>
      <c r="R71" s="51" t="str">
        <f t="shared" si="14"/>
        <v/>
      </c>
      <c r="S71" s="2"/>
      <c r="T71" s="2"/>
      <c r="U71" s="51" t="str">
        <f t="shared" si="15"/>
        <v/>
      </c>
      <c r="V71" s="2"/>
      <c r="W71" s="51" t="str">
        <f t="shared" si="16"/>
        <v/>
      </c>
      <c r="X71" s="2"/>
      <c r="Y71" s="51" t="str">
        <f t="shared" si="17"/>
        <v/>
      </c>
      <c r="Z71" s="2"/>
      <c r="AA71" s="2"/>
      <c r="AB71" s="2"/>
      <c r="AC71" s="2"/>
      <c r="AD71" s="2"/>
    </row>
    <row r="72" spans="1:30" ht="12.75" x14ac:dyDescent="0.2">
      <c r="A72" s="2"/>
      <c r="B72" s="2"/>
      <c r="C72" s="2"/>
      <c r="D72" s="2"/>
      <c r="E72" s="2"/>
      <c r="F72" s="2"/>
      <c r="G72" s="51" t="str">
        <f t="shared" si="9"/>
        <v/>
      </c>
      <c r="H72" s="2"/>
      <c r="I72" s="51" t="str">
        <f t="shared" si="10"/>
        <v/>
      </c>
      <c r="J72" s="2"/>
      <c r="K72" s="51" t="str">
        <f t="shared" si="11"/>
        <v/>
      </c>
      <c r="L72" s="2"/>
      <c r="M72" s="51" t="str">
        <f t="shared" si="12"/>
        <v/>
      </c>
      <c r="N72" s="2"/>
      <c r="O72" s="2"/>
      <c r="P72" s="51" t="str">
        <f t="shared" si="13"/>
        <v/>
      </c>
      <c r="Q72" s="2"/>
      <c r="R72" s="51" t="str">
        <f t="shared" si="14"/>
        <v/>
      </c>
      <c r="S72" s="2"/>
      <c r="T72" s="2"/>
      <c r="U72" s="51" t="str">
        <f t="shared" si="15"/>
        <v/>
      </c>
      <c r="V72" s="2"/>
      <c r="W72" s="51" t="str">
        <f t="shared" si="16"/>
        <v/>
      </c>
      <c r="X72" s="2"/>
      <c r="Y72" s="51" t="str">
        <f t="shared" si="17"/>
        <v/>
      </c>
      <c r="Z72" s="2"/>
      <c r="AA72" s="2"/>
      <c r="AB72" s="2"/>
      <c r="AC72" s="2"/>
      <c r="AD72" s="2"/>
    </row>
    <row r="73" spans="1:30" ht="12.75" x14ac:dyDescent="0.2">
      <c r="A73" s="2"/>
      <c r="B73" s="2"/>
      <c r="C73" s="2"/>
      <c r="D73" s="2"/>
      <c r="E73" s="2"/>
      <c r="F73" s="2"/>
      <c r="G73" s="51" t="str">
        <f t="shared" si="9"/>
        <v/>
      </c>
      <c r="H73" s="2"/>
      <c r="I73" s="51" t="str">
        <f t="shared" si="10"/>
        <v/>
      </c>
      <c r="J73" s="2"/>
      <c r="K73" s="51" t="str">
        <f t="shared" si="11"/>
        <v/>
      </c>
      <c r="L73" s="2"/>
      <c r="M73" s="51" t="str">
        <f t="shared" si="12"/>
        <v/>
      </c>
      <c r="N73" s="2"/>
      <c r="O73" s="2"/>
      <c r="P73" s="51" t="str">
        <f t="shared" si="13"/>
        <v/>
      </c>
      <c r="Q73" s="2"/>
      <c r="R73" s="51" t="str">
        <f t="shared" si="14"/>
        <v/>
      </c>
      <c r="S73" s="2"/>
      <c r="T73" s="2"/>
      <c r="U73" s="51" t="str">
        <f t="shared" si="15"/>
        <v/>
      </c>
      <c r="V73" s="2"/>
      <c r="W73" s="51" t="str">
        <f t="shared" si="16"/>
        <v/>
      </c>
      <c r="X73" s="2"/>
      <c r="Y73" s="51" t="str">
        <f t="shared" si="17"/>
        <v/>
      </c>
      <c r="Z73" s="2"/>
      <c r="AA73" s="2"/>
      <c r="AB73" s="2"/>
      <c r="AC73" s="2"/>
      <c r="AD73" s="2"/>
    </row>
    <row r="74" spans="1:30" ht="12.75" x14ac:dyDescent="0.2">
      <c r="A74" s="2"/>
      <c r="B74" s="2"/>
      <c r="C74" s="2"/>
      <c r="D74" s="2"/>
      <c r="E74" s="2"/>
      <c r="F74" s="2"/>
      <c r="G74" s="51" t="str">
        <f t="shared" si="9"/>
        <v/>
      </c>
      <c r="H74" s="2"/>
      <c r="I74" s="51" t="str">
        <f t="shared" si="10"/>
        <v/>
      </c>
      <c r="J74" s="2"/>
      <c r="K74" s="51" t="str">
        <f t="shared" si="11"/>
        <v/>
      </c>
      <c r="L74" s="2"/>
      <c r="M74" s="51" t="str">
        <f t="shared" si="12"/>
        <v/>
      </c>
      <c r="N74" s="2"/>
      <c r="O74" s="2"/>
      <c r="P74" s="51" t="str">
        <f t="shared" si="13"/>
        <v/>
      </c>
      <c r="Q74" s="2"/>
      <c r="R74" s="51" t="str">
        <f t="shared" si="14"/>
        <v/>
      </c>
      <c r="S74" s="2"/>
      <c r="T74" s="2"/>
      <c r="U74" s="51" t="str">
        <f t="shared" si="15"/>
        <v/>
      </c>
      <c r="V74" s="2"/>
      <c r="W74" s="51" t="str">
        <f t="shared" si="16"/>
        <v/>
      </c>
      <c r="X74" s="2"/>
      <c r="Y74" s="51" t="str">
        <f t="shared" si="17"/>
        <v/>
      </c>
      <c r="Z74" s="2"/>
      <c r="AA74" s="2"/>
      <c r="AB74" s="2"/>
      <c r="AC74" s="2"/>
      <c r="AD74" s="2"/>
    </row>
    <row r="75" spans="1:30" ht="12.75" x14ac:dyDescent="0.2">
      <c r="A75" s="2"/>
      <c r="B75" s="2"/>
      <c r="C75" s="2"/>
      <c r="D75" s="2"/>
      <c r="E75" s="2"/>
      <c r="F75" s="2"/>
      <c r="G75" s="51" t="str">
        <f t="shared" si="9"/>
        <v/>
      </c>
      <c r="H75" s="2"/>
      <c r="I75" s="51" t="str">
        <f t="shared" si="10"/>
        <v/>
      </c>
      <c r="J75" s="2"/>
      <c r="K75" s="51" t="str">
        <f t="shared" si="11"/>
        <v/>
      </c>
      <c r="L75" s="2"/>
      <c r="M75" s="51" t="str">
        <f t="shared" si="12"/>
        <v/>
      </c>
      <c r="N75" s="2"/>
      <c r="O75" s="2"/>
      <c r="P75" s="51" t="str">
        <f t="shared" si="13"/>
        <v/>
      </c>
      <c r="Q75" s="2"/>
      <c r="R75" s="51" t="str">
        <f t="shared" si="14"/>
        <v/>
      </c>
      <c r="S75" s="2"/>
      <c r="T75" s="2"/>
      <c r="U75" s="51" t="str">
        <f t="shared" si="15"/>
        <v/>
      </c>
      <c r="V75" s="2"/>
      <c r="W75" s="51" t="str">
        <f t="shared" si="16"/>
        <v/>
      </c>
      <c r="X75" s="2"/>
      <c r="Y75" s="51" t="str">
        <f t="shared" si="17"/>
        <v/>
      </c>
      <c r="Z75" s="2"/>
      <c r="AA75" s="2"/>
      <c r="AB75" s="2"/>
      <c r="AC75" s="2"/>
      <c r="AD75" s="2"/>
    </row>
    <row r="76" spans="1:30" ht="12.75" x14ac:dyDescent="0.2">
      <c r="A76" s="2"/>
      <c r="B76" s="2"/>
      <c r="C76" s="2"/>
      <c r="D76" s="2"/>
      <c r="E76" s="2"/>
      <c r="F76" s="2"/>
      <c r="G76" s="51" t="str">
        <f t="shared" si="9"/>
        <v/>
      </c>
      <c r="H76" s="2"/>
      <c r="I76" s="51" t="str">
        <f t="shared" si="10"/>
        <v/>
      </c>
      <c r="J76" s="2"/>
      <c r="K76" s="51" t="str">
        <f t="shared" si="11"/>
        <v/>
      </c>
      <c r="L76" s="2"/>
      <c r="M76" s="51" t="str">
        <f t="shared" si="12"/>
        <v/>
      </c>
      <c r="N76" s="2"/>
      <c r="O76" s="2"/>
      <c r="P76" s="51" t="str">
        <f t="shared" si="13"/>
        <v/>
      </c>
      <c r="Q76" s="2"/>
      <c r="R76" s="51" t="str">
        <f t="shared" si="14"/>
        <v/>
      </c>
      <c r="S76" s="2"/>
      <c r="T76" s="2"/>
      <c r="U76" s="51" t="str">
        <f t="shared" si="15"/>
        <v/>
      </c>
      <c r="V76" s="2"/>
      <c r="W76" s="51" t="str">
        <f t="shared" si="16"/>
        <v/>
      </c>
      <c r="X76" s="2"/>
      <c r="Y76" s="51" t="str">
        <f t="shared" si="17"/>
        <v/>
      </c>
      <c r="Z76" s="2"/>
      <c r="AA76" s="2"/>
      <c r="AB76" s="2"/>
      <c r="AC76" s="2"/>
      <c r="AD76" s="2"/>
    </row>
    <row r="77" spans="1:30" ht="12.75" x14ac:dyDescent="0.2">
      <c r="A77" s="2"/>
      <c r="B77" s="2"/>
      <c r="C77" s="2"/>
      <c r="D77" s="2"/>
      <c r="E77" s="2"/>
      <c r="F77" s="2"/>
      <c r="G77" s="51" t="str">
        <f t="shared" si="9"/>
        <v/>
      </c>
      <c r="H77" s="2"/>
      <c r="I77" s="51" t="str">
        <f t="shared" si="10"/>
        <v/>
      </c>
      <c r="J77" s="2"/>
      <c r="K77" s="51" t="str">
        <f t="shared" si="11"/>
        <v/>
      </c>
      <c r="L77" s="2"/>
      <c r="M77" s="51" t="str">
        <f t="shared" si="12"/>
        <v/>
      </c>
      <c r="N77" s="2"/>
      <c r="O77" s="2"/>
      <c r="P77" s="51" t="str">
        <f t="shared" si="13"/>
        <v/>
      </c>
      <c r="Q77" s="2"/>
      <c r="R77" s="51" t="str">
        <f t="shared" si="14"/>
        <v/>
      </c>
      <c r="S77" s="2"/>
      <c r="T77" s="2"/>
      <c r="U77" s="51" t="str">
        <f t="shared" si="15"/>
        <v/>
      </c>
      <c r="V77" s="2"/>
      <c r="W77" s="51" t="str">
        <f t="shared" si="16"/>
        <v/>
      </c>
      <c r="X77" s="2"/>
      <c r="Y77" s="51" t="str">
        <f t="shared" si="17"/>
        <v/>
      </c>
      <c r="Z77" s="2"/>
      <c r="AA77" s="2"/>
      <c r="AB77" s="2"/>
      <c r="AC77" s="2"/>
      <c r="AD77" s="2"/>
    </row>
    <row r="78" spans="1:30" ht="12.75" x14ac:dyDescent="0.2">
      <c r="A78" s="2"/>
      <c r="B78" s="2"/>
      <c r="C78" s="2"/>
      <c r="D78" s="2"/>
      <c r="E78" s="2"/>
      <c r="F78" s="2"/>
      <c r="G78" s="51" t="str">
        <f t="shared" si="9"/>
        <v/>
      </c>
      <c r="H78" s="2"/>
      <c r="I78" s="51" t="str">
        <f t="shared" si="10"/>
        <v/>
      </c>
      <c r="J78" s="2"/>
      <c r="K78" s="51" t="str">
        <f t="shared" si="11"/>
        <v/>
      </c>
      <c r="L78" s="2"/>
      <c r="M78" s="51" t="str">
        <f t="shared" si="12"/>
        <v/>
      </c>
      <c r="N78" s="2"/>
      <c r="O78" s="2"/>
      <c r="P78" s="51" t="str">
        <f t="shared" si="13"/>
        <v/>
      </c>
      <c r="Q78" s="2"/>
      <c r="R78" s="51" t="str">
        <f t="shared" si="14"/>
        <v/>
      </c>
      <c r="S78" s="2"/>
      <c r="T78" s="2"/>
      <c r="U78" s="51" t="str">
        <f t="shared" si="15"/>
        <v/>
      </c>
      <c r="V78" s="2"/>
      <c r="W78" s="51" t="str">
        <f t="shared" si="16"/>
        <v/>
      </c>
      <c r="X78" s="2"/>
      <c r="Y78" s="51" t="str">
        <f t="shared" si="17"/>
        <v/>
      </c>
      <c r="Z78" s="2"/>
      <c r="AA78" s="2"/>
      <c r="AB78" s="2"/>
      <c r="AC78" s="2"/>
      <c r="AD78" s="2"/>
    </row>
    <row r="79" spans="1:30" ht="12.75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</row>
    <row r="80" spans="1:30" ht="12.75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</row>
    <row r="81" spans="1:30" ht="12.75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</row>
    <row r="82" spans="1:30" ht="12.75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</row>
    <row r="83" spans="1:30" ht="12.75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</row>
    <row r="84" spans="1:30" ht="12.75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</row>
    <row r="85" spans="1:30" ht="12.75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</row>
    <row r="86" spans="1:30" ht="12.75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</row>
    <row r="87" spans="1:30" ht="12.75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</row>
    <row r="88" spans="1:30" ht="12.75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</row>
    <row r="89" spans="1:30" ht="12.75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</row>
    <row r="90" spans="1:30" ht="12.75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</row>
    <row r="91" spans="1:30" ht="12.75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</row>
    <row r="92" spans="1:30" ht="12.75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</row>
    <row r="93" spans="1:30" ht="12.75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</row>
    <row r="94" spans="1:30" ht="12.75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</row>
    <row r="95" spans="1:30" ht="12.75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</row>
    <row r="96" spans="1:30" ht="12.75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</row>
    <row r="97" spans="1:30" ht="12.75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</row>
    <row r="98" spans="1:30" ht="12.75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</row>
    <row r="99" spans="1:30" ht="12.75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</row>
    <row r="100" spans="1:30" ht="12.75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</row>
    <row r="101" spans="1:30" ht="12.75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</row>
    <row r="102" spans="1:30" ht="12.75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</row>
    <row r="103" spans="1:30" ht="12.75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</row>
    <row r="104" spans="1:30" ht="12.75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</row>
    <row r="105" spans="1:30" ht="12.75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</row>
    <row r="106" spans="1:30" ht="12.75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</row>
    <row r="107" spans="1:30" ht="12.75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</row>
    <row r="108" spans="1:30" ht="12.75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</row>
    <row r="109" spans="1:30" ht="12.75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</row>
    <row r="110" spans="1:30" ht="12.75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</row>
    <row r="111" spans="1:30" ht="12.75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</row>
    <row r="112" spans="1:30" ht="12.75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</row>
    <row r="113" spans="1:30" ht="12.75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</row>
    <row r="114" spans="1:30" ht="12.75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</row>
    <row r="115" spans="1:30" ht="12.75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</row>
    <row r="116" spans="1:30" ht="12.75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</row>
    <row r="117" spans="1:30" ht="12.75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</row>
    <row r="118" spans="1:30" ht="12.75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</row>
    <row r="119" spans="1:30" ht="12.75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</row>
    <row r="120" spans="1:30" ht="12.75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</row>
    <row r="121" spans="1:30" ht="12.75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</row>
    <row r="122" spans="1:30" ht="12.75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</row>
    <row r="123" spans="1:30" ht="12.75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</row>
    <row r="124" spans="1:30" ht="12.75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</row>
    <row r="125" spans="1:30" ht="12.75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</row>
    <row r="126" spans="1:30" ht="12.75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</row>
    <row r="127" spans="1:30" ht="12.75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</row>
    <row r="128" spans="1:30" ht="12.75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</row>
    <row r="129" spans="1:30" ht="12.75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</row>
    <row r="130" spans="1:30" ht="12.75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</row>
    <row r="131" spans="1:30" ht="12.75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</row>
    <row r="132" spans="1:30" ht="12.75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</row>
    <row r="133" spans="1:30" ht="12.75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</row>
    <row r="134" spans="1:30" ht="12.75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</row>
    <row r="135" spans="1:30" ht="12.75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</row>
    <row r="136" spans="1:30" ht="12.75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</row>
    <row r="137" spans="1:30" ht="12.75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</row>
    <row r="138" spans="1:30" ht="12.75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</row>
    <row r="139" spans="1:30" ht="12.75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</row>
    <row r="140" spans="1:30" ht="12.75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</row>
    <row r="141" spans="1:30" ht="12.75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</row>
    <row r="142" spans="1:30" ht="12.75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</row>
    <row r="143" spans="1:30" ht="12.75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</row>
    <row r="144" spans="1:30" ht="12.75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</row>
    <row r="145" spans="1:30" ht="12.75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</row>
    <row r="146" spans="1:30" ht="12.75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</row>
    <row r="147" spans="1:30" ht="12.75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</row>
    <row r="148" spans="1:30" ht="12.75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</row>
    <row r="149" spans="1:30" ht="12.75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</row>
    <row r="150" spans="1:30" ht="12.75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</row>
    <row r="151" spans="1:30" ht="12.75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</row>
    <row r="152" spans="1:30" ht="12.75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</row>
    <row r="153" spans="1:30" ht="12.75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</row>
    <row r="154" spans="1:30" ht="12.75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</row>
    <row r="155" spans="1:30" ht="12.75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</row>
    <row r="156" spans="1:30" ht="12.75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</row>
    <row r="157" spans="1:30" ht="12.75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</row>
    <row r="158" spans="1:30" ht="12.75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</row>
    <row r="159" spans="1:30" ht="12.75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</row>
    <row r="160" spans="1:30" ht="12.75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</row>
    <row r="161" spans="1:30" ht="12.75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</row>
    <row r="162" spans="1:30" ht="12.75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</row>
    <row r="163" spans="1:30" ht="12.75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</row>
    <row r="164" spans="1:30" ht="12.75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</row>
    <row r="165" spans="1:30" ht="12.75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</row>
    <row r="166" spans="1:30" ht="12.75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</row>
    <row r="167" spans="1:30" ht="12.75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</row>
    <row r="168" spans="1:30" ht="12.75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</row>
    <row r="169" spans="1:30" ht="12.75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</row>
    <row r="170" spans="1:30" ht="12.75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</row>
    <row r="171" spans="1:30" ht="12.75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</row>
    <row r="172" spans="1:30" ht="12.75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</row>
    <row r="173" spans="1:30" ht="12.75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</row>
    <row r="174" spans="1:30" ht="12.75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</row>
    <row r="175" spans="1:30" ht="12.75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</row>
    <row r="176" spans="1:30" ht="12.75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</row>
    <row r="177" spans="1:30" ht="12.75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</row>
    <row r="178" spans="1:30" ht="12.75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</row>
    <row r="179" spans="1:30" ht="12.75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</row>
    <row r="180" spans="1:30" ht="12.75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</row>
    <row r="181" spans="1:30" ht="12.75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</row>
    <row r="182" spans="1:30" ht="12.75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</row>
    <row r="183" spans="1:30" ht="12.75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</row>
    <row r="184" spans="1:30" ht="12.75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</row>
    <row r="185" spans="1:30" ht="12.75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</row>
    <row r="186" spans="1:30" ht="12.75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</row>
    <row r="187" spans="1:30" ht="12.75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</row>
    <row r="188" spans="1:30" ht="12.75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</row>
    <row r="189" spans="1:30" ht="12.75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</row>
    <row r="190" spans="1:30" ht="12.75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</row>
    <row r="191" spans="1:30" ht="12.75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</row>
    <row r="192" spans="1:30" ht="12.75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</row>
    <row r="193" spans="1:30" ht="12.75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</row>
    <row r="194" spans="1:30" ht="12.75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</row>
    <row r="195" spans="1:30" ht="12.75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</row>
    <row r="196" spans="1:30" ht="12.75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</row>
    <row r="197" spans="1:30" ht="12.75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</row>
    <row r="198" spans="1:30" ht="12.75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</row>
    <row r="199" spans="1:30" ht="12.75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</row>
    <row r="200" spans="1:30" ht="12.75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</row>
    <row r="201" spans="1:30" ht="12.75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</row>
    <row r="202" spans="1:30" ht="12.75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</row>
    <row r="203" spans="1:30" ht="12.75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</row>
    <row r="204" spans="1:30" ht="12.75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</row>
    <row r="205" spans="1:30" ht="12.75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</row>
    <row r="206" spans="1:30" ht="12.75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</row>
    <row r="207" spans="1:30" ht="12.75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</row>
    <row r="208" spans="1:30" ht="12.75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</row>
    <row r="209" spans="1:30" ht="12.75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</row>
    <row r="210" spans="1:30" ht="12.75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</row>
    <row r="211" spans="1:30" ht="12.75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</row>
    <row r="212" spans="1:30" ht="12.75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</row>
    <row r="213" spans="1:30" ht="12.75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</row>
    <row r="214" spans="1:30" ht="12.75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</row>
    <row r="215" spans="1:30" ht="12.75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</row>
    <row r="216" spans="1:30" ht="12.75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</row>
    <row r="217" spans="1:30" ht="12.75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</row>
    <row r="218" spans="1:30" ht="12.75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</row>
    <row r="219" spans="1:30" ht="12.75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</row>
    <row r="220" spans="1:30" ht="12.75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</row>
    <row r="221" spans="1:30" ht="12.75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</row>
    <row r="222" spans="1:30" ht="12.75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</row>
    <row r="223" spans="1:30" ht="12.75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</row>
    <row r="224" spans="1:30" ht="12.75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</row>
    <row r="225" spans="1:30" ht="12.75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</row>
    <row r="226" spans="1:30" ht="12.75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</row>
    <row r="227" spans="1:30" ht="12.75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</row>
    <row r="228" spans="1:30" ht="12.75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</row>
    <row r="229" spans="1:30" ht="12.75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</row>
    <row r="230" spans="1:30" ht="12.75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</row>
    <row r="231" spans="1:30" ht="12.75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</row>
    <row r="232" spans="1:30" ht="12.75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</row>
    <row r="233" spans="1:30" ht="12.75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</row>
    <row r="234" spans="1:30" ht="12.75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</row>
    <row r="235" spans="1:30" ht="12.75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</row>
    <row r="236" spans="1:30" ht="12.75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</row>
    <row r="237" spans="1:30" ht="12.75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</row>
    <row r="238" spans="1:30" ht="12.75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</row>
    <row r="239" spans="1:30" ht="12.75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</row>
    <row r="240" spans="1:30" ht="12.75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</row>
    <row r="241" spans="1:30" ht="12.75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</row>
    <row r="242" spans="1:30" ht="12.75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</row>
    <row r="243" spans="1:30" ht="12.75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</row>
    <row r="244" spans="1:30" ht="12.75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</row>
    <row r="245" spans="1:30" ht="12.75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</row>
    <row r="246" spans="1:30" ht="12.75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</row>
    <row r="247" spans="1:30" ht="12.75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</row>
    <row r="248" spans="1:30" ht="12.75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</row>
    <row r="249" spans="1:30" ht="12.75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</row>
    <row r="250" spans="1:30" ht="12.75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</row>
    <row r="251" spans="1:30" ht="12.75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</row>
    <row r="252" spans="1:30" ht="12.75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</row>
    <row r="253" spans="1:30" ht="12.75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</row>
    <row r="254" spans="1:30" ht="12.75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</row>
    <row r="255" spans="1:30" ht="12.75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</row>
    <row r="256" spans="1:30" ht="12.75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</row>
    <row r="257" spans="1:30" ht="12.75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</row>
    <row r="258" spans="1:30" ht="12.75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</row>
    <row r="259" spans="1:30" ht="12.75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</row>
    <row r="260" spans="1:30" ht="12.75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</row>
    <row r="261" spans="1:30" ht="12.75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</row>
    <row r="262" spans="1:30" ht="12.75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</row>
    <row r="263" spans="1:30" ht="12.75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</row>
    <row r="264" spans="1:30" ht="12.75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</row>
    <row r="265" spans="1:30" ht="12.75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</row>
    <row r="266" spans="1:30" ht="12.75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</row>
    <row r="267" spans="1:30" ht="12.75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</row>
    <row r="268" spans="1:30" ht="12.75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</row>
    <row r="269" spans="1:30" ht="12.75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</row>
    <row r="270" spans="1:30" ht="12.75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</row>
    <row r="271" spans="1:30" ht="12.75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</row>
    <row r="272" spans="1:30" ht="12.75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</row>
    <row r="273" spans="1:30" ht="12.75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</row>
    <row r="274" spans="1:30" ht="12.75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</row>
    <row r="275" spans="1:30" ht="12.75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</row>
    <row r="276" spans="1:30" ht="12.75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</row>
    <row r="277" spans="1:30" ht="12.75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</row>
    <row r="278" spans="1:30" ht="12.75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</row>
    <row r="279" spans="1:30" ht="12.75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</row>
    <row r="280" spans="1:30" ht="12.75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</row>
    <row r="281" spans="1:30" ht="12.75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</row>
    <row r="282" spans="1:30" ht="12.75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</row>
    <row r="283" spans="1:30" ht="12.75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</row>
    <row r="284" spans="1:30" ht="12.75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</row>
    <row r="285" spans="1:30" ht="12.75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</row>
    <row r="286" spans="1:30" ht="12.75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</row>
    <row r="287" spans="1:30" ht="12.75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</row>
    <row r="288" spans="1:30" ht="12.75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</row>
    <row r="289" spans="1:30" ht="12.75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</row>
    <row r="290" spans="1:30" ht="12.75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</row>
    <row r="291" spans="1:30" ht="12.75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</row>
    <row r="292" spans="1:30" ht="12.75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</row>
    <row r="293" spans="1:30" ht="12.75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</row>
    <row r="294" spans="1:30" ht="12.75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</row>
    <row r="295" spans="1:30" ht="12.75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</row>
    <row r="296" spans="1:30" ht="12.75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</row>
    <row r="297" spans="1:30" ht="12.75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</row>
    <row r="298" spans="1:30" ht="12.75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</row>
    <row r="299" spans="1:30" ht="12.75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</row>
    <row r="300" spans="1:30" ht="12.75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</row>
    <row r="301" spans="1:30" ht="12.75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</row>
    <row r="302" spans="1:30" ht="12.75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</row>
    <row r="303" spans="1:30" ht="12.75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</row>
    <row r="304" spans="1:30" ht="12.75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</row>
    <row r="305" spans="1:30" ht="12.75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</row>
    <row r="306" spans="1:30" ht="12.75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</row>
    <row r="307" spans="1:30" ht="12.75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</row>
    <row r="308" spans="1:30" ht="12.75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</row>
    <row r="309" spans="1:30" ht="12.75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</row>
    <row r="310" spans="1:30" ht="12.75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</row>
    <row r="311" spans="1:30" ht="12.75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</row>
    <row r="312" spans="1:30" ht="12.75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</row>
    <row r="313" spans="1:30" ht="12.75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</row>
    <row r="314" spans="1:30" ht="12.75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</row>
    <row r="315" spans="1:30" ht="12.75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</row>
    <row r="316" spans="1:30" ht="12.75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</row>
    <row r="317" spans="1:30" ht="12.75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</row>
    <row r="318" spans="1:30" ht="12.75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</row>
    <row r="319" spans="1:30" ht="12.75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</row>
    <row r="320" spans="1:30" ht="12.75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</row>
    <row r="321" spans="1:30" ht="12.75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</row>
    <row r="322" spans="1:30" ht="12.75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</row>
    <row r="323" spans="1:30" ht="12.75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</row>
    <row r="324" spans="1:30" ht="12.75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</row>
    <row r="325" spans="1:30" ht="12.75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</row>
    <row r="326" spans="1:30" ht="12.75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</row>
    <row r="327" spans="1:30" ht="12.75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</row>
    <row r="328" spans="1:30" ht="12.75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</row>
    <row r="329" spans="1:30" ht="12.75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</row>
    <row r="330" spans="1:30" ht="12.75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</row>
    <row r="331" spans="1:30" ht="12.75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</row>
    <row r="332" spans="1:30" ht="12.75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</row>
    <row r="333" spans="1:30" ht="12.75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</row>
    <row r="334" spans="1:30" ht="12.75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</row>
    <row r="335" spans="1:30" ht="12.75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</row>
    <row r="336" spans="1:30" ht="12.75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</row>
    <row r="337" spans="1:30" ht="12.75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</row>
    <row r="338" spans="1:30" ht="12.75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</row>
    <row r="339" spans="1:30" ht="12.75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</row>
    <row r="340" spans="1:30" ht="12.75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</row>
    <row r="341" spans="1:30" ht="12.75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</row>
    <row r="342" spans="1:30" ht="12.75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</row>
    <row r="343" spans="1:30" ht="12.75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</row>
    <row r="344" spans="1:30" ht="12.75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</row>
    <row r="345" spans="1:30" ht="12.75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</row>
    <row r="346" spans="1:30" ht="12.75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</row>
    <row r="347" spans="1:30" ht="12.75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</row>
    <row r="348" spans="1:30" ht="12.75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</row>
    <row r="349" spans="1:30" ht="12.75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</row>
    <row r="350" spans="1:30" ht="12.75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</row>
    <row r="351" spans="1:30" ht="12.75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</row>
    <row r="352" spans="1:30" ht="12.75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</row>
    <row r="353" spans="1:30" ht="12.75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</row>
    <row r="354" spans="1:30" ht="12.75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</row>
    <row r="355" spans="1:30" ht="12.75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</row>
    <row r="356" spans="1:30" ht="12.75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</row>
    <row r="357" spans="1:30" ht="12.75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</row>
    <row r="358" spans="1:30" ht="12.75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</row>
    <row r="359" spans="1:30" ht="12.75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</row>
    <row r="360" spans="1:30" ht="12.75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</row>
    <row r="361" spans="1:30" ht="12.75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</row>
    <row r="362" spans="1:30" ht="12.75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</row>
    <row r="363" spans="1:30" ht="12.75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</row>
    <row r="364" spans="1:30" ht="12.75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</row>
    <row r="365" spans="1:30" ht="12.75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</row>
    <row r="366" spans="1:30" ht="12.75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</row>
    <row r="367" spans="1:30" ht="12.75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</row>
    <row r="368" spans="1:30" ht="12.75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</row>
    <row r="369" spans="1:30" ht="12.75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</row>
    <row r="370" spans="1:30" ht="12.75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</row>
    <row r="371" spans="1:30" ht="12.75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</row>
    <row r="372" spans="1:30" ht="12.75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</row>
    <row r="373" spans="1:30" ht="12.75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</row>
    <row r="374" spans="1:30" ht="12.75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</row>
    <row r="375" spans="1:30" ht="12.75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</row>
    <row r="376" spans="1:30" ht="12.75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</row>
    <row r="377" spans="1:30" ht="12.75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</row>
    <row r="378" spans="1:30" ht="12.75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</row>
    <row r="379" spans="1:30" ht="12.75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</row>
    <row r="380" spans="1:30" ht="12.75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</row>
    <row r="381" spans="1:30" ht="12.75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</row>
    <row r="382" spans="1:30" ht="12.75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</row>
    <row r="383" spans="1:30" ht="12.75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</row>
    <row r="384" spans="1:30" ht="12.75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</row>
    <row r="385" spans="1:30" ht="12.75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</row>
    <row r="386" spans="1:30" ht="12.75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</row>
    <row r="387" spans="1:30" ht="12.75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</row>
    <row r="388" spans="1:30" ht="12.75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</row>
    <row r="389" spans="1:30" ht="12.75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</row>
    <row r="390" spans="1:30" ht="12.75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</row>
    <row r="391" spans="1:30" ht="12.75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</row>
    <row r="392" spans="1:30" ht="12.75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</row>
    <row r="393" spans="1:30" ht="12.75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</row>
    <row r="394" spans="1:30" ht="12.75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</row>
    <row r="395" spans="1:30" ht="12.75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</row>
    <row r="396" spans="1:30" ht="12.75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</row>
    <row r="397" spans="1:30" ht="12.75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</row>
    <row r="398" spans="1:30" ht="12.75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</row>
    <row r="399" spans="1:30" ht="12.75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</row>
    <row r="400" spans="1:30" ht="12.75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</row>
    <row r="401" spans="1:30" ht="12.75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</row>
    <row r="402" spans="1:30" ht="12.75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</row>
    <row r="403" spans="1:30" ht="12.75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</row>
    <row r="404" spans="1:30" ht="12.75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</row>
    <row r="405" spans="1:30" ht="12.75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</row>
    <row r="406" spans="1:30" ht="12.75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</row>
    <row r="407" spans="1:30" ht="12.75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</row>
    <row r="408" spans="1:30" ht="12.75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</row>
    <row r="409" spans="1:30" ht="12.75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</row>
    <row r="410" spans="1:30" ht="12.75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</row>
    <row r="411" spans="1:30" ht="12.75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</row>
    <row r="412" spans="1:30" ht="12.75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</row>
    <row r="413" spans="1:30" ht="12.75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</row>
    <row r="414" spans="1:30" ht="12.75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</row>
    <row r="415" spans="1:30" ht="12.75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</row>
    <row r="416" spans="1:30" ht="12.75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</row>
    <row r="417" spans="1:30" ht="12.75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</row>
    <row r="418" spans="1:30" ht="12.75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</row>
    <row r="419" spans="1:30" ht="12.75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</row>
    <row r="420" spans="1:30" ht="12.75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</row>
    <row r="421" spans="1:30" ht="12.75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</row>
    <row r="422" spans="1:30" ht="12.75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</row>
    <row r="423" spans="1:30" ht="12.75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</row>
    <row r="424" spans="1:30" ht="12.75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</row>
    <row r="425" spans="1:30" ht="12.75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</row>
    <row r="426" spans="1:30" ht="12.75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</row>
    <row r="427" spans="1:30" ht="12.75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</row>
    <row r="428" spans="1:30" ht="12.75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</row>
    <row r="429" spans="1:30" ht="12.75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</row>
    <row r="430" spans="1:30" ht="12.75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</row>
    <row r="431" spans="1:30" ht="12.75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</row>
    <row r="432" spans="1:30" ht="12.75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</row>
    <row r="433" spans="1:30" ht="12.75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</row>
    <row r="434" spans="1:30" ht="12.75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</row>
    <row r="435" spans="1:30" ht="12.75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</row>
    <row r="436" spans="1:30" ht="12.75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</row>
    <row r="437" spans="1:30" ht="12.75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</row>
    <row r="438" spans="1:30" ht="12.75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</row>
    <row r="439" spans="1:30" ht="12.75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</row>
    <row r="440" spans="1:30" ht="12.75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</row>
    <row r="441" spans="1:30" ht="12.75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</row>
    <row r="442" spans="1:30" ht="12.75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</row>
    <row r="443" spans="1:30" ht="12.75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</row>
    <row r="444" spans="1:30" ht="12.75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</row>
    <row r="445" spans="1:30" ht="12.75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</row>
    <row r="446" spans="1:30" ht="12.75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</row>
    <row r="447" spans="1:30" ht="12.75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</row>
    <row r="448" spans="1:30" ht="12.75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</row>
    <row r="449" spans="1:30" ht="12.75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</row>
    <row r="450" spans="1:30" ht="12.75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</row>
    <row r="451" spans="1:30" ht="12.75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</row>
    <row r="452" spans="1:30" ht="12.75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</row>
    <row r="453" spans="1:30" ht="12.75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</row>
    <row r="454" spans="1:30" ht="12.75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</row>
    <row r="455" spans="1:30" ht="12.75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</row>
    <row r="456" spans="1:30" ht="12.75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</row>
    <row r="457" spans="1:30" ht="12.75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</row>
    <row r="458" spans="1:30" ht="12.75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</row>
    <row r="459" spans="1:30" ht="12.75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</row>
    <row r="460" spans="1:30" ht="12.75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</row>
    <row r="461" spans="1:30" ht="12.75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</row>
    <row r="462" spans="1:30" ht="12.75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</row>
    <row r="463" spans="1:30" ht="12.75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</row>
    <row r="464" spans="1:30" ht="12.75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</row>
    <row r="465" spans="1:30" ht="12.75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</row>
    <row r="466" spans="1:30" ht="12.75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</row>
    <row r="467" spans="1:30" ht="12.75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</row>
    <row r="468" spans="1:30" ht="12.75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</row>
    <row r="469" spans="1:30" ht="12.75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</row>
    <row r="470" spans="1:30" ht="12.75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</row>
    <row r="471" spans="1:30" ht="12.75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</row>
    <row r="472" spans="1:30" ht="12.75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</row>
    <row r="473" spans="1:30" ht="12.75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</row>
    <row r="474" spans="1:30" ht="12.75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</row>
    <row r="475" spans="1:30" ht="12.75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</row>
    <row r="476" spans="1:30" ht="12.75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</row>
    <row r="477" spans="1:30" ht="12.75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</row>
    <row r="478" spans="1:30" ht="12.75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</row>
    <row r="479" spans="1:30" ht="12.75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</row>
    <row r="480" spans="1:30" ht="12.75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</row>
    <row r="481" spans="1:30" ht="12.75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</row>
    <row r="482" spans="1:30" ht="12.75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</row>
    <row r="483" spans="1:30" ht="12.75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</row>
    <row r="484" spans="1:30" ht="12.75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</row>
    <row r="485" spans="1:30" ht="12.75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</row>
    <row r="486" spans="1:30" ht="12.75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</row>
    <row r="487" spans="1:30" ht="12.75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</row>
    <row r="488" spans="1:30" ht="12.75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</row>
    <row r="489" spans="1:30" ht="12.75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</row>
    <row r="490" spans="1:30" ht="12.75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</row>
    <row r="491" spans="1:30" ht="12.75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</row>
    <row r="492" spans="1:30" ht="12.75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</row>
    <row r="493" spans="1:30" ht="12.75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</row>
    <row r="494" spans="1:30" ht="12.75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</row>
    <row r="495" spans="1:30" ht="12.75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</row>
    <row r="496" spans="1:30" ht="12.75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</row>
    <row r="497" spans="1:30" ht="12.75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</row>
    <row r="498" spans="1:30" ht="12.75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</row>
    <row r="499" spans="1:30" ht="12.75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</row>
    <row r="500" spans="1:30" ht="12.75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</row>
    <row r="501" spans="1:30" ht="12.75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</row>
    <row r="502" spans="1:30" ht="12.75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</row>
    <row r="503" spans="1:30" ht="12.75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</row>
    <row r="504" spans="1:30" ht="12.75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</row>
    <row r="505" spans="1:30" ht="12.75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</row>
    <row r="506" spans="1:30" ht="12.75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</row>
    <row r="507" spans="1:30" ht="12.75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</row>
    <row r="508" spans="1:30" ht="12.75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</row>
    <row r="509" spans="1:30" ht="12.75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</row>
    <row r="510" spans="1:30" ht="12.75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</row>
    <row r="511" spans="1:30" ht="12.75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</row>
    <row r="512" spans="1:30" ht="12.75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</row>
    <row r="513" spans="1:30" ht="12.75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</row>
    <row r="514" spans="1:30" ht="12.75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</row>
    <row r="515" spans="1:30" ht="12.75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</row>
    <row r="516" spans="1:30" ht="12.75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</row>
    <row r="517" spans="1:30" ht="12.75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</row>
    <row r="518" spans="1:30" ht="12.75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</row>
    <row r="519" spans="1:30" ht="12.75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</row>
    <row r="520" spans="1:30" ht="12.75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</row>
    <row r="521" spans="1:30" ht="12.75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</row>
    <row r="522" spans="1:30" ht="12.75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</row>
    <row r="523" spans="1:30" ht="12.75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</row>
    <row r="524" spans="1:30" ht="12.75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</row>
    <row r="525" spans="1:30" ht="12.75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</row>
    <row r="526" spans="1:30" ht="12.75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</row>
    <row r="527" spans="1:30" ht="12.75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</row>
    <row r="528" spans="1:30" ht="12.75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</row>
    <row r="529" spans="1:30" ht="12.75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</row>
    <row r="530" spans="1:30" ht="12.75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</row>
    <row r="531" spans="1:30" ht="12.75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</row>
    <row r="532" spans="1:30" ht="12.75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</row>
    <row r="533" spans="1:30" ht="12.75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</row>
    <row r="534" spans="1:30" ht="12.75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</row>
    <row r="535" spans="1:30" ht="12.75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</row>
    <row r="536" spans="1:30" ht="12.75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</row>
    <row r="537" spans="1:30" ht="12.75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</row>
    <row r="538" spans="1:30" ht="12.75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</row>
    <row r="539" spans="1:30" ht="12.75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</row>
    <row r="540" spans="1:30" ht="12.75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</row>
    <row r="541" spans="1:30" ht="12.75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</row>
    <row r="542" spans="1:30" ht="12.75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</row>
    <row r="543" spans="1:30" ht="12.75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</row>
    <row r="544" spans="1:30" ht="12.75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</row>
    <row r="545" spans="1:30" ht="12.75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</row>
    <row r="546" spans="1:30" ht="12.75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</row>
    <row r="547" spans="1:30" ht="12.75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</row>
    <row r="548" spans="1:30" ht="12.75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</row>
    <row r="549" spans="1:30" ht="12.75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</row>
    <row r="550" spans="1:30" ht="12.75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</row>
    <row r="551" spans="1:30" ht="12.75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</row>
    <row r="552" spans="1:30" ht="12.75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</row>
    <row r="553" spans="1:30" ht="12.75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</row>
    <row r="554" spans="1:30" ht="12.75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</row>
    <row r="555" spans="1:30" ht="12.75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</row>
    <row r="556" spans="1:30" ht="12.75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</row>
    <row r="557" spans="1:30" ht="12.75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</row>
    <row r="558" spans="1:30" ht="12.75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</row>
    <row r="559" spans="1:30" ht="12.75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</row>
    <row r="560" spans="1:30" ht="12.75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</row>
    <row r="561" spans="1:30" ht="12.75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</row>
    <row r="562" spans="1:30" ht="12.75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</row>
    <row r="563" spans="1:30" ht="12.75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</row>
    <row r="564" spans="1:30" ht="12.75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</row>
    <row r="565" spans="1:30" ht="12.75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</row>
    <row r="566" spans="1:30" ht="12.75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</row>
    <row r="567" spans="1:30" ht="12.75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</row>
    <row r="568" spans="1:30" ht="12.75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</row>
    <row r="569" spans="1:30" ht="12.75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</row>
    <row r="570" spans="1:30" ht="12.75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</row>
    <row r="571" spans="1:30" ht="12.75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</row>
    <row r="572" spans="1:30" ht="12.75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</row>
    <row r="573" spans="1:30" ht="12.75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</row>
    <row r="574" spans="1:30" ht="12.75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</row>
    <row r="575" spans="1:30" ht="12.75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</row>
    <row r="576" spans="1:30" ht="12.75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</row>
    <row r="577" spans="1:30" ht="12.75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</row>
    <row r="578" spans="1:30" ht="12.75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</row>
    <row r="579" spans="1:30" ht="12.75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</row>
    <row r="580" spans="1:30" ht="12.75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</row>
    <row r="581" spans="1:30" ht="12.75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</row>
    <row r="582" spans="1:30" ht="12.75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</row>
    <row r="583" spans="1:30" ht="12.75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</row>
    <row r="584" spans="1:30" ht="12.75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</row>
    <row r="585" spans="1:30" ht="12.75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</row>
    <row r="586" spans="1:30" ht="12.75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</row>
    <row r="587" spans="1:30" ht="12.75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</row>
    <row r="588" spans="1:30" ht="12.75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</row>
    <row r="589" spans="1:30" ht="12.75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</row>
    <row r="590" spans="1:30" ht="12.75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</row>
    <row r="591" spans="1:30" ht="12.75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</row>
    <row r="592" spans="1:30" ht="12.75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</row>
    <row r="593" spans="1:30" ht="12.75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</row>
    <row r="594" spans="1:30" ht="12.75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</row>
    <row r="595" spans="1:30" ht="12.75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</row>
    <row r="596" spans="1:30" ht="12.75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</row>
    <row r="597" spans="1:30" ht="12.75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</row>
    <row r="598" spans="1:30" ht="12.75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</row>
    <row r="599" spans="1:30" ht="12.75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</row>
    <row r="600" spans="1:30" ht="12.75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</row>
    <row r="601" spans="1:30" ht="12.75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</row>
    <row r="602" spans="1:30" ht="12.75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</row>
    <row r="603" spans="1:30" ht="12.75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</row>
    <row r="604" spans="1:30" ht="12.75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</row>
    <row r="605" spans="1:30" ht="12.75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</row>
    <row r="606" spans="1:30" ht="12.75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</row>
    <row r="607" spans="1:30" ht="12.75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</row>
    <row r="608" spans="1:30" ht="12.75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</row>
    <row r="609" spans="1:30" ht="12.75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</row>
    <row r="610" spans="1:30" ht="12.75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</row>
    <row r="611" spans="1:30" ht="12.75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</row>
    <row r="612" spans="1:30" ht="12.75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</row>
    <row r="613" spans="1:30" ht="12.75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</row>
    <row r="614" spans="1:30" ht="12.75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</row>
    <row r="615" spans="1:30" ht="12.75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</row>
    <row r="616" spans="1:30" ht="12.75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</row>
    <row r="617" spans="1:30" ht="12.75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</row>
    <row r="618" spans="1:30" ht="12.75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</row>
    <row r="619" spans="1:30" ht="12.75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</row>
    <row r="620" spans="1:30" ht="12.75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</row>
    <row r="621" spans="1:30" ht="12.75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</row>
    <row r="622" spans="1:30" ht="12.75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</row>
    <row r="623" spans="1:30" ht="12.75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</row>
    <row r="624" spans="1:30" ht="12.75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</row>
    <row r="625" spans="1:30" ht="12.75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</row>
    <row r="626" spans="1:30" ht="12.75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</row>
    <row r="627" spans="1:30" ht="12.75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</row>
    <row r="628" spans="1:30" ht="12.75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</row>
    <row r="629" spans="1:30" ht="12.75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</row>
    <row r="630" spans="1:30" ht="12.75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</row>
    <row r="631" spans="1:30" ht="12.75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</row>
    <row r="632" spans="1:30" ht="12.75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</row>
    <row r="633" spans="1:30" ht="12.75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</row>
    <row r="634" spans="1:30" ht="12.75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</row>
    <row r="635" spans="1:30" ht="12.75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</row>
    <row r="636" spans="1:30" ht="12.75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</row>
    <row r="637" spans="1:30" ht="12.75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</row>
    <row r="638" spans="1:30" ht="12.75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</row>
    <row r="639" spans="1:30" ht="12.75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</row>
    <row r="640" spans="1:30" ht="12.75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</row>
    <row r="641" spans="1:30" ht="12.75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</row>
    <row r="642" spans="1:30" ht="12.75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</row>
    <row r="643" spans="1:30" ht="12.75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</row>
    <row r="644" spans="1:30" ht="12.75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</row>
    <row r="645" spans="1:30" ht="12.75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</row>
    <row r="646" spans="1:30" ht="12.75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</row>
    <row r="647" spans="1:30" ht="12.75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</row>
    <row r="648" spans="1:30" ht="12.75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</row>
    <row r="649" spans="1:30" ht="12.75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</row>
    <row r="650" spans="1:30" ht="12.75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</row>
    <row r="651" spans="1:30" ht="12.75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</row>
    <row r="652" spans="1:30" ht="12.75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</row>
    <row r="653" spans="1:30" ht="12.75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</row>
    <row r="654" spans="1:30" ht="12.75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</row>
    <row r="655" spans="1:30" ht="12.75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</row>
    <row r="656" spans="1:30" ht="12.75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</row>
    <row r="657" spans="1:30" ht="12.75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</row>
    <row r="658" spans="1:30" ht="12.75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</row>
    <row r="659" spans="1:30" ht="12.75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</row>
    <row r="660" spans="1:30" ht="12.75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</row>
    <row r="661" spans="1:30" ht="12.75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</row>
    <row r="662" spans="1:30" ht="12.75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</row>
    <row r="663" spans="1:30" ht="12.75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</row>
    <row r="664" spans="1:30" ht="12.75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</row>
    <row r="665" spans="1:30" ht="12.75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</row>
    <row r="666" spans="1:30" ht="12.75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</row>
    <row r="667" spans="1:30" ht="12.75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</row>
    <row r="668" spans="1:30" ht="12.75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</row>
    <row r="669" spans="1:30" ht="12.75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</row>
    <row r="670" spans="1:30" ht="12.75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</row>
    <row r="671" spans="1:30" ht="12.75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</row>
    <row r="672" spans="1:30" ht="12.75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</row>
    <row r="673" spans="1:30" ht="12.75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</row>
    <row r="674" spans="1:30" ht="12.75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</row>
    <row r="675" spans="1:30" ht="12.75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</row>
    <row r="676" spans="1:30" ht="12.75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</row>
    <row r="677" spans="1:30" ht="12.75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</row>
    <row r="678" spans="1:30" ht="12.75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</row>
    <row r="679" spans="1:30" ht="12.75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</row>
    <row r="680" spans="1:30" ht="12.75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</row>
    <row r="681" spans="1:30" ht="12.75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</row>
    <row r="682" spans="1:30" ht="12.75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</row>
    <row r="683" spans="1:30" ht="12.75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</row>
    <row r="684" spans="1:30" ht="12.75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</row>
    <row r="685" spans="1:30" ht="12.75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</row>
    <row r="686" spans="1:30" ht="12.75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</row>
    <row r="687" spans="1:30" ht="12.75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</row>
    <row r="688" spans="1:30" ht="12.75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</row>
    <row r="689" spans="1:30" ht="12.75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</row>
    <row r="690" spans="1:30" ht="12.75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</row>
    <row r="691" spans="1:30" ht="12.75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</row>
    <row r="692" spans="1:30" ht="12.75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</row>
    <row r="693" spans="1:30" ht="12.75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</row>
    <row r="694" spans="1:30" ht="12.75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</row>
    <row r="695" spans="1:30" ht="12.75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</row>
    <row r="696" spans="1:30" ht="12.75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</row>
    <row r="697" spans="1:30" ht="12.75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</row>
    <row r="698" spans="1:30" ht="12.75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</row>
    <row r="699" spans="1:30" ht="12.75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</row>
    <row r="700" spans="1:30" ht="12.75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</row>
    <row r="701" spans="1:30" ht="12.75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</row>
    <row r="702" spans="1:30" ht="12.75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</row>
    <row r="703" spans="1:30" ht="12.75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</row>
    <row r="704" spans="1:30" ht="12.75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</row>
    <row r="705" spans="1:30" ht="12.75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</row>
    <row r="706" spans="1:30" ht="12.75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</row>
    <row r="707" spans="1:30" ht="12.75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</row>
    <row r="708" spans="1:30" ht="12.75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</row>
    <row r="709" spans="1:30" ht="12.75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</row>
    <row r="710" spans="1:30" ht="12.75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</row>
    <row r="711" spans="1:30" ht="12.75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</row>
    <row r="712" spans="1:30" ht="12.75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</row>
    <row r="713" spans="1:30" ht="12.75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</row>
    <row r="714" spans="1:30" ht="12.75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</row>
    <row r="715" spans="1:30" ht="12.75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</row>
    <row r="716" spans="1:30" ht="12.75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</row>
    <row r="717" spans="1:30" ht="12.75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</row>
    <row r="718" spans="1:30" ht="12.75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</row>
    <row r="719" spans="1:30" ht="12.75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</row>
    <row r="720" spans="1:30" ht="12.75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</row>
    <row r="721" spans="1:30" ht="12.75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</row>
    <row r="722" spans="1:30" ht="12.75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</row>
    <row r="723" spans="1:30" ht="12.75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</row>
    <row r="724" spans="1:30" ht="12.75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</row>
    <row r="725" spans="1:30" ht="12.75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</row>
    <row r="726" spans="1:30" ht="12.75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</row>
    <row r="727" spans="1:30" ht="12.75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</row>
    <row r="728" spans="1:30" ht="12.75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</row>
    <row r="729" spans="1:30" ht="12.75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</row>
    <row r="730" spans="1:30" ht="12.75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</row>
    <row r="731" spans="1:30" ht="12.75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</row>
    <row r="732" spans="1:30" ht="12.75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</row>
    <row r="733" spans="1:30" ht="12.75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</row>
    <row r="734" spans="1:30" ht="12.75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</row>
    <row r="735" spans="1:30" ht="12.75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</row>
    <row r="736" spans="1:30" ht="12.75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</row>
    <row r="737" spans="1:30" ht="12.75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</row>
    <row r="738" spans="1:30" ht="12.75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</row>
    <row r="739" spans="1:30" ht="12.75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</row>
    <row r="740" spans="1:30" ht="12.75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</row>
    <row r="741" spans="1:30" ht="12.75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</row>
    <row r="742" spans="1:30" ht="12.75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</row>
    <row r="743" spans="1:30" ht="12.75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</row>
    <row r="744" spans="1:30" ht="12.75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</row>
    <row r="745" spans="1:30" ht="12.75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</row>
    <row r="746" spans="1:30" ht="12.75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</row>
    <row r="747" spans="1:30" ht="12.75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</row>
    <row r="748" spans="1:30" ht="12.75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</row>
    <row r="749" spans="1:30" ht="12.75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</row>
    <row r="750" spans="1:30" ht="12.75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</row>
    <row r="751" spans="1:30" ht="12.75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</row>
    <row r="752" spans="1:30" ht="12.75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</row>
    <row r="753" spans="1:30" ht="12.75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</row>
    <row r="754" spans="1:30" ht="12.75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</row>
    <row r="755" spans="1:30" ht="12.75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</row>
    <row r="756" spans="1:30" ht="12.75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</row>
    <row r="757" spans="1:30" ht="12.75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</row>
    <row r="758" spans="1:30" ht="12.75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</row>
    <row r="759" spans="1:30" ht="12.75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</row>
    <row r="760" spans="1:30" ht="12.75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</row>
    <row r="761" spans="1:30" ht="12.75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</row>
    <row r="762" spans="1:30" ht="12.75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</row>
    <row r="763" spans="1:30" ht="12.75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</row>
    <row r="764" spans="1:30" ht="12.75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</row>
    <row r="765" spans="1:30" ht="12.75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</row>
    <row r="766" spans="1:30" ht="12.75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</row>
    <row r="767" spans="1:30" ht="12.75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</row>
    <row r="768" spans="1:30" ht="12.75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</row>
    <row r="769" spans="1:30" ht="12.75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</row>
    <row r="770" spans="1:30" ht="12.75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</row>
    <row r="771" spans="1:30" ht="12.75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</row>
    <row r="772" spans="1:30" ht="12.75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</row>
    <row r="773" spans="1:30" ht="12.75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</row>
    <row r="774" spans="1:30" ht="12.75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</row>
    <row r="775" spans="1:30" ht="12.75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</row>
    <row r="776" spans="1:30" ht="12.75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</row>
    <row r="777" spans="1:30" ht="12.75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</row>
    <row r="778" spans="1:30" ht="12.75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</row>
    <row r="779" spans="1:30" ht="12.75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</row>
    <row r="780" spans="1:30" ht="12.75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</row>
    <row r="781" spans="1:30" ht="12.75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</row>
    <row r="782" spans="1:30" ht="12.75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</row>
    <row r="783" spans="1:30" ht="12.75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</row>
    <row r="784" spans="1:30" ht="12.75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</row>
    <row r="785" spans="1:30" ht="12.75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</row>
    <row r="786" spans="1:30" ht="12.75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</row>
    <row r="787" spans="1:30" ht="12.75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</row>
    <row r="788" spans="1:30" ht="12.75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</row>
    <row r="789" spans="1:30" ht="12.75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</row>
    <row r="790" spans="1:30" ht="12.75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</row>
    <row r="791" spans="1:30" ht="12.75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</row>
    <row r="792" spans="1:30" ht="12.75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</row>
    <row r="793" spans="1:30" ht="12.75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</row>
    <row r="794" spans="1:30" ht="12.75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</row>
    <row r="795" spans="1:30" ht="12.75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</row>
    <row r="796" spans="1:30" ht="12.75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</row>
    <row r="797" spans="1:30" ht="12.75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</row>
    <row r="798" spans="1:30" ht="12.75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</row>
    <row r="799" spans="1:30" ht="12.75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</row>
    <row r="800" spans="1:30" ht="12.75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</row>
    <row r="801" spans="1:30" ht="12.75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</row>
    <row r="802" spans="1:30" ht="12.75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</row>
    <row r="803" spans="1:30" ht="12.75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</row>
    <row r="804" spans="1:30" ht="12.75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</row>
    <row r="805" spans="1:30" ht="12.75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</row>
    <row r="806" spans="1:30" ht="12.75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</row>
    <row r="807" spans="1:30" ht="12.75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</row>
    <row r="808" spans="1:30" ht="12.75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</row>
    <row r="809" spans="1:30" ht="12.75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</row>
    <row r="810" spans="1:30" ht="12.75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</row>
    <row r="811" spans="1:30" ht="12.75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</row>
    <row r="812" spans="1:30" ht="12.75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</row>
    <row r="813" spans="1:30" ht="12.75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</row>
    <row r="814" spans="1:30" ht="12.75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</row>
    <row r="815" spans="1:30" ht="12.75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</row>
    <row r="816" spans="1:30" ht="12.75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</row>
    <row r="817" spans="1:30" ht="12.75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</row>
    <row r="818" spans="1:30" ht="12.75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</row>
    <row r="819" spans="1:30" ht="12.75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</row>
    <row r="820" spans="1:30" ht="12.75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</row>
    <row r="821" spans="1:30" ht="12.75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</row>
    <row r="822" spans="1:30" ht="12.75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</row>
    <row r="823" spans="1:30" ht="12.75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</row>
    <row r="824" spans="1:30" ht="12.75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</row>
    <row r="825" spans="1:30" ht="12.75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</row>
    <row r="826" spans="1:30" ht="12.75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</row>
    <row r="827" spans="1:30" ht="12.75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</row>
    <row r="828" spans="1:30" ht="12.75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</row>
    <row r="829" spans="1:30" ht="12.75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</row>
    <row r="830" spans="1:30" ht="12.75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</row>
    <row r="831" spans="1:30" ht="12.75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</row>
    <row r="832" spans="1:30" ht="12.75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</row>
    <row r="833" spans="1:30" ht="12.75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</row>
    <row r="834" spans="1:30" ht="12.75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</row>
    <row r="835" spans="1:30" ht="12.75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</row>
    <row r="836" spans="1:30" ht="12.75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</row>
    <row r="837" spans="1:30" ht="12.75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</row>
    <row r="838" spans="1:30" ht="12.75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</row>
    <row r="839" spans="1:30" ht="12.75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</row>
    <row r="840" spans="1:30" ht="12.75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</row>
    <row r="841" spans="1:30" ht="12.75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</row>
    <row r="842" spans="1:30" ht="12.75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</row>
    <row r="843" spans="1:30" ht="12.75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</row>
    <row r="844" spans="1:30" ht="12.75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</row>
    <row r="845" spans="1:30" ht="12.75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</row>
    <row r="846" spans="1:30" ht="12.75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</row>
    <row r="847" spans="1:30" ht="12.75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</row>
    <row r="848" spans="1:30" ht="12.75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</row>
    <row r="849" spans="1:30" ht="12.75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</row>
    <row r="850" spans="1:30" ht="12.75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</row>
    <row r="851" spans="1:30" ht="12.75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</row>
    <row r="852" spans="1:30" ht="12.75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</row>
    <row r="853" spans="1:30" ht="12.75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</row>
    <row r="854" spans="1:30" ht="12.75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</row>
    <row r="855" spans="1:30" ht="12.75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</row>
    <row r="856" spans="1:30" ht="12.75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</row>
    <row r="857" spans="1:30" ht="12.75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</row>
    <row r="858" spans="1:30" ht="12.75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</row>
    <row r="859" spans="1:30" ht="12.75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</row>
    <row r="860" spans="1:30" ht="12.75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</row>
    <row r="861" spans="1:30" ht="12.75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</row>
    <row r="862" spans="1:30" ht="12.75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</row>
    <row r="863" spans="1:30" ht="12.75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</row>
    <row r="864" spans="1:30" ht="12.75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</row>
    <row r="865" spans="1:30" ht="12.75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</row>
    <row r="866" spans="1:30" ht="12.75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</row>
    <row r="867" spans="1:30" ht="12.75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</row>
    <row r="868" spans="1:30" ht="12.75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</row>
    <row r="869" spans="1:30" ht="12.75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</row>
    <row r="870" spans="1:30" ht="12.75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</row>
    <row r="871" spans="1:30" ht="12.75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</row>
    <row r="872" spans="1:30" ht="12.75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</row>
    <row r="873" spans="1:30" ht="12.75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</row>
    <row r="874" spans="1:30" ht="12.75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</row>
    <row r="875" spans="1:30" ht="12.75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</row>
    <row r="876" spans="1:30" ht="12.75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</row>
    <row r="877" spans="1:30" ht="12.75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</row>
    <row r="878" spans="1:30" ht="12.75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</row>
    <row r="879" spans="1:30" ht="12.75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</row>
    <row r="880" spans="1:30" ht="12.75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</row>
    <row r="881" spans="1:30" ht="12.75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</row>
    <row r="882" spans="1:30" ht="12.75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</row>
    <row r="883" spans="1:30" ht="12.75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</row>
    <row r="884" spans="1:30" ht="12.75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</row>
    <row r="885" spans="1:30" ht="12.75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</row>
    <row r="886" spans="1:30" ht="12.75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</row>
    <row r="887" spans="1:30" ht="12.75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</row>
    <row r="888" spans="1:30" ht="12.75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</row>
    <row r="889" spans="1:30" ht="12.75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</row>
    <row r="890" spans="1:30" ht="12.75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</row>
    <row r="891" spans="1:30" ht="12.75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</row>
    <row r="892" spans="1:30" ht="12.75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</row>
    <row r="893" spans="1:30" ht="12.75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</row>
    <row r="894" spans="1:30" ht="12.75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</row>
    <row r="895" spans="1:30" ht="12.75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</row>
    <row r="896" spans="1:30" ht="12.75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</row>
    <row r="897" spans="1:30" ht="12.75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</row>
    <row r="898" spans="1:30" ht="12.75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</row>
    <row r="899" spans="1:30" ht="12.75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</row>
    <row r="900" spans="1:30" ht="12.75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</row>
    <row r="901" spans="1:30" ht="12.75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</row>
    <row r="902" spans="1:30" ht="12.75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</row>
    <row r="903" spans="1:30" ht="12.75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</row>
    <row r="904" spans="1:30" ht="12.75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</row>
    <row r="905" spans="1:30" ht="12.75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</row>
    <row r="906" spans="1:30" ht="12.75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</row>
    <row r="907" spans="1:30" ht="12.75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</row>
    <row r="908" spans="1:30" ht="12.75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</row>
    <row r="909" spans="1:30" ht="12.75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</row>
    <row r="910" spans="1:30" ht="12.75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</row>
    <row r="911" spans="1:30" ht="12.75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</row>
    <row r="912" spans="1:30" ht="12.75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</row>
    <row r="913" spans="1:30" ht="12.75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</row>
    <row r="914" spans="1:30" ht="12.75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</row>
    <row r="915" spans="1:30" ht="12.75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</row>
    <row r="916" spans="1:30" ht="12.75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</row>
    <row r="917" spans="1:30" ht="12.75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</row>
    <row r="918" spans="1:30" ht="12.75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</row>
    <row r="919" spans="1:30" ht="12.75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</row>
    <row r="920" spans="1:30" ht="12.75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</row>
    <row r="921" spans="1:30" ht="12.75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</row>
    <row r="922" spans="1:30" ht="12.75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</row>
    <row r="923" spans="1:30" ht="12.75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</row>
    <row r="924" spans="1:30" ht="12.75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</row>
    <row r="925" spans="1:30" ht="12.75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</row>
    <row r="926" spans="1:30" ht="12.75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</row>
    <row r="927" spans="1:30" ht="12.75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</row>
    <row r="928" spans="1:30" ht="12.75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</row>
    <row r="929" spans="1:30" ht="12.75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</row>
    <row r="930" spans="1:30" ht="12.75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</row>
    <row r="931" spans="1:30" ht="12.75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</row>
    <row r="932" spans="1:30" ht="12.75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</row>
    <row r="933" spans="1:30" ht="12.75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</row>
    <row r="934" spans="1:30" ht="12.75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</row>
    <row r="935" spans="1:30" ht="12.75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</row>
    <row r="936" spans="1:30" ht="12.75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</row>
    <row r="937" spans="1:30" ht="12.75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</row>
    <row r="938" spans="1:30" ht="12.75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</row>
    <row r="939" spans="1:30" ht="12.75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</row>
    <row r="940" spans="1:30" ht="12.75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</row>
    <row r="941" spans="1:30" ht="12.75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</row>
    <row r="942" spans="1:30" ht="12.75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</row>
    <row r="943" spans="1:30" ht="12.75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</row>
    <row r="944" spans="1:30" ht="12.75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</row>
    <row r="945" spans="1:30" ht="12.75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</row>
    <row r="946" spans="1:30" ht="12.75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</row>
    <row r="947" spans="1:30" ht="12.75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</row>
    <row r="948" spans="1:30" ht="12.75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</row>
    <row r="949" spans="1:30" ht="12.75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</row>
    <row r="950" spans="1:30" ht="12.75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</row>
    <row r="951" spans="1:30" ht="12.75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</row>
    <row r="952" spans="1:30" ht="12.75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</row>
    <row r="953" spans="1:30" ht="12.75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</row>
    <row r="954" spans="1:30" ht="12.75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</row>
    <row r="955" spans="1:30" ht="12.75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</row>
    <row r="956" spans="1:30" ht="12.75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</row>
    <row r="957" spans="1:30" ht="12.75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</row>
    <row r="958" spans="1:30" ht="12.75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</row>
    <row r="959" spans="1:30" ht="12.75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</row>
    <row r="960" spans="1:30" ht="12.75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</row>
    <row r="961" spans="1:30" ht="12.75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</row>
    <row r="962" spans="1:30" ht="12.75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</row>
    <row r="963" spans="1:30" ht="12.75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</row>
    <row r="964" spans="1:30" ht="12.75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</row>
    <row r="965" spans="1:30" ht="12.75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</row>
    <row r="966" spans="1:30" ht="12.75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</row>
    <row r="967" spans="1:30" ht="12.75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</row>
    <row r="968" spans="1:30" ht="12.75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</row>
    <row r="969" spans="1:30" ht="12.75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</row>
    <row r="970" spans="1:30" ht="12.75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</row>
    <row r="971" spans="1:30" ht="12.75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</row>
    <row r="972" spans="1:30" ht="12.75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</row>
    <row r="973" spans="1:30" ht="12.75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</row>
    <row r="974" spans="1:30" ht="12.75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</row>
    <row r="975" spans="1:30" ht="12.75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</row>
    <row r="976" spans="1:30" ht="12.75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</row>
    <row r="977" spans="1:30" ht="12.75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</row>
    <row r="978" spans="1:30" ht="12.75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</row>
    <row r="979" spans="1:30" ht="12.75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</row>
    <row r="980" spans="1:30" ht="12.75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</row>
    <row r="981" spans="1:30" ht="12.75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</row>
    <row r="982" spans="1:30" ht="12.75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</row>
    <row r="983" spans="1:30" ht="12.75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</row>
    <row r="984" spans="1:30" ht="12.75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</row>
    <row r="985" spans="1:30" ht="12.75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</row>
    <row r="986" spans="1:30" ht="12.75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</row>
    <row r="987" spans="1:30" ht="12.75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</row>
    <row r="988" spans="1:30" ht="12.75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</row>
    <row r="989" spans="1:30" ht="12.75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</row>
    <row r="990" spans="1:30" ht="12.75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</row>
    <row r="991" spans="1:30" ht="12.75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</row>
    <row r="992" spans="1:30" ht="12.75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</row>
    <row r="993" spans="1:30" ht="12.75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</row>
    <row r="994" spans="1:30" ht="12.75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</row>
    <row r="995" spans="1:30" ht="12.75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</row>
    <row r="996" spans="1:30" ht="12.75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</row>
    <row r="997" spans="1:30" ht="12.75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</row>
    <row r="998" spans="1:30" ht="12.75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</row>
    <row r="999" spans="1:30" ht="12.75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</row>
    <row r="1000" spans="1:30" ht="12.75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</row>
  </sheetData>
  <mergeCells count="22">
    <mergeCell ref="E3:M3"/>
    <mergeCell ref="N3:R3"/>
    <mergeCell ref="S3:Y3"/>
    <mergeCell ref="F4:G4"/>
    <mergeCell ref="H4:I4"/>
    <mergeCell ref="J4:K4"/>
    <mergeCell ref="L4:M4"/>
    <mergeCell ref="O4:P4"/>
    <mergeCell ref="Q4:R4"/>
    <mergeCell ref="T4:U4"/>
    <mergeCell ref="V4:W4"/>
    <mergeCell ref="X4:Y4"/>
    <mergeCell ref="A67:B67"/>
    <mergeCell ref="A69:B69"/>
    <mergeCell ref="A3:A4"/>
    <mergeCell ref="B3:B4"/>
    <mergeCell ref="D3:D4"/>
    <mergeCell ref="C3:C4"/>
    <mergeCell ref="A6:C6"/>
    <mergeCell ref="A26:B26"/>
    <mergeCell ref="A45:B45"/>
    <mergeCell ref="A60:B60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E1000"/>
  <sheetViews>
    <sheetView zoomScale="85" zoomScaleNormal="85" workbookViewId="0">
      <selection activeCell="B21" sqref="B21"/>
    </sheetView>
  </sheetViews>
  <sheetFormatPr defaultColWidth="12.5703125" defaultRowHeight="15.75" customHeight="1" x14ac:dyDescent="0.2"/>
  <cols>
    <col min="1" max="1" width="9.5703125" style="3" customWidth="1"/>
    <col min="2" max="2" width="39.140625" style="3" customWidth="1"/>
    <col min="3" max="4" width="12.5703125" style="3"/>
    <col min="5" max="5" width="10.42578125" style="3" customWidth="1"/>
    <col min="6" max="13" width="8.85546875" style="3" customWidth="1"/>
    <col min="14" max="14" width="10.42578125" style="3" customWidth="1"/>
    <col min="15" max="18" width="8.85546875" style="3" customWidth="1"/>
    <col min="19" max="19" width="10.42578125" style="3" customWidth="1"/>
    <col min="20" max="25" width="8.85546875" style="3" customWidth="1"/>
    <col min="26" max="16384" width="12.5703125" style="3"/>
  </cols>
  <sheetData>
    <row r="1" spans="1:31" ht="26.25" customHeight="1" x14ac:dyDescent="0.2">
      <c r="A1" s="49" t="s">
        <v>19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ht="35.25" customHeight="1" x14ac:dyDescent="0.2">
      <c r="A2" s="4" t="s">
        <v>26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</row>
    <row r="3" spans="1:31" ht="30.75" customHeight="1" x14ac:dyDescent="0.2">
      <c r="A3" s="89" t="str">
        <f ca="1">IFERROR(__xludf.DUMMYFUNCTION("IMPORTRANGE(""https://docs.google.com/spreadsheets/d/1giFCfPZvq6d2WPbrXwJ7ksTcnSjmuNbU5G4IRrh5hOk/edit#gid=0"",""HM!A14:T500"")"),"STT")</f>
        <v>STT</v>
      </c>
      <c r="B3" s="89" t="str">
        <f ca="1">IFERROR(__xludf.DUMMYFUNCTION("""COMPUTED_VALUE"""),"TRƯỜNG")</f>
        <v>TRƯỜNG</v>
      </c>
      <c r="C3" s="89" t="str">
        <f ca="1">IFERROR(__xludf.DUMMYFUNCTION("""COMPUTED_VALUE"""),"BẬC HỌC (MN, TH, THCS, THPT, CB, GDTX)")</f>
        <v>BẬC HỌC (MN, TH, THCS, THPT, CB, GDTX)</v>
      </c>
      <c r="D3" s="89" t="str">
        <f ca="1">IFERROR(__xludf.DUMMYFUNCTION("""COMPUTED_VALUE"""),"THÀNH PHỐ, QUẬN, HUYỆN")</f>
        <v>THÀNH PHỐ, QUẬN, HUYỆN</v>
      </c>
      <c r="E3" s="91" t="str">
        <f ca="1">IFERROR(__xludf.DUMMYFUNCTION("""COMPUTED_VALUE"""),"Cán bộ - Giáo viên - Nhân viên")</f>
        <v>Cán bộ - Giáo viên - Nhân viên</v>
      </c>
      <c r="F3" s="92"/>
      <c r="G3" s="92"/>
      <c r="H3" s="92"/>
      <c r="I3" s="92"/>
      <c r="J3" s="92"/>
      <c r="K3" s="92"/>
      <c r="L3" s="92"/>
      <c r="M3" s="92"/>
      <c r="N3" s="93" t="str">
        <f ca="1">IFERROR(__xludf.DUMMYFUNCTION("""COMPUTED_VALUE"""),"Học sinh từ 5 đến dưới 12 tuổi")</f>
        <v>Học sinh từ 5 đến dưới 12 tuổi</v>
      </c>
      <c r="O3" s="92"/>
      <c r="P3" s="92"/>
      <c r="Q3" s="92"/>
      <c r="R3" s="92"/>
      <c r="S3" s="94" t="str">
        <f ca="1">IFERROR(__xludf.DUMMYFUNCTION("""COMPUTED_VALUE"""),"Học sinh từ 12 đến dưới 18 tuổi")</f>
        <v>Học sinh từ 12 đến dưới 18 tuổi</v>
      </c>
      <c r="T3" s="95"/>
      <c r="U3" s="95"/>
      <c r="V3" s="95"/>
      <c r="W3" s="95"/>
      <c r="X3" s="95"/>
      <c r="Y3" s="95"/>
      <c r="Z3" s="2"/>
      <c r="AA3" s="2"/>
      <c r="AB3" s="2"/>
      <c r="AC3" s="2"/>
      <c r="AD3" s="2"/>
      <c r="AE3" s="2"/>
    </row>
    <row r="4" spans="1:31" ht="27" customHeight="1" x14ac:dyDescent="0.2">
      <c r="A4" s="90"/>
      <c r="B4" s="90"/>
      <c r="C4" s="90"/>
      <c r="D4" s="90"/>
      <c r="E4" s="7" t="str">
        <f ca="1">IFERROR(__xludf.DUMMYFUNCTION("""COMPUTED_VALUE"""),"Tổng CB-GV-NV")</f>
        <v>Tổng CB-GV-NV</v>
      </c>
      <c r="F4" s="96" t="s">
        <v>22</v>
      </c>
      <c r="G4" s="97"/>
      <c r="H4" s="96" t="s">
        <v>23</v>
      </c>
      <c r="I4" s="97"/>
      <c r="J4" s="96" t="s">
        <v>24</v>
      </c>
      <c r="K4" s="97"/>
      <c r="L4" s="96" t="s">
        <v>25</v>
      </c>
      <c r="M4" s="97"/>
      <c r="N4" s="7" t="str">
        <f ca="1">IFERROR(__xludf.DUMMYFUNCTION("""COMPUTED_VALUE"""),"Tổng học sinh")</f>
        <v>Tổng học sinh</v>
      </c>
      <c r="O4" s="96" t="s">
        <v>22</v>
      </c>
      <c r="P4" s="97"/>
      <c r="Q4" s="96" t="s">
        <v>23</v>
      </c>
      <c r="R4" s="97"/>
      <c r="S4" s="8" t="str">
        <f ca="1">IFERROR(__xludf.DUMMYFUNCTION("""COMPUTED_VALUE"""),"Tổng học sinh")</f>
        <v>Tổng học sinh</v>
      </c>
      <c r="T4" s="98" t="s">
        <v>22</v>
      </c>
      <c r="U4" s="99"/>
      <c r="V4" s="98" t="s">
        <v>23</v>
      </c>
      <c r="W4" s="99"/>
      <c r="X4" s="98" t="s">
        <v>24</v>
      </c>
      <c r="Y4" s="99"/>
      <c r="Z4" s="2"/>
      <c r="AA4" s="2"/>
      <c r="AB4" s="2"/>
      <c r="AC4" s="2"/>
      <c r="AD4" s="2"/>
      <c r="AE4" s="2"/>
    </row>
    <row r="5" spans="1:31" ht="12.75" x14ac:dyDescent="0.2">
      <c r="A5" s="50" t="str">
        <f ca="1">IFERROR(__xludf.DUMMYFUNCTION("""COMPUTED_VALUE"""),"TỔNG TOÀN QUẬN/HUYỆN/TP")</f>
        <v>TỔNG TOÀN QUẬN/HUYỆN/TP</v>
      </c>
      <c r="B5" s="20"/>
      <c r="C5" s="17">
        <f ca="1">IFERROR(__xludf.DUMMYFUNCTION("""COMPUTED_VALUE"""),0)</f>
        <v>0</v>
      </c>
      <c r="D5" s="17">
        <f ca="1">IFERROR(__xludf.DUMMYFUNCTION("""COMPUTED_VALUE"""),0)</f>
        <v>0</v>
      </c>
      <c r="E5" s="15">
        <f ca="1">IFERROR(__xludf.DUMMYFUNCTION("""COMPUTED_VALUE"""),5286)</f>
        <v>5286</v>
      </c>
      <c r="F5" s="15">
        <f ca="1">IFERROR(__xludf.DUMMYFUNCTION("""COMPUTED_VALUE"""),5280)</f>
        <v>5280</v>
      </c>
      <c r="G5" s="51">
        <f ca="1">IFERROR(F5/E5,"")</f>
        <v>0.99886492622020429</v>
      </c>
      <c r="H5" s="15">
        <f ca="1">IFERROR(__xludf.DUMMYFUNCTION("""COMPUTED_VALUE"""),5279)</f>
        <v>5279</v>
      </c>
      <c r="I5" s="51">
        <f ca="1">IFERROR(H5/E5,"")</f>
        <v>0.998675747256905</v>
      </c>
      <c r="J5" s="15">
        <f ca="1">IFERROR(__xludf.DUMMYFUNCTION("""COMPUTED_VALUE"""),5112)</f>
        <v>5112</v>
      </c>
      <c r="K5" s="51">
        <f ca="1">IFERROR(J5/E5,"")</f>
        <v>0.96708286038592506</v>
      </c>
      <c r="L5" s="15">
        <f ca="1">IFERROR(__xludf.DUMMYFUNCTION("""COMPUTED_VALUE"""),3623)</f>
        <v>3623</v>
      </c>
      <c r="M5" s="51">
        <f ca="1">IFERROR(L5/E5,"")</f>
        <v>0.68539538403329547</v>
      </c>
      <c r="N5" s="15">
        <f ca="1">IFERROR(__xludf.DUMMYFUNCTION("""COMPUTED_VALUE"""),60764)</f>
        <v>60764</v>
      </c>
      <c r="O5" s="15">
        <f ca="1">IFERROR(__xludf.DUMMYFUNCTION("""COMPUTED_VALUE"""),37907)</f>
        <v>37907</v>
      </c>
      <c r="P5" s="51">
        <f ca="1">IFERROR(O5/N5,"")</f>
        <v>0.62383977355012832</v>
      </c>
      <c r="Q5" s="15">
        <f ca="1">IFERROR(__xludf.DUMMYFUNCTION("""COMPUTED_VALUE"""),18526)</f>
        <v>18526</v>
      </c>
      <c r="R5" s="51">
        <f ca="1">IFERROR(Q5/N5,"")</f>
        <v>0.30488447106839578</v>
      </c>
      <c r="S5" s="15">
        <f ca="1">IFERROR(__xludf.DUMMYFUNCTION("""COMPUTED_VALUE"""),37919)</f>
        <v>37919</v>
      </c>
      <c r="T5" s="15">
        <f ca="1">IFERROR(__xludf.DUMMYFUNCTION("""COMPUTED_VALUE"""),36482)</f>
        <v>36482</v>
      </c>
      <c r="U5" s="51">
        <f ca="1">IFERROR(T5/S5,"")</f>
        <v>0.96210343099765294</v>
      </c>
      <c r="V5" s="15">
        <f ca="1">IFERROR(__xludf.DUMMYFUNCTION("""COMPUTED_VALUE"""),33603)</f>
        <v>33603</v>
      </c>
      <c r="W5" s="51">
        <f ca="1">IFERROR(V5/S5,"")</f>
        <v>0.8861784329755531</v>
      </c>
      <c r="X5" s="15">
        <f ca="1">IFERROR(__xludf.DUMMYFUNCTION("""COMPUTED_VALUE"""),14120)</f>
        <v>14120</v>
      </c>
      <c r="Y5" s="51">
        <f ca="1">IFERROR(X5/S5,"")</f>
        <v>0.37237268915319499</v>
      </c>
      <c r="Z5" s="2"/>
      <c r="AA5" s="2"/>
      <c r="AB5" s="2"/>
      <c r="AC5" s="2"/>
      <c r="AD5" s="2"/>
      <c r="AE5" s="2"/>
    </row>
    <row r="6" spans="1:31" ht="12.75" x14ac:dyDescent="0.2">
      <c r="A6" s="53"/>
      <c r="B6" s="53"/>
      <c r="C6" s="53"/>
      <c r="D6" s="53"/>
      <c r="E6" s="54">
        <f ca="1">IFERROR(__xludf.DUMMYFUNCTION("""COMPUTED_VALUE"""),1130)</f>
        <v>1130</v>
      </c>
      <c r="F6" s="54">
        <f ca="1">IFERROR(__xludf.DUMMYFUNCTION("""COMPUTED_VALUE"""),1130)</f>
        <v>1130</v>
      </c>
      <c r="G6" s="51">
        <f t="shared" ref="G6:G69" ca="1" si="0">IFERROR(F6/E6,"")</f>
        <v>1</v>
      </c>
      <c r="H6" s="54">
        <f ca="1">IFERROR(__xludf.DUMMYFUNCTION("""COMPUTED_VALUE"""),1130)</f>
        <v>1130</v>
      </c>
      <c r="I6" s="51">
        <f t="shared" ref="I6:I69" ca="1" si="1">IFERROR(H6/E6,"")</f>
        <v>1</v>
      </c>
      <c r="J6" s="54">
        <f ca="1">IFERROR(__xludf.DUMMYFUNCTION("""COMPUTED_VALUE"""),1112)</f>
        <v>1112</v>
      </c>
      <c r="K6" s="51">
        <f t="shared" ref="K6:K69" ca="1" si="2">IFERROR(J6/E6,"")</f>
        <v>0.98407079646017703</v>
      </c>
      <c r="L6" s="54">
        <f ca="1">IFERROR(__xludf.DUMMYFUNCTION("""COMPUTED_VALUE"""),949)</f>
        <v>949</v>
      </c>
      <c r="M6" s="51">
        <f t="shared" ref="M6:M69" ca="1" si="3">IFERROR(L6/E6,"")</f>
        <v>0.83982300884955752</v>
      </c>
      <c r="N6" s="54">
        <f ca="1">IFERROR(__xludf.DUMMYFUNCTION("""COMPUTED_VALUE"""),3696)</f>
        <v>3696</v>
      </c>
      <c r="O6" s="54">
        <f ca="1">IFERROR(__xludf.DUMMYFUNCTION("""COMPUTED_VALUE"""),467)</f>
        <v>467</v>
      </c>
      <c r="P6" s="51">
        <f t="shared" ref="P6:P69" ca="1" si="4">IFERROR(O6/N6,"")</f>
        <v>0.12635281385281386</v>
      </c>
      <c r="Q6" s="54">
        <f ca="1">IFERROR(__xludf.DUMMYFUNCTION("""COMPUTED_VALUE"""),255)</f>
        <v>255</v>
      </c>
      <c r="R6" s="51">
        <f t="shared" ref="R6:R69" ca="1" si="5">IFERROR(Q6/N6,"")</f>
        <v>6.8993506493506496E-2</v>
      </c>
      <c r="S6" s="54">
        <f ca="1">IFERROR(__xludf.DUMMYFUNCTION("""COMPUTED_VALUE"""),0)</f>
        <v>0</v>
      </c>
      <c r="T6" s="54">
        <f ca="1">IFERROR(__xludf.DUMMYFUNCTION("""COMPUTED_VALUE"""),0)</f>
        <v>0</v>
      </c>
      <c r="U6" s="51" t="str">
        <f t="shared" ref="U6:U69" ca="1" si="6">IFERROR(T6/S6,"")</f>
        <v/>
      </c>
      <c r="V6" s="54">
        <f ca="1">IFERROR(__xludf.DUMMYFUNCTION("""COMPUTED_VALUE"""),0)</f>
        <v>0</v>
      </c>
      <c r="W6" s="51" t="str">
        <f t="shared" ref="W6:W69" ca="1" si="7">IFERROR(V6/S6,"")</f>
        <v/>
      </c>
      <c r="X6" s="54">
        <f ca="1">IFERROR(__xludf.DUMMYFUNCTION("""COMPUTED_VALUE"""),0)</f>
        <v>0</v>
      </c>
      <c r="Y6" s="51" t="str">
        <f t="shared" ref="Y6:Y69" ca="1" si="8">IFERROR(X6/S6,"")</f>
        <v/>
      </c>
      <c r="Z6" s="2"/>
      <c r="AA6" s="2"/>
      <c r="AB6" s="2"/>
      <c r="AC6" s="2"/>
      <c r="AD6" s="2"/>
      <c r="AE6" s="2"/>
    </row>
    <row r="7" spans="1:31" ht="12.75" x14ac:dyDescent="0.2">
      <c r="A7" s="53">
        <f ca="1">IFERROR(__xludf.DUMMYFUNCTION("""COMPUTED_VALUE"""),1)</f>
        <v>1</v>
      </c>
      <c r="B7" s="53" t="str">
        <f ca="1">IFERROR(__xludf.DUMMYFUNCTION("""COMPUTED_VALUE"""),"Mầm non 2/9")</f>
        <v>Mầm non 2/9</v>
      </c>
      <c r="C7" s="53" t="str">
        <f ca="1">IFERROR(__xludf.DUMMYFUNCTION("""COMPUTED_VALUE"""),"MN")</f>
        <v>MN</v>
      </c>
      <c r="D7" s="53" t="str">
        <f ca="1">IFERROR(__xludf.DUMMYFUNCTION("""COMPUTED_VALUE"""),"Hóc Môn")</f>
        <v>Hóc Môn</v>
      </c>
      <c r="E7" s="54">
        <f ca="1">IFERROR(__xludf.DUMMYFUNCTION("""COMPUTED_VALUE"""),58)</f>
        <v>58</v>
      </c>
      <c r="F7" s="54">
        <f ca="1">IFERROR(__xludf.DUMMYFUNCTION("""COMPUTED_VALUE"""),58)</f>
        <v>58</v>
      </c>
      <c r="G7" s="51">
        <f t="shared" ca="1" si="0"/>
        <v>1</v>
      </c>
      <c r="H7" s="54">
        <f ca="1">IFERROR(__xludf.DUMMYFUNCTION("""COMPUTED_VALUE"""),58)</f>
        <v>58</v>
      </c>
      <c r="I7" s="51">
        <f t="shared" ca="1" si="1"/>
        <v>1</v>
      </c>
      <c r="J7" s="54">
        <f ca="1">IFERROR(__xludf.DUMMYFUNCTION("""COMPUTED_VALUE"""),57)</f>
        <v>57</v>
      </c>
      <c r="K7" s="51">
        <f t="shared" ca="1" si="2"/>
        <v>0.98275862068965514</v>
      </c>
      <c r="L7" s="54">
        <f ca="1">IFERROR(__xludf.DUMMYFUNCTION("""COMPUTED_VALUE"""),40)</f>
        <v>40</v>
      </c>
      <c r="M7" s="51">
        <f t="shared" ca="1" si="3"/>
        <v>0.68965517241379315</v>
      </c>
      <c r="N7" s="54">
        <f ca="1">IFERROR(__xludf.DUMMYFUNCTION("""COMPUTED_VALUE"""),231)</f>
        <v>231</v>
      </c>
      <c r="O7" s="54">
        <f ca="1">IFERROR(__xludf.DUMMYFUNCTION("""COMPUTED_VALUE"""),16)</f>
        <v>16</v>
      </c>
      <c r="P7" s="51">
        <f t="shared" ca="1" si="4"/>
        <v>6.9264069264069264E-2</v>
      </c>
      <c r="Q7" s="54">
        <f ca="1">IFERROR(__xludf.DUMMYFUNCTION("""COMPUTED_VALUE"""),6)</f>
        <v>6</v>
      </c>
      <c r="R7" s="51">
        <f t="shared" ca="1" si="5"/>
        <v>2.5974025974025976E-2</v>
      </c>
      <c r="S7" s="53"/>
      <c r="T7" s="53"/>
      <c r="U7" s="51" t="str">
        <f t="shared" si="6"/>
        <v/>
      </c>
      <c r="V7" s="53"/>
      <c r="W7" s="51" t="str">
        <f t="shared" si="7"/>
        <v/>
      </c>
      <c r="X7" s="53"/>
      <c r="Y7" s="51" t="str">
        <f t="shared" si="8"/>
        <v/>
      </c>
      <c r="Z7" s="2"/>
      <c r="AA7" s="2"/>
      <c r="AB7" s="2"/>
      <c r="AC7" s="2"/>
      <c r="AD7" s="2"/>
      <c r="AE7" s="2"/>
    </row>
    <row r="8" spans="1:31" ht="12.75" x14ac:dyDescent="0.2">
      <c r="A8" s="53">
        <f ca="1">IFERROR(__xludf.DUMMYFUNCTION("""COMPUTED_VALUE"""),2)</f>
        <v>2</v>
      </c>
      <c r="B8" s="53" t="str">
        <f ca="1">IFERROR(__xludf.DUMMYFUNCTION("""COMPUTED_VALUE"""),"Măng non 19/8")</f>
        <v>Măng non 19/8</v>
      </c>
      <c r="C8" s="53" t="str">
        <f ca="1">IFERROR(__xludf.DUMMYFUNCTION("""COMPUTED_VALUE"""),"MN")</f>
        <v>MN</v>
      </c>
      <c r="D8" s="53" t="str">
        <f ca="1">IFERROR(__xludf.DUMMYFUNCTION("""COMPUTED_VALUE"""),"Hóc Môn")</f>
        <v>Hóc Môn</v>
      </c>
      <c r="E8" s="54">
        <f ca="1">IFERROR(__xludf.DUMMYFUNCTION("""COMPUTED_VALUE"""),54)</f>
        <v>54</v>
      </c>
      <c r="F8" s="54">
        <f ca="1">IFERROR(__xludf.DUMMYFUNCTION("""COMPUTED_VALUE"""),54)</f>
        <v>54</v>
      </c>
      <c r="G8" s="51">
        <f t="shared" ca="1" si="0"/>
        <v>1</v>
      </c>
      <c r="H8" s="54">
        <f ca="1">IFERROR(__xludf.DUMMYFUNCTION("""COMPUTED_VALUE"""),54)</f>
        <v>54</v>
      </c>
      <c r="I8" s="51">
        <f t="shared" ca="1" si="1"/>
        <v>1</v>
      </c>
      <c r="J8" s="54">
        <f ca="1">IFERROR(__xludf.DUMMYFUNCTION("""COMPUTED_VALUE"""),54)</f>
        <v>54</v>
      </c>
      <c r="K8" s="51">
        <f t="shared" ca="1" si="2"/>
        <v>1</v>
      </c>
      <c r="L8" s="54">
        <f ca="1">IFERROR(__xludf.DUMMYFUNCTION("""COMPUTED_VALUE"""),53)</f>
        <v>53</v>
      </c>
      <c r="M8" s="51">
        <f t="shared" ca="1" si="3"/>
        <v>0.98148148148148151</v>
      </c>
      <c r="N8" s="54">
        <f ca="1">IFERROR(__xludf.DUMMYFUNCTION("""COMPUTED_VALUE"""),190)</f>
        <v>190</v>
      </c>
      <c r="O8" s="54">
        <f ca="1">IFERROR(__xludf.DUMMYFUNCTION("""COMPUTED_VALUE"""),50)</f>
        <v>50</v>
      </c>
      <c r="P8" s="51">
        <f t="shared" ca="1" si="4"/>
        <v>0.26315789473684209</v>
      </c>
      <c r="Q8" s="54">
        <f ca="1">IFERROR(__xludf.DUMMYFUNCTION("""COMPUTED_VALUE"""),42)</f>
        <v>42</v>
      </c>
      <c r="R8" s="51">
        <f t="shared" ca="1" si="5"/>
        <v>0.22105263157894736</v>
      </c>
      <c r="S8" s="53"/>
      <c r="T8" s="53"/>
      <c r="U8" s="51" t="str">
        <f t="shared" si="6"/>
        <v/>
      </c>
      <c r="V8" s="53"/>
      <c r="W8" s="51" t="str">
        <f t="shared" si="7"/>
        <v/>
      </c>
      <c r="X8" s="53"/>
      <c r="Y8" s="51" t="str">
        <f t="shared" si="8"/>
        <v/>
      </c>
      <c r="Z8" s="2"/>
      <c r="AA8" s="2"/>
      <c r="AB8" s="2"/>
      <c r="AC8" s="2"/>
      <c r="AD8" s="2"/>
      <c r="AE8" s="2"/>
    </row>
    <row r="9" spans="1:31" ht="12.75" x14ac:dyDescent="0.2">
      <c r="A9" s="53">
        <f ca="1">IFERROR(__xludf.DUMMYFUNCTION("""COMPUTED_VALUE"""),3)</f>
        <v>3</v>
      </c>
      <c r="B9" s="53" t="str">
        <f ca="1">IFERROR(__xludf.DUMMYFUNCTION("""COMPUTED_VALUE"""),"Mầm non 23/11")</f>
        <v>Mầm non 23/11</v>
      </c>
      <c r="C9" s="53" t="str">
        <f ca="1">IFERROR(__xludf.DUMMYFUNCTION("""COMPUTED_VALUE"""),"MN")</f>
        <v>MN</v>
      </c>
      <c r="D9" s="53" t="str">
        <f ca="1">IFERROR(__xludf.DUMMYFUNCTION("""COMPUTED_VALUE"""),"Hóc Môn")</f>
        <v>Hóc Môn</v>
      </c>
      <c r="E9" s="54">
        <f ca="1">IFERROR(__xludf.DUMMYFUNCTION("""COMPUTED_VALUE"""),45)</f>
        <v>45</v>
      </c>
      <c r="F9" s="54">
        <f ca="1">IFERROR(__xludf.DUMMYFUNCTION("""COMPUTED_VALUE"""),45)</f>
        <v>45</v>
      </c>
      <c r="G9" s="51">
        <f t="shared" ca="1" si="0"/>
        <v>1</v>
      </c>
      <c r="H9" s="54">
        <f ca="1">IFERROR(__xludf.DUMMYFUNCTION("""COMPUTED_VALUE"""),45)</f>
        <v>45</v>
      </c>
      <c r="I9" s="51">
        <f t="shared" ca="1" si="1"/>
        <v>1</v>
      </c>
      <c r="J9" s="54">
        <f ca="1">IFERROR(__xludf.DUMMYFUNCTION("""COMPUTED_VALUE"""),44)</f>
        <v>44</v>
      </c>
      <c r="K9" s="51">
        <f t="shared" ca="1" si="2"/>
        <v>0.97777777777777775</v>
      </c>
      <c r="L9" s="54">
        <f ca="1">IFERROR(__xludf.DUMMYFUNCTION("""COMPUTED_VALUE"""),41)</f>
        <v>41</v>
      </c>
      <c r="M9" s="51">
        <f t="shared" ca="1" si="3"/>
        <v>0.91111111111111109</v>
      </c>
      <c r="N9" s="54">
        <f ca="1">IFERROR(__xludf.DUMMYFUNCTION("""COMPUTED_VALUE"""),66)</f>
        <v>66</v>
      </c>
      <c r="O9" s="54">
        <f ca="1">IFERROR(__xludf.DUMMYFUNCTION("""COMPUTED_VALUE"""),19)</f>
        <v>19</v>
      </c>
      <c r="P9" s="51">
        <f t="shared" ca="1" si="4"/>
        <v>0.2878787878787879</v>
      </c>
      <c r="Q9" s="54">
        <f ca="1">IFERROR(__xludf.DUMMYFUNCTION("""COMPUTED_VALUE"""),8)</f>
        <v>8</v>
      </c>
      <c r="R9" s="51">
        <f t="shared" ca="1" si="5"/>
        <v>0.12121212121212122</v>
      </c>
      <c r="S9" s="53"/>
      <c r="T9" s="53"/>
      <c r="U9" s="51" t="str">
        <f t="shared" si="6"/>
        <v/>
      </c>
      <c r="V9" s="53"/>
      <c r="W9" s="51" t="str">
        <f t="shared" si="7"/>
        <v/>
      </c>
      <c r="X9" s="53"/>
      <c r="Y9" s="51" t="str">
        <f t="shared" si="8"/>
        <v/>
      </c>
      <c r="Z9" s="2"/>
      <c r="AA9" s="2"/>
      <c r="AB9" s="2"/>
      <c r="AC9" s="2"/>
      <c r="AD9" s="2"/>
      <c r="AE9" s="2"/>
    </row>
    <row r="10" spans="1:31" ht="12.75" x14ac:dyDescent="0.2">
      <c r="A10" s="53">
        <f ca="1">IFERROR(__xludf.DUMMYFUNCTION("""COMPUTED_VALUE"""),4)</f>
        <v>4</v>
      </c>
      <c r="B10" s="53" t="str">
        <f ca="1">IFERROR(__xludf.DUMMYFUNCTION("""COMPUTED_VALUE"""),"Mầm non Bà Điểm")</f>
        <v>Mầm non Bà Điểm</v>
      </c>
      <c r="C10" s="53" t="str">
        <f ca="1">IFERROR(__xludf.DUMMYFUNCTION("""COMPUTED_VALUE"""),"MN")</f>
        <v>MN</v>
      </c>
      <c r="D10" s="53" t="str">
        <f ca="1">IFERROR(__xludf.DUMMYFUNCTION("""COMPUTED_VALUE"""),"Hóc Môn")</f>
        <v>Hóc Môn</v>
      </c>
      <c r="E10" s="54">
        <f ca="1">IFERROR(__xludf.DUMMYFUNCTION("""COMPUTED_VALUE"""),43)</f>
        <v>43</v>
      </c>
      <c r="F10" s="54">
        <f ca="1">IFERROR(__xludf.DUMMYFUNCTION("""COMPUTED_VALUE"""),43)</f>
        <v>43</v>
      </c>
      <c r="G10" s="51">
        <f t="shared" ca="1" si="0"/>
        <v>1</v>
      </c>
      <c r="H10" s="54">
        <f ca="1">IFERROR(__xludf.DUMMYFUNCTION("""COMPUTED_VALUE"""),43)</f>
        <v>43</v>
      </c>
      <c r="I10" s="51">
        <f t="shared" ca="1" si="1"/>
        <v>1</v>
      </c>
      <c r="J10" s="54">
        <f ca="1">IFERROR(__xludf.DUMMYFUNCTION("""COMPUTED_VALUE"""),42)</f>
        <v>42</v>
      </c>
      <c r="K10" s="51">
        <f t="shared" ca="1" si="2"/>
        <v>0.97674418604651159</v>
      </c>
      <c r="L10" s="54">
        <f ca="1">IFERROR(__xludf.DUMMYFUNCTION("""COMPUTED_VALUE"""),41)</f>
        <v>41</v>
      </c>
      <c r="M10" s="51">
        <f t="shared" ca="1" si="3"/>
        <v>0.95348837209302328</v>
      </c>
      <c r="N10" s="54">
        <f ca="1">IFERROR(__xludf.DUMMYFUNCTION("""COMPUTED_VALUE"""),185)</f>
        <v>185</v>
      </c>
      <c r="O10" s="54">
        <f ca="1">IFERROR(__xludf.DUMMYFUNCTION("""COMPUTED_VALUE"""),27)</f>
        <v>27</v>
      </c>
      <c r="P10" s="51">
        <f t="shared" ca="1" si="4"/>
        <v>0.14594594594594595</v>
      </c>
      <c r="Q10" s="54">
        <f ca="1">IFERROR(__xludf.DUMMYFUNCTION("""COMPUTED_VALUE"""),16)</f>
        <v>16</v>
      </c>
      <c r="R10" s="51">
        <f t="shared" ca="1" si="5"/>
        <v>8.6486486486486491E-2</v>
      </c>
      <c r="S10" s="53"/>
      <c r="T10" s="53"/>
      <c r="U10" s="51" t="str">
        <f t="shared" si="6"/>
        <v/>
      </c>
      <c r="V10" s="53"/>
      <c r="W10" s="51" t="str">
        <f t="shared" si="7"/>
        <v/>
      </c>
      <c r="X10" s="53"/>
      <c r="Y10" s="51" t="str">
        <f t="shared" si="8"/>
        <v/>
      </c>
      <c r="Z10" s="2"/>
      <c r="AA10" s="2"/>
      <c r="AB10" s="2"/>
      <c r="AC10" s="2"/>
      <c r="AD10" s="2"/>
      <c r="AE10" s="2"/>
    </row>
    <row r="11" spans="1:31" ht="12.75" x14ac:dyDescent="0.2">
      <c r="A11" s="53">
        <f ca="1">IFERROR(__xludf.DUMMYFUNCTION("""COMPUTED_VALUE"""),5)</f>
        <v>5</v>
      </c>
      <c r="B11" s="53" t="str">
        <f ca="1">IFERROR(__xludf.DUMMYFUNCTION("""COMPUTED_VALUE"""),"Mầm non Bé Ngoan")</f>
        <v>Mầm non Bé Ngoan</v>
      </c>
      <c r="C11" s="53" t="str">
        <f ca="1">IFERROR(__xludf.DUMMYFUNCTION("""COMPUTED_VALUE"""),"MN")</f>
        <v>MN</v>
      </c>
      <c r="D11" s="53" t="str">
        <f ca="1">IFERROR(__xludf.DUMMYFUNCTION("""COMPUTED_VALUE"""),"Hóc Môn")</f>
        <v>Hóc Môn</v>
      </c>
      <c r="E11" s="54">
        <f ca="1">IFERROR(__xludf.DUMMYFUNCTION("""COMPUTED_VALUE"""),51)</f>
        <v>51</v>
      </c>
      <c r="F11" s="54">
        <f ca="1">IFERROR(__xludf.DUMMYFUNCTION("""COMPUTED_VALUE"""),51)</f>
        <v>51</v>
      </c>
      <c r="G11" s="51">
        <f t="shared" ca="1" si="0"/>
        <v>1</v>
      </c>
      <c r="H11" s="54">
        <f ca="1">IFERROR(__xludf.DUMMYFUNCTION("""COMPUTED_VALUE"""),51)</f>
        <v>51</v>
      </c>
      <c r="I11" s="51">
        <f t="shared" ca="1" si="1"/>
        <v>1</v>
      </c>
      <c r="J11" s="54">
        <f ca="1">IFERROR(__xludf.DUMMYFUNCTION("""COMPUTED_VALUE"""),51)</f>
        <v>51</v>
      </c>
      <c r="K11" s="51">
        <f t="shared" ca="1" si="2"/>
        <v>1</v>
      </c>
      <c r="L11" s="54">
        <f ca="1">IFERROR(__xludf.DUMMYFUNCTION("""COMPUTED_VALUE"""),44)</f>
        <v>44</v>
      </c>
      <c r="M11" s="51">
        <f t="shared" ca="1" si="3"/>
        <v>0.86274509803921573</v>
      </c>
      <c r="N11" s="54">
        <f ca="1">IFERROR(__xludf.DUMMYFUNCTION("""COMPUTED_VALUE"""),130)</f>
        <v>130</v>
      </c>
      <c r="O11" s="54">
        <f ca="1">IFERROR(__xludf.DUMMYFUNCTION("""COMPUTED_VALUE"""),19)</f>
        <v>19</v>
      </c>
      <c r="P11" s="51">
        <f t="shared" ca="1" si="4"/>
        <v>0.14615384615384616</v>
      </c>
      <c r="Q11" s="54">
        <f ca="1">IFERROR(__xludf.DUMMYFUNCTION("""COMPUTED_VALUE"""),9)</f>
        <v>9</v>
      </c>
      <c r="R11" s="51">
        <f t="shared" ca="1" si="5"/>
        <v>6.9230769230769235E-2</v>
      </c>
      <c r="S11" s="53"/>
      <c r="T11" s="53"/>
      <c r="U11" s="51" t="str">
        <f t="shared" si="6"/>
        <v/>
      </c>
      <c r="V11" s="53"/>
      <c r="W11" s="51" t="str">
        <f t="shared" si="7"/>
        <v/>
      </c>
      <c r="X11" s="53"/>
      <c r="Y11" s="51" t="str">
        <f t="shared" si="8"/>
        <v/>
      </c>
      <c r="Z11" s="2"/>
      <c r="AA11" s="2"/>
      <c r="AB11" s="2"/>
      <c r="AC11" s="2"/>
      <c r="AD11" s="2"/>
      <c r="AE11" s="2"/>
    </row>
    <row r="12" spans="1:31" ht="12.75" x14ac:dyDescent="0.2">
      <c r="A12" s="53">
        <f ca="1">IFERROR(__xludf.DUMMYFUNCTION("""COMPUTED_VALUE"""),6)</f>
        <v>6</v>
      </c>
      <c r="B12" s="53" t="str">
        <f ca="1">IFERROR(__xludf.DUMMYFUNCTION("""COMPUTED_VALUE"""),"Mầm non Bé Ngoan 1")</f>
        <v>Mầm non Bé Ngoan 1</v>
      </c>
      <c r="C12" s="53" t="str">
        <f ca="1">IFERROR(__xludf.DUMMYFUNCTION("""COMPUTED_VALUE"""),"MN")</f>
        <v>MN</v>
      </c>
      <c r="D12" s="53" t="str">
        <f ca="1">IFERROR(__xludf.DUMMYFUNCTION("""COMPUTED_VALUE"""),"Hóc Môn")</f>
        <v>Hóc Môn</v>
      </c>
      <c r="E12" s="54">
        <f ca="1">IFERROR(__xludf.DUMMYFUNCTION("""COMPUTED_VALUE"""),42)</f>
        <v>42</v>
      </c>
      <c r="F12" s="54">
        <f ca="1">IFERROR(__xludf.DUMMYFUNCTION("""COMPUTED_VALUE"""),42)</f>
        <v>42</v>
      </c>
      <c r="G12" s="51">
        <f t="shared" ca="1" si="0"/>
        <v>1</v>
      </c>
      <c r="H12" s="54">
        <f ca="1">IFERROR(__xludf.DUMMYFUNCTION("""COMPUTED_VALUE"""),42)</f>
        <v>42</v>
      </c>
      <c r="I12" s="51">
        <f t="shared" ca="1" si="1"/>
        <v>1</v>
      </c>
      <c r="J12" s="54">
        <f ca="1">IFERROR(__xludf.DUMMYFUNCTION("""COMPUTED_VALUE"""),41)</f>
        <v>41</v>
      </c>
      <c r="K12" s="51">
        <f t="shared" ca="1" si="2"/>
        <v>0.97619047619047616</v>
      </c>
      <c r="L12" s="54">
        <f ca="1">IFERROR(__xludf.DUMMYFUNCTION("""COMPUTED_VALUE"""),34)</f>
        <v>34</v>
      </c>
      <c r="M12" s="51">
        <f t="shared" ca="1" si="3"/>
        <v>0.80952380952380953</v>
      </c>
      <c r="N12" s="54">
        <f ca="1">IFERROR(__xludf.DUMMYFUNCTION("""COMPUTED_VALUE"""),113)</f>
        <v>113</v>
      </c>
      <c r="O12" s="54">
        <f ca="1">IFERROR(__xludf.DUMMYFUNCTION("""COMPUTED_VALUE"""),13)</f>
        <v>13</v>
      </c>
      <c r="P12" s="51">
        <f t="shared" ca="1" si="4"/>
        <v>0.11504424778761062</v>
      </c>
      <c r="Q12" s="54">
        <f ca="1">IFERROR(__xludf.DUMMYFUNCTION("""COMPUTED_VALUE"""),5)</f>
        <v>5</v>
      </c>
      <c r="R12" s="51">
        <f t="shared" ca="1" si="5"/>
        <v>4.4247787610619468E-2</v>
      </c>
      <c r="S12" s="53"/>
      <c r="T12" s="53"/>
      <c r="U12" s="51" t="str">
        <f t="shared" si="6"/>
        <v/>
      </c>
      <c r="V12" s="53"/>
      <c r="W12" s="51" t="str">
        <f t="shared" si="7"/>
        <v/>
      </c>
      <c r="X12" s="53"/>
      <c r="Y12" s="51" t="str">
        <f t="shared" si="8"/>
        <v/>
      </c>
      <c r="Z12" s="2"/>
      <c r="AA12" s="2"/>
      <c r="AB12" s="2"/>
      <c r="AC12" s="2"/>
      <c r="AD12" s="2"/>
      <c r="AE12" s="2"/>
    </row>
    <row r="13" spans="1:31" ht="12.75" x14ac:dyDescent="0.2">
      <c r="A13" s="53">
        <f ca="1">IFERROR(__xludf.DUMMYFUNCTION("""COMPUTED_VALUE"""),7)</f>
        <v>7</v>
      </c>
      <c r="B13" s="53" t="str">
        <f ca="1">IFERROR(__xludf.DUMMYFUNCTION("""COMPUTED_VALUE"""),"Mầm non Bé Ngoan 3")</f>
        <v>Mầm non Bé Ngoan 3</v>
      </c>
      <c r="C13" s="53" t="str">
        <f ca="1">IFERROR(__xludf.DUMMYFUNCTION("""COMPUTED_VALUE"""),"MN")</f>
        <v>MN</v>
      </c>
      <c r="D13" s="53" t="str">
        <f ca="1">IFERROR(__xludf.DUMMYFUNCTION("""COMPUTED_VALUE"""),"Hóc Môn")</f>
        <v>Hóc Môn</v>
      </c>
      <c r="E13" s="54">
        <f ca="1">IFERROR(__xludf.DUMMYFUNCTION("""COMPUTED_VALUE"""),59)</f>
        <v>59</v>
      </c>
      <c r="F13" s="54">
        <f ca="1">IFERROR(__xludf.DUMMYFUNCTION("""COMPUTED_VALUE"""),59)</f>
        <v>59</v>
      </c>
      <c r="G13" s="51">
        <f t="shared" ca="1" si="0"/>
        <v>1</v>
      </c>
      <c r="H13" s="54">
        <f ca="1">IFERROR(__xludf.DUMMYFUNCTION("""COMPUTED_VALUE"""),59)</f>
        <v>59</v>
      </c>
      <c r="I13" s="51">
        <f t="shared" ca="1" si="1"/>
        <v>1</v>
      </c>
      <c r="J13" s="54">
        <f ca="1">IFERROR(__xludf.DUMMYFUNCTION("""COMPUTED_VALUE"""),59)</f>
        <v>59</v>
      </c>
      <c r="K13" s="51">
        <f t="shared" ca="1" si="2"/>
        <v>1</v>
      </c>
      <c r="L13" s="54">
        <f ca="1">IFERROR(__xludf.DUMMYFUNCTION("""COMPUTED_VALUE"""),41)</f>
        <v>41</v>
      </c>
      <c r="M13" s="51">
        <f t="shared" ca="1" si="3"/>
        <v>0.69491525423728817</v>
      </c>
      <c r="N13" s="54">
        <f ca="1">IFERROR(__xludf.DUMMYFUNCTION("""COMPUTED_VALUE"""),113)</f>
        <v>113</v>
      </c>
      <c r="O13" s="54">
        <f ca="1">IFERROR(__xludf.DUMMYFUNCTION("""COMPUTED_VALUE"""),9)</f>
        <v>9</v>
      </c>
      <c r="P13" s="51">
        <f t="shared" ca="1" si="4"/>
        <v>7.9646017699115043E-2</v>
      </c>
      <c r="Q13" s="54">
        <f ca="1">IFERROR(__xludf.DUMMYFUNCTION("""COMPUTED_VALUE"""),5)</f>
        <v>5</v>
      </c>
      <c r="R13" s="51">
        <f t="shared" ca="1" si="5"/>
        <v>4.4247787610619468E-2</v>
      </c>
      <c r="S13" s="53"/>
      <c r="T13" s="53"/>
      <c r="U13" s="51" t="str">
        <f t="shared" si="6"/>
        <v/>
      </c>
      <c r="V13" s="53"/>
      <c r="W13" s="51" t="str">
        <f t="shared" si="7"/>
        <v/>
      </c>
      <c r="X13" s="53"/>
      <c r="Y13" s="51" t="str">
        <f t="shared" si="8"/>
        <v/>
      </c>
      <c r="Z13" s="2"/>
      <c r="AA13" s="2"/>
      <c r="AB13" s="2"/>
      <c r="AC13" s="2"/>
      <c r="AD13" s="2"/>
      <c r="AE13" s="2"/>
    </row>
    <row r="14" spans="1:31" ht="12.75" x14ac:dyDescent="0.2">
      <c r="A14" s="53">
        <f ca="1">IFERROR(__xludf.DUMMYFUNCTION("""COMPUTED_VALUE"""),8)</f>
        <v>8</v>
      </c>
      <c r="B14" s="53" t="str">
        <f ca="1">IFERROR(__xludf.DUMMYFUNCTION("""COMPUTED_VALUE"""),"Mầm non Bông Sen")</f>
        <v>Mầm non Bông Sen</v>
      </c>
      <c r="C14" s="53" t="str">
        <f ca="1">IFERROR(__xludf.DUMMYFUNCTION("""COMPUTED_VALUE"""),"MN")</f>
        <v>MN</v>
      </c>
      <c r="D14" s="53" t="str">
        <f ca="1">IFERROR(__xludf.DUMMYFUNCTION("""COMPUTED_VALUE"""),"Hóc Môn")</f>
        <v>Hóc Môn</v>
      </c>
      <c r="E14" s="54">
        <f ca="1">IFERROR(__xludf.DUMMYFUNCTION("""COMPUTED_VALUE"""),57)</f>
        <v>57</v>
      </c>
      <c r="F14" s="54">
        <f ca="1">IFERROR(__xludf.DUMMYFUNCTION("""COMPUTED_VALUE"""),57)</f>
        <v>57</v>
      </c>
      <c r="G14" s="51">
        <f t="shared" ca="1" si="0"/>
        <v>1</v>
      </c>
      <c r="H14" s="54">
        <f ca="1">IFERROR(__xludf.DUMMYFUNCTION("""COMPUTED_VALUE"""),57)</f>
        <v>57</v>
      </c>
      <c r="I14" s="51">
        <f t="shared" ca="1" si="1"/>
        <v>1</v>
      </c>
      <c r="J14" s="54">
        <f ca="1">IFERROR(__xludf.DUMMYFUNCTION("""COMPUTED_VALUE"""),57)</f>
        <v>57</v>
      </c>
      <c r="K14" s="51">
        <f t="shared" ca="1" si="2"/>
        <v>1</v>
      </c>
      <c r="L14" s="54">
        <f ca="1">IFERROR(__xludf.DUMMYFUNCTION("""COMPUTED_VALUE"""),45)</f>
        <v>45</v>
      </c>
      <c r="M14" s="51">
        <f t="shared" ca="1" si="3"/>
        <v>0.78947368421052633</v>
      </c>
      <c r="N14" s="54">
        <f ca="1">IFERROR(__xludf.DUMMYFUNCTION("""COMPUTED_VALUE"""),119)</f>
        <v>119</v>
      </c>
      <c r="O14" s="54">
        <f ca="1">IFERROR(__xludf.DUMMYFUNCTION("""COMPUTED_VALUE"""),17)</f>
        <v>17</v>
      </c>
      <c r="P14" s="51">
        <f t="shared" ca="1" si="4"/>
        <v>0.14285714285714285</v>
      </c>
      <c r="Q14" s="54">
        <f ca="1">IFERROR(__xludf.DUMMYFUNCTION("""COMPUTED_VALUE"""),9)</f>
        <v>9</v>
      </c>
      <c r="R14" s="51">
        <f t="shared" ca="1" si="5"/>
        <v>7.5630252100840331E-2</v>
      </c>
      <c r="S14" s="53"/>
      <c r="T14" s="53"/>
      <c r="U14" s="51" t="str">
        <f t="shared" si="6"/>
        <v/>
      </c>
      <c r="V14" s="53"/>
      <c r="W14" s="51" t="str">
        <f t="shared" si="7"/>
        <v/>
      </c>
      <c r="X14" s="53"/>
      <c r="Y14" s="51" t="str">
        <f t="shared" si="8"/>
        <v/>
      </c>
      <c r="Z14" s="2"/>
      <c r="AA14" s="2"/>
      <c r="AB14" s="2"/>
      <c r="AC14" s="2"/>
      <c r="AD14" s="2"/>
      <c r="AE14" s="2"/>
    </row>
    <row r="15" spans="1:31" ht="12.75" x14ac:dyDescent="0.2">
      <c r="A15" s="53">
        <f ca="1">IFERROR(__xludf.DUMMYFUNCTION("""COMPUTED_VALUE"""),9)</f>
        <v>9</v>
      </c>
      <c r="B15" s="53" t="str">
        <f ca="1">IFERROR(__xludf.DUMMYFUNCTION("""COMPUTED_VALUE"""),"Mẫu Giáo Bông Sen 1")</f>
        <v>Mẫu Giáo Bông Sen 1</v>
      </c>
      <c r="C15" s="53" t="str">
        <f ca="1">IFERROR(__xludf.DUMMYFUNCTION("""COMPUTED_VALUE"""),"MN")</f>
        <v>MN</v>
      </c>
      <c r="D15" s="53" t="str">
        <f ca="1">IFERROR(__xludf.DUMMYFUNCTION("""COMPUTED_VALUE"""),"Hóc Môn")</f>
        <v>Hóc Môn</v>
      </c>
      <c r="E15" s="54">
        <f ca="1">IFERROR(__xludf.DUMMYFUNCTION("""COMPUTED_VALUE"""),28)</f>
        <v>28</v>
      </c>
      <c r="F15" s="54">
        <f ca="1">IFERROR(__xludf.DUMMYFUNCTION("""COMPUTED_VALUE"""),28)</f>
        <v>28</v>
      </c>
      <c r="G15" s="51">
        <f t="shared" ca="1" si="0"/>
        <v>1</v>
      </c>
      <c r="H15" s="54">
        <f ca="1">IFERROR(__xludf.DUMMYFUNCTION("""COMPUTED_VALUE"""),28)</f>
        <v>28</v>
      </c>
      <c r="I15" s="51">
        <f t="shared" ca="1" si="1"/>
        <v>1</v>
      </c>
      <c r="J15" s="54">
        <f ca="1">IFERROR(__xludf.DUMMYFUNCTION("""COMPUTED_VALUE"""),28)</f>
        <v>28</v>
      </c>
      <c r="K15" s="51">
        <f t="shared" ca="1" si="2"/>
        <v>1</v>
      </c>
      <c r="L15" s="54">
        <f ca="1">IFERROR(__xludf.DUMMYFUNCTION("""COMPUTED_VALUE"""),28)</f>
        <v>28</v>
      </c>
      <c r="M15" s="51">
        <f t="shared" ca="1" si="3"/>
        <v>1</v>
      </c>
      <c r="N15" s="54">
        <f ca="1">IFERROR(__xludf.DUMMYFUNCTION("""COMPUTED_VALUE"""),48)</f>
        <v>48</v>
      </c>
      <c r="O15" s="54">
        <f ca="1">IFERROR(__xludf.DUMMYFUNCTION("""COMPUTED_VALUE"""),10)</f>
        <v>10</v>
      </c>
      <c r="P15" s="51">
        <f t="shared" ca="1" si="4"/>
        <v>0.20833333333333334</v>
      </c>
      <c r="Q15" s="54">
        <f ca="1">IFERROR(__xludf.DUMMYFUNCTION("""COMPUTED_VALUE"""),6)</f>
        <v>6</v>
      </c>
      <c r="R15" s="51">
        <f t="shared" ca="1" si="5"/>
        <v>0.125</v>
      </c>
      <c r="S15" s="53"/>
      <c r="T15" s="53"/>
      <c r="U15" s="51" t="str">
        <f t="shared" si="6"/>
        <v/>
      </c>
      <c r="V15" s="53"/>
      <c r="W15" s="51" t="str">
        <f t="shared" si="7"/>
        <v/>
      </c>
      <c r="X15" s="53"/>
      <c r="Y15" s="51" t="str">
        <f t="shared" si="8"/>
        <v/>
      </c>
      <c r="Z15" s="2"/>
      <c r="AA15" s="2"/>
      <c r="AB15" s="2"/>
      <c r="AC15" s="2"/>
      <c r="AD15" s="2"/>
      <c r="AE15" s="2"/>
    </row>
    <row r="16" spans="1:31" ht="12.75" x14ac:dyDescent="0.2">
      <c r="A16" s="53">
        <f ca="1">IFERROR(__xludf.DUMMYFUNCTION("""COMPUTED_VALUE"""),10)</f>
        <v>10</v>
      </c>
      <c r="B16" s="53" t="str">
        <f ca="1">IFERROR(__xludf.DUMMYFUNCTION("""COMPUTED_VALUE"""),"Mầm non Hướng Dương")</f>
        <v>Mầm non Hướng Dương</v>
      </c>
      <c r="C16" s="53" t="str">
        <f ca="1">IFERROR(__xludf.DUMMYFUNCTION("""COMPUTED_VALUE"""),"MN")</f>
        <v>MN</v>
      </c>
      <c r="D16" s="53" t="str">
        <f ca="1">IFERROR(__xludf.DUMMYFUNCTION("""COMPUTED_VALUE"""),"Hóc Môn")</f>
        <v>Hóc Môn</v>
      </c>
      <c r="E16" s="54">
        <f ca="1">IFERROR(__xludf.DUMMYFUNCTION("""COMPUTED_VALUE"""),61)</f>
        <v>61</v>
      </c>
      <c r="F16" s="54">
        <f ca="1">IFERROR(__xludf.DUMMYFUNCTION("""COMPUTED_VALUE"""),61)</f>
        <v>61</v>
      </c>
      <c r="G16" s="51">
        <f t="shared" ca="1" si="0"/>
        <v>1</v>
      </c>
      <c r="H16" s="54">
        <f ca="1">IFERROR(__xludf.DUMMYFUNCTION("""COMPUTED_VALUE"""),61)</f>
        <v>61</v>
      </c>
      <c r="I16" s="51">
        <f t="shared" ca="1" si="1"/>
        <v>1</v>
      </c>
      <c r="J16" s="54">
        <f ca="1">IFERROR(__xludf.DUMMYFUNCTION("""COMPUTED_VALUE"""),60)</f>
        <v>60</v>
      </c>
      <c r="K16" s="51">
        <f t="shared" ca="1" si="2"/>
        <v>0.98360655737704916</v>
      </c>
      <c r="L16" s="54">
        <f ca="1">IFERROR(__xludf.DUMMYFUNCTION("""COMPUTED_VALUE"""),44)</f>
        <v>44</v>
      </c>
      <c r="M16" s="51">
        <f t="shared" ca="1" si="3"/>
        <v>0.72131147540983609</v>
      </c>
      <c r="N16" s="54">
        <f ca="1">IFERROR(__xludf.DUMMYFUNCTION("""COMPUTED_VALUE"""),139)</f>
        <v>139</v>
      </c>
      <c r="O16" s="54">
        <f ca="1">IFERROR(__xludf.DUMMYFUNCTION("""COMPUTED_VALUE"""),10)</f>
        <v>10</v>
      </c>
      <c r="P16" s="51">
        <f t="shared" ca="1" si="4"/>
        <v>7.1942446043165464E-2</v>
      </c>
      <c r="Q16" s="54">
        <f ca="1">IFERROR(__xludf.DUMMYFUNCTION("""COMPUTED_VALUE"""),3)</f>
        <v>3</v>
      </c>
      <c r="R16" s="51">
        <f t="shared" ca="1" si="5"/>
        <v>2.1582733812949641E-2</v>
      </c>
      <c r="S16" s="53"/>
      <c r="T16" s="53"/>
      <c r="U16" s="51" t="str">
        <f t="shared" si="6"/>
        <v/>
      </c>
      <c r="V16" s="53"/>
      <c r="W16" s="51" t="str">
        <f t="shared" si="7"/>
        <v/>
      </c>
      <c r="X16" s="53"/>
      <c r="Y16" s="51" t="str">
        <f t="shared" si="8"/>
        <v/>
      </c>
      <c r="Z16" s="2"/>
      <c r="AA16" s="2"/>
      <c r="AB16" s="2"/>
      <c r="AC16" s="2"/>
      <c r="AD16" s="2"/>
      <c r="AE16" s="2"/>
    </row>
    <row r="17" spans="1:31" ht="12.75" x14ac:dyDescent="0.2">
      <c r="A17" s="53">
        <f ca="1">IFERROR(__xludf.DUMMYFUNCTION("""COMPUTED_VALUE"""),11)</f>
        <v>11</v>
      </c>
      <c r="B17" s="53" t="str">
        <f ca="1">IFERROR(__xludf.DUMMYFUNCTION("""COMPUTED_VALUE"""),"Mầm non Sơn Ca")</f>
        <v>Mầm non Sơn Ca</v>
      </c>
      <c r="C17" s="53" t="str">
        <f ca="1">IFERROR(__xludf.DUMMYFUNCTION("""COMPUTED_VALUE"""),"MN")</f>
        <v>MN</v>
      </c>
      <c r="D17" s="53" t="str">
        <f ca="1">IFERROR(__xludf.DUMMYFUNCTION("""COMPUTED_VALUE"""),"Hóc Môn")</f>
        <v>Hóc Môn</v>
      </c>
      <c r="E17" s="54">
        <f ca="1">IFERROR(__xludf.DUMMYFUNCTION("""COMPUTED_VALUE"""),56)</f>
        <v>56</v>
      </c>
      <c r="F17" s="54">
        <f ca="1">IFERROR(__xludf.DUMMYFUNCTION("""COMPUTED_VALUE"""),56)</f>
        <v>56</v>
      </c>
      <c r="G17" s="51">
        <f t="shared" ca="1" si="0"/>
        <v>1</v>
      </c>
      <c r="H17" s="54">
        <f ca="1">IFERROR(__xludf.DUMMYFUNCTION("""COMPUTED_VALUE"""),56)</f>
        <v>56</v>
      </c>
      <c r="I17" s="51">
        <f t="shared" ca="1" si="1"/>
        <v>1</v>
      </c>
      <c r="J17" s="54">
        <f ca="1">IFERROR(__xludf.DUMMYFUNCTION("""COMPUTED_VALUE"""),56)</f>
        <v>56</v>
      </c>
      <c r="K17" s="51">
        <f t="shared" ca="1" si="2"/>
        <v>1</v>
      </c>
      <c r="L17" s="54">
        <f ca="1">IFERROR(__xludf.DUMMYFUNCTION("""COMPUTED_VALUE"""),54)</f>
        <v>54</v>
      </c>
      <c r="M17" s="51">
        <f t="shared" ca="1" si="3"/>
        <v>0.9642857142857143</v>
      </c>
      <c r="N17" s="54">
        <f ca="1">IFERROR(__xludf.DUMMYFUNCTION("""COMPUTED_VALUE"""),233)</f>
        <v>233</v>
      </c>
      <c r="O17" s="54">
        <f ca="1">IFERROR(__xludf.DUMMYFUNCTION("""COMPUTED_VALUE"""),58)</f>
        <v>58</v>
      </c>
      <c r="P17" s="51">
        <f t="shared" ca="1" si="4"/>
        <v>0.24892703862660945</v>
      </c>
      <c r="Q17" s="54">
        <f ca="1">IFERROR(__xludf.DUMMYFUNCTION("""COMPUTED_VALUE"""),45)</f>
        <v>45</v>
      </c>
      <c r="R17" s="51">
        <f t="shared" ca="1" si="5"/>
        <v>0.19313304721030042</v>
      </c>
      <c r="S17" s="53"/>
      <c r="T17" s="53"/>
      <c r="U17" s="51" t="str">
        <f t="shared" si="6"/>
        <v/>
      </c>
      <c r="V17" s="53"/>
      <c r="W17" s="51" t="str">
        <f t="shared" si="7"/>
        <v/>
      </c>
      <c r="X17" s="53"/>
      <c r="Y17" s="51" t="str">
        <f t="shared" si="8"/>
        <v/>
      </c>
      <c r="Z17" s="2"/>
      <c r="AA17" s="2"/>
      <c r="AB17" s="2"/>
      <c r="AC17" s="2"/>
      <c r="AD17" s="2"/>
      <c r="AE17" s="2"/>
    </row>
    <row r="18" spans="1:31" ht="12.75" x14ac:dyDescent="0.2">
      <c r="A18" s="53">
        <f ca="1">IFERROR(__xludf.DUMMYFUNCTION("""COMPUTED_VALUE"""),12)</f>
        <v>12</v>
      </c>
      <c r="B18" s="53" t="str">
        <f ca="1">IFERROR(__xludf.DUMMYFUNCTION("""COMPUTED_VALUE"""),"Mầm non Sơn Ca 3")</f>
        <v>Mầm non Sơn Ca 3</v>
      </c>
      <c r="C18" s="53" t="str">
        <f ca="1">IFERROR(__xludf.DUMMYFUNCTION("""COMPUTED_VALUE"""),"MN")</f>
        <v>MN</v>
      </c>
      <c r="D18" s="53" t="str">
        <f ca="1">IFERROR(__xludf.DUMMYFUNCTION("""COMPUTED_VALUE"""),"Hóc Môn")</f>
        <v>Hóc Môn</v>
      </c>
      <c r="E18" s="54">
        <f ca="1">IFERROR(__xludf.DUMMYFUNCTION("""COMPUTED_VALUE"""),41)</f>
        <v>41</v>
      </c>
      <c r="F18" s="54">
        <f ca="1">IFERROR(__xludf.DUMMYFUNCTION("""COMPUTED_VALUE"""),41)</f>
        <v>41</v>
      </c>
      <c r="G18" s="51">
        <f t="shared" ca="1" si="0"/>
        <v>1</v>
      </c>
      <c r="H18" s="54">
        <f ca="1">IFERROR(__xludf.DUMMYFUNCTION("""COMPUTED_VALUE"""),41)</f>
        <v>41</v>
      </c>
      <c r="I18" s="51">
        <f t="shared" ca="1" si="1"/>
        <v>1</v>
      </c>
      <c r="J18" s="54">
        <f ca="1">IFERROR(__xludf.DUMMYFUNCTION("""COMPUTED_VALUE"""),40)</f>
        <v>40</v>
      </c>
      <c r="K18" s="51">
        <f t="shared" ca="1" si="2"/>
        <v>0.97560975609756095</v>
      </c>
      <c r="L18" s="54">
        <f ca="1">IFERROR(__xludf.DUMMYFUNCTION("""COMPUTED_VALUE"""),34)</f>
        <v>34</v>
      </c>
      <c r="M18" s="51">
        <f t="shared" ca="1" si="3"/>
        <v>0.82926829268292679</v>
      </c>
      <c r="N18" s="54">
        <f ca="1">IFERROR(__xludf.DUMMYFUNCTION("""COMPUTED_VALUE"""),136)</f>
        <v>136</v>
      </c>
      <c r="O18" s="54">
        <f ca="1">IFERROR(__xludf.DUMMYFUNCTION("""COMPUTED_VALUE"""),3)</f>
        <v>3</v>
      </c>
      <c r="P18" s="51">
        <f t="shared" ca="1" si="4"/>
        <v>2.2058823529411766E-2</v>
      </c>
      <c r="Q18" s="54">
        <f ca="1">IFERROR(__xludf.DUMMYFUNCTION("""COMPUTED_VALUE"""),14)</f>
        <v>14</v>
      </c>
      <c r="R18" s="51">
        <f t="shared" ca="1" si="5"/>
        <v>0.10294117647058823</v>
      </c>
      <c r="S18" s="53"/>
      <c r="T18" s="53"/>
      <c r="U18" s="51" t="str">
        <f t="shared" si="6"/>
        <v/>
      </c>
      <c r="V18" s="53"/>
      <c r="W18" s="51" t="str">
        <f t="shared" si="7"/>
        <v/>
      </c>
      <c r="X18" s="53"/>
      <c r="Y18" s="51" t="str">
        <f t="shared" si="8"/>
        <v/>
      </c>
      <c r="Z18" s="2"/>
      <c r="AA18" s="2"/>
      <c r="AB18" s="2"/>
      <c r="AC18" s="2"/>
      <c r="AD18" s="2"/>
      <c r="AE18" s="2"/>
    </row>
    <row r="19" spans="1:31" ht="12.75" x14ac:dyDescent="0.2">
      <c r="A19" s="53">
        <f ca="1">IFERROR(__xludf.DUMMYFUNCTION("""COMPUTED_VALUE"""),13)</f>
        <v>13</v>
      </c>
      <c r="B19" s="53" t="str">
        <f ca="1">IFERROR(__xludf.DUMMYFUNCTION("""COMPUTED_VALUE"""),"Mầm non Tân Hòa")</f>
        <v>Mầm non Tân Hòa</v>
      </c>
      <c r="C19" s="53" t="str">
        <f ca="1">IFERROR(__xludf.DUMMYFUNCTION("""COMPUTED_VALUE"""),"MN")</f>
        <v>MN</v>
      </c>
      <c r="D19" s="53" t="str">
        <f ca="1">IFERROR(__xludf.DUMMYFUNCTION("""COMPUTED_VALUE"""),"Hóc Môn")</f>
        <v>Hóc Môn</v>
      </c>
      <c r="E19" s="54">
        <f ca="1">IFERROR(__xludf.DUMMYFUNCTION("""COMPUTED_VALUE"""),48)</f>
        <v>48</v>
      </c>
      <c r="F19" s="54">
        <f ca="1">IFERROR(__xludf.DUMMYFUNCTION("""COMPUTED_VALUE"""),48)</f>
        <v>48</v>
      </c>
      <c r="G19" s="51">
        <f t="shared" ca="1" si="0"/>
        <v>1</v>
      </c>
      <c r="H19" s="54">
        <f ca="1">IFERROR(__xludf.DUMMYFUNCTION("""COMPUTED_VALUE"""),48)</f>
        <v>48</v>
      </c>
      <c r="I19" s="51">
        <f t="shared" ca="1" si="1"/>
        <v>1</v>
      </c>
      <c r="J19" s="54">
        <f ca="1">IFERROR(__xludf.DUMMYFUNCTION("""COMPUTED_VALUE"""),48)</f>
        <v>48</v>
      </c>
      <c r="K19" s="51">
        <f t="shared" ca="1" si="2"/>
        <v>1</v>
      </c>
      <c r="L19" s="54">
        <f ca="1">IFERROR(__xludf.DUMMYFUNCTION("""COMPUTED_VALUE"""),38)</f>
        <v>38</v>
      </c>
      <c r="M19" s="51">
        <f t="shared" ca="1" si="3"/>
        <v>0.79166666666666663</v>
      </c>
      <c r="N19" s="54">
        <f ca="1">IFERROR(__xludf.DUMMYFUNCTION("""COMPUTED_VALUE"""),165)</f>
        <v>165</v>
      </c>
      <c r="O19" s="54">
        <f ca="1">IFERROR(__xludf.DUMMYFUNCTION("""COMPUTED_VALUE"""),21)</f>
        <v>21</v>
      </c>
      <c r="P19" s="51">
        <f t="shared" ca="1" si="4"/>
        <v>0.12727272727272726</v>
      </c>
      <c r="Q19" s="54">
        <f ca="1">IFERROR(__xludf.DUMMYFUNCTION("""COMPUTED_VALUE"""),4)</f>
        <v>4</v>
      </c>
      <c r="R19" s="51">
        <f t="shared" ca="1" si="5"/>
        <v>2.4242424242424242E-2</v>
      </c>
      <c r="S19" s="53"/>
      <c r="T19" s="53"/>
      <c r="U19" s="51" t="str">
        <f t="shared" si="6"/>
        <v/>
      </c>
      <c r="V19" s="53"/>
      <c r="W19" s="51" t="str">
        <f t="shared" si="7"/>
        <v/>
      </c>
      <c r="X19" s="53"/>
      <c r="Y19" s="51" t="str">
        <f t="shared" si="8"/>
        <v/>
      </c>
      <c r="Z19" s="2"/>
      <c r="AA19" s="2"/>
      <c r="AB19" s="2"/>
      <c r="AC19" s="2"/>
      <c r="AD19" s="2"/>
      <c r="AE19" s="2"/>
    </row>
    <row r="20" spans="1:31" ht="12.75" x14ac:dyDescent="0.2">
      <c r="A20" s="53">
        <f ca="1">IFERROR(__xludf.DUMMYFUNCTION("""COMPUTED_VALUE"""),14)</f>
        <v>14</v>
      </c>
      <c r="B20" s="53" t="str">
        <f ca="1">IFERROR(__xludf.DUMMYFUNCTION("""COMPUTED_VALUE"""),"Mầm non Tân Hiệp")</f>
        <v>Mầm non Tân Hiệp</v>
      </c>
      <c r="C20" s="53" t="str">
        <f ca="1">IFERROR(__xludf.DUMMYFUNCTION("""COMPUTED_VALUE"""),"MN")</f>
        <v>MN</v>
      </c>
      <c r="D20" s="53" t="str">
        <f ca="1">IFERROR(__xludf.DUMMYFUNCTION("""COMPUTED_VALUE"""),"Hóc Môn")</f>
        <v>Hóc Môn</v>
      </c>
      <c r="E20" s="54">
        <f ca="1">IFERROR(__xludf.DUMMYFUNCTION("""COMPUTED_VALUE"""),39)</f>
        <v>39</v>
      </c>
      <c r="F20" s="54">
        <f ca="1">IFERROR(__xludf.DUMMYFUNCTION("""COMPUTED_VALUE"""),39)</f>
        <v>39</v>
      </c>
      <c r="G20" s="51">
        <f t="shared" ca="1" si="0"/>
        <v>1</v>
      </c>
      <c r="H20" s="54">
        <f ca="1">IFERROR(__xludf.DUMMYFUNCTION("""COMPUTED_VALUE"""),39)</f>
        <v>39</v>
      </c>
      <c r="I20" s="51">
        <f t="shared" ca="1" si="1"/>
        <v>1</v>
      </c>
      <c r="J20" s="54">
        <f ca="1">IFERROR(__xludf.DUMMYFUNCTION("""COMPUTED_VALUE"""),37)</f>
        <v>37</v>
      </c>
      <c r="K20" s="51">
        <f t="shared" ca="1" si="2"/>
        <v>0.94871794871794868</v>
      </c>
      <c r="L20" s="54">
        <f ca="1">IFERROR(__xludf.DUMMYFUNCTION("""COMPUTED_VALUE"""),36)</f>
        <v>36</v>
      </c>
      <c r="M20" s="51">
        <f t="shared" ca="1" si="3"/>
        <v>0.92307692307692313</v>
      </c>
      <c r="N20" s="54">
        <f ca="1">IFERROR(__xludf.DUMMYFUNCTION("""COMPUTED_VALUE"""),105)</f>
        <v>105</v>
      </c>
      <c r="O20" s="54">
        <f ca="1">IFERROR(__xludf.DUMMYFUNCTION("""COMPUTED_VALUE"""),12)</f>
        <v>12</v>
      </c>
      <c r="P20" s="51">
        <f t="shared" ca="1" si="4"/>
        <v>0.11428571428571428</v>
      </c>
      <c r="Q20" s="54">
        <f ca="1">IFERROR(__xludf.DUMMYFUNCTION("""COMPUTED_VALUE"""),2)</f>
        <v>2</v>
      </c>
      <c r="R20" s="51">
        <f t="shared" ca="1" si="5"/>
        <v>1.9047619047619049E-2</v>
      </c>
      <c r="S20" s="53"/>
      <c r="T20" s="53"/>
      <c r="U20" s="51" t="str">
        <f t="shared" si="6"/>
        <v/>
      </c>
      <c r="V20" s="53"/>
      <c r="W20" s="51" t="str">
        <f t="shared" si="7"/>
        <v/>
      </c>
      <c r="X20" s="53"/>
      <c r="Y20" s="51" t="str">
        <f t="shared" si="8"/>
        <v/>
      </c>
      <c r="Z20" s="2"/>
      <c r="AA20" s="2"/>
      <c r="AB20" s="2"/>
      <c r="AC20" s="2"/>
      <c r="AD20" s="2"/>
      <c r="AE20" s="2"/>
    </row>
    <row r="21" spans="1:31" ht="12.75" x14ac:dyDescent="0.2">
      <c r="A21" s="53">
        <f ca="1">IFERROR(__xludf.DUMMYFUNCTION("""COMPUTED_VALUE"""),15)</f>
        <v>15</v>
      </c>
      <c r="B21" s="53" t="str">
        <f ca="1">IFERROR(__xludf.DUMMYFUNCTION("""COMPUTED_VALUE"""),"Mầm non Tân Xuân")</f>
        <v>Mầm non Tân Xuân</v>
      </c>
      <c r="C21" s="53" t="str">
        <f ca="1">IFERROR(__xludf.DUMMYFUNCTION("""COMPUTED_VALUE"""),"MN")</f>
        <v>MN</v>
      </c>
      <c r="D21" s="53" t="str">
        <f ca="1">IFERROR(__xludf.DUMMYFUNCTION("""COMPUTED_VALUE"""),"Hóc Môn")</f>
        <v>Hóc Môn</v>
      </c>
      <c r="E21" s="54">
        <f ca="1">IFERROR(__xludf.DUMMYFUNCTION("""COMPUTED_VALUE"""),50)</f>
        <v>50</v>
      </c>
      <c r="F21" s="54">
        <f ca="1">IFERROR(__xludf.DUMMYFUNCTION("""COMPUTED_VALUE"""),50)</f>
        <v>50</v>
      </c>
      <c r="G21" s="51">
        <f t="shared" ca="1" si="0"/>
        <v>1</v>
      </c>
      <c r="H21" s="54">
        <f ca="1">IFERROR(__xludf.DUMMYFUNCTION("""COMPUTED_VALUE"""),50)</f>
        <v>50</v>
      </c>
      <c r="I21" s="51">
        <f t="shared" ca="1" si="1"/>
        <v>1</v>
      </c>
      <c r="J21" s="54">
        <f ca="1">IFERROR(__xludf.DUMMYFUNCTION("""COMPUTED_VALUE"""),50)</f>
        <v>50</v>
      </c>
      <c r="K21" s="51">
        <f t="shared" ca="1" si="2"/>
        <v>1</v>
      </c>
      <c r="L21" s="54">
        <f ca="1">IFERROR(__xludf.DUMMYFUNCTION("""COMPUTED_VALUE"""),42)</f>
        <v>42</v>
      </c>
      <c r="M21" s="51">
        <f t="shared" ca="1" si="3"/>
        <v>0.84</v>
      </c>
      <c r="N21" s="54">
        <f ca="1">IFERROR(__xludf.DUMMYFUNCTION("""COMPUTED_VALUE"""),146)</f>
        <v>146</v>
      </c>
      <c r="O21" s="54">
        <f ca="1">IFERROR(__xludf.DUMMYFUNCTION("""COMPUTED_VALUE"""),25)</f>
        <v>25</v>
      </c>
      <c r="P21" s="51">
        <f t="shared" ca="1" si="4"/>
        <v>0.17123287671232876</v>
      </c>
      <c r="Q21" s="54">
        <f ca="1">IFERROR(__xludf.DUMMYFUNCTION("""COMPUTED_VALUE"""),9)</f>
        <v>9</v>
      </c>
      <c r="R21" s="51">
        <f t="shared" ca="1" si="5"/>
        <v>6.1643835616438353E-2</v>
      </c>
      <c r="S21" s="53"/>
      <c r="T21" s="53"/>
      <c r="U21" s="51" t="str">
        <f t="shared" si="6"/>
        <v/>
      </c>
      <c r="V21" s="53"/>
      <c r="W21" s="51" t="str">
        <f t="shared" si="7"/>
        <v/>
      </c>
      <c r="X21" s="53"/>
      <c r="Y21" s="51" t="str">
        <f t="shared" si="8"/>
        <v/>
      </c>
      <c r="Z21" s="2"/>
      <c r="AA21" s="2"/>
      <c r="AB21" s="2"/>
      <c r="AC21" s="2"/>
      <c r="AD21" s="2"/>
      <c r="AE21" s="2"/>
    </row>
    <row r="22" spans="1:31" ht="12.75" x14ac:dyDescent="0.2">
      <c r="A22" s="53">
        <f ca="1">IFERROR(__xludf.DUMMYFUNCTION("""COMPUTED_VALUE"""),16)</f>
        <v>16</v>
      </c>
      <c r="B22" s="53" t="str">
        <f ca="1">IFERROR(__xludf.DUMMYFUNCTION("""COMPUTED_VALUE"""),"Mầm non Nhị Xuân")</f>
        <v>Mầm non Nhị Xuân</v>
      </c>
      <c r="C22" s="53" t="str">
        <f ca="1">IFERROR(__xludf.DUMMYFUNCTION("""COMPUTED_VALUE"""),"MN")</f>
        <v>MN</v>
      </c>
      <c r="D22" s="53" t="str">
        <f ca="1">IFERROR(__xludf.DUMMYFUNCTION("""COMPUTED_VALUE"""),"Hóc Môn")</f>
        <v>Hóc Môn</v>
      </c>
      <c r="E22" s="54">
        <f ca="1">IFERROR(__xludf.DUMMYFUNCTION("""COMPUTED_VALUE"""),43)</f>
        <v>43</v>
      </c>
      <c r="F22" s="54">
        <f ca="1">IFERROR(__xludf.DUMMYFUNCTION("""COMPUTED_VALUE"""),43)</f>
        <v>43</v>
      </c>
      <c r="G22" s="51">
        <f t="shared" ca="1" si="0"/>
        <v>1</v>
      </c>
      <c r="H22" s="54">
        <f ca="1">IFERROR(__xludf.DUMMYFUNCTION("""COMPUTED_VALUE"""),43)</f>
        <v>43</v>
      </c>
      <c r="I22" s="51">
        <f t="shared" ca="1" si="1"/>
        <v>1</v>
      </c>
      <c r="J22" s="54">
        <f ca="1">IFERROR(__xludf.DUMMYFUNCTION("""COMPUTED_VALUE"""),42)</f>
        <v>42</v>
      </c>
      <c r="K22" s="51">
        <f t="shared" ca="1" si="2"/>
        <v>0.97674418604651159</v>
      </c>
      <c r="L22" s="54">
        <f ca="1">IFERROR(__xludf.DUMMYFUNCTION("""COMPUTED_VALUE"""),37)</f>
        <v>37</v>
      </c>
      <c r="M22" s="51">
        <f t="shared" ca="1" si="3"/>
        <v>0.86046511627906974</v>
      </c>
      <c r="N22" s="54">
        <f ca="1">IFERROR(__xludf.DUMMYFUNCTION("""COMPUTED_VALUE"""),125)</f>
        <v>125</v>
      </c>
      <c r="O22" s="54">
        <f ca="1">IFERROR(__xludf.DUMMYFUNCTION("""COMPUTED_VALUE"""),37)</f>
        <v>37</v>
      </c>
      <c r="P22" s="51">
        <f t="shared" ca="1" si="4"/>
        <v>0.29599999999999999</v>
      </c>
      <c r="Q22" s="54">
        <f ca="1">IFERROR(__xludf.DUMMYFUNCTION("""COMPUTED_VALUE"""),16)</f>
        <v>16</v>
      </c>
      <c r="R22" s="51">
        <f t="shared" ca="1" si="5"/>
        <v>0.128</v>
      </c>
      <c r="S22" s="53"/>
      <c r="T22" s="53"/>
      <c r="U22" s="51" t="str">
        <f t="shared" si="6"/>
        <v/>
      </c>
      <c r="V22" s="53"/>
      <c r="W22" s="51" t="str">
        <f t="shared" si="7"/>
        <v/>
      </c>
      <c r="X22" s="53"/>
      <c r="Y22" s="51" t="str">
        <f t="shared" si="8"/>
        <v/>
      </c>
      <c r="Z22" s="2"/>
      <c r="AA22" s="2"/>
      <c r="AB22" s="2"/>
      <c r="AC22" s="2"/>
      <c r="AD22" s="2"/>
      <c r="AE22" s="2"/>
    </row>
    <row r="23" spans="1:31" ht="12.75" x14ac:dyDescent="0.2">
      <c r="A23" s="53">
        <f ca="1">IFERROR(__xludf.DUMMYFUNCTION("""COMPUTED_VALUE"""),17)</f>
        <v>17</v>
      </c>
      <c r="B23" s="53" t="str">
        <f ca="1">IFERROR(__xludf.DUMMYFUNCTION("""COMPUTED_VALUE"""),"Mầm non Xuân Thới Đông")</f>
        <v>Mầm non Xuân Thới Đông</v>
      </c>
      <c r="C23" s="53" t="str">
        <f ca="1">IFERROR(__xludf.DUMMYFUNCTION("""COMPUTED_VALUE"""),"MN")</f>
        <v>MN</v>
      </c>
      <c r="D23" s="53" t="str">
        <f ca="1">IFERROR(__xludf.DUMMYFUNCTION("""COMPUTED_VALUE"""),"Hóc Môn")</f>
        <v>Hóc Môn</v>
      </c>
      <c r="E23" s="54">
        <f ca="1">IFERROR(__xludf.DUMMYFUNCTION("""COMPUTED_VALUE"""),53)</f>
        <v>53</v>
      </c>
      <c r="F23" s="54">
        <f ca="1">IFERROR(__xludf.DUMMYFUNCTION("""COMPUTED_VALUE"""),53)</f>
        <v>53</v>
      </c>
      <c r="G23" s="51">
        <f t="shared" ca="1" si="0"/>
        <v>1</v>
      </c>
      <c r="H23" s="54">
        <f ca="1">IFERROR(__xludf.DUMMYFUNCTION("""COMPUTED_VALUE"""),53)</f>
        <v>53</v>
      </c>
      <c r="I23" s="51">
        <f t="shared" ca="1" si="1"/>
        <v>1</v>
      </c>
      <c r="J23" s="54">
        <f ca="1">IFERROR(__xludf.DUMMYFUNCTION("""COMPUTED_VALUE"""),53)</f>
        <v>53</v>
      </c>
      <c r="K23" s="51">
        <f t="shared" ca="1" si="2"/>
        <v>1</v>
      </c>
      <c r="L23" s="54">
        <f ca="1">IFERROR(__xludf.DUMMYFUNCTION("""COMPUTED_VALUE"""),49)</f>
        <v>49</v>
      </c>
      <c r="M23" s="51">
        <f t="shared" ca="1" si="3"/>
        <v>0.92452830188679247</v>
      </c>
      <c r="N23" s="54">
        <f ca="1">IFERROR(__xludf.DUMMYFUNCTION("""COMPUTED_VALUE"""),162)</f>
        <v>162</v>
      </c>
      <c r="O23" s="54">
        <f ca="1">IFERROR(__xludf.DUMMYFUNCTION("""COMPUTED_VALUE"""),21)</f>
        <v>21</v>
      </c>
      <c r="P23" s="51">
        <f t="shared" ca="1" si="4"/>
        <v>0.12962962962962962</v>
      </c>
      <c r="Q23" s="54">
        <f ca="1">IFERROR(__xludf.DUMMYFUNCTION("""COMPUTED_VALUE"""),9)</f>
        <v>9</v>
      </c>
      <c r="R23" s="51">
        <f t="shared" ca="1" si="5"/>
        <v>5.5555555555555552E-2</v>
      </c>
      <c r="S23" s="53"/>
      <c r="T23" s="53"/>
      <c r="U23" s="51" t="str">
        <f t="shared" si="6"/>
        <v/>
      </c>
      <c r="V23" s="53"/>
      <c r="W23" s="51" t="str">
        <f t="shared" si="7"/>
        <v/>
      </c>
      <c r="X23" s="53"/>
      <c r="Y23" s="51" t="str">
        <f t="shared" si="8"/>
        <v/>
      </c>
      <c r="Z23" s="2"/>
      <c r="AA23" s="2"/>
      <c r="AB23" s="2"/>
      <c r="AC23" s="2"/>
      <c r="AD23" s="2"/>
      <c r="AE23" s="2"/>
    </row>
    <row r="24" spans="1:31" ht="12.75" x14ac:dyDescent="0.2">
      <c r="A24" s="53">
        <f ca="1">IFERROR(__xludf.DUMMYFUNCTION("""COMPUTED_VALUE"""),18)</f>
        <v>18</v>
      </c>
      <c r="B24" s="53" t="str">
        <f ca="1">IFERROR(__xludf.DUMMYFUNCTION("""COMPUTED_VALUE"""),"Mầm non Xuân Thới Thương")</f>
        <v>Mầm non Xuân Thới Thương</v>
      </c>
      <c r="C24" s="53" t="str">
        <f ca="1">IFERROR(__xludf.DUMMYFUNCTION("""COMPUTED_VALUE"""),"MN")</f>
        <v>MN</v>
      </c>
      <c r="D24" s="53" t="str">
        <f ca="1">IFERROR(__xludf.DUMMYFUNCTION("""COMPUTED_VALUE"""),"Hóc Môn")</f>
        <v>Hóc Môn</v>
      </c>
      <c r="E24" s="54">
        <f ca="1">IFERROR(__xludf.DUMMYFUNCTION("""COMPUTED_VALUE"""),45)</f>
        <v>45</v>
      </c>
      <c r="F24" s="54">
        <f ca="1">IFERROR(__xludf.DUMMYFUNCTION("""COMPUTED_VALUE"""),45)</f>
        <v>45</v>
      </c>
      <c r="G24" s="51">
        <f t="shared" ca="1" si="0"/>
        <v>1</v>
      </c>
      <c r="H24" s="54">
        <f ca="1">IFERROR(__xludf.DUMMYFUNCTION("""COMPUTED_VALUE"""),45)</f>
        <v>45</v>
      </c>
      <c r="I24" s="51">
        <f t="shared" ca="1" si="1"/>
        <v>1</v>
      </c>
      <c r="J24" s="54">
        <f ca="1">IFERROR(__xludf.DUMMYFUNCTION("""COMPUTED_VALUE"""),44)</f>
        <v>44</v>
      </c>
      <c r="K24" s="51">
        <f t="shared" ca="1" si="2"/>
        <v>0.97777777777777775</v>
      </c>
      <c r="L24" s="54">
        <f ca="1">IFERROR(__xludf.DUMMYFUNCTION("""COMPUTED_VALUE"""),40)</f>
        <v>40</v>
      </c>
      <c r="M24" s="51">
        <f t="shared" ca="1" si="3"/>
        <v>0.88888888888888884</v>
      </c>
      <c r="N24" s="54">
        <f ca="1">IFERROR(__xludf.DUMMYFUNCTION("""COMPUTED_VALUE"""),177)</f>
        <v>177</v>
      </c>
      <c r="O24" s="54">
        <f ca="1">IFERROR(__xludf.DUMMYFUNCTION("""COMPUTED_VALUE"""),15)</f>
        <v>15</v>
      </c>
      <c r="P24" s="51">
        <f t="shared" ca="1" si="4"/>
        <v>8.4745762711864403E-2</v>
      </c>
      <c r="Q24" s="54">
        <f ca="1">IFERROR(__xludf.DUMMYFUNCTION("""COMPUTED_VALUE"""),12)</f>
        <v>12</v>
      </c>
      <c r="R24" s="51">
        <f t="shared" ca="1" si="5"/>
        <v>6.7796610169491525E-2</v>
      </c>
      <c r="S24" s="53"/>
      <c r="T24" s="53"/>
      <c r="U24" s="51" t="str">
        <f t="shared" si="6"/>
        <v/>
      </c>
      <c r="V24" s="53"/>
      <c r="W24" s="51" t="str">
        <f t="shared" si="7"/>
        <v/>
      </c>
      <c r="X24" s="53"/>
      <c r="Y24" s="51" t="str">
        <f t="shared" si="8"/>
        <v/>
      </c>
      <c r="Z24" s="2"/>
      <c r="AA24" s="2"/>
      <c r="AB24" s="2"/>
      <c r="AC24" s="2"/>
      <c r="AD24" s="2"/>
      <c r="AE24" s="2"/>
    </row>
    <row r="25" spans="1:31" ht="12.75" x14ac:dyDescent="0.2">
      <c r="A25" s="53">
        <f ca="1">IFERROR(__xludf.DUMMYFUNCTION("""COMPUTED_VALUE"""),19)</f>
        <v>19</v>
      </c>
      <c r="B25" s="53" t="str">
        <f ca="1">IFERROR(__xludf.DUMMYFUNCTION("""COMPUTED_VALUE"""),"Mầm non Mỹ Hoà")</f>
        <v>Mầm non Mỹ Hoà</v>
      </c>
      <c r="C25" s="53" t="str">
        <f ca="1">IFERROR(__xludf.DUMMYFUNCTION("""COMPUTED_VALUE"""),"MN")</f>
        <v>MN</v>
      </c>
      <c r="D25" s="53" t="str">
        <f ca="1">IFERROR(__xludf.DUMMYFUNCTION("""COMPUTED_VALUE"""),"Hóc Môn")</f>
        <v>Hóc Môn</v>
      </c>
      <c r="E25" s="54">
        <f ca="1">IFERROR(__xludf.DUMMYFUNCTION("""COMPUTED_VALUE"""),41)</f>
        <v>41</v>
      </c>
      <c r="F25" s="54">
        <f ca="1">IFERROR(__xludf.DUMMYFUNCTION("""COMPUTED_VALUE"""),41)</f>
        <v>41</v>
      </c>
      <c r="G25" s="51">
        <f t="shared" ca="1" si="0"/>
        <v>1</v>
      </c>
      <c r="H25" s="54">
        <f ca="1">IFERROR(__xludf.DUMMYFUNCTION("""COMPUTED_VALUE"""),41)</f>
        <v>41</v>
      </c>
      <c r="I25" s="51">
        <f t="shared" ca="1" si="1"/>
        <v>1</v>
      </c>
      <c r="J25" s="54">
        <f ca="1">IFERROR(__xludf.DUMMYFUNCTION("""COMPUTED_VALUE"""),41)</f>
        <v>41</v>
      </c>
      <c r="K25" s="51">
        <f t="shared" ca="1" si="2"/>
        <v>1</v>
      </c>
      <c r="L25" s="54">
        <f ca="1">IFERROR(__xludf.DUMMYFUNCTION("""COMPUTED_VALUE"""),38)</f>
        <v>38</v>
      </c>
      <c r="M25" s="51">
        <f t="shared" ca="1" si="3"/>
        <v>0.92682926829268297</v>
      </c>
      <c r="N25" s="54">
        <f ca="1">IFERROR(__xludf.DUMMYFUNCTION("""COMPUTED_VALUE"""),163)</f>
        <v>163</v>
      </c>
      <c r="O25" s="54">
        <f ca="1">IFERROR(__xludf.DUMMYFUNCTION("""COMPUTED_VALUE"""),10)</f>
        <v>10</v>
      </c>
      <c r="P25" s="51">
        <f t="shared" ca="1" si="4"/>
        <v>6.1349693251533742E-2</v>
      </c>
      <c r="Q25" s="54">
        <f ca="1">IFERROR(__xludf.DUMMYFUNCTION("""COMPUTED_VALUE"""),4)</f>
        <v>4</v>
      </c>
      <c r="R25" s="51">
        <f t="shared" ca="1" si="5"/>
        <v>2.4539877300613498E-2</v>
      </c>
      <c r="S25" s="53"/>
      <c r="T25" s="53"/>
      <c r="U25" s="51" t="str">
        <f t="shared" si="6"/>
        <v/>
      </c>
      <c r="V25" s="53"/>
      <c r="W25" s="51" t="str">
        <f t="shared" si="7"/>
        <v/>
      </c>
      <c r="X25" s="53"/>
      <c r="Y25" s="51" t="str">
        <f t="shared" si="8"/>
        <v/>
      </c>
      <c r="Z25" s="2"/>
      <c r="AA25" s="2"/>
      <c r="AB25" s="2"/>
      <c r="AC25" s="2"/>
      <c r="AD25" s="2"/>
      <c r="AE25" s="2"/>
    </row>
    <row r="26" spans="1:31" ht="12.75" x14ac:dyDescent="0.2">
      <c r="A26" s="53">
        <f ca="1">IFERROR(__xludf.DUMMYFUNCTION("""COMPUTED_VALUE"""),20)</f>
        <v>20</v>
      </c>
      <c r="B26" s="53" t="str">
        <f ca="1">IFERROR(__xludf.DUMMYFUNCTION("""COMPUTED_VALUE"""),"MNTT Minh Đức")</f>
        <v>MNTT Minh Đức</v>
      </c>
      <c r="C26" s="53" t="str">
        <f ca="1">IFERROR(__xludf.DUMMYFUNCTION("""COMPUTED_VALUE"""),"MN")</f>
        <v>MN</v>
      </c>
      <c r="D26" s="53" t="str">
        <f ca="1">IFERROR(__xludf.DUMMYFUNCTION("""COMPUTED_VALUE"""),"Hóc Môn")</f>
        <v>Hóc Môn</v>
      </c>
      <c r="E26" s="54">
        <f ca="1">IFERROR(__xludf.DUMMYFUNCTION("""COMPUTED_VALUE"""),22)</f>
        <v>22</v>
      </c>
      <c r="F26" s="54">
        <f ca="1">IFERROR(__xludf.DUMMYFUNCTION("""COMPUTED_VALUE"""),22)</f>
        <v>22</v>
      </c>
      <c r="G26" s="51">
        <f t="shared" ca="1" si="0"/>
        <v>1</v>
      </c>
      <c r="H26" s="54">
        <f ca="1">IFERROR(__xludf.DUMMYFUNCTION("""COMPUTED_VALUE"""),22)</f>
        <v>22</v>
      </c>
      <c r="I26" s="51">
        <f t="shared" ca="1" si="1"/>
        <v>1</v>
      </c>
      <c r="J26" s="54">
        <f ca="1">IFERROR(__xludf.DUMMYFUNCTION("""COMPUTED_VALUE"""),21)</f>
        <v>21</v>
      </c>
      <c r="K26" s="51">
        <f t="shared" ca="1" si="2"/>
        <v>0.95454545454545459</v>
      </c>
      <c r="L26" s="54">
        <f ca="1">IFERROR(__xludf.DUMMYFUNCTION("""COMPUTED_VALUE"""),17)</f>
        <v>17</v>
      </c>
      <c r="M26" s="51">
        <f t="shared" ca="1" si="3"/>
        <v>0.77272727272727271</v>
      </c>
      <c r="N26" s="54">
        <f ca="1">IFERROR(__xludf.DUMMYFUNCTION("""COMPUTED_VALUE"""),36)</f>
        <v>36</v>
      </c>
      <c r="O26" s="54">
        <f ca="1">IFERROR(__xludf.DUMMYFUNCTION("""COMPUTED_VALUE"""),0)</f>
        <v>0</v>
      </c>
      <c r="P26" s="51">
        <f t="shared" ca="1" si="4"/>
        <v>0</v>
      </c>
      <c r="Q26" s="54">
        <f ca="1">IFERROR(__xludf.DUMMYFUNCTION("""COMPUTED_VALUE"""),0)</f>
        <v>0</v>
      </c>
      <c r="R26" s="51">
        <f t="shared" ca="1" si="5"/>
        <v>0</v>
      </c>
      <c r="S26" s="53"/>
      <c r="T26" s="53"/>
      <c r="U26" s="51" t="str">
        <f t="shared" si="6"/>
        <v/>
      </c>
      <c r="V26" s="53"/>
      <c r="W26" s="51" t="str">
        <f t="shared" si="7"/>
        <v/>
      </c>
      <c r="X26" s="53"/>
      <c r="Y26" s="51" t="str">
        <f t="shared" si="8"/>
        <v/>
      </c>
      <c r="Z26" s="2"/>
      <c r="AA26" s="2"/>
      <c r="AB26" s="2"/>
      <c r="AC26" s="2"/>
      <c r="AD26" s="2"/>
      <c r="AE26" s="2"/>
    </row>
    <row r="27" spans="1:31" ht="12.75" x14ac:dyDescent="0.2">
      <c r="A27" s="53">
        <f ca="1">IFERROR(__xludf.DUMMYFUNCTION("""COMPUTED_VALUE"""),21)</f>
        <v>21</v>
      </c>
      <c r="B27" s="53" t="str">
        <f ca="1">IFERROR(__xludf.DUMMYFUNCTION("""COMPUTED_VALUE"""),"MNTT Rạng Đông")</f>
        <v>MNTT Rạng Đông</v>
      </c>
      <c r="C27" s="53" t="str">
        <f ca="1">IFERROR(__xludf.DUMMYFUNCTION("""COMPUTED_VALUE"""),"MN")</f>
        <v>MN</v>
      </c>
      <c r="D27" s="53" t="str">
        <f ca="1">IFERROR(__xludf.DUMMYFUNCTION("""COMPUTED_VALUE"""),"Hóc Môn")</f>
        <v>Hóc Môn</v>
      </c>
      <c r="E27" s="54">
        <f ca="1">IFERROR(__xludf.DUMMYFUNCTION("""COMPUTED_VALUE"""),50)</f>
        <v>50</v>
      </c>
      <c r="F27" s="54">
        <f ca="1">IFERROR(__xludf.DUMMYFUNCTION("""COMPUTED_VALUE"""),50)</f>
        <v>50</v>
      </c>
      <c r="G27" s="51">
        <f t="shared" ca="1" si="0"/>
        <v>1</v>
      </c>
      <c r="H27" s="54">
        <f ca="1">IFERROR(__xludf.DUMMYFUNCTION("""COMPUTED_VALUE"""),50)</f>
        <v>50</v>
      </c>
      <c r="I27" s="51">
        <f t="shared" ca="1" si="1"/>
        <v>1</v>
      </c>
      <c r="J27" s="54">
        <f ca="1">IFERROR(__xludf.DUMMYFUNCTION("""COMPUTED_VALUE"""),50)</f>
        <v>50</v>
      </c>
      <c r="K27" s="51">
        <f t="shared" ca="1" si="2"/>
        <v>1</v>
      </c>
      <c r="L27" s="54">
        <f ca="1">IFERROR(__xludf.DUMMYFUNCTION("""COMPUTED_VALUE"""),47)</f>
        <v>47</v>
      </c>
      <c r="M27" s="51">
        <f t="shared" ca="1" si="3"/>
        <v>0.94</v>
      </c>
      <c r="N27" s="54">
        <f ca="1">IFERROR(__xludf.DUMMYFUNCTION("""COMPUTED_VALUE"""),250)</f>
        <v>250</v>
      </c>
      <c r="O27" s="54">
        <f ca="1">IFERROR(__xludf.DUMMYFUNCTION("""COMPUTED_VALUE"""),0)</f>
        <v>0</v>
      </c>
      <c r="P27" s="51">
        <f t="shared" ca="1" si="4"/>
        <v>0</v>
      </c>
      <c r="Q27" s="54">
        <f ca="1">IFERROR(__xludf.DUMMYFUNCTION("""COMPUTED_VALUE"""),0)</f>
        <v>0</v>
      </c>
      <c r="R27" s="51">
        <f t="shared" ca="1" si="5"/>
        <v>0</v>
      </c>
      <c r="S27" s="53"/>
      <c r="T27" s="53"/>
      <c r="U27" s="51" t="str">
        <f t="shared" si="6"/>
        <v/>
      </c>
      <c r="V27" s="53"/>
      <c r="W27" s="51" t="str">
        <f t="shared" si="7"/>
        <v/>
      </c>
      <c r="X27" s="53"/>
      <c r="Y27" s="51" t="str">
        <f t="shared" si="8"/>
        <v/>
      </c>
      <c r="Z27" s="2"/>
      <c r="AA27" s="2"/>
      <c r="AB27" s="2"/>
      <c r="AC27" s="2"/>
      <c r="AD27" s="2"/>
      <c r="AE27" s="2"/>
    </row>
    <row r="28" spans="1:31" ht="12.75" x14ac:dyDescent="0.2">
      <c r="A28" s="53">
        <f ca="1">IFERROR(__xludf.DUMMYFUNCTION("""COMPUTED_VALUE"""),22)</f>
        <v>22</v>
      </c>
      <c r="B28" s="53" t="str">
        <f ca="1">IFERROR(__xludf.DUMMYFUNCTION("""COMPUTED_VALUE"""),"MNTT Sao Mai")</f>
        <v>MNTT Sao Mai</v>
      </c>
      <c r="C28" s="53" t="str">
        <f ca="1">IFERROR(__xludf.DUMMYFUNCTION("""COMPUTED_VALUE"""),"MN")</f>
        <v>MN</v>
      </c>
      <c r="D28" s="53" t="str">
        <f ca="1">IFERROR(__xludf.DUMMYFUNCTION("""COMPUTED_VALUE"""),"Hóc Môn")</f>
        <v>Hóc Môn</v>
      </c>
      <c r="E28" s="54">
        <f ca="1">IFERROR(__xludf.DUMMYFUNCTION("""COMPUTED_VALUE"""),48)</f>
        <v>48</v>
      </c>
      <c r="F28" s="54">
        <f ca="1">IFERROR(__xludf.DUMMYFUNCTION("""COMPUTED_VALUE"""),48)</f>
        <v>48</v>
      </c>
      <c r="G28" s="51">
        <f t="shared" ca="1" si="0"/>
        <v>1</v>
      </c>
      <c r="H28" s="54">
        <f ca="1">IFERROR(__xludf.DUMMYFUNCTION("""COMPUTED_VALUE"""),48)</f>
        <v>48</v>
      </c>
      <c r="I28" s="51">
        <f t="shared" ca="1" si="1"/>
        <v>1</v>
      </c>
      <c r="J28" s="54">
        <f ca="1">IFERROR(__xludf.DUMMYFUNCTION("""COMPUTED_VALUE"""),48)</f>
        <v>48</v>
      </c>
      <c r="K28" s="51">
        <f t="shared" ca="1" si="2"/>
        <v>1</v>
      </c>
      <c r="L28" s="54">
        <f ca="1">IFERROR(__xludf.DUMMYFUNCTION("""COMPUTED_VALUE"""),38)</f>
        <v>38</v>
      </c>
      <c r="M28" s="51">
        <f t="shared" ca="1" si="3"/>
        <v>0.79166666666666663</v>
      </c>
      <c r="N28" s="54">
        <f ca="1">IFERROR(__xludf.DUMMYFUNCTION("""COMPUTED_VALUE"""),337)</f>
        <v>337</v>
      </c>
      <c r="O28" s="54">
        <f ca="1">IFERROR(__xludf.DUMMYFUNCTION("""COMPUTED_VALUE"""),40)</f>
        <v>40</v>
      </c>
      <c r="P28" s="51">
        <f t="shared" ca="1" si="4"/>
        <v>0.11869436201780416</v>
      </c>
      <c r="Q28" s="54">
        <f ca="1">IFERROR(__xludf.DUMMYFUNCTION("""COMPUTED_VALUE"""),11)</f>
        <v>11</v>
      </c>
      <c r="R28" s="51">
        <f t="shared" ca="1" si="5"/>
        <v>3.2640949554896145E-2</v>
      </c>
      <c r="S28" s="53"/>
      <c r="T28" s="53"/>
      <c r="U28" s="51" t="str">
        <f t="shared" si="6"/>
        <v/>
      </c>
      <c r="V28" s="53"/>
      <c r="W28" s="51" t="str">
        <f t="shared" si="7"/>
        <v/>
      </c>
      <c r="X28" s="53"/>
      <c r="Y28" s="51" t="str">
        <f t="shared" si="8"/>
        <v/>
      </c>
      <c r="Z28" s="2"/>
      <c r="AA28" s="2"/>
      <c r="AB28" s="2"/>
      <c r="AC28" s="2"/>
      <c r="AD28" s="2"/>
      <c r="AE28" s="2"/>
    </row>
    <row r="29" spans="1:31" ht="12.75" x14ac:dyDescent="0.2">
      <c r="A29" s="53">
        <f ca="1">IFERROR(__xludf.DUMMYFUNCTION("""COMPUTED_VALUE"""),23)</f>
        <v>23</v>
      </c>
      <c r="B29" s="53" t="str">
        <f ca="1">IFERROR(__xludf.DUMMYFUNCTION("""COMPUTED_VALUE"""),"NMNTT Toàn Mỹ")</f>
        <v>NMNTT Toàn Mỹ</v>
      </c>
      <c r="C29" s="53" t="str">
        <f ca="1">IFERROR(__xludf.DUMMYFUNCTION("""COMPUTED_VALUE"""),"MN")</f>
        <v>MN</v>
      </c>
      <c r="D29" s="53" t="str">
        <f ca="1">IFERROR(__xludf.DUMMYFUNCTION("""COMPUTED_VALUE"""),"Hóc Môn")</f>
        <v>Hóc Môn</v>
      </c>
      <c r="E29" s="54">
        <f ca="1">IFERROR(__xludf.DUMMYFUNCTION("""COMPUTED_VALUE"""),19)</f>
        <v>19</v>
      </c>
      <c r="F29" s="54">
        <f ca="1">IFERROR(__xludf.DUMMYFUNCTION("""COMPUTED_VALUE"""),19)</f>
        <v>19</v>
      </c>
      <c r="G29" s="51">
        <f t="shared" ca="1" si="0"/>
        <v>1</v>
      </c>
      <c r="H29" s="54">
        <f ca="1">IFERROR(__xludf.DUMMYFUNCTION("""COMPUTED_VALUE"""),19)</f>
        <v>19</v>
      </c>
      <c r="I29" s="51">
        <f t="shared" ca="1" si="1"/>
        <v>1</v>
      </c>
      <c r="J29" s="54">
        <f ca="1">IFERROR(__xludf.DUMMYFUNCTION("""COMPUTED_VALUE"""),19)</f>
        <v>19</v>
      </c>
      <c r="K29" s="51">
        <f t="shared" ca="1" si="2"/>
        <v>1</v>
      </c>
      <c r="L29" s="54">
        <f ca="1">IFERROR(__xludf.DUMMYFUNCTION("""COMPUTED_VALUE"""),15)</f>
        <v>15</v>
      </c>
      <c r="M29" s="51">
        <f t="shared" ca="1" si="3"/>
        <v>0.78947368421052633</v>
      </c>
      <c r="N29" s="54">
        <f ca="1">IFERROR(__xludf.DUMMYFUNCTION("""COMPUTED_VALUE"""),75)</f>
        <v>75</v>
      </c>
      <c r="O29" s="54">
        <f ca="1">IFERROR(__xludf.DUMMYFUNCTION("""COMPUTED_VALUE"""),19)</f>
        <v>19</v>
      </c>
      <c r="P29" s="51">
        <f t="shared" ca="1" si="4"/>
        <v>0.25333333333333335</v>
      </c>
      <c r="Q29" s="54">
        <f ca="1">IFERROR(__xludf.DUMMYFUNCTION("""COMPUTED_VALUE"""),8)</f>
        <v>8</v>
      </c>
      <c r="R29" s="51">
        <f t="shared" ca="1" si="5"/>
        <v>0.10666666666666667</v>
      </c>
      <c r="S29" s="53"/>
      <c r="T29" s="53"/>
      <c r="U29" s="51" t="str">
        <f t="shared" si="6"/>
        <v/>
      </c>
      <c r="V29" s="53"/>
      <c r="W29" s="51" t="str">
        <f t="shared" si="7"/>
        <v/>
      </c>
      <c r="X29" s="53"/>
      <c r="Y29" s="51" t="str">
        <f t="shared" si="8"/>
        <v/>
      </c>
      <c r="Z29" s="2"/>
      <c r="AA29" s="2"/>
      <c r="AB29" s="2"/>
      <c r="AC29" s="2"/>
      <c r="AD29" s="2"/>
      <c r="AE29" s="2"/>
    </row>
    <row r="30" spans="1:31" ht="12.75" x14ac:dyDescent="0.2">
      <c r="A30" s="53">
        <f ca="1">IFERROR(__xludf.DUMMYFUNCTION("""COMPUTED_VALUE"""),24)</f>
        <v>24</v>
      </c>
      <c r="B30" s="53" t="str">
        <f ca="1">IFERROR(__xludf.DUMMYFUNCTION("""COMPUTED_VALUE"""),"MNTT Khai Trí")</f>
        <v>MNTT Khai Trí</v>
      </c>
      <c r="C30" s="53" t="str">
        <f ca="1">IFERROR(__xludf.DUMMYFUNCTION("""COMPUTED_VALUE"""),"MN")</f>
        <v>MN</v>
      </c>
      <c r="D30" s="53" t="str">
        <f ca="1">IFERROR(__xludf.DUMMYFUNCTION("""COMPUTED_VALUE"""),"Hóc Môn")</f>
        <v>Hóc Môn</v>
      </c>
      <c r="E30" s="54">
        <f ca="1">IFERROR(__xludf.DUMMYFUNCTION("""COMPUTED_VALUE"""),28)</f>
        <v>28</v>
      </c>
      <c r="F30" s="54">
        <f ca="1">IFERROR(__xludf.DUMMYFUNCTION("""COMPUTED_VALUE"""),28)</f>
        <v>28</v>
      </c>
      <c r="G30" s="51">
        <f t="shared" ca="1" si="0"/>
        <v>1</v>
      </c>
      <c r="H30" s="54">
        <f ca="1">IFERROR(__xludf.DUMMYFUNCTION("""COMPUTED_VALUE"""),28)</f>
        <v>28</v>
      </c>
      <c r="I30" s="51">
        <f t="shared" ca="1" si="1"/>
        <v>1</v>
      </c>
      <c r="J30" s="54">
        <f ca="1">IFERROR(__xludf.DUMMYFUNCTION("""COMPUTED_VALUE"""),28)</f>
        <v>28</v>
      </c>
      <c r="K30" s="51">
        <f t="shared" ca="1" si="2"/>
        <v>1</v>
      </c>
      <c r="L30" s="54">
        <f ca="1">IFERROR(__xludf.DUMMYFUNCTION("""COMPUTED_VALUE"""),22)</f>
        <v>22</v>
      </c>
      <c r="M30" s="51">
        <f t="shared" ca="1" si="3"/>
        <v>0.7857142857142857</v>
      </c>
      <c r="N30" s="54">
        <f ca="1">IFERROR(__xludf.DUMMYFUNCTION("""COMPUTED_VALUE"""),71)</f>
        <v>71</v>
      </c>
      <c r="O30" s="54">
        <f ca="1">IFERROR(__xludf.DUMMYFUNCTION("""COMPUTED_VALUE"""),8)</f>
        <v>8</v>
      </c>
      <c r="P30" s="51">
        <f t="shared" ca="1" si="4"/>
        <v>0.11267605633802817</v>
      </c>
      <c r="Q30" s="54">
        <f ca="1">IFERROR(__xludf.DUMMYFUNCTION("""COMPUTED_VALUE"""),8)</f>
        <v>8</v>
      </c>
      <c r="R30" s="51">
        <f t="shared" ca="1" si="5"/>
        <v>0.11267605633802817</v>
      </c>
      <c r="S30" s="53"/>
      <c r="T30" s="53"/>
      <c r="U30" s="51" t="str">
        <f t="shared" si="6"/>
        <v/>
      </c>
      <c r="V30" s="53"/>
      <c r="W30" s="51" t="str">
        <f t="shared" si="7"/>
        <v/>
      </c>
      <c r="X30" s="53"/>
      <c r="Y30" s="51" t="str">
        <f t="shared" si="8"/>
        <v/>
      </c>
      <c r="Z30" s="2"/>
      <c r="AA30" s="2"/>
      <c r="AB30" s="2"/>
      <c r="AC30" s="2"/>
      <c r="AD30" s="2"/>
      <c r="AE30" s="2"/>
    </row>
    <row r="31" spans="1:31" ht="12.75" x14ac:dyDescent="0.2">
      <c r="A31" s="53">
        <f ca="1">IFERROR(__xludf.DUMMYFUNCTION("""COMPUTED_VALUE"""),25)</f>
        <v>25</v>
      </c>
      <c r="B31" s="53" t="str">
        <f ca="1">IFERROR(__xludf.DUMMYFUNCTION("""COMPUTED_VALUE"""),"MNTT Thiên Đức")</f>
        <v>MNTT Thiên Đức</v>
      </c>
      <c r="C31" s="53" t="str">
        <f ca="1">IFERROR(__xludf.DUMMYFUNCTION("""COMPUTED_VALUE"""),"MN")</f>
        <v>MN</v>
      </c>
      <c r="D31" s="53" t="str">
        <f ca="1">IFERROR(__xludf.DUMMYFUNCTION("""COMPUTED_VALUE"""),"Hóc Môn")</f>
        <v>Hóc Môn</v>
      </c>
      <c r="E31" s="54">
        <f ca="1">IFERROR(__xludf.DUMMYFUNCTION("""COMPUTED_VALUE"""),38)</f>
        <v>38</v>
      </c>
      <c r="F31" s="54">
        <f ca="1">IFERROR(__xludf.DUMMYFUNCTION("""COMPUTED_VALUE"""),38)</f>
        <v>38</v>
      </c>
      <c r="G31" s="51">
        <f t="shared" ca="1" si="0"/>
        <v>1</v>
      </c>
      <c r="H31" s="54">
        <f ca="1">IFERROR(__xludf.DUMMYFUNCTION("""COMPUTED_VALUE"""),38)</f>
        <v>38</v>
      </c>
      <c r="I31" s="51">
        <f t="shared" ca="1" si="1"/>
        <v>1</v>
      </c>
      <c r="J31" s="54">
        <f ca="1">IFERROR(__xludf.DUMMYFUNCTION("""COMPUTED_VALUE"""),38)</f>
        <v>38</v>
      </c>
      <c r="K31" s="51">
        <f t="shared" ca="1" si="2"/>
        <v>1</v>
      </c>
      <c r="L31" s="54">
        <f ca="1">IFERROR(__xludf.DUMMYFUNCTION("""COMPUTED_VALUE"""),24)</f>
        <v>24</v>
      </c>
      <c r="M31" s="51">
        <f t="shared" ca="1" si="3"/>
        <v>0.63157894736842102</v>
      </c>
      <c r="N31" s="54">
        <f ca="1">IFERROR(__xludf.DUMMYFUNCTION("""COMPUTED_VALUE"""),145)</f>
        <v>145</v>
      </c>
      <c r="O31" s="54">
        <f ca="1">IFERROR(__xludf.DUMMYFUNCTION("""COMPUTED_VALUE"""),6)</f>
        <v>6</v>
      </c>
      <c r="P31" s="51">
        <f t="shared" ca="1" si="4"/>
        <v>4.1379310344827586E-2</v>
      </c>
      <c r="Q31" s="54">
        <f ca="1">IFERROR(__xludf.DUMMYFUNCTION("""COMPUTED_VALUE"""),2)</f>
        <v>2</v>
      </c>
      <c r="R31" s="51">
        <f t="shared" ca="1" si="5"/>
        <v>1.3793103448275862E-2</v>
      </c>
      <c r="S31" s="53"/>
      <c r="T31" s="53"/>
      <c r="U31" s="51" t="str">
        <f t="shared" si="6"/>
        <v/>
      </c>
      <c r="V31" s="53"/>
      <c r="W31" s="51" t="str">
        <f t="shared" si="7"/>
        <v/>
      </c>
      <c r="X31" s="53"/>
      <c r="Y31" s="51" t="str">
        <f t="shared" si="8"/>
        <v/>
      </c>
      <c r="Z31" s="2"/>
      <c r="AA31" s="2"/>
      <c r="AB31" s="2"/>
      <c r="AC31" s="2"/>
      <c r="AD31" s="2"/>
      <c r="AE31" s="2"/>
    </row>
    <row r="32" spans="1:31" ht="12.75" x14ac:dyDescent="0.2">
      <c r="A32" s="53">
        <f ca="1">IFERROR(__xludf.DUMMYFUNCTION("""COMPUTED_VALUE"""),26)</f>
        <v>26</v>
      </c>
      <c r="B32" s="53" t="str">
        <f ca="1">IFERROR(__xludf.DUMMYFUNCTION("""COMPUTED_VALUE"""),"MNTT Hoà Bình")</f>
        <v>MNTT Hoà Bình</v>
      </c>
      <c r="C32" s="53" t="str">
        <f ca="1">IFERROR(__xludf.DUMMYFUNCTION("""COMPUTED_VALUE"""),"MN")</f>
        <v>MN</v>
      </c>
      <c r="D32" s="53" t="str">
        <f ca="1">IFERROR(__xludf.DUMMYFUNCTION("""COMPUTED_VALUE"""),"Hóc Môn")</f>
        <v>Hóc Môn</v>
      </c>
      <c r="E32" s="54">
        <f ca="1">IFERROR(__xludf.DUMMYFUNCTION("""COMPUTED_VALUE"""),11)</f>
        <v>11</v>
      </c>
      <c r="F32" s="54">
        <f ca="1">IFERROR(__xludf.DUMMYFUNCTION("""COMPUTED_VALUE"""),11)</f>
        <v>11</v>
      </c>
      <c r="G32" s="51">
        <f t="shared" ca="1" si="0"/>
        <v>1</v>
      </c>
      <c r="H32" s="54">
        <f ca="1">IFERROR(__xludf.DUMMYFUNCTION("""COMPUTED_VALUE"""),11)</f>
        <v>11</v>
      </c>
      <c r="I32" s="51">
        <f t="shared" ca="1" si="1"/>
        <v>1</v>
      </c>
      <c r="J32" s="54">
        <f ca="1">IFERROR(__xludf.DUMMYFUNCTION("""COMPUTED_VALUE"""),4)</f>
        <v>4</v>
      </c>
      <c r="K32" s="51">
        <f t="shared" ca="1" si="2"/>
        <v>0.36363636363636365</v>
      </c>
      <c r="L32" s="54">
        <f ca="1">IFERROR(__xludf.DUMMYFUNCTION("""COMPUTED_VALUE"""),7)</f>
        <v>7</v>
      </c>
      <c r="M32" s="51">
        <f t="shared" ca="1" si="3"/>
        <v>0.63636363636363635</v>
      </c>
      <c r="N32" s="54">
        <f ca="1">IFERROR(__xludf.DUMMYFUNCTION("""COMPUTED_VALUE"""),36)</f>
        <v>36</v>
      </c>
      <c r="O32" s="54">
        <f ca="1">IFERROR(__xludf.DUMMYFUNCTION("""COMPUTED_VALUE"""),2)</f>
        <v>2</v>
      </c>
      <c r="P32" s="51">
        <f t="shared" ca="1" si="4"/>
        <v>5.5555555555555552E-2</v>
      </c>
      <c r="Q32" s="54">
        <f ca="1">IFERROR(__xludf.DUMMYFUNCTION("""COMPUTED_VALUE"""),2)</f>
        <v>2</v>
      </c>
      <c r="R32" s="51">
        <f t="shared" ca="1" si="5"/>
        <v>5.5555555555555552E-2</v>
      </c>
      <c r="S32" s="53"/>
      <c r="T32" s="53"/>
      <c r="U32" s="51" t="str">
        <f t="shared" si="6"/>
        <v/>
      </c>
      <c r="V32" s="53"/>
      <c r="W32" s="51" t="str">
        <f t="shared" si="7"/>
        <v/>
      </c>
      <c r="X32" s="53"/>
      <c r="Y32" s="51" t="str">
        <f t="shared" si="8"/>
        <v/>
      </c>
      <c r="Z32" s="2"/>
      <c r="AA32" s="2"/>
      <c r="AB32" s="2"/>
      <c r="AC32" s="2"/>
      <c r="AD32" s="2"/>
      <c r="AE32" s="2"/>
    </row>
    <row r="33" spans="1:31" ht="12.75" x14ac:dyDescent="0.2">
      <c r="A33" s="53"/>
      <c r="B33" s="53" t="str">
        <f ca="1">IFERROR(__xludf.DUMMYFUNCTION("""COMPUTED_VALUE"""),"CẤP TIỂU HỌC")</f>
        <v>CẤP TIỂU HỌC</v>
      </c>
      <c r="C33" s="53"/>
      <c r="D33" s="53"/>
      <c r="E33" s="54">
        <f ca="1">IFERROR(__xludf.DUMMYFUNCTION("""COMPUTED_VALUE"""),1928)</f>
        <v>1928</v>
      </c>
      <c r="F33" s="54">
        <f ca="1">IFERROR(__xludf.DUMMYFUNCTION("""COMPUTED_VALUE"""),1928)</f>
        <v>1928</v>
      </c>
      <c r="G33" s="51">
        <f t="shared" ca="1" si="0"/>
        <v>1</v>
      </c>
      <c r="H33" s="54">
        <f ca="1">IFERROR(__xludf.DUMMYFUNCTION("""COMPUTED_VALUE"""),1927)</f>
        <v>1927</v>
      </c>
      <c r="I33" s="51">
        <f t="shared" ca="1" si="1"/>
        <v>0.99948132780082988</v>
      </c>
      <c r="J33" s="54">
        <f ca="1">IFERROR(__xludf.DUMMYFUNCTION("""COMPUTED_VALUE"""),1898)</f>
        <v>1898</v>
      </c>
      <c r="K33" s="51">
        <f t="shared" ca="1" si="2"/>
        <v>0.98443983402489632</v>
      </c>
      <c r="L33" s="54">
        <f ca="1">IFERROR(__xludf.DUMMYFUNCTION("""COMPUTED_VALUE"""),1401)</f>
        <v>1401</v>
      </c>
      <c r="M33" s="51">
        <f t="shared" ca="1" si="3"/>
        <v>0.72665975103734437</v>
      </c>
      <c r="N33" s="54">
        <f ca="1">IFERROR(__xludf.DUMMYFUNCTION("""COMPUTED_VALUE"""),48045)</f>
        <v>48045</v>
      </c>
      <c r="O33" s="54">
        <f ca="1">IFERROR(__xludf.DUMMYFUNCTION("""COMPUTED_VALUE"""),30884)</f>
        <v>30884</v>
      </c>
      <c r="P33" s="51">
        <f t="shared" ca="1" si="4"/>
        <v>0.64281402851493397</v>
      </c>
      <c r="Q33" s="54">
        <f ca="1">IFERROR(__xludf.DUMMYFUNCTION("""COMPUTED_VALUE"""),13886)</f>
        <v>13886</v>
      </c>
      <c r="R33" s="51">
        <f t="shared" ca="1" si="5"/>
        <v>0.28902070975127486</v>
      </c>
      <c r="S33" s="54">
        <f ca="1">IFERROR(__xludf.DUMMYFUNCTION("""COMPUTED_VALUE"""),33)</f>
        <v>33</v>
      </c>
      <c r="T33" s="54">
        <f ca="1">IFERROR(__xludf.DUMMYFUNCTION("""COMPUTED_VALUE"""),29)</f>
        <v>29</v>
      </c>
      <c r="U33" s="51">
        <f t="shared" ca="1" si="6"/>
        <v>0.87878787878787878</v>
      </c>
      <c r="V33" s="54">
        <f ca="1">IFERROR(__xludf.DUMMYFUNCTION("""COMPUTED_VALUE"""),27)</f>
        <v>27</v>
      </c>
      <c r="W33" s="51">
        <f t="shared" ca="1" si="7"/>
        <v>0.81818181818181823</v>
      </c>
      <c r="X33" s="54">
        <f ca="1">IFERROR(__xludf.DUMMYFUNCTION("""COMPUTED_VALUE"""),3)</f>
        <v>3</v>
      </c>
      <c r="Y33" s="51">
        <f t="shared" ca="1" si="8"/>
        <v>9.0909090909090912E-2</v>
      </c>
      <c r="Z33" s="2"/>
      <c r="AA33" s="2"/>
      <c r="AB33" s="2"/>
      <c r="AC33" s="2"/>
      <c r="AD33" s="2"/>
      <c r="AE33" s="2"/>
    </row>
    <row r="34" spans="1:31" ht="12.75" x14ac:dyDescent="0.2">
      <c r="A34" s="53">
        <f ca="1">IFERROR(__xludf.DUMMYFUNCTION("""COMPUTED_VALUE"""),1)</f>
        <v>1</v>
      </c>
      <c r="B34" s="53" t="str">
        <f ca="1">IFERROR(__xludf.DUMMYFUNCTION("""COMPUTED_VALUE"""),"TH Nguyễn An Ninh")</f>
        <v>TH Nguyễn An Ninh</v>
      </c>
      <c r="C34" s="53" t="str">
        <f ca="1">IFERROR(__xludf.DUMMYFUNCTION("""COMPUTED_VALUE"""),"TH")</f>
        <v>TH</v>
      </c>
      <c r="D34" s="53" t="str">
        <f ca="1">IFERROR(__xludf.DUMMYFUNCTION("""COMPUTED_VALUE"""),"Hóc Môn")</f>
        <v>Hóc Môn</v>
      </c>
      <c r="E34" s="54">
        <f ca="1">IFERROR(__xludf.DUMMYFUNCTION("""COMPUTED_VALUE"""),88)</f>
        <v>88</v>
      </c>
      <c r="F34" s="54">
        <f ca="1">IFERROR(__xludf.DUMMYFUNCTION("""COMPUTED_VALUE"""),88)</f>
        <v>88</v>
      </c>
      <c r="G34" s="51">
        <f t="shared" ca="1" si="0"/>
        <v>1</v>
      </c>
      <c r="H34" s="54">
        <f ca="1">IFERROR(__xludf.DUMMYFUNCTION("""COMPUTED_VALUE"""),88)</f>
        <v>88</v>
      </c>
      <c r="I34" s="51">
        <f t="shared" ca="1" si="1"/>
        <v>1</v>
      </c>
      <c r="J34" s="54">
        <f ca="1">IFERROR(__xludf.DUMMYFUNCTION("""COMPUTED_VALUE"""),87)</f>
        <v>87</v>
      </c>
      <c r="K34" s="51">
        <f t="shared" ca="1" si="2"/>
        <v>0.98863636363636365</v>
      </c>
      <c r="L34" s="54">
        <f ca="1">IFERROR(__xludf.DUMMYFUNCTION("""COMPUTED_VALUE"""),70)</f>
        <v>70</v>
      </c>
      <c r="M34" s="51">
        <f t="shared" ca="1" si="3"/>
        <v>0.79545454545454541</v>
      </c>
      <c r="N34" s="54">
        <f ca="1">IFERROR(__xludf.DUMMYFUNCTION("""COMPUTED_VALUE"""),2251)</f>
        <v>2251</v>
      </c>
      <c r="O34" s="54">
        <f ca="1">IFERROR(__xludf.DUMMYFUNCTION("""COMPUTED_VALUE"""),1269)</f>
        <v>1269</v>
      </c>
      <c r="P34" s="51">
        <f t="shared" ca="1" si="4"/>
        <v>0.56374944469124832</v>
      </c>
      <c r="Q34" s="54">
        <f ca="1">IFERROR(__xludf.DUMMYFUNCTION("""COMPUTED_VALUE"""),738)</f>
        <v>738</v>
      </c>
      <c r="R34" s="51">
        <f t="shared" ca="1" si="5"/>
        <v>0.32785428698356284</v>
      </c>
      <c r="S34" s="54">
        <f ca="1">IFERROR(__xludf.DUMMYFUNCTION("""COMPUTED_VALUE"""),0)</f>
        <v>0</v>
      </c>
      <c r="T34" s="54">
        <f ca="1">IFERROR(__xludf.DUMMYFUNCTION("""COMPUTED_VALUE"""),0)</f>
        <v>0</v>
      </c>
      <c r="U34" s="51" t="str">
        <f t="shared" ca="1" si="6"/>
        <v/>
      </c>
      <c r="V34" s="54">
        <f ca="1">IFERROR(__xludf.DUMMYFUNCTION("""COMPUTED_VALUE"""),0)</f>
        <v>0</v>
      </c>
      <c r="W34" s="51" t="str">
        <f t="shared" ca="1" si="7"/>
        <v/>
      </c>
      <c r="X34" s="54">
        <f ca="1">IFERROR(__xludf.DUMMYFUNCTION("""COMPUTED_VALUE"""),0)</f>
        <v>0</v>
      </c>
      <c r="Y34" s="51" t="str">
        <f t="shared" ca="1" si="8"/>
        <v/>
      </c>
      <c r="Z34" s="2"/>
      <c r="AA34" s="2"/>
      <c r="AB34" s="2"/>
      <c r="AC34" s="2"/>
      <c r="AD34" s="2"/>
      <c r="AE34" s="2"/>
    </row>
    <row r="35" spans="1:31" ht="12.75" x14ac:dyDescent="0.2">
      <c r="A35" s="53">
        <f ca="1">IFERROR(__xludf.DUMMYFUNCTION("""COMPUTED_VALUE"""),2)</f>
        <v>2</v>
      </c>
      <c r="B35" s="53" t="str">
        <f ca="1">IFERROR(__xludf.DUMMYFUNCTION("""COMPUTED_VALUE"""),"TH Thới Tam")</f>
        <v>TH Thới Tam</v>
      </c>
      <c r="C35" s="53" t="str">
        <f ca="1">IFERROR(__xludf.DUMMYFUNCTION("""COMPUTED_VALUE"""),"TH")</f>
        <v>TH</v>
      </c>
      <c r="D35" s="53" t="str">
        <f ca="1">IFERROR(__xludf.DUMMYFUNCTION("""COMPUTED_VALUE"""),"Hóc Môn")</f>
        <v>Hóc Môn</v>
      </c>
      <c r="E35" s="54">
        <f ca="1">IFERROR(__xludf.DUMMYFUNCTION("""COMPUTED_VALUE"""),71)</f>
        <v>71</v>
      </c>
      <c r="F35" s="54">
        <f ca="1">IFERROR(__xludf.DUMMYFUNCTION("""COMPUTED_VALUE"""),71)</f>
        <v>71</v>
      </c>
      <c r="G35" s="51">
        <f t="shared" ca="1" si="0"/>
        <v>1</v>
      </c>
      <c r="H35" s="54">
        <f ca="1">IFERROR(__xludf.DUMMYFUNCTION("""COMPUTED_VALUE"""),71)</f>
        <v>71</v>
      </c>
      <c r="I35" s="51">
        <f t="shared" ca="1" si="1"/>
        <v>1</v>
      </c>
      <c r="J35" s="54">
        <f ca="1">IFERROR(__xludf.DUMMYFUNCTION("""COMPUTED_VALUE"""),71)</f>
        <v>71</v>
      </c>
      <c r="K35" s="51">
        <f t="shared" ca="1" si="2"/>
        <v>1</v>
      </c>
      <c r="L35" s="54">
        <f ca="1">IFERROR(__xludf.DUMMYFUNCTION("""COMPUTED_VALUE"""),54)</f>
        <v>54</v>
      </c>
      <c r="M35" s="51">
        <f t="shared" ca="1" si="3"/>
        <v>0.76056338028169013</v>
      </c>
      <c r="N35" s="54">
        <f ca="1">IFERROR(__xludf.DUMMYFUNCTION("""COMPUTED_VALUE"""),1760)</f>
        <v>1760</v>
      </c>
      <c r="O35" s="54">
        <f ca="1">IFERROR(__xludf.DUMMYFUNCTION("""COMPUTED_VALUE"""),1109)</f>
        <v>1109</v>
      </c>
      <c r="P35" s="51">
        <f t="shared" ca="1" si="4"/>
        <v>0.63011363636363638</v>
      </c>
      <c r="Q35" s="54">
        <f ca="1">IFERROR(__xludf.DUMMYFUNCTION("""COMPUTED_VALUE"""),657)</f>
        <v>657</v>
      </c>
      <c r="R35" s="51">
        <f t="shared" ca="1" si="5"/>
        <v>0.37329545454545454</v>
      </c>
      <c r="S35" s="54">
        <f ca="1">IFERROR(__xludf.DUMMYFUNCTION("""COMPUTED_VALUE"""),0)</f>
        <v>0</v>
      </c>
      <c r="T35" s="54">
        <f ca="1">IFERROR(__xludf.DUMMYFUNCTION("""COMPUTED_VALUE"""),0)</f>
        <v>0</v>
      </c>
      <c r="U35" s="51" t="str">
        <f t="shared" ca="1" si="6"/>
        <v/>
      </c>
      <c r="V35" s="54">
        <f ca="1">IFERROR(__xludf.DUMMYFUNCTION("""COMPUTED_VALUE"""),0)</f>
        <v>0</v>
      </c>
      <c r="W35" s="51" t="str">
        <f t="shared" ca="1" si="7"/>
        <v/>
      </c>
      <c r="X35" s="54">
        <f ca="1">IFERROR(__xludf.DUMMYFUNCTION("""COMPUTED_VALUE"""),0)</f>
        <v>0</v>
      </c>
      <c r="Y35" s="51" t="str">
        <f t="shared" ca="1" si="8"/>
        <v/>
      </c>
      <c r="Z35" s="2"/>
      <c r="AA35" s="2"/>
      <c r="AB35" s="2"/>
      <c r="AC35" s="2"/>
      <c r="AD35" s="2"/>
      <c r="AE35" s="2"/>
    </row>
    <row r="36" spans="1:31" ht="12.75" x14ac:dyDescent="0.2">
      <c r="A36" s="53">
        <f ca="1">IFERROR(__xludf.DUMMYFUNCTION("""COMPUTED_VALUE"""),3)</f>
        <v>3</v>
      </c>
      <c r="B36" s="53"/>
      <c r="C36" s="53"/>
      <c r="D36" s="53" t="str">
        <f ca="1">IFERROR(__xludf.DUMMYFUNCTION("""COMPUTED_VALUE"""),"Hóc Môn")</f>
        <v>Hóc Môn</v>
      </c>
      <c r="E36" s="54">
        <f ca="1">IFERROR(__xludf.DUMMYFUNCTION("""COMPUTED_VALUE"""),58)</f>
        <v>58</v>
      </c>
      <c r="F36" s="54">
        <f ca="1">IFERROR(__xludf.DUMMYFUNCTION("""COMPUTED_VALUE"""),58)</f>
        <v>58</v>
      </c>
      <c r="G36" s="51">
        <f t="shared" ca="1" si="0"/>
        <v>1</v>
      </c>
      <c r="H36" s="54">
        <f ca="1">IFERROR(__xludf.DUMMYFUNCTION("""COMPUTED_VALUE"""),58)</f>
        <v>58</v>
      </c>
      <c r="I36" s="51">
        <f t="shared" ca="1" si="1"/>
        <v>1</v>
      </c>
      <c r="J36" s="54">
        <f ca="1">IFERROR(__xludf.DUMMYFUNCTION("""COMPUTED_VALUE"""),56)</f>
        <v>56</v>
      </c>
      <c r="K36" s="51">
        <f t="shared" ca="1" si="2"/>
        <v>0.96551724137931039</v>
      </c>
      <c r="L36" s="54">
        <f ca="1">IFERROR(__xludf.DUMMYFUNCTION("""COMPUTED_VALUE"""),30)</f>
        <v>30</v>
      </c>
      <c r="M36" s="51">
        <f t="shared" ca="1" si="3"/>
        <v>0.51724137931034486</v>
      </c>
      <c r="N36" s="54">
        <f ca="1">IFERROR(__xludf.DUMMYFUNCTION("""COMPUTED_VALUE"""),1711)</f>
        <v>1711</v>
      </c>
      <c r="O36" s="54">
        <f ca="1">IFERROR(__xludf.DUMMYFUNCTION("""COMPUTED_VALUE"""),1040)</f>
        <v>1040</v>
      </c>
      <c r="P36" s="51">
        <f t="shared" ca="1" si="4"/>
        <v>0.60783167738164812</v>
      </c>
      <c r="Q36" s="54">
        <f ca="1">IFERROR(__xludf.DUMMYFUNCTION("""COMPUTED_VALUE"""),199)</f>
        <v>199</v>
      </c>
      <c r="R36" s="51">
        <f t="shared" ca="1" si="5"/>
        <v>0.1163062536528346</v>
      </c>
      <c r="S36" s="54">
        <f ca="1">IFERROR(__xludf.DUMMYFUNCTION("""COMPUTED_VALUE"""),2)</f>
        <v>2</v>
      </c>
      <c r="T36" s="54">
        <f ca="1">IFERROR(__xludf.DUMMYFUNCTION("""COMPUTED_VALUE"""),2)</f>
        <v>2</v>
      </c>
      <c r="U36" s="51">
        <f t="shared" ca="1" si="6"/>
        <v>1</v>
      </c>
      <c r="V36" s="54">
        <f ca="1">IFERROR(__xludf.DUMMYFUNCTION("""COMPUTED_VALUE"""),2)</f>
        <v>2</v>
      </c>
      <c r="W36" s="51">
        <f t="shared" ca="1" si="7"/>
        <v>1</v>
      </c>
      <c r="X36" s="54">
        <f ca="1">IFERROR(__xludf.DUMMYFUNCTION("""COMPUTED_VALUE"""),1)</f>
        <v>1</v>
      </c>
      <c r="Y36" s="51">
        <f t="shared" ca="1" si="8"/>
        <v>0.5</v>
      </c>
      <c r="Z36" s="2"/>
      <c r="AA36" s="2"/>
      <c r="AB36" s="2"/>
      <c r="AC36" s="2"/>
      <c r="AD36" s="2"/>
      <c r="AE36" s="2"/>
    </row>
    <row r="37" spans="1:31" ht="12.75" x14ac:dyDescent="0.2">
      <c r="A37" s="53">
        <f ca="1">IFERROR(__xludf.DUMMYFUNCTION("""COMPUTED_VALUE"""),4)</f>
        <v>4</v>
      </c>
      <c r="B37" s="53" t="str">
        <f ca="1">IFERROR(__xludf.DUMMYFUNCTION("""COMPUTED_VALUE"""),"TH Tam Đông 2")</f>
        <v>TH Tam Đông 2</v>
      </c>
      <c r="C37" s="53" t="str">
        <f ca="1">IFERROR(__xludf.DUMMYFUNCTION("""COMPUTED_VALUE"""),"TH")</f>
        <v>TH</v>
      </c>
      <c r="D37" s="53" t="str">
        <f ca="1">IFERROR(__xludf.DUMMYFUNCTION("""COMPUTED_VALUE"""),"Hóc Môn")</f>
        <v>Hóc Môn</v>
      </c>
      <c r="E37" s="54">
        <f ca="1">IFERROR(__xludf.DUMMYFUNCTION("""COMPUTED_VALUE"""),98)</f>
        <v>98</v>
      </c>
      <c r="F37" s="54">
        <f ca="1">IFERROR(__xludf.DUMMYFUNCTION("""COMPUTED_VALUE"""),98)</f>
        <v>98</v>
      </c>
      <c r="G37" s="51">
        <f t="shared" ca="1" si="0"/>
        <v>1</v>
      </c>
      <c r="H37" s="54">
        <f ca="1">IFERROR(__xludf.DUMMYFUNCTION("""COMPUTED_VALUE"""),98)</f>
        <v>98</v>
      </c>
      <c r="I37" s="51">
        <f t="shared" ca="1" si="1"/>
        <v>1</v>
      </c>
      <c r="J37" s="54">
        <f ca="1">IFERROR(__xludf.DUMMYFUNCTION("""COMPUTED_VALUE"""),98)</f>
        <v>98</v>
      </c>
      <c r="K37" s="51">
        <f t="shared" ca="1" si="2"/>
        <v>1</v>
      </c>
      <c r="L37" s="54">
        <f ca="1">IFERROR(__xludf.DUMMYFUNCTION("""COMPUTED_VALUE"""),95)</f>
        <v>95</v>
      </c>
      <c r="M37" s="51">
        <f t="shared" ca="1" si="3"/>
        <v>0.96938775510204078</v>
      </c>
      <c r="N37" s="54">
        <f ca="1">IFERROR(__xludf.DUMMYFUNCTION("""COMPUTED_VALUE"""),2227)</f>
        <v>2227</v>
      </c>
      <c r="O37" s="54">
        <f ca="1">IFERROR(__xludf.DUMMYFUNCTION("""COMPUTED_VALUE"""),1538)</f>
        <v>1538</v>
      </c>
      <c r="P37" s="51">
        <f t="shared" ca="1" si="4"/>
        <v>0.69061517736865741</v>
      </c>
      <c r="Q37" s="54">
        <f ca="1">IFERROR(__xludf.DUMMYFUNCTION("""COMPUTED_VALUE"""),585)</f>
        <v>585</v>
      </c>
      <c r="R37" s="51">
        <f t="shared" ca="1" si="5"/>
        <v>0.2626852267624607</v>
      </c>
      <c r="S37" s="54">
        <f ca="1">IFERROR(__xludf.DUMMYFUNCTION("""COMPUTED_VALUE"""),0)</f>
        <v>0</v>
      </c>
      <c r="T37" s="54">
        <f ca="1">IFERROR(__xludf.DUMMYFUNCTION("""COMPUTED_VALUE"""),0)</f>
        <v>0</v>
      </c>
      <c r="U37" s="51" t="str">
        <f t="shared" ca="1" si="6"/>
        <v/>
      </c>
      <c r="V37" s="54">
        <f ca="1">IFERROR(__xludf.DUMMYFUNCTION("""COMPUTED_VALUE"""),0)</f>
        <v>0</v>
      </c>
      <c r="W37" s="51" t="str">
        <f t="shared" ca="1" si="7"/>
        <v/>
      </c>
      <c r="X37" s="54">
        <f ca="1">IFERROR(__xludf.DUMMYFUNCTION("""COMPUTED_VALUE"""),0)</f>
        <v>0</v>
      </c>
      <c r="Y37" s="51" t="str">
        <f t="shared" ca="1" si="8"/>
        <v/>
      </c>
      <c r="Z37" s="2"/>
      <c r="AA37" s="2"/>
      <c r="AB37" s="2"/>
      <c r="AC37" s="2"/>
      <c r="AD37" s="2"/>
      <c r="AE37" s="2"/>
    </row>
    <row r="38" spans="1:31" ht="12.75" x14ac:dyDescent="0.2">
      <c r="A38" s="53">
        <f ca="1">IFERROR(__xludf.DUMMYFUNCTION("""COMPUTED_VALUE"""),5)</f>
        <v>5</v>
      </c>
      <c r="B38" s="53" t="str">
        <f ca="1">IFERROR(__xludf.DUMMYFUNCTION("""COMPUTED_VALUE"""),"TH Mỹ Huề")</f>
        <v>TH Mỹ Huề</v>
      </c>
      <c r="C38" s="53" t="str">
        <f ca="1">IFERROR(__xludf.DUMMYFUNCTION("""COMPUTED_VALUE"""),"TH")</f>
        <v>TH</v>
      </c>
      <c r="D38" s="53" t="str">
        <f ca="1">IFERROR(__xludf.DUMMYFUNCTION("""COMPUTED_VALUE"""),"Hóc Môn")</f>
        <v>Hóc Môn</v>
      </c>
      <c r="E38" s="54">
        <f ca="1">IFERROR(__xludf.DUMMYFUNCTION("""COMPUTED_VALUE"""),54)</f>
        <v>54</v>
      </c>
      <c r="F38" s="54">
        <f ca="1">IFERROR(__xludf.DUMMYFUNCTION("""COMPUTED_VALUE"""),54)</f>
        <v>54</v>
      </c>
      <c r="G38" s="51">
        <f t="shared" ca="1" si="0"/>
        <v>1</v>
      </c>
      <c r="H38" s="54">
        <f ca="1">IFERROR(__xludf.DUMMYFUNCTION("""COMPUTED_VALUE"""),54)</f>
        <v>54</v>
      </c>
      <c r="I38" s="51">
        <f t="shared" ca="1" si="1"/>
        <v>1</v>
      </c>
      <c r="J38" s="54">
        <f ca="1">IFERROR(__xludf.DUMMYFUNCTION("""COMPUTED_VALUE"""),53)</f>
        <v>53</v>
      </c>
      <c r="K38" s="51">
        <f t="shared" ca="1" si="2"/>
        <v>0.98148148148148151</v>
      </c>
      <c r="L38" s="54">
        <f ca="1">IFERROR(__xludf.DUMMYFUNCTION("""COMPUTED_VALUE"""),46)</f>
        <v>46</v>
      </c>
      <c r="M38" s="51">
        <f t="shared" ca="1" si="3"/>
        <v>0.85185185185185186</v>
      </c>
      <c r="N38" s="54">
        <f ca="1">IFERROR(__xludf.DUMMYFUNCTION("""COMPUTED_VALUE"""),1125)</f>
        <v>1125</v>
      </c>
      <c r="O38" s="54">
        <f ca="1">IFERROR(__xludf.DUMMYFUNCTION("""COMPUTED_VALUE"""),707)</f>
        <v>707</v>
      </c>
      <c r="P38" s="51">
        <f t="shared" ca="1" si="4"/>
        <v>0.62844444444444447</v>
      </c>
      <c r="Q38" s="54">
        <f ca="1">IFERROR(__xludf.DUMMYFUNCTION("""COMPUTED_VALUE"""),378)</f>
        <v>378</v>
      </c>
      <c r="R38" s="51">
        <f t="shared" ca="1" si="5"/>
        <v>0.33600000000000002</v>
      </c>
      <c r="S38" s="54">
        <f ca="1">IFERROR(__xludf.DUMMYFUNCTION("""COMPUTED_VALUE"""),2)</f>
        <v>2</v>
      </c>
      <c r="T38" s="54">
        <f ca="1">IFERROR(__xludf.DUMMYFUNCTION("""COMPUTED_VALUE"""),2)</f>
        <v>2</v>
      </c>
      <c r="U38" s="51">
        <f t="shared" ca="1" si="6"/>
        <v>1</v>
      </c>
      <c r="V38" s="54">
        <f ca="1">IFERROR(__xludf.DUMMYFUNCTION("""COMPUTED_VALUE"""),2)</f>
        <v>2</v>
      </c>
      <c r="W38" s="51">
        <f t="shared" ca="1" si="7"/>
        <v>1</v>
      </c>
      <c r="X38" s="54">
        <f ca="1">IFERROR(__xludf.DUMMYFUNCTION("""COMPUTED_VALUE"""),0)</f>
        <v>0</v>
      </c>
      <c r="Y38" s="51">
        <f t="shared" ca="1" si="8"/>
        <v>0</v>
      </c>
      <c r="Z38" s="2"/>
      <c r="AA38" s="2"/>
      <c r="AB38" s="2"/>
      <c r="AC38" s="2"/>
      <c r="AD38" s="2"/>
      <c r="AE38" s="2"/>
    </row>
    <row r="39" spans="1:31" ht="12.75" x14ac:dyDescent="0.2">
      <c r="A39" s="53">
        <f ca="1">IFERROR(__xludf.DUMMYFUNCTION("""COMPUTED_VALUE"""),6)</f>
        <v>6</v>
      </c>
      <c r="B39" s="53" t="str">
        <f ca="1">IFERROR(__xludf.DUMMYFUNCTION("""COMPUTED_VALUE"""),"TH Nam Kỳ Khởi Nghĩa")</f>
        <v>TH Nam Kỳ Khởi Nghĩa</v>
      </c>
      <c r="C39" s="53" t="str">
        <f ca="1">IFERROR(__xludf.DUMMYFUNCTION("""COMPUTED_VALUE"""),"TH")</f>
        <v>TH</v>
      </c>
      <c r="D39" s="53" t="str">
        <f ca="1">IFERROR(__xludf.DUMMYFUNCTION("""COMPUTED_VALUE"""),"Hóc Môn")</f>
        <v>Hóc Môn</v>
      </c>
      <c r="E39" s="54">
        <f ca="1">IFERROR(__xludf.DUMMYFUNCTION("""COMPUTED_VALUE"""),41)</f>
        <v>41</v>
      </c>
      <c r="F39" s="54">
        <f ca="1">IFERROR(__xludf.DUMMYFUNCTION("""COMPUTED_VALUE"""),41)</f>
        <v>41</v>
      </c>
      <c r="G39" s="51">
        <f t="shared" ca="1" si="0"/>
        <v>1</v>
      </c>
      <c r="H39" s="54">
        <f ca="1">IFERROR(__xludf.DUMMYFUNCTION("""COMPUTED_VALUE"""),41)</f>
        <v>41</v>
      </c>
      <c r="I39" s="51">
        <f t="shared" ca="1" si="1"/>
        <v>1</v>
      </c>
      <c r="J39" s="54">
        <f ca="1">IFERROR(__xludf.DUMMYFUNCTION("""COMPUTED_VALUE"""),41)</f>
        <v>41</v>
      </c>
      <c r="K39" s="51">
        <f t="shared" ca="1" si="2"/>
        <v>1</v>
      </c>
      <c r="L39" s="54">
        <f ca="1">IFERROR(__xludf.DUMMYFUNCTION("""COMPUTED_VALUE"""),37)</f>
        <v>37</v>
      </c>
      <c r="M39" s="51">
        <f t="shared" ca="1" si="3"/>
        <v>0.90243902439024393</v>
      </c>
      <c r="N39" s="54">
        <f ca="1">IFERROR(__xludf.DUMMYFUNCTION("""COMPUTED_VALUE"""),949)</f>
        <v>949</v>
      </c>
      <c r="O39" s="54">
        <f ca="1">IFERROR(__xludf.DUMMYFUNCTION("""COMPUTED_VALUE"""),499)</f>
        <v>499</v>
      </c>
      <c r="P39" s="51">
        <f t="shared" ca="1" si="4"/>
        <v>0.52581664910432035</v>
      </c>
      <c r="Q39" s="54">
        <f ca="1">IFERROR(__xludf.DUMMYFUNCTION("""COMPUTED_VALUE"""),114)</f>
        <v>114</v>
      </c>
      <c r="R39" s="51">
        <f t="shared" ca="1" si="5"/>
        <v>0.12012644889357219</v>
      </c>
      <c r="S39" s="54">
        <f ca="1">IFERROR(__xludf.DUMMYFUNCTION("""COMPUTED_VALUE"""),0)</f>
        <v>0</v>
      </c>
      <c r="T39" s="54">
        <f ca="1">IFERROR(__xludf.DUMMYFUNCTION("""COMPUTED_VALUE"""),0)</f>
        <v>0</v>
      </c>
      <c r="U39" s="51" t="str">
        <f t="shared" ca="1" si="6"/>
        <v/>
      </c>
      <c r="V39" s="54">
        <f ca="1">IFERROR(__xludf.DUMMYFUNCTION("""COMPUTED_VALUE"""),0)</f>
        <v>0</v>
      </c>
      <c r="W39" s="51" t="str">
        <f t="shared" ca="1" si="7"/>
        <v/>
      </c>
      <c r="X39" s="54">
        <f ca="1">IFERROR(__xludf.DUMMYFUNCTION("""COMPUTED_VALUE"""),0)</f>
        <v>0</v>
      </c>
      <c r="Y39" s="51" t="str">
        <f t="shared" ca="1" si="8"/>
        <v/>
      </c>
      <c r="Z39" s="2"/>
      <c r="AA39" s="2"/>
      <c r="AB39" s="2"/>
      <c r="AC39" s="2"/>
      <c r="AD39" s="2"/>
      <c r="AE39" s="2"/>
    </row>
    <row r="40" spans="1:31" ht="12.75" x14ac:dyDescent="0.2">
      <c r="A40" s="53">
        <f ca="1">IFERROR(__xludf.DUMMYFUNCTION("""COMPUTED_VALUE"""),7)</f>
        <v>7</v>
      </c>
      <c r="B40" s="53" t="str">
        <f ca="1">IFERROR(__xludf.DUMMYFUNCTION("""COMPUTED_VALUE"""),"TH Mỹ Hòa")</f>
        <v>TH Mỹ Hòa</v>
      </c>
      <c r="C40" s="53" t="str">
        <f ca="1">IFERROR(__xludf.DUMMYFUNCTION("""COMPUTED_VALUE"""),"TH")</f>
        <v>TH</v>
      </c>
      <c r="D40" s="53" t="str">
        <f ca="1">IFERROR(__xludf.DUMMYFUNCTION("""COMPUTED_VALUE"""),"Hóc Môn")</f>
        <v>Hóc Môn</v>
      </c>
      <c r="E40" s="54">
        <f ca="1">IFERROR(__xludf.DUMMYFUNCTION("""COMPUTED_VALUE"""),64)</f>
        <v>64</v>
      </c>
      <c r="F40" s="54">
        <f ca="1">IFERROR(__xludf.DUMMYFUNCTION("""COMPUTED_VALUE"""),64)</f>
        <v>64</v>
      </c>
      <c r="G40" s="51">
        <f t="shared" ca="1" si="0"/>
        <v>1</v>
      </c>
      <c r="H40" s="54">
        <f ca="1">IFERROR(__xludf.DUMMYFUNCTION("""COMPUTED_VALUE"""),64)</f>
        <v>64</v>
      </c>
      <c r="I40" s="51">
        <f t="shared" ca="1" si="1"/>
        <v>1</v>
      </c>
      <c r="J40" s="54">
        <f ca="1">IFERROR(__xludf.DUMMYFUNCTION("""COMPUTED_VALUE"""),64)</f>
        <v>64</v>
      </c>
      <c r="K40" s="51">
        <f t="shared" ca="1" si="2"/>
        <v>1</v>
      </c>
      <c r="L40" s="54">
        <f ca="1">IFERROR(__xludf.DUMMYFUNCTION("""COMPUTED_VALUE"""),40)</f>
        <v>40</v>
      </c>
      <c r="M40" s="51">
        <f t="shared" ca="1" si="3"/>
        <v>0.625</v>
      </c>
      <c r="N40" s="54">
        <f ca="1">IFERROR(__xludf.DUMMYFUNCTION("""COMPUTED_VALUE"""),1604)</f>
        <v>1604</v>
      </c>
      <c r="O40" s="54">
        <f ca="1">IFERROR(__xludf.DUMMYFUNCTION("""COMPUTED_VALUE"""),1037)</f>
        <v>1037</v>
      </c>
      <c r="P40" s="51">
        <f t="shared" ca="1" si="4"/>
        <v>0.64650872817955107</v>
      </c>
      <c r="Q40" s="54">
        <f ca="1">IFERROR(__xludf.DUMMYFUNCTION("""COMPUTED_VALUE"""),383)</f>
        <v>383</v>
      </c>
      <c r="R40" s="51">
        <f t="shared" ca="1" si="5"/>
        <v>0.2387780548628429</v>
      </c>
      <c r="S40" s="54">
        <f ca="1">IFERROR(__xludf.DUMMYFUNCTION("""COMPUTED_VALUE"""),1)</f>
        <v>1</v>
      </c>
      <c r="T40" s="54">
        <f ca="1">IFERROR(__xludf.DUMMYFUNCTION("""COMPUTED_VALUE"""),1)</f>
        <v>1</v>
      </c>
      <c r="U40" s="51">
        <f t="shared" ca="1" si="6"/>
        <v>1</v>
      </c>
      <c r="V40" s="54">
        <f ca="1">IFERROR(__xludf.DUMMYFUNCTION("""COMPUTED_VALUE"""),1)</f>
        <v>1</v>
      </c>
      <c r="W40" s="51">
        <f t="shared" ca="1" si="7"/>
        <v>1</v>
      </c>
      <c r="X40" s="54">
        <f ca="1">IFERROR(__xludf.DUMMYFUNCTION("""COMPUTED_VALUE"""),1)</f>
        <v>1</v>
      </c>
      <c r="Y40" s="51">
        <f t="shared" ca="1" si="8"/>
        <v>1</v>
      </c>
      <c r="Z40" s="2"/>
      <c r="AA40" s="2"/>
      <c r="AB40" s="2"/>
      <c r="AC40" s="2"/>
      <c r="AD40" s="2"/>
      <c r="AE40" s="2"/>
    </row>
    <row r="41" spans="1:31" ht="12.75" x14ac:dyDescent="0.2">
      <c r="A41" s="53">
        <f ca="1">IFERROR(__xludf.DUMMYFUNCTION("""COMPUTED_VALUE"""),8)</f>
        <v>8</v>
      </c>
      <c r="B41" s="53" t="str">
        <f ca="1">IFERROR(__xludf.DUMMYFUNCTION("""COMPUTED_VALUE"""),"TH Ấp Đình")</f>
        <v>TH Ấp Đình</v>
      </c>
      <c r="C41" s="53" t="str">
        <f ca="1">IFERROR(__xludf.DUMMYFUNCTION("""COMPUTED_VALUE"""),"TH")</f>
        <v>TH</v>
      </c>
      <c r="D41" s="53" t="str">
        <f ca="1">IFERROR(__xludf.DUMMYFUNCTION("""COMPUTED_VALUE"""),"Hóc Môn")</f>
        <v>Hóc Môn</v>
      </c>
      <c r="E41" s="54">
        <f ca="1">IFERROR(__xludf.DUMMYFUNCTION("""COMPUTED_VALUE"""),61)</f>
        <v>61</v>
      </c>
      <c r="F41" s="54">
        <f ca="1">IFERROR(__xludf.DUMMYFUNCTION("""COMPUTED_VALUE"""),61)</f>
        <v>61</v>
      </c>
      <c r="G41" s="51">
        <f t="shared" ca="1" si="0"/>
        <v>1</v>
      </c>
      <c r="H41" s="54">
        <f ca="1">IFERROR(__xludf.DUMMYFUNCTION("""COMPUTED_VALUE"""),61)</f>
        <v>61</v>
      </c>
      <c r="I41" s="51">
        <f t="shared" ca="1" si="1"/>
        <v>1</v>
      </c>
      <c r="J41" s="54">
        <f ca="1">IFERROR(__xludf.DUMMYFUNCTION("""COMPUTED_VALUE"""),61)</f>
        <v>61</v>
      </c>
      <c r="K41" s="51">
        <f t="shared" ca="1" si="2"/>
        <v>1</v>
      </c>
      <c r="L41" s="54">
        <f ca="1">IFERROR(__xludf.DUMMYFUNCTION("""COMPUTED_VALUE"""),59)</f>
        <v>59</v>
      </c>
      <c r="M41" s="51">
        <f t="shared" ca="1" si="3"/>
        <v>0.96721311475409832</v>
      </c>
      <c r="N41" s="54">
        <f ca="1">IFERROR(__xludf.DUMMYFUNCTION("""COMPUTED_VALUE"""),1488)</f>
        <v>1488</v>
      </c>
      <c r="O41" s="54">
        <f ca="1">IFERROR(__xludf.DUMMYFUNCTION("""COMPUTED_VALUE"""),944)</f>
        <v>944</v>
      </c>
      <c r="P41" s="51">
        <f t="shared" ca="1" si="4"/>
        <v>0.63440860215053763</v>
      </c>
      <c r="Q41" s="54">
        <f ca="1">IFERROR(__xludf.DUMMYFUNCTION("""COMPUTED_VALUE"""),565)</f>
        <v>565</v>
      </c>
      <c r="R41" s="51">
        <f t="shared" ca="1" si="5"/>
        <v>0.37970430107526881</v>
      </c>
      <c r="S41" s="54">
        <f ca="1">IFERROR(__xludf.DUMMYFUNCTION("""COMPUTED_VALUE"""),0)</f>
        <v>0</v>
      </c>
      <c r="T41" s="54">
        <f ca="1">IFERROR(__xludf.DUMMYFUNCTION("""COMPUTED_VALUE"""),0)</f>
        <v>0</v>
      </c>
      <c r="U41" s="51" t="str">
        <f t="shared" ca="1" si="6"/>
        <v/>
      </c>
      <c r="V41" s="54">
        <f ca="1">IFERROR(__xludf.DUMMYFUNCTION("""COMPUTED_VALUE"""),0)</f>
        <v>0</v>
      </c>
      <c r="W41" s="51" t="str">
        <f t="shared" ca="1" si="7"/>
        <v/>
      </c>
      <c r="X41" s="54">
        <f ca="1">IFERROR(__xludf.DUMMYFUNCTION("""COMPUTED_VALUE"""),0)</f>
        <v>0</v>
      </c>
      <c r="Y41" s="51" t="str">
        <f t="shared" ca="1" si="8"/>
        <v/>
      </c>
      <c r="Z41" s="2"/>
      <c r="AA41" s="2"/>
      <c r="AB41" s="2"/>
      <c r="AC41" s="2"/>
      <c r="AD41" s="2"/>
      <c r="AE41" s="2"/>
    </row>
    <row r="42" spans="1:31" ht="12.75" x14ac:dyDescent="0.2">
      <c r="A42" s="53">
        <f ca="1">IFERROR(__xludf.DUMMYFUNCTION("""COMPUTED_VALUE"""),9)</f>
        <v>9</v>
      </c>
      <c r="B42" s="53" t="str">
        <f ca="1">IFERROR(__xludf.DUMMYFUNCTION("""COMPUTED_VALUE"""),"TH Tân Hiệp")</f>
        <v>TH Tân Hiệp</v>
      </c>
      <c r="C42" s="53" t="str">
        <f ca="1">IFERROR(__xludf.DUMMYFUNCTION("""COMPUTED_VALUE"""),"TH")</f>
        <v>TH</v>
      </c>
      <c r="D42" s="53" t="str">
        <f ca="1">IFERROR(__xludf.DUMMYFUNCTION("""COMPUTED_VALUE"""),"Hóc Môn")</f>
        <v>Hóc Môn</v>
      </c>
      <c r="E42" s="54">
        <f ca="1">IFERROR(__xludf.DUMMYFUNCTION("""COMPUTED_VALUE"""),42)</f>
        <v>42</v>
      </c>
      <c r="F42" s="54">
        <f ca="1">IFERROR(__xludf.DUMMYFUNCTION("""COMPUTED_VALUE"""),42)</f>
        <v>42</v>
      </c>
      <c r="G42" s="51">
        <f t="shared" ca="1" si="0"/>
        <v>1</v>
      </c>
      <c r="H42" s="54">
        <f ca="1">IFERROR(__xludf.DUMMYFUNCTION("""COMPUTED_VALUE"""),41)</f>
        <v>41</v>
      </c>
      <c r="I42" s="51">
        <f t="shared" ca="1" si="1"/>
        <v>0.97619047619047616</v>
      </c>
      <c r="J42" s="54">
        <f ca="1">IFERROR(__xludf.DUMMYFUNCTION("""COMPUTED_VALUE"""),41)</f>
        <v>41</v>
      </c>
      <c r="K42" s="51">
        <f t="shared" ca="1" si="2"/>
        <v>0.97619047619047616</v>
      </c>
      <c r="L42" s="54">
        <f ca="1">IFERROR(__xludf.DUMMYFUNCTION("""COMPUTED_VALUE"""),32)</f>
        <v>32</v>
      </c>
      <c r="M42" s="51">
        <f t="shared" ca="1" si="3"/>
        <v>0.76190476190476186</v>
      </c>
      <c r="N42" s="54">
        <f ca="1">IFERROR(__xludf.DUMMYFUNCTION("""COMPUTED_VALUE"""),709)</f>
        <v>709</v>
      </c>
      <c r="O42" s="54">
        <f ca="1">IFERROR(__xludf.DUMMYFUNCTION("""COMPUTED_VALUE"""),439)</f>
        <v>439</v>
      </c>
      <c r="P42" s="51">
        <f t="shared" ca="1" si="4"/>
        <v>0.61918194640338509</v>
      </c>
      <c r="Q42" s="54">
        <f ca="1">IFERROR(__xludf.DUMMYFUNCTION("""COMPUTED_VALUE"""),287)</f>
        <v>287</v>
      </c>
      <c r="R42" s="51">
        <f t="shared" ca="1" si="5"/>
        <v>0.40479548660084624</v>
      </c>
      <c r="S42" s="54">
        <f ca="1">IFERROR(__xludf.DUMMYFUNCTION("""COMPUTED_VALUE"""),1)</f>
        <v>1</v>
      </c>
      <c r="T42" s="54">
        <f ca="1">IFERROR(__xludf.DUMMYFUNCTION("""COMPUTED_VALUE"""),1)</f>
        <v>1</v>
      </c>
      <c r="U42" s="51">
        <f t="shared" ca="1" si="6"/>
        <v>1</v>
      </c>
      <c r="V42" s="54">
        <f ca="1">IFERROR(__xludf.DUMMYFUNCTION("""COMPUTED_VALUE"""),1)</f>
        <v>1</v>
      </c>
      <c r="W42" s="51">
        <f t="shared" ca="1" si="7"/>
        <v>1</v>
      </c>
      <c r="X42" s="54">
        <f ca="1">IFERROR(__xludf.DUMMYFUNCTION("""COMPUTED_VALUE"""),0)</f>
        <v>0</v>
      </c>
      <c r="Y42" s="51">
        <f t="shared" ca="1" si="8"/>
        <v>0</v>
      </c>
      <c r="Z42" s="2"/>
      <c r="AA42" s="2"/>
      <c r="AB42" s="2"/>
      <c r="AC42" s="2"/>
      <c r="AD42" s="2"/>
      <c r="AE42" s="2"/>
    </row>
    <row r="43" spans="1:31" ht="12.75" x14ac:dyDescent="0.2">
      <c r="A43" s="53">
        <f ca="1">IFERROR(__xludf.DUMMYFUNCTION("""COMPUTED_VALUE"""),10)</f>
        <v>10</v>
      </c>
      <c r="B43" s="53" t="str">
        <f ca="1">IFERROR(__xludf.DUMMYFUNCTION("""COMPUTED_VALUE"""),"TH Cầu Xáng")</f>
        <v>TH Cầu Xáng</v>
      </c>
      <c r="C43" s="53" t="str">
        <f ca="1">IFERROR(__xludf.DUMMYFUNCTION("""COMPUTED_VALUE"""),"TH")</f>
        <v>TH</v>
      </c>
      <c r="D43" s="53" t="str">
        <f ca="1">IFERROR(__xludf.DUMMYFUNCTION("""COMPUTED_VALUE"""),"Hóc Môn")</f>
        <v>Hóc Môn</v>
      </c>
      <c r="E43" s="54">
        <f ca="1">IFERROR(__xludf.DUMMYFUNCTION("""COMPUTED_VALUE"""),36)</f>
        <v>36</v>
      </c>
      <c r="F43" s="54">
        <f ca="1">IFERROR(__xludf.DUMMYFUNCTION("""COMPUTED_VALUE"""),36)</f>
        <v>36</v>
      </c>
      <c r="G43" s="51">
        <f t="shared" ca="1" si="0"/>
        <v>1</v>
      </c>
      <c r="H43" s="54">
        <f ca="1">IFERROR(__xludf.DUMMYFUNCTION("""COMPUTED_VALUE"""),36)</f>
        <v>36</v>
      </c>
      <c r="I43" s="51">
        <f t="shared" ca="1" si="1"/>
        <v>1</v>
      </c>
      <c r="J43" s="54">
        <f ca="1">IFERROR(__xludf.DUMMYFUNCTION("""COMPUTED_VALUE"""),36)</f>
        <v>36</v>
      </c>
      <c r="K43" s="51">
        <f t="shared" ca="1" si="2"/>
        <v>1</v>
      </c>
      <c r="L43" s="54">
        <f ca="1">IFERROR(__xludf.DUMMYFUNCTION("""COMPUTED_VALUE"""),32)</f>
        <v>32</v>
      </c>
      <c r="M43" s="51">
        <f t="shared" ca="1" si="3"/>
        <v>0.88888888888888884</v>
      </c>
      <c r="N43" s="54">
        <f ca="1">IFERROR(__xludf.DUMMYFUNCTION("""COMPUTED_VALUE"""),696)</f>
        <v>696</v>
      </c>
      <c r="O43" s="54">
        <f ca="1">IFERROR(__xludf.DUMMYFUNCTION("""COMPUTED_VALUE"""),457)</f>
        <v>457</v>
      </c>
      <c r="P43" s="51">
        <f t="shared" ca="1" si="4"/>
        <v>0.6566091954022989</v>
      </c>
      <c r="Q43" s="54">
        <f ca="1">IFERROR(__xludf.DUMMYFUNCTION("""COMPUTED_VALUE"""),280)</f>
        <v>280</v>
      </c>
      <c r="R43" s="51">
        <f t="shared" ca="1" si="5"/>
        <v>0.40229885057471265</v>
      </c>
      <c r="S43" s="54">
        <f ca="1">IFERROR(__xludf.DUMMYFUNCTION("""COMPUTED_VALUE"""),0)</f>
        <v>0</v>
      </c>
      <c r="T43" s="54">
        <f ca="1">IFERROR(__xludf.DUMMYFUNCTION("""COMPUTED_VALUE"""),0)</f>
        <v>0</v>
      </c>
      <c r="U43" s="51" t="str">
        <f t="shared" ca="1" si="6"/>
        <v/>
      </c>
      <c r="V43" s="54">
        <f ca="1">IFERROR(__xludf.DUMMYFUNCTION("""COMPUTED_VALUE"""),0)</f>
        <v>0</v>
      </c>
      <c r="W43" s="51" t="str">
        <f t="shared" ca="1" si="7"/>
        <v/>
      </c>
      <c r="X43" s="54">
        <f ca="1">IFERROR(__xludf.DUMMYFUNCTION("""COMPUTED_VALUE"""),0)</f>
        <v>0</v>
      </c>
      <c r="Y43" s="51" t="str">
        <f t="shared" ca="1" si="8"/>
        <v/>
      </c>
      <c r="Z43" s="2"/>
      <c r="AA43" s="2"/>
      <c r="AB43" s="2"/>
      <c r="AC43" s="2"/>
      <c r="AD43" s="2"/>
      <c r="AE43" s="2"/>
    </row>
    <row r="44" spans="1:31" ht="12.75" x14ac:dyDescent="0.2">
      <c r="A44" s="53">
        <f ca="1">IFERROR(__xludf.DUMMYFUNCTION("""COMPUTED_VALUE"""),11)</f>
        <v>11</v>
      </c>
      <c r="B44" s="53" t="str">
        <f ca="1">IFERROR(__xludf.DUMMYFUNCTION("""COMPUTED_VALUE"""),"TH Tây Bắc Lân")</f>
        <v>TH Tây Bắc Lân</v>
      </c>
      <c r="C44" s="53" t="str">
        <f ca="1">IFERROR(__xludf.DUMMYFUNCTION("""COMPUTED_VALUE"""),"TH")</f>
        <v>TH</v>
      </c>
      <c r="D44" s="53" t="str">
        <f ca="1">IFERROR(__xludf.DUMMYFUNCTION("""COMPUTED_VALUE"""),"Hóc Môn")</f>
        <v>Hóc Môn</v>
      </c>
      <c r="E44" s="54">
        <f ca="1">IFERROR(__xludf.DUMMYFUNCTION("""COMPUTED_VALUE"""),127)</f>
        <v>127</v>
      </c>
      <c r="F44" s="54">
        <f ca="1">IFERROR(__xludf.DUMMYFUNCTION("""COMPUTED_VALUE"""),127)</f>
        <v>127</v>
      </c>
      <c r="G44" s="51">
        <f t="shared" ca="1" si="0"/>
        <v>1</v>
      </c>
      <c r="H44" s="54">
        <f ca="1">IFERROR(__xludf.DUMMYFUNCTION("""COMPUTED_VALUE"""),127)</f>
        <v>127</v>
      </c>
      <c r="I44" s="51">
        <f t="shared" ca="1" si="1"/>
        <v>1</v>
      </c>
      <c r="J44" s="54">
        <f ca="1">IFERROR(__xludf.DUMMYFUNCTION("""COMPUTED_VALUE"""),127)</f>
        <v>127</v>
      </c>
      <c r="K44" s="51">
        <f t="shared" ca="1" si="2"/>
        <v>1</v>
      </c>
      <c r="L44" s="54">
        <f ca="1">IFERROR(__xludf.DUMMYFUNCTION("""COMPUTED_VALUE"""),60)</f>
        <v>60</v>
      </c>
      <c r="M44" s="51">
        <f t="shared" ca="1" si="3"/>
        <v>0.47244094488188976</v>
      </c>
      <c r="N44" s="54">
        <f ca="1">IFERROR(__xludf.DUMMYFUNCTION("""COMPUTED_VALUE"""),3511)</f>
        <v>3511</v>
      </c>
      <c r="O44" s="54">
        <f ca="1">IFERROR(__xludf.DUMMYFUNCTION("""COMPUTED_VALUE"""),2075)</f>
        <v>2075</v>
      </c>
      <c r="P44" s="51">
        <f t="shared" ca="1" si="4"/>
        <v>0.59099971518086014</v>
      </c>
      <c r="Q44" s="54">
        <f ca="1">IFERROR(__xludf.DUMMYFUNCTION("""COMPUTED_VALUE"""),769)</f>
        <v>769</v>
      </c>
      <c r="R44" s="51">
        <f t="shared" ca="1" si="5"/>
        <v>0.21902591854172601</v>
      </c>
      <c r="S44" s="54">
        <f ca="1">IFERROR(__xludf.DUMMYFUNCTION("""COMPUTED_VALUE"""),2)</f>
        <v>2</v>
      </c>
      <c r="T44" s="54">
        <f ca="1">IFERROR(__xludf.DUMMYFUNCTION("""COMPUTED_VALUE"""),2)</f>
        <v>2</v>
      </c>
      <c r="U44" s="51">
        <f t="shared" ca="1" si="6"/>
        <v>1</v>
      </c>
      <c r="V44" s="54">
        <f ca="1">IFERROR(__xludf.DUMMYFUNCTION("""COMPUTED_VALUE"""),2)</f>
        <v>2</v>
      </c>
      <c r="W44" s="51">
        <f t="shared" ca="1" si="7"/>
        <v>1</v>
      </c>
      <c r="X44" s="54">
        <f ca="1">IFERROR(__xludf.DUMMYFUNCTION("""COMPUTED_VALUE"""),0)</f>
        <v>0</v>
      </c>
      <c r="Y44" s="51">
        <f t="shared" ca="1" si="8"/>
        <v>0</v>
      </c>
      <c r="Z44" s="2"/>
      <c r="AA44" s="2"/>
      <c r="AB44" s="2"/>
      <c r="AC44" s="2"/>
      <c r="AD44" s="2"/>
      <c r="AE44" s="2"/>
    </row>
    <row r="45" spans="1:31" ht="12.75" x14ac:dyDescent="0.2">
      <c r="A45" s="53">
        <f ca="1">IFERROR(__xludf.DUMMYFUNCTION("""COMPUTED_VALUE"""),12)</f>
        <v>12</v>
      </c>
      <c r="B45" s="53" t="str">
        <f ca="1">IFERROR(__xludf.DUMMYFUNCTION("""COMPUTED_VALUE"""),"TH Lý Chính Thắng 2")</f>
        <v>TH Lý Chính Thắng 2</v>
      </c>
      <c r="C45" s="53" t="str">
        <f ca="1">IFERROR(__xludf.DUMMYFUNCTION("""COMPUTED_VALUE"""),"TH")</f>
        <v>TH</v>
      </c>
      <c r="D45" s="53" t="str">
        <f ca="1">IFERROR(__xludf.DUMMYFUNCTION("""COMPUTED_VALUE"""),"Hóc Môn")</f>
        <v>Hóc Môn</v>
      </c>
      <c r="E45" s="54">
        <f ca="1">IFERROR(__xludf.DUMMYFUNCTION("""COMPUTED_VALUE"""),72)</f>
        <v>72</v>
      </c>
      <c r="F45" s="54">
        <f ca="1">IFERROR(__xludf.DUMMYFUNCTION("""COMPUTED_VALUE"""),72)</f>
        <v>72</v>
      </c>
      <c r="G45" s="51">
        <f t="shared" ca="1" si="0"/>
        <v>1</v>
      </c>
      <c r="H45" s="54">
        <f ca="1">IFERROR(__xludf.DUMMYFUNCTION("""COMPUTED_VALUE"""),72)</f>
        <v>72</v>
      </c>
      <c r="I45" s="51">
        <f t="shared" ca="1" si="1"/>
        <v>1</v>
      </c>
      <c r="J45" s="54">
        <f ca="1">IFERROR(__xludf.DUMMYFUNCTION("""COMPUTED_VALUE"""),67)</f>
        <v>67</v>
      </c>
      <c r="K45" s="51">
        <f t="shared" ca="1" si="2"/>
        <v>0.93055555555555558</v>
      </c>
      <c r="L45" s="54">
        <f ca="1">IFERROR(__xludf.DUMMYFUNCTION("""COMPUTED_VALUE"""),53)</f>
        <v>53</v>
      </c>
      <c r="M45" s="51">
        <f t="shared" ca="1" si="3"/>
        <v>0.73611111111111116</v>
      </c>
      <c r="N45" s="54">
        <f ca="1">IFERROR(__xludf.DUMMYFUNCTION("""COMPUTED_VALUE"""),1437)</f>
        <v>1437</v>
      </c>
      <c r="O45" s="54">
        <f ca="1">IFERROR(__xludf.DUMMYFUNCTION("""COMPUTED_VALUE"""),918)</f>
        <v>918</v>
      </c>
      <c r="P45" s="51">
        <f t="shared" ca="1" si="4"/>
        <v>0.63883089770354906</v>
      </c>
      <c r="Q45" s="54">
        <f ca="1">IFERROR(__xludf.DUMMYFUNCTION("""COMPUTED_VALUE"""),418)</f>
        <v>418</v>
      </c>
      <c r="R45" s="51">
        <f t="shared" ca="1" si="5"/>
        <v>0.29088378566457901</v>
      </c>
      <c r="S45" s="54">
        <f ca="1">IFERROR(__xludf.DUMMYFUNCTION("""COMPUTED_VALUE"""),0)</f>
        <v>0</v>
      </c>
      <c r="T45" s="54">
        <f ca="1">IFERROR(__xludf.DUMMYFUNCTION("""COMPUTED_VALUE"""),0)</f>
        <v>0</v>
      </c>
      <c r="U45" s="51" t="str">
        <f t="shared" ca="1" si="6"/>
        <v/>
      </c>
      <c r="V45" s="54">
        <f ca="1">IFERROR(__xludf.DUMMYFUNCTION("""COMPUTED_VALUE"""),0)</f>
        <v>0</v>
      </c>
      <c r="W45" s="51" t="str">
        <f t="shared" ca="1" si="7"/>
        <v/>
      </c>
      <c r="X45" s="54">
        <f ca="1">IFERROR(__xludf.DUMMYFUNCTION("""COMPUTED_VALUE"""),0)</f>
        <v>0</v>
      </c>
      <c r="Y45" s="51" t="str">
        <f t="shared" ca="1" si="8"/>
        <v/>
      </c>
      <c r="Z45" s="2"/>
      <c r="AA45" s="2"/>
      <c r="AB45" s="2"/>
      <c r="AC45" s="2"/>
      <c r="AD45" s="2"/>
      <c r="AE45" s="2"/>
    </row>
    <row r="46" spans="1:31" ht="12.75" x14ac:dyDescent="0.2">
      <c r="A46" s="53">
        <f ca="1">IFERROR(__xludf.DUMMYFUNCTION("""COMPUTED_VALUE"""),13)</f>
        <v>13</v>
      </c>
      <c r="B46" s="53" t="str">
        <f ca="1">IFERROR(__xludf.DUMMYFUNCTION("""COMPUTED_VALUE"""),"TH Nhị Tân")</f>
        <v>TH Nhị Tân</v>
      </c>
      <c r="C46" s="53" t="str">
        <f ca="1">IFERROR(__xludf.DUMMYFUNCTION("""COMPUTED_VALUE"""),"TH")</f>
        <v>TH</v>
      </c>
      <c r="D46" s="53" t="str">
        <f ca="1">IFERROR(__xludf.DUMMYFUNCTION("""COMPUTED_VALUE"""),"Hóc Môn")</f>
        <v>Hóc Môn</v>
      </c>
      <c r="E46" s="54">
        <f ca="1">IFERROR(__xludf.DUMMYFUNCTION("""COMPUTED_VALUE"""),47)</f>
        <v>47</v>
      </c>
      <c r="F46" s="54">
        <f ca="1">IFERROR(__xludf.DUMMYFUNCTION("""COMPUTED_VALUE"""),47)</f>
        <v>47</v>
      </c>
      <c r="G46" s="51">
        <f t="shared" ca="1" si="0"/>
        <v>1</v>
      </c>
      <c r="H46" s="54">
        <f ca="1">IFERROR(__xludf.DUMMYFUNCTION("""COMPUTED_VALUE"""),47)</f>
        <v>47</v>
      </c>
      <c r="I46" s="51">
        <f t="shared" ca="1" si="1"/>
        <v>1</v>
      </c>
      <c r="J46" s="54">
        <f ca="1">IFERROR(__xludf.DUMMYFUNCTION("""COMPUTED_VALUE"""),47)</f>
        <v>47</v>
      </c>
      <c r="K46" s="51">
        <f t="shared" ca="1" si="2"/>
        <v>1</v>
      </c>
      <c r="L46" s="54">
        <f ca="1">IFERROR(__xludf.DUMMYFUNCTION("""COMPUTED_VALUE"""),43)</f>
        <v>43</v>
      </c>
      <c r="M46" s="51">
        <f t="shared" ca="1" si="3"/>
        <v>0.91489361702127658</v>
      </c>
      <c r="N46" s="54">
        <f ca="1">IFERROR(__xludf.DUMMYFUNCTION("""COMPUTED_VALUE"""),1015)</f>
        <v>1015</v>
      </c>
      <c r="O46" s="54">
        <f ca="1">IFERROR(__xludf.DUMMYFUNCTION("""COMPUTED_VALUE"""),911)</f>
        <v>911</v>
      </c>
      <c r="P46" s="51">
        <f t="shared" ca="1" si="4"/>
        <v>0.89753694581280785</v>
      </c>
      <c r="Q46" s="54">
        <f ca="1">IFERROR(__xludf.DUMMYFUNCTION("""COMPUTED_VALUE"""),174)</f>
        <v>174</v>
      </c>
      <c r="R46" s="51">
        <f t="shared" ca="1" si="5"/>
        <v>0.17142857142857143</v>
      </c>
      <c r="S46" s="54">
        <f ca="1">IFERROR(__xludf.DUMMYFUNCTION("""COMPUTED_VALUE"""),2)</f>
        <v>2</v>
      </c>
      <c r="T46" s="54">
        <f ca="1">IFERROR(__xludf.DUMMYFUNCTION("""COMPUTED_VALUE"""),2)</f>
        <v>2</v>
      </c>
      <c r="U46" s="51">
        <f t="shared" ca="1" si="6"/>
        <v>1</v>
      </c>
      <c r="V46" s="54">
        <f ca="1">IFERROR(__xludf.DUMMYFUNCTION("""COMPUTED_VALUE"""),0)</f>
        <v>0</v>
      </c>
      <c r="W46" s="51">
        <f t="shared" ca="1" si="7"/>
        <v>0</v>
      </c>
      <c r="X46" s="54">
        <f ca="1">IFERROR(__xludf.DUMMYFUNCTION("""COMPUTED_VALUE"""),0)</f>
        <v>0</v>
      </c>
      <c r="Y46" s="51">
        <f t="shared" ca="1" si="8"/>
        <v>0</v>
      </c>
      <c r="Z46" s="2"/>
      <c r="AA46" s="2"/>
      <c r="AB46" s="2"/>
      <c r="AC46" s="2"/>
      <c r="AD46" s="2"/>
      <c r="AE46" s="2"/>
    </row>
    <row r="47" spans="1:31" ht="12.75" x14ac:dyDescent="0.2">
      <c r="A47" s="53">
        <f ca="1">IFERROR(__xludf.DUMMYFUNCTION("""COMPUTED_VALUE"""),14)</f>
        <v>14</v>
      </c>
      <c r="B47" s="53" t="str">
        <f ca="1">IFERROR(__xludf.DUMMYFUNCTION("""COMPUTED_VALUE"""),"TH Ngã Ba Giồng")</f>
        <v>TH Ngã Ba Giồng</v>
      </c>
      <c r="C47" s="53" t="str">
        <f ca="1">IFERROR(__xludf.DUMMYFUNCTION("""COMPUTED_VALUE"""),"TH")</f>
        <v>TH</v>
      </c>
      <c r="D47" s="53" t="str">
        <f ca="1">IFERROR(__xludf.DUMMYFUNCTION("""COMPUTED_VALUE"""),"Hóc Môn")</f>
        <v>Hóc Môn</v>
      </c>
      <c r="E47" s="54">
        <f ca="1">IFERROR(__xludf.DUMMYFUNCTION("""COMPUTED_VALUE"""),76)</f>
        <v>76</v>
      </c>
      <c r="F47" s="54">
        <f ca="1">IFERROR(__xludf.DUMMYFUNCTION("""COMPUTED_VALUE"""),76)</f>
        <v>76</v>
      </c>
      <c r="G47" s="51">
        <f t="shared" ca="1" si="0"/>
        <v>1</v>
      </c>
      <c r="H47" s="54">
        <f ca="1">IFERROR(__xludf.DUMMYFUNCTION("""COMPUTED_VALUE"""),76)</f>
        <v>76</v>
      </c>
      <c r="I47" s="51">
        <f t="shared" ca="1" si="1"/>
        <v>1</v>
      </c>
      <c r="J47" s="54">
        <f ca="1">IFERROR(__xludf.DUMMYFUNCTION("""COMPUTED_VALUE"""),72)</f>
        <v>72</v>
      </c>
      <c r="K47" s="51">
        <f t="shared" ca="1" si="2"/>
        <v>0.94736842105263153</v>
      </c>
      <c r="L47" s="54">
        <f ca="1">IFERROR(__xludf.DUMMYFUNCTION("""COMPUTED_VALUE"""),40)</f>
        <v>40</v>
      </c>
      <c r="M47" s="51">
        <f t="shared" ca="1" si="3"/>
        <v>0.52631578947368418</v>
      </c>
      <c r="N47" s="54">
        <f ca="1">IFERROR(__xludf.DUMMYFUNCTION("""COMPUTED_VALUE"""),2076)</f>
        <v>2076</v>
      </c>
      <c r="O47" s="54">
        <f ca="1">IFERROR(__xludf.DUMMYFUNCTION("""COMPUTED_VALUE"""),1414)</f>
        <v>1414</v>
      </c>
      <c r="P47" s="51">
        <f t="shared" ca="1" si="4"/>
        <v>0.68111753371868977</v>
      </c>
      <c r="Q47" s="54">
        <f ca="1">IFERROR(__xludf.DUMMYFUNCTION("""COMPUTED_VALUE"""),772)</f>
        <v>772</v>
      </c>
      <c r="R47" s="51">
        <f t="shared" ca="1" si="5"/>
        <v>0.37186897880539499</v>
      </c>
      <c r="S47" s="54">
        <f ca="1">IFERROR(__xludf.DUMMYFUNCTION("""COMPUTED_VALUE"""),1)</f>
        <v>1</v>
      </c>
      <c r="T47" s="54">
        <f ca="1">IFERROR(__xludf.DUMMYFUNCTION("""COMPUTED_VALUE"""),1)</f>
        <v>1</v>
      </c>
      <c r="U47" s="51">
        <f t="shared" ca="1" si="6"/>
        <v>1</v>
      </c>
      <c r="V47" s="54">
        <f ca="1">IFERROR(__xludf.DUMMYFUNCTION("""COMPUTED_VALUE"""),1)</f>
        <v>1</v>
      </c>
      <c r="W47" s="51">
        <f t="shared" ca="1" si="7"/>
        <v>1</v>
      </c>
      <c r="X47" s="54">
        <f ca="1">IFERROR(__xludf.DUMMYFUNCTION("""COMPUTED_VALUE"""),0)</f>
        <v>0</v>
      </c>
      <c r="Y47" s="51">
        <f t="shared" ca="1" si="8"/>
        <v>0</v>
      </c>
      <c r="Z47" s="2"/>
      <c r="AA47" s="2"/>
      <c r="AB47" s="2"/>
      <c r="AC47" s="2"/>
      <c r="AD47" s="2"/>
      <c r="AE47" s="2"/>
    </row>
    <row r="48" spans="1:31" ht="12.75" x14ac:dyDescent="0.2">
      <c r="A48" s="53">
        <f ca="1">IFERROR(__xludf.DUMMYFUNCTION("""COMPUTED_VALUE"""),15)</f>
        <v>15</v>
      </c>
      <c r="B48" s="53" t="str">
        <f ca="1">IFERROR(__xludf.DUMMYFUNCTION("""COMPUTED_VALUE"""),"TH Hoàng Hoa Thám")</f>
        <v>TH Hoàng Hoa Thám</v>
      </c>
      <c r="C48" s="53" t="str">
        <f ca="1">IFERROR(__xludf.DUMMYFUNCTION("""COMPUTED_VALUE"""),"TH")</f>
        <v>TH</v>
      </c>
      <c r="D48" s="53" t="str">
        <f ca="1">IFERROR(__xludf.DUMMYFUNCTION("""COMPUTED_VALUE"""),"Hóc Môn")</f>
        <v>Hóc Môn</v>
      </c>
      <c r="E48" s="54">
        <f ca="1">IFERROR(__xludf.DUMMYFUNCTION("""COMPUTED_VALUE"""),114)</f>
        <v>114</v>
      </c>
      <c r="F48" s="54">
        <f ca="1">IFERROR(__xludf.DUMMYFUNCTION("""COMPUTED_VALUE"""),114)</f>
        <v>114</v>
      </c>
      <c r="G48" s="51">
        <f t="shared" ca="1" si="0"/>
        <v>1</v>
      </c>
      <c r="H48" s="54">
        <f ca="1">IFERROR(__xludf.DUMMYFUNCTION("""COMPUTED_VALUE"""),114)</f>
        <v>114</v>
      </c>
      <c r="I48" s="51">
        <f t="shared" ca="1" si="1"/>
        <v>1</v>
      </c>
      <c r="J48" s="54">
        <f ca="1">IFERROR(__xludf.DUMMYFUNCTION("""COMPUTED_VALUE"""),114)</f>
        <v>114</v>
      </c>
      <c r="K48" s="51">
        <f t="shared" ca="1" si="2"/>
        <v>1</v>
      </c>
      <c r="L48" s="54">
        <f ca="1">IFERROR(__xludf.DUMMYFUNCTION("""COMPUTED_VALUE"""),101)</f>
        <v>101</v>
      </c>
      <c r="M48" s="51">
        <f t="shared" ca="1" si="3"/>
        <v>0.88596491228070173</v>
      </c>
      <c r="N48" s="54">
        <f ca="1">IFERROR(__xludf.DUMMYFUNCTION("""COMPUTED_VALUE"""),2512)</f>
        <v>2512</v>
      </c>
      <c r="O48" s="54">
        <f ca="1">IFERROR(__xludf.DUMMYFUNCTION("""COMPUTED_VALUE"""),1897)</f>
        <v>1897</v>
      </c>
      <c r="P48" s="51">
        <f t="shared" ca="1" si="4"/>
        <v>0.7551751592356688</v>
      </c>
      <c r="Q48" s="54">
        <f ca="1">IFERROR(__xludf.DUMMYFUNCTION("""COMPUTED_VALUE"""),1005)</f>
        <v>1005</v>
      </c>
      <c r="R48" s="51">
        <f t="shared" ca="1" si="5"/>
        <v>0.40007961783439489</v>
      </c>
      <c r="S48" s="54">
        <f ca="1">IFERROR(__xludf.DUMMYFUNCTION("""COMPUTED_VALUE"""),2)</f>
        <v>2</v>
      </c>
      <c r="T48" s="54">
        <f ca="1">IFERROR(__xludf.DUMMYFUNCTION("""COMPUTED_VALUE"""),2)</f>
        <v>2</v>
      </c>
      <c r="U48" s="51">
        <f t="shared" ca="1" si="6"/>
        <v>1</v>
      </c>
      <c r="V48" s="54">
        <f ca="1">IFERROR(__xludf.DUMMYFUNCTION("""COMPUTED_VALUE"""),2)</f>
        <v>2</v>
      </c>
      <c r="W48" s="51">
        <f t="shared" ca="1" si="7"/>
        <v>1</v>
      </c>
      <c r="X48" s="54">
        <f ca="1">IFERROR(__xludf.DUMMYFUNCTION("""COMPUTED_VALUE"""),0)</f>
        <v>0</v>
      </c>
      <c r="Y48" s="51">
        <f t="shared" ca="1" si="8"/>
        <v>0</v>
      </c>
      <c r="Z48" s="2"/>
      <c r="AA48" s="2"/>
      <c r="AB48" s="2"/>
      <c r="AC48" s="2"/>
      <c r="AD48" s="2"/>
      <c r="AE48" s="2"/>
    </row>
    <row r="49" spans="1:31" ht="12.75" x14ac:dyDescent="0.2">
      <c r="A49" s="53">
        <f ca="1">IFERROR(__xludf.DUMMYFUNCTION("""COMPUTED_VALUE"""),16)</f>
        <v>16</v>
      </c>
      <c r="B49" s="53" t="str">
        <f ca="1">IFERROR(__xludf.DUMMYFUNCTION("""COMPUTED_VALUE"""),"TH Thới Thạnh")</f>
        <v>TH Thới Thạnh</v>
      </c>
      <c r="C49" s="53" t="str">
        <f ca="1">IFERROR(__xludf.DUMMYFUNCTION("""COMPUTED_VALUE"""),"TH")</f>
        <v>TH</v>
      </c>
      <c r="D49" s="53" t="str">
        <f ca="1">IFERROR(__xludf.DUMMYFUNCTION("""COMPUTED_VALUE"""),"Hóc Môn")</f>
        <v>Hóc Môn</v>
      </c>
      <c r="E49" s="54">
        <f ca="1">IFERROR(__xludf.DUMMYFUNCTION("""COMPUTED_VALUE"""),45)</f>
        <v>45</v>
      </c>
      <c r="F49" s="54">
        <f ca="1">IFERROR(__xludf.DUMMYFUNCTION("""COMPUTED_VALUE"""),45)</f>
        <v>45</v>
      </c>
      <c r="G49" s="51">
        <f t="shared" ca="1" si="0"/>
        <v>1</v>
      </c>
      <c r="H49" s="54">
        <f ca="1">IFERROR(__xludf.DUMMYFUNCTION("""COMPUTED_VALUE"""),45)</f>
        <v>45</v>
      </c>
      <c r="I49" s="51">
        <f t="shared" ca="1" si="1"/>
        <v>1</v>
      </c>
      <c r="J49" s="54">
        <f ca="1">IFERROR(__xludf.DUMMYFUNCTION("""COMPUTED_VALUE"""),45)</f>
        <v>45</v>
      </c>
      <c r="K49" s="51">
        <f t="shared" ca="1" si="2"/>
        <v>1</v>
      </c>
      <c r="L49" s="54">
        <f ca="1">IFERROR(__xludf.DUMMYFUNCTION("""COMPUTED_VALUE"""),39)</f>
        <v>39</v>
      </c>
      <c r="M49" s="51">
        <f t="shared" ca="1" si="3"/>
        <v>0.8666666666666667</v>
      </c>
      <c r="N49" s="54">
        <f ca="1">IFERROR(__xludf.DUMMYFUNCTION("""COMPUTED_VALUE"""),1471)</f>
        <v>1471</v>
      </c>
      <c r="O49" s="54">
        <f ca="1">IFERROR(__xludf.DUMMYFUNCTION("""COMPUTED_VALUE"""),839)</f>
        <v>839</v>
      </c>
      <c r="P49" s="51">
        <f t="shared" ca="1" si="4"/>
        <v>0.57036029911624742</v>
      </c>
      <c r="Q49" s="54">
        <f ca="1">IFERROR(__xludf.DUMMYFUNCTION("""COMPUTED_VALUE"""),283)</f>
        <v>283</v>
      </c>
      <c r="R49" s="51">
        <f t="shared" ca="1" si="5"/>
        <v>0.19238613188307274</v>
      </c>
      <c r="S49" s="54">
        <f ca="1">IFERROR(__xludf.DUMMYFUNCTION("""COMPUTED_VALUE"""),3)</f>
        <v>3</v>
      </c>
      <c r="T49" s="54">
        <f ca="1">IFERROR(__xludf.DUMMYFUNCTION("""COMPUTED_VALUE"""),3)</f>
        <v>3</v>
      </c>
      <c r="U49" s="51">
        <f t="shared" ca="1" si="6"/>
        <v>1</v>
      </c>
      <c r="V49" s="54">
        <f ca="1">IFERROR(__xludf.DUMMYFUNCTION("""COMPUTED_VALUE"""),3)</f>
        <v>3</v>
      </c>
      <c r="W49" s="51">
        <f t="shared" ca="1" si="7"/>
        <v>1</v>
      </c>
      <c r="X49" s="54">
        <f ca="1">IFERROR(__xludf.DUMMYFUNCTION("""COMPUTED_VALUE"""),0)</f>
        <v>0</v>
      </c>
      <c r="Y49" s="51">
        <f t="shared" ca="1" si="8"/>
        <v>0</v>
      </c>
      <c r="Z49" s="2"/>
      <c r="AA49" s="2"/>
      <c r="AB49" s="2"/>
      <c r="AC49" s="2"/>
      <c r="AD49" s="2"/>
      <c r="AE49" s="2"/>
    </row>
    <row r="50" spans="1:31" ht="12.75" x14ac:dyDescent="0.2">
      <c r="A50" s="53">
        <f ca="1">IFERROR(__xludf.DUMMYFUNCTION("""COMPUTED_VALUE"""),17)</f>
        <v>17</v>
      </c>
      <c r="B50" s="53" t="str">
        <f ca="1">IFERROR(__xludf.DUMMYFUNCTION("""COMPUTED_VALUE"""),"TH Dương Công Khi")</f>
        <v>TH Dương Công Khi</v>
      </c>
      <c r="C50" s="53" t="str">
        <f ca="1">IFERROR(__xludf.DUMMYFUNCTION("""COMPUTED_VALUE"""),"TH")</f>
        <v>TH</v>
      </c>
      <c r="D50" s="53" t="str">
        <f ca="1">IFERROR(__xludf.DUMMYFUNCTION("""COMPUTED_VALUE"""),"Hóc Môn")</f>
        <v>Hóc Môn</v>
      </c>
      <c r="E50" s="54">
        <f ca="1">IFERROR(__xludf.DUMMYFUNCTION("""COMPUTED_VALUE"""),88)</f>
        <v>88</v>
      </c>
      <c r="F50" s="54">
        <f ca="1">IFERROR(__xludf.DUMMYFUNCTION("""COMPUTED_VALUE"""),88)</f>
        <v>88</v>
      </c>
      <c r="G50" s="51">
        <f t="shared" ca="1" si="0"/>
        <v>1</v>
      </c>
      <c r="H50" s="54">
        <f ca="1">IFERROR(__xludf.DUMMYFUNCTION("""COMPUTED_VALUE"""),88)</f>
        <v>88</v>
      </c>
      <c r="I50" s="51">
        <f t="shared" ca="1" si="1"/>
        <v>1</v>
      </c>
      <c r="J50" s="54">
        <f ca="1">IFERROR(__xludf.DUMMYFUNCTION("""COMPUTED_VALUE"""),84)</f>
        <v>84</v>
      </c>
      <c r="K50" s="51">
        <f t="shared" ca="1" si="2"/>
        <v>0.95454545454545459</v>
      </c>
      <c r="L50" s="54">
        <f ca="1">IFERROR(__xludf.DUMMYFUNCTION("""COMPUTED_VALUE"""),71)</f>
        <v>71</v>
      </c>
      <c r="M50" s="51">
        <f t="shared" ca="1" si="3"/>
        <v>0.80681818181818177</v>
      </c>
      <c r="N50" s="54">
        <f ca="1">IFERROR(__xludf.DUMMYFUNCTION("""COMPUTED_VALUE"""),2312)</f>
        <v>2312</v>
      </c>
      <c r="O50" s="54">
        <f ca="1">IFERROR(__xludf.DUMMYFUNCTION("""COMPUTED_VALUE"""),1263)</f>
        <v>1263</v>
      </c>
      <c r="P50" s="51">
        <f t="shared" ca="1" si="4"/>
        <v>0.54628027681660896</v>
      </c>
      <c r="Q50" s="54">
        <f ca="1">IFERROR(__xludf.DUMMYFUNCTION("""COMPUTED_VALUE"""),715)</f>
        <v>715</v>
      </c>
      <c r="R50" s="51">
        <f t="shared" ca="1" si="5"/>
        <v>0.30925605536332179</v>
      </c>
      <c r="S50" s="54">
        <f ca="1">IFERROR(__xludf.DUMMYFUNCTION("""COMPUTED_VALUE"""),0)</f>
        <v>0</v>
      </c>
      <c r="T50" s="54">
        <f ca="1">IFERROR(__xludf.DUMMYFUNCTION("""COMPUTED_VALUE"""),0)</f>
        <v>0</v>
      </c>
      <c r="U50" s="51" t="str">
        <f t="shared" ca="1" si="6"/>
        <v/>
      </c>
      <c r="V50" s="54">
        <f ca="1">IFERROR(__xludf.DUMMYFUNCTION("""COMPUTED_VALUE"""),0)</f>
        <v>0</v>
      </c>
      <c r="W50" s="51" t="str">
        <f t="shared" ca="1" si="7"/>
        <v/>
      </c>
      <c r="X50" s="54">
        <f ca="1">IFERROR(__xludf.DUMMYFUNCTION("""COMPUTED_VALUE"""),0)</f>
        <v>0</v>
      </c>
      <c r="Y50" s="51" t="str">
        <f t="shared" ca="1" si="8"/>
        <v/>
      </c>
      <c r="Z50" s="2"/>
      <c r="AA50" s="2"/>
      <c r="AB50" s="2"/>
      <c r="AC50" s="2"/>
      <c r="AD50" s="2"/>
      <c r="AE50" s="2"/>
    </row>
    <row r="51" spans="1:31" ht="12.75" x14ac:dyDescent="0.2">
      <c r="A51" s="53">
        <f ca="1">IFERROR(__xludf.DUMMYFUNCTION("""COMPUTED_VALUE"""),18)</f>
        <v>18</v>
      </c>
      <c r="B51" s="53" t="str">
        <f ca="1">IFERROR(__xludf.DUMMYFUNCTION("""COMPUTED_VALUE"""),"TH Võ Văn Thặng")</f>
        <v>TH Võ Văn Thặng</v>
      </c>
      <c r="C51" s="53" t="str">
        <f ca="1">IFERROR(__xludf.DUMMYFUNCTION("""COMPUTED_VALUE"""),"TH")</f>
        <v>TH</v>
      </c>
      <c r="D51" s="53" t="str">
        <f ca="1">IFERROR(__xludf.DUMMYFUNCTION("""COMPUTED_VALUE"""),"Hóc Môn")</f>
        <v>Hóc Môn</v>
      </c>
      <c r="E51" s="54">
        <f ca="1">IFERROR(__xludf.DUMMYFUNCTION("""COMPUTED_VALUE"""),67)</f>
        <v>67</v>
      </c>
      <c r="F51" s="54">
        <f ca="1">IFERROR(__xludf.DUMMYFUNCTION("""COMPUTED_VALUE"""),67)</f>
        <v>67</v>
      </c>
      <c r="G51" s="51">
        <f t="shared" ca="1" si="0"/>
        <v>1</v>
      </c>
      <c r="H51" s="54">
        <f ca="1">IFERROR(__xludf.DUMMYFUNCTION("""COMPUTED_VALUE"""),67)</f>
        <v>67</v>
      </c>
      <c r="I51" s="51">
        <f t="shared" ca="1" si="1"/>
        <v>1</v>
      </c>
      <c r="J51" s="54">
        <f ca="1">IFERROR(__xludf.DUMMYFUNCTION("""COMPUTED_VALUE"""),64)</f>
        <v>64</v>
      </c>
      <c r="K51" s="51">
        <f t="shared" ca="1" si="2"/>
        <v>0.95522388059701491</v>
      </c>
      <c r="L51" s="54">
        <f ca="1">IFERROR(__xludf.DUMMYFUNCTION("""COMPUTED_VALUE"""),35)</f>
        <v>35</v>
      </c>
      <c r="M51" s="51">
        <f t="shared" ca="1" si="3"/>
        <v>0.52238805970149249</v>
      </c>
      <c r="N51" s="54">
        <f ca="1">IFERROR(__xludf.DUMMYFUNCTION("""COMPUTED_VALUE"""),1885)</f>
        <v>1885</v>
      </c>
      <c r="O51" s="54">
        <f ca="1">IFERROR(__xludf.DUMMYFUNCTION("""COMPUTED_VALUE"""),1084)</f>
        <v>1084</v>
      </c>
      <c r="P51" s="51">
        <f t="shared" ca="1" si="4"/>
        <v>0.57506631299734745</v>
      </c>
      <c r="Q51" s="54">
        <f ca="1">IFERROR(__xludf.DUMMYFUNCTION("""COMPUTED_VALUE"""),697)</f>
        <v>697</v>
      </c>
      <c r="R51" s="51">
        <f t="shared" ca="1" si="5"/>
        <v>0.36976127320954905</v>
      </c>
      <c r="S51" s="54">
        <f ca="1">IFERROR(__xludf.DUMMYFUNCTION("""COMPUTED_VALUE"""),4)</f>
        <v>4</v>
      </c>
      <c r="T51" s="54">
        <f ca="1">IFERROR(__xludf.DUMMYFUNCTION("""COMPUTED_VALUE"""),3)</f>
        <v>3</v>
      </c>
      <c r="U51" s="51">
        <f t="shared" ca="1" si="6"/>
        <v>0.75</v>
      </c>
      <c r="V51" s="54">
        <f ca="1">IFERROR(__xludf.DUMMYFUNCTION("""COMPUTED_VALUE"""),3)</f>
        <v>3</v>
      </c>
      <c r="W51" s="51">
        <f t="shared" ca="1" si="7"/>
        <v>0.75</v>
      </c>
      <c r="X51" s="54">
        <f ca="1">IFERROR(__xludf.DUMMYFUNCTION("""COMPUTED_VALUE"""),0)</f>
        <v>0</v>
      </c>
      <c r="Y51" s="51">
        <f t="shared" ca="1" si="8"/>
        <v>0</v>
      </c>
      <c r="Z51" s="2"/>
      <c r="AA51" s="2"/>
      <c r="AB51" s="2"/>
      <c r="AC51" s="2"/>
      <c r="AD51" s="2"/>
      <c r="AE51" s="2"/>
    </row>
    <row r="52" spans="1:31" ht="12.75" x14ac:dyDescent="0.2">
      <c r="A52" s="53">
        <f ca="1">IFERROR(__xludf.DUMMYFUNCTION("""COMPUTED_VALUE"""),19)</f>
        <v>19</v>
      </c>
      <c r="B52" s="53" t="str">
        <f ca="1">IFERROR(__xludf.DUMMYFUNCTION("""COMPUTED_VALUE"""),"TH Bùi Văn Ngữ")</f>
        <v>TH Bùi Văn Ngữ</v>
      </c>
      <c r="C52" s="53" t="str">
        <f ca="1">IFERROR(__xludf.DUMMYFUNCTION("""COMPUTED_VALUE"""),"TH")</f>
        <v>TH</v>
      </c>
      <c r="D52" s="53" t="str">
        <f ca="1">IFERROR(__xludf.DUMMYFUNCTION("""COMPUTED_VALUE"""),"Hóc Môn")</f>
        <v>Hóc Môn</v>
      </c>
      <c r="E52" s="54">
        <f ca="1">IFERROR(__xludf.DUMMYFUNCTION("""COMPUTED_VALUE"""),104)</f>
        <v>104</v>
      </c>
      <c r="F52" s="54">
        <f ca="1">IFERROR(__xludf.DUMMYFUNCTION("""COMPUTED_VALUE"""),104)</f>
        <v>104</v>
      </c>
      <c r="G52" s="51">
        <f t="shared" ca="1" si="0"/>
        <v>1</v>
      </c>
      <c r="H52" s="54">
        <f ca="1">IFERROR(__xludf.DUMMYFUNCTION("""COMPUTED_VALUE"""),104)</f>
        <v>104</v>
      </c>
      <c r="I52" s="51">
        <f t="shared" ca="1" si="1"/>
        <v>1</v>
      </c>
      <c r="J52" s="54">
        <f ca="1">IFERROR(__xludf.DUMMYFUNCTION("""COMPUTED_VALUE"""),101)</f>
        <v>101</v>
      </c>
      <c r="K52" s="51">
        <f t="shared" ca="1" si="2"/>
        <v>0.97115384615384615</v>
      </c>
      <c r="L52" s="54">
        <f ca="1">IFERROR(__xludf.DUMMYFUNCTION("""COMPUTED_VALUE"""),73)</f>
        <v>73</v>
      </c>
      <c r="M52" s="51">
        <f t="shared" ca="1" si="3"/>
        <v>0.70192307692307687</v>
      </c>
      <c r="N52" s="54">
        <f ca="1">IFERROR(__xludf.DUMMYFUNCTION("""COMPUTED_VALUE"""),3071)</f>
        <v>3071</v>
      </c>
      <c r="O52" s="54">
        <f ca="1">IFERROR(__xludf.DUMMYFUNCTION("""COMPUTED_VALUE"""),2445)</f>
        <v>2445</v>
      </c>
      <c r="P52" s="51">
        <f t="shared" ca="1" si="4"/>
        <v>0.79615760338651909</v>
      </c>
      <c r="Q52" s="54">
        <f ca="1">IFERROR(__xludf.DUMMYFUNCTION("""COMPUTED_VALUE"""),773)</f>
        <v>773</v>
      </c>
      <c r="R52" s="51">
        <f t="shared" ca="1" si="5"/>
        <v>0.25170954086616737</v>
      </c>
      <c r="S52" s="54">
        <f ca="1">IFERROR(__xludf.DUMMYFUNCTION("""COMPUTED_VALUE"""),1)</f>
        <v>1</v>
      </c>
      <c r="T52" s="54">
        <f ca="1">IFERROR(__xludf.DUMMYFUNCTION("""COMPUTED_VALUE"""),1)</f>
        <v>1</v>
      </c>
      <c r="U52" s="51">
        <f t="shared" ca="1" si="6"/>
        <v>1</v>
      </c>
      <c r="V52" s="54">
        <f ca="1">IFERROR(__xludf.DUMMYFUNCTION("""COMPUTED_VALUE"""),1)</f>
        <v>1</v>
      </c>
      <c r="W52" s="51">
        <f t="shared" ca="1" si="7"/>
        <v>1</v>
      </c>
      <c r="X52" s="54">
        <f ca="1">IFERROR(__xludf.DUMMYFUNCTION("""COMPUTED_VALUE"""),0)</f>
        <v>0</v>
      </c>
      <c r="Y52" s="51">
        <f t="shared" ca="1" si="8"/>
        <v>0</v>
      </c>
      <c r="Z52" s="2"/>
      <c r="AA52" s="2"/>
      <c r="AB52" s="2"/>
      <c r="AC52" s="2"/>
      <c r="AD52" s="2"/>
      <c r="AE52" s="2"/>
    </row>
    <row r="53" spans="1:31" ht="12.75" x14ac:dyDescent="0.2">
      <c r="A53" s="53">
        <f ca="1">IFERROR(__xludf.DUMMYFUNCTION("""COMPUTED_VALUE"""),20)</f>
        <v>20</v>
      </c>
      <c r="B53" s="53" t="str">
        <f ca="1">IFERROR(__xludf.DUMMYFUNCTION("""COMPUTED_VALUE"""),"TH Trương Văn Ngài")</f>
        <v>TH Trương Văn Ngài</v>
      </c>
      <c r="C53" s="53" t="str">
        <f ca="1">IFERROR(__xludf.DUMMYFUNCTION("""COMPUTED_VALUE"""),"TH")</f>
        <v>TH</v>
      </c>
      <c r="D53" s="53" t="str">
        <f ca="1">IFERROR(__xludf.DUMMYFUNCTION("""COMPUTED_VALUE"""),"Hóc Môn")</f>
        <v>Hóc Môn</v>
      </c>
      <c r="E53" s="54">
        <f ca="1">IFERROR(__xludf.DUMMYFUNCTION("""COMPUTED_VALUE"""),65)</f>
        <v>65</v>
      </c>
      <c r="F53" s="54">
        <f ca="1">IFERROR(__xludf.DUMMYFUNCTION("""COMPUTED_VALUE"""),65)</f>
        <v>65</v>
      </c>
      <c r="G53" s="51">
        <f t="shared" ca="1" si="0"/>
        <v>1</v>
      </c>
      <c r="H53" s="54">
        <f ca="1">IFERROR(__xludf.DUMMYFUNCTION("""COMPUTED_VALUE"""),65)</f>
        <v>65</v>
      </c>
      <c r="I53" s="51">
        <f t="shared" ca="1" si="1"/>
        <v>1</v>
      </c>
      <c r="J53" s="54">
        <f ca="1">IFERROR(__xludf.DUMMYFUNCTION("""COMPUTED_VALUE"""),65)</f>
        <v>65</v>
      </c>
      <c r="K53" s="51">
        <f t="shared" ca="1" si="2"/>
        <v>1</v>
      </c>
      <c r="L53" s="54">
        <f ca="1">IFERROR(__xludf.DUMMYFUNCTION("""COMPUTED_VALUE"""),59)</f>
        <v>59</v>
      </c>
      <c r="M53" s="51">
        <f t="shared" ca="1" si="3"/>
        <v>0.90769230769230769</v>
      </c>
      <c r="N53" s="54">
        <f ca="1">IFERROR(__xludf.DUMMYFUNCTION("""COMPUTED_VALUE"""),1433)</f>
        <v>1433</v>
      </c>
      <c r="O53" s="54">
        <f ca="1">IFERROR(__xludf.DUMMYFUNCTION("""COMPUTED_VALUE"""),464)</f>
        <v>464</v>
      </c>
      <c r="P53" s="51">
        <f t="shared" ca="1" si="4"/>
        <v>0.32379623168178645</v>
      </c>
      <c r="Q53" s="54">
        <f ca="1">IFERROR(__xludf.DUMMYFUNCTION("""COMPUTED_VALUE"""),497)</f>
        <v>497</v>
      </c>
      <c r="R53" s="51">
        <f t="shared" ca="1" si="5"/>
        <v>0.3468248429867411</v>
      </c>
      <c r="S53" s="54">
        <f ca="1">IFERROR(__xludf.DUMMYFUNCTION("""COMPUTED_VALUE"""),0)</f>
        <v>0</v>
      </c>
      <c r="T53" s="54">
        <f ca="1">IFERROR(__xludf.DUMMYFUNCTION("""COMPUTED_VALUE"""),0)</f>
        <v>0</v>
      </c>
      <c r="U53" s="51" t="str">
        <f t="shared" ca="1" si="6"/>
        <v/>
      </c>
      <c r="V53" s="54">
        <f ca="1">IFERROR(__xludf.DUMMYFUNCTION("""COMPUTED_VALUE"""),0)</f>
        <v>0</v>
      </c>
      <c r="W53" s="51" t="str">
        <f t="shared" ca="1" si="7"/>
        <v/>
      </c>
      <c r="X53" s="54">
        <f ca="1">IFERROR(__xludf.DUMMYFUNCTION("""COMPUTED_VALUE"""),0)</f>
        <v>0</v>
      </c>
      <c r="Y53" s="51" t="str">
        <f t="shared" ca="1" si="8"/>
        <v/>
      </c>
      <c r="Z53" s="2"/>
      <c r="AA53" s="2"/>
      <c r="AB53" s="2"/>
      <c r="AC53" s="2"/>
      <c r="AD53" s="2"/>
      <c r="AE53" s="2"/>
    </row>
    <row r="54" spans="1:31" ht="12.75" x14ac:dyDescent="0.2">
      <c r="A54" s="53">
        <f ca="1">IFERROR(__xludf.DUMMYFUNCTION("""COMPUTED_VALUE"""),21)</f>
        <v>21</v>
      </c>
      <c r="B54" s="53"/>
      <c r="C54" s="53"/>
      <c r="D54" s="53" t="str">
        <f ca="1">IFERROR(__xludf.DUMMYFUNCTION("""COMPUTED_VALUE"""),"Hóc Môn")</f>
        <v>Hóc Môn</v>
      </c>
      <c r="E54" s="54">
        <f ca="1">IFERROR(__xludf.DUMMYFUNCTION("""COMPUTED_VALUE"""),60)</f>
        <v>60</v>
      </c>
      <c r="F54" s="54">
        <f ca="1">IFERROR(__xludf.DUMMYFUNCTION("""COMPUTED_VALUE"""),60)</f>
        <v>60</v>
      </c>
      <c r="G54" s="51">
        <f t="shared" ca="1" si="0"/>
        <v>1</v>
      </c>
      <c r="H54" s="54">
        <f ca="1">IFERROR(__xludf.DUMMYFUNCTION("""COMPUTED_VALUE"""),60)</f>
        <v>60</v>
      </c>
      <c r="I54" s="51">
        <f t="shared" ca="1" si="1"/>
        <v>1</v>
      </c>
      <c r="J54" s="54">
        <f ca="1">IFERROR(__xludf.DUMMYFUNCTION("""COMPUTED_VALUE"""),60)</f>
        <v>60</v>
      </c>
      <c r="K54" s="51">
        <f t="shared" ca="1" si="2"/>
        <v>1</v>
      </c>
      <c r="L54" s="54">
        <f ca="1">IFERROR(__xludf.DUMMYFUNCTION("""COMPUTED_VALUE"""),47)</f>
        <v>47</v>
      </c>
      <c r="M54" s="51">
        <f t="shared" ca="1" si="3"/>
        <v>0.78333333333333333</v>
      </c>
      <c r="N54" s="54">
        <f ca="1">IFERROR(__xludf.DUMMYFUNCTION("""COMPUTED_VALUE"""),1416)</f>
        <v>1416</v>
      </c>
      <c r="O54" s="54">
        <f ca="1">IFERROR(__xludf.DUMMYFUNCTION("""COMPUTED_VALUE"""),815)</f>
        <v>815</v>
      </c>
      <c r="P54" s="51">
        <f t="shared" ca="1" si="4"/>
        <v>0.57556497175141241</v>
      </c>
      <c r="Q54" s="54">
        <f ca="1">IFERROR(__xludf.DUMMYFUNCTION("""COMPUTED_VALUE"""),547)</f>
        <v>547</v>
      </c>
      <c r="R54" s="51">
        <f t="shared" ca="1" si="5"/>
        <v>0.38629943502824859</v>
      </c>
      <c r="S54" s="54">
        <f ca="1">IFERROR(__xludf.DUMMYFUNCTION("""COMPUTED_VALUE"""),3)</f>
        <v>3</v>
      </c>
      <c r="T54" s="54">
        <f ca="1">IFERROR(__xludf.DUMMYFUNCTION("""COMPUTED_VALUE"""),3)</f>
        <v>3</v>
      </c>
      <c r="U54" s="51">
        <f t="shared" ca="1" si="6"/>
        <v>1</v>
      </c>
      <c r="V54" s="54">
        <f ca="1">IFERROR(__xludf.DUMMYFUNCTION("""COMPUTED_VALUE"""),3)</f>
        <v>3</v>
      </c>
      <c r="W54" s="51">
        <f t="shared" ca="1" si="7"/>
        <v>1</v>
      </c>
      <c r="X54" s="54">
        <f ca="1">IFERROR(__xludf.DUMMYFUNCTION("""COMPUTED_VALUE"""),0)</f>
        <v>0</v>
      </c>
      <c r="Y54" s="51">
        <f t="shared" ca="1" si="8"/>
        <v>0</v>
      </c>
      <c r="Z54" s="2"/>
      <c r="AA54" s="2"/>
      <c r="AB54" s="2"/>
      <c r="AC54" s="2"/>
      <c r="AD54" s="2"/>
      <c r="AE54" s="2"/>
    </row>
    <row r="55" spans="1:31" ht="12.75" x14ac:dyDescent="0.2">
      <c r="A55" s="53">
        <f ca="1">IFERROR(__xludf.DUMMYFUNCTION("""COMPUTED_VALUE"""),22)</f>
        <v>22</v>
      </c>
      <c r="B55" s="53" t="str">
        <f ca="1">IFERROR(__xludf.DUMMYFUNCTION("""COMPUTED_VALUE"""),"TH Xuân Thới Thượng")</f>
        <v>TH Xuân Thới Thượng</v>
      </c>
      <c r="C55" s="53" t="str">
        <f ca="1">IFERROR(__xludf.DUMMYFUNCTION("""COMPUTED_VALUE"""),"TH")</f>
        <v>TH</v>
      </c>
      <c r="D55" s="53" t="str">
        <f ca="1">IFERROR(__xludf.DUMMYFUNCTION("""COMPUTED_VALUE"""),"Hóc Môn")</f>
        <v>Hóc Môn</v>
      </c>
      <c r="E55" s="54">
        <f ca="1">IFERROR(__xludf.DUMMYFUNCTION("""COMPUTED_VALUE"""),95)</f>
        <v>95</v>
      </c>
      <c r="F55" s="54">
        <f ca="1">IFERROR(__xludf.DUMMYFUNCTION("""COMPUTED_VALUE"""),95)</f>
        <v>95</v>
      </c>
      <c r="G55" s="51">
        <f t="shared" ca="1" si="0"/>
        <v>1</v>
      </c>
      <c r="H55" s="54">
        <f ca="1">IFERROR(__xludf.DUMMYFUNCTION("""COMPUTED_VALUE"""),95)</f>
        <v>95</v>
      </c>
      <c r="I55" s="51">
        <f t="shared" ca="1" si="1"/>
        <v>1</v>
      </c>
      <c r="J55" s="54">
        <f ca="1">IFERROR(__xludf.DUMMYFUNCTION("""COMPUTED_VALUE"""),93)</f>
        <v>93</v>
      </c>
      <c r="K55" s="51">
        <f t="shared" ca="1" si="2"/>
        <v>0.97894736842105268</v>
      </c>
      <c r="L55" s="54">
        <f ca="1">IFERROR(__xludf.DUMMYFUNCTION("""COMPUTED_VALUE"""),55)</f>
        <v>55</v>
      </c>
      <c r="M55" s="51">
        <f t="shared" ca="1" si="3"/>
        <v>0.57894736842105265</v>
      </c>
      <c r="N55" s="54">
        <f ca="1">IFERROR(__xludf.DUMMYFUNCTION("""COMPUTED_VALUE"""),2494)</f>
        <v>2494</v>
      </c>
      <c r="O55" s="54">
        <f ca="1">IFERROR(__xludf.DUMMYFUNCTION("""COMPUTED_VALUE"""),1594)</f>
        <v>1594</v>
      </c>
      <c r="P55" s="51">
        <f t="shared" ca="1" si="4"/>
        <v>0.63913392141138736</v>
      </c>
      <c r="Q55" s="54">
        <f ca="1">IFERROR(__xludf.DUMMYFUNCTION("""COMPUTED_VALUE"""),732)</f>
        <v>732</v>
      </c>
      <c r="R55" s="51">
        <f t="shared" ca="1" si="5"/>
        <v>0.293504410585405</v>
      </c>
      <c r="S55" s="54">
        <f ca="1">IFERROR(__xludf.DUMMYFUNCTION("""COMPUTED_VALUE"""),5)</f>
        <v>5</v>
      </c>
      <c r="T55" s="54">
        <f ca="1">IFERROR(__xludf.DUMMYFUNCTION("""COMPUTED_VALUE"""),4)</f>
        <v>4</v>
      </c>
      <c r="U55" s="51">
        <f t="shared" ca="1" si="6"/>
        <v>0.8</v>
      </c>
      <c r="V55" s="54">
        <f ca="1">IFERROR(__xludf.DUMMYFUNCTION("""COMPUTED_VALUE"""),3)</f>
        <v>3</v>
      </c>
      <c r="W55" s="51">
        <f t="shared" ca="1" si="7"/>
        <v>0.6</v>
      </c>
      <c r="X55" s="54">
        <f ca="1">IFERROR(__xludf.DUMMYFUNCTION("""COMPUTED_VALUE"""),1)</f>
        <v>1</v>
      </c>
      <c r="Y55" s="51">
        <f t="shared" ca="1" si="8"/>
        <v>0.2</v>
      </c>
      <c r="Z55" s="2"/>
      <c r="AA55" s="2"/>
      <c r="AB55" s="2"/>
      <c r="AC55" s="2"/>
      <c r="AD55" s="2"/>
      <c r="AE55" s="2"/>
    </row>
    <row r="56" spans="1:31" ht="12.75" x14ac:dyDescent="0.2">
      <c r="A56" s="53">
        <f ca="1">IFERROR(__xludf.DUMMYFUNCTION("""COMPUTED_VALUE"""),23)</f>
        <v>23</v>
      </c>
      <c r="B56" s="53" t="str">
        <f ca="1">IFERROR(__xludf.DUMMYFUNCTION("""COMPUTED_VALUE"""),"TH Tân Xuân")</f>
        <v>TH Tân Xuân</v>
      </c>
      <c r="C56" s="53" t="str">
        <f ca="1">IFERROR(__xludf.DUMMYFUNCTION("""COMPUTED_VALUE"""),"TH")</f>
        <v>TH</v>
      </c>
      <c r="D56" s="53" t="str">
        <f ca="1">IFERROR(__xludf.DUMMYFUNCTION("""COMPUTED_VALUE"""),"Hóc Môn")</f>
        <v>Hóc Môn</v>
      </c>
      <c r="E56" s="54">
        <f ca="1">IFERROR(__xludf.DUMMYFUNCTION("""COMPUTED_VALUE"""),72)</f>
        <v>72</v>
      </c>
      <c r="F56" s="54">
        <f ca="1">IFERROR(__xludf.DUMMYFUNCTION("""COMPUTED_VALUE"""),72)</f>
        <v>72</v>
      </c>
      <c r="G56" s="51">
        <f t="shared" ca="1" si="0"/>
        <v>1</v>
      </c>
      <c r="H56" s="54">
        <f ca="1">IFERROR(__xludf.DUMMYFUNCTION("""COMPUTED_VALUE"""),72)</f>
        <v>72</v>
      </c>
      <c r="I56" s="51">
        <f t="shared" ca="1" si="1"/>
        <v>1</v>
      </c>
      <c r="J56" s="54">
        <f ca="1">IFERROR(__xludf.DUMMYFUNCTION("""COMPUTED_VALUE"""),69)</f>
        <v>69</v>
      </c>
      <c r="K56" s="51">
        <f t="shared" ca="1" si="2"/>
        <v>0.95833333333333337</v>
      </c>
      <c r="L56" s="54">
        <f ca="1">IFERROR(__xludf.DUMMYFUNCTION("""COMPUTED_VALUE"""),44)</f>
        <v>44</v>
      </c>
      <c r="M56" s="51">
        <f t="shared" ca="1" si="3"/>
        <v>0.61111111111111116</v>
      </c>
      <c r="N56" s="54">
        <f ca="1">IFERROR(__xludf.DUMMYFUNCTION("""COMPUTED_VALUE"""),1745)</f>
        <v>1745</v>
      </c>
      <c r="O56" s="54">
        <f ca="1">IFERROR(__xludf.DUMMYFUNCTION("""COMPUTED_VALUE"""),992)</f>
        <v>992</v>
      </c>
      <c r="P56" s="51">
        <f t="shared" ca="1" si="4"/>
        <v>0.56848137535816623</v>
      </c>
      <c r="Q56" s="54">
        <f ca="1">IFERROR(__xludf.DUMMYFUNCTION("""COMPUTED_VALUE"""),357)</f>
        <v>357</v>
      </c>
      <c r="R56" s="51">
        <f t="shared" ca="1" si="5"/>
        <v>0.20458452722063036</v>
      </c>
      <c r="S56" s="54">
        <f ca="1">IFERROR(__xludf.DUMMYFUNCTION("""COMPUTED_VALUE"""),1)</f>
        <v>1</v>
      </c>
      <c r="T56" s="54">
        <f ca="1">IFERROR(__xludf.DUMMYFUNCTION("""COMPUTED_VALUE"""),0)</f>
        <v>0</v>
      </c>
      <c r="U56" s="51">
        <f t="shared" ca="1" si="6"/>
        <v>0</v>
      </c>
      <c r="V56" s="54">
        <f ca="1">IFERROR(__xludf.DUMMYFUNCTION("""COMPUTED_VALUE"""),1)</f>
        <v>1</v>
      </c>
      <c r="W56" s="51">
        <f t="shared" ca="1" si="7"/>
        <v>1</v>
      </c>
      <c r="X56" s="54">
        <f ca="1">IFERROR(__xludf.DUMMYFUNCTION("""COMPUTED_VALUE"""),0)</f>
        <v>0</v>
      </c>
      <c r="Y56" s="51">
        <f t="shared" ca="1" si="8"/>
        <v>0</v>
      </c>
      <c r="Z56" s="2"/>
      <c r="AA56" s="2"/>
      <c r="AB56" s="2"/>
      <c r="AC56" s="2"/>
      <c r="AD56" s="2"/>
      <c r="AE56" s="2"/>
    </row>
    <row r="57" spans="1:31" ht="12.75" x14ac:dyDescent="0.2">
      <c r="A57" s="53">
        <f ca="1">IFERROR(__xludf.DUMMYFUNCTION("""COMPUTED_VALUE"""),24)</f>
        <v>24</v>
      </c>
      <c r="B57" s="53" t="str">
        <f ca="1">IFERROR(__xludf.DUMMYFUNCTION("""COMPUTED_VALUE"""),"TH Trần Văn Mười")</f>
        <v>TH Trần Văn Mười</v>
      </c>
      <c r="C57" s="53" t="str">
        <f ca="1">IFERROR(__xludf.DUMMYFUNCTION("""COMPUTED_VALUE"""),"TH")</f>
        <v>TH</v>
      </c>
      <c r="D57" s="53" t="str">
        <f ca="1">IFERROR(__xludf.DUMMYFUNCTION("""COMPUTED_VALUE"""),"Hóc Môn")</f>
        <v>Hóc Môn</v>
      </c>
      <c r="E57" s="54">
        <f ca="1">IFERROR(__xludf.DUMMYFUNCTION("""COMPUTED_VALUE"""),96)</f>
        <v>96</v>
      </c>
      <c r="F57" s="54">
        <f ca="1">IFERROR(__xludf.DUMMYFUNCTION("""COMPUTED_VALUE"""),96)</f>
        <v>96</v>
      </c>
      <c r="G57" s="51">
        <f t="shared" ca="1" si="0"/>
        <v>1</v>
      </c>
      <c r="H57" s="54">
        <f ca="1">IFERROR(__xludf.DUMMYFUNCTION("""COMPUTED_VALUE"""),96)</f>
        <v>96</v>
      </c>
      <c r="I57" s="51">
        <f t="shared" ca="1" si="1"/>
        <v>1</v>
      </c>
      <c r="J57" s="54">
        <f ca="1">IFERROR(__xludf.DUMMYFUNCTION("""COMPUTED_VALUE"""),95)</f>
        <v>95</v>
      </c>
      <c r="K57" s="51">
        <f t="shared" ca="1" si="2"/>
        <v>0.98958333333333337</v>
      </c>
      <c r="L57" s="54">
        <f ca="1">IFERROR(__xludf.DUMMYFUNCTION("""COMPUTED_VALUE"""),43)</f>
        <v>43</v>
      </c>
      <c r="M57" s="51">
        <f t="shared" ca="1" si="3"/>
        <v>0.44791666666666669</v>
      </c>
      <c r="N57" s="54">
        <f ca="1">IFERROR(__xludf.DUMMYFUNCTION("""COMPUTED_VALUE"""),2476)</f>
        <v>2476</v>
      </c>
      <c r="O57" s="54">
        <f ca="1">IFERROR(__xludf.DUMMYFUNCTION("""COMPUTED_VALUE"""),1470)</f>
        <v>1470</v>
      </c>
      <c r="P57" s="51">
        <f t="shared" ca="1" si="4"/>
        <v>0.59369951534733445</v>
      </c>
      <c r="Q57" s="54">
        <f ca="1">IFERROR(__xludf.DUMMYFUNCTION("""COMPUTED_VALUE"""),771)</f>
        <v>771</v>
      </c>
      <c r="R57" s="51">
        <f t="shared" ca="1" si="5"/>
        <v>0.31138933764135701</v>
      </c>
      <c r="S57" s="54">
        <f ca="1">IFERROR(__xludf.DUMMYFUNCTION("""COMPUTED_VALUE"""),2)</f>
        <v>2</v>
      </c>
      <c r="T57" s="54">
        <f ca="1">IFERROR(__xludf.DUMMYFUNCTION("""COMPUTED_VALUE"""),1)</f>
        <v>1</v>
      </c>
      <c r="U57" s="51">
        <f t="shared" ca="1" si="6"/>
        <v>0.5</v>
      </c>
      <c r="V57" s="54">
        <f ca="1">IFERROR(__xludf.DUMMYFUNCTION("""COMPUTED_VALUE"""),1)</f>
        <v>1</v>
      </c>
      <c r="W57" s="51">
        <f t="shared" ca="1" si="7"/>
        <v>0.5</v>
      </c>
      <c r="X57" s="54">
        <f ca="1">IFERROR(__xludf.DUMMYFUNCTION("""COMPUTED_VALUE"""),0)</f>
        <v>0</v>
      </c>
      <c r="Y57" s="51">
        <f t="shared" ca="1" si="8"/>
        <v>0</v>
      </c>
      <c r="Z57" s="2"/>
      <c r="AA57" s="2"/>
      <c r="AB57" s="2"/>
      <c r="AC57" s="2"/>
      <c r="AD57" s="2"/>
      <c r="AE57" s="2"/>
    </row>
    <row r="58" spans="1:31" ht="12.75" x14ac:dyDescent="0.2">
      <c r="A58" s="53">
        <f ca="1">IFERROR(__xludf.DUMMYFUNCTION("""COMPUTED_VALUE"""),25)</f>
        <v>25</v>
      </c>
      <c r="B58" s="53" t="str">
        <f ca="1">IFERROR(__xludf.DUMMYFUNCTION("""COMPUTED_VALUE"""),"TH Trần Văn Danh")</f>
        <v>TH Trần Văn Danh</v>
      </c>
      <c r="C58" s="53" t="str">
        <f ca="1">IFERROR(__xludf.DUMMYFUNCTION("""COMPUTED_VALUE"""),"TH")</f>
        <v>TH</v>
      </c>
      <c r="D58" s="53" t="str">
        <f ca="1">IFERROR(__xludf.DUMMYFUNCTION("""COMPUTED_VALUE"""),"Hóc Môn")</f>
        <v>Hóc Môn</v>
      </c>
      <c r="E58" s="54">
        <f ca="1">IFERROR(__xludf.DUMMYFUNCTION("""COMPUTED_VALUE"""),94)</f>
        <v>94</v>
      </c>
      <c r="F58" s="54">
        <f ca="1">IFERROR(__xludf.DUMMYFUNCTION("""COMPUTED_VALUE"""),94)</f>
        <v>94</v>
      </c>
      <c r="G58" s="51">
        <f t="shared" ca="1" si="0"/>
        <v>1</v>
      </c>
      <c r="H58" s="54">
        <f ca="1">IFERROR(__xludf.DUMMYFUNCTION("""COMPUTED_VALUE"""),94)</f>
        <v>94</v>
      </c>
      <c r="I58" s="51">
        <f t="shared" ca="1" si="1"/>
        <v>1</v>
      </c>
      <c r="J58" s="54">
        <f ca="1">IFERROR(__xludf.DUMMYFUNCTION("""COMPUTED_VALUE"""),94)</f>
        <v>94</v>
      </c>
      <c r="K58" s="51">
        <f t="shared" ca="1" si="2"/>
        <v>1</v>
      </c>
      <c r="L58" s="54">
        <f ca="1">IFERROR(__xludf.DUMMYFUNCTION("""COMPUTED_VALUE"""),81)</f>
        <v>81</v>
      </c>
      <c r="M58" s="51">
        <f t="shared" ca="1" si="3"/>
        <v>0.86170212765957444</v>
      </c>
      <c r="N58" s="54">
        <f ca="1">IFERROR(__xludf.DUMMYFUNCTION("""COMPUTED_VALUE"""),2651)</f>
        <v>2651</v>
      </c>
      <c r="O58" s="54">
        <f ca="1">IFERROR(__xludf.DUMMYFUNCTION("""COMPUTED_VALUE"""),2159)</f>
        <v>2159</v>
      </c>
      <c r="P58" s="51">
        <f t="shared" ca="1" si="4"/>
        <v>0.81440965673330823</v>
      </c>
      <c r="Q58" s="54">
        <f ca="1">IFERROR(__xludf.DUMMYFUNCTION("""COMPUTED_VALUE"""),773)</f>
        <v>773</v>
      </c>
      <c r="R58" s="51">
        <f t="shared" ca="1" si="5"/>
        <v>0.29158807996982272</v>
      </c>
      <c r="S58" s="54">
        <f ca="1">IFERROR(__xludf.DUMMYFUNCTION("""COMPUTED_VALUE"""),1)</f>
        <v>1</v>
      </c>
      <c r="T58" s="54">
        <f ca="1">IFERROR(__xludf.DUMMYFUNCTION("""COMPUTED_VALUE"""),1)</f>
        <v>1</v>
      </c>
      <c r="U58" s="51">
        <f t="shared" ca="1" si="6"/>
        <v>1</v>
      </c>
      <c r="V58" s="54">
        <f ca="1">IFERROR(__xludf.DUMMYFUNCTION("""COMPUTED_VALUE"""),1)</f>
        <v>1</v>
      </c>
      <c r="W58" s="51">
        <f t="shared" ca="1" si="7"/>
        <v>1</v>
      </c>
      <c r="X58" s="54">
        <f ca="1">IFERROR(__xludf.DUMMYFUNCTION("""COMPUTED_VALUE"""),0)</f>
        <v>0</v>
      </c>
      <c r="Y58" s="51">
        <f t="shared" ca="1" si="8"/>
        <v>0</v>
      </c>
      <c r="Z58" s="2"/>
      <c r="AA58" s="2"/>
      <c r="AB58" s="2"/>
      <c r="AC58" s="2"/>
      <c r="AD58" s="2"/>
      <c r="AE58" s="2"/>
    </row>
    <row r="59" spans="1:31" ht="12.75" x14ac:dyDescent="0.2">
      <c r="A59" s="53">
        <f ca="1">IFERROR(__xludf.DUMMYFUNCTION("""COMPUTED_VALUE"""),26)</f>
        <v>26</v>
      </c>
      <c r="B59" s="53" t="str">
        <f ca="1">IFERROR(__xludf.DUMMYFUNCTION("""COMPUTED_VALUE"""),"TH Nguyễn Thị Nuôi")</f>
        <v>TH Nguyễn Thị Nuôi</v>
      </c>
      <c r="C59" s="53" t="str">
        <f ca="1">IFERROR(__xludf.DUMMYFUNCTION("""COMPUTED_VALUE"""),"TH")</f>
        <v>TH</v>
      </c>
      <c r="D59" s="53" t="str">
        <f ca="1">IFERROR(__xludf.DUMMYFUNCTION("""COMPUTED_VALUE"""),"Hóc Môn")</f>
        <v>Hóc Môn</v>
      </c>
      <c r="E59" s="54">
        <f ca="1">IFERROR(__xludf.DUMMYFUNCTION("""COMPUTED_VALUE"""),93)</f>
        <v>93</v>
      </c>
      <c r="F59" s="54">
        <f ca="1">IFERROR(__xludf.DUMMYFUNCTION("""COMPUTED_VALUE"""),93)</f>
        <v>93</v>
      </c>
      <c r="G59" s="51">
        <f t="shared" ca="1" si="0"/>
        <v>1</v>
      </c>
      <c r="H59" s="54">
        <f ca="1">IFERROR(__xludf.DUMMYFUNCTION("""COMPUTED_VALUE"""),93)</f>
        <v>93</v>
      </c>
      <c r="I59" s="51">
        <f t="shared" ca="1" si="1"/>
        <v>1</v>
      </c>
      <c r="J59" s="54">
        <f ca="1">IFERROR(__xludf.DUMMYFUNCTION("""COMPUTED_VALUE"""),93)</f>
        <v>93</v>
      </c>
      <c r="K59" s="51">
        <f t="shared" ca="1" si="2"/>
        <v>1</v>
      </c>
      <c r="L59" s="54">
        <f ca="1">IFERROR(__xludf.DUMMYFUNCTION("""COMPUTED_VALUE"""),62)</f>
        <v>62</v>
      </c>
      <c r="M59" s="51">
        <f t="shared" ca="1" si="3"/>
        <v>0.66666666666666663</v>
      </c>
      <c r="N59" s="54">
        <f ca="1">IFERROR(__xludf.DUMMYFUNCTION("""COMPUTED_VALUE"""),2020)</f>
        <v>2020</v>
      </c>
      <c r="O59" s="54">
        <f ca="1">IFERROR(__xludf.DUMMYFUNCTION("""COMPUTED_VALUE"""),1505)</f>
        <v>1505</v>
      </c>
      <c r="P59" s="51">
        <f t="shared" ca="1" si="4"/>
        <v>0.74504950495049505</v>
      </c>
      <c r="Q59" s="54">
        <f ca="1">IFERROR(__xludf.DUMMYFUNCTION("""COMPUTED_VALUE"""),417)</f>
        <v>417</v>
      </c>
      <c r="R59" s="51">
        <f t="shared" ca="1" si="5"/>
        <v>0.20643564356435642</v>
      </c>
      <c r="S59" s="54">
        <f ca="1">IFERROR(__xludf.DUMMYFUNCTION("""COMPUTED_VALUE"""),0)</f>
        <v>0</v>
      </c>
      <c r="T59" s="54">
        <f ca="1">IFERROR(__xludf.DUMMYFUNCTION("""COMPUTED_VALUE"""),0)</f>
        <v>0</v>
      </c>
      <c r="U59" s="51" t="str">
        <f t="shared" ca="1" si="6"/>
        <v/>
      </c>
      <c r="V59" s="54">
        <f ca="1">IFERROR(__xludf.DUMMYFUNCTION("""COMPUTED_VALUE"""),0)</f>
        <v>0</v>
      </c>
      <c r="W59" s="51" t="str">
        <f t="shared" ca="1" si="7"/>
        <v/>
      </c>
      <c r="X59" s="54">
        <f ca="1">IFERROR(__xludf.DUMMYFUNCTION("""COMPUTED_VALUE"""),0)</f>
        <v>0</v>
      </c>
      <c r="Y59" s="51" t="str">
        <f t="shared" ca="1" si="8"/>
        <v/>
      </c>
      <c r="Z59" s="2"/>
      <c r="AA59" s="2"/>
      <c r="AB59" s="2"/>
      <c r="AC59" s="2"/>
      <c r="AD59" s="2"/>
      <c r="AE59" s="2"/>
    </row>
    <row r="60" spans="1:31" ht="12.75" x14ac:dyDescent="0.2">
      <c r="A60" s="53"/>
      <c r="B60" s="53" t="str">
        <f ca="1">IFERROR(__xludf.DUMMYFUNCTION("""COMPUTED_VALUE"""),"CẤP TRUNG HỌC CƠ SỞ")</f>
        <v>CẤP TRUNG HỌC CƠ SỞ</v>
      </c>
      <c r="C60" s="53"/>
      <c r="D60" s="53"/>
      <c r="E60" s="54">
        <f ca="1">IFERROR(__xludf.DUMMYFUNCTION("""COMPUTED_VALUE"""),1424)</f>
        <v>1424</v>
      </c>
      <c r="F60" s="54">
        <f ca="1">IFERROR(__xludf.DUMMYFUNCTION("""COMPUTED_VALUE"""),1423)</f>
        <v>1423</v>
      </c>
      <c r="G60" s="51">
        <f t="shared" ca="1" si="0"/>
        <v>0.9992977528089888</v>
      </c>
      <c r="H60" s="54">
        <f ca="1">IFERROR(__xludf.DUMMYFUNCTION("""COMPUTED_VALUE"""),1423)</f>
        <v>1423</v>
      </c>
      <c r="I60" s="51">
        <f t="shared" ca="1" si="1"/>
        <v>0.9992977528089888</v>
      </c>
      <c r="J60" s="54">
        <f ca="1">IFERROR(__xludf.DUMMYFUNCTION("""COMPUTED_VALUE"""),1359)</f>
        <v>1359</v>
      </c>
      <c r="K60" s="51">
        <f t="shared" ca="1" si="2"/>
        <v>0.9543539325842697</v>
      </c>
      <c r="L60" s="54">
        <f ca="1">IFERROR(__xludf.DUMMYFUNCTION("""COMPUTED_VALUE"""),932)</f>
        <v>932</v>
      </c>
      <c r="M60" s="51">
        <f t="shared" ca="1" si="3"/>
        <v>0.6544943820224719</v>
      </c>
      <c r="N60" s="54">
        <f ca="1">IFERROR(__xludf.DUMMYFUNCTION("""COMPUTED_VALUE"""),9014)</f>
        <v>9014</v>
      </c>
      <c r="O60" s="54">
        <f ca="1">IFERROR(__xludf.DUMMYFUNCTION("""COMPUTED_VALUE"""),6549)</f>
        <v>6549</v>
      </c>
      <c r="P60" s="51">
        <f t="shared" ca="1" si="4"/>
        <v>0.72653649877967608</v>
      </c>
      <c r="Q60" s="54">
        <f ca="1">IFERROR(__xludf.DUMMYFUNCTION("""COMPUTED_VALUE"""),4381)</f>
        <v>4381</v>
      </c>
      <c r="R60" s="51">
        <f t="shared" ca="1" si="5"/>
        <v>0.48602174395384956</v>
      </c>
      <c r="S60" s="54">
        <f ca="1">IFERROR(__xludf.DUMMYFUNCTION("""COMPUTED_VALUE"""),22974)</f>
        <v>22974</v>
      </c>
      <c r="T60" s="54">
        <f ca="1">IFERROR(__xludf.DUMMYFUNCTION("""COMPUTED_VALUE"""),21746)</f>
        <v>21746</v>
      </c>
      <c r="U60" s="51">
        <f t="shared" ca="1" si="6"/>
        <v>0.94654827195960656</v>
      </c>
      <c r="V60" s="54">
        <f ca="1">IFERROR(__xludf.DUMMYFUNCTION("""COMPUTED_VALUE"""),18955)</f>
        <v>18955</v>
      </c>
      <c r="W60" s="51">
        <f t="shared" ca="1" si="7"/>
        <v>0.82506311482545491</v>
      </c>
      <c r="X60" s="54">
        <f ca="1">IFERROR(__xludf.DUMMYFUNCTION("""COMPUTED_VALUE"""),7583)</f>
        <v>7583</v>
      </c>
      <c r="Y60" s="51">
        <f t="shared" ca="1" si="8"/>
        <v>0.33006877339601287</v>
      </c>
      <c r="Z60" s="2"/>
      <c r="AA60" s="2"/>
      <c r="AB60" s="2"/>
      <c r="AC60" s="2"/>
      <c r="AD60" s="2"/>
      <c r="AE60" s="2"/>
    </row>
    <row r="61" spans="1:31" ht="12.75" x14ac:dyDescent="0.2">
      <c r="A61" s="53">
        <f ca="1">IFERROR(__xludf.DUMMYFUNCTION("""COMPUTED_VALUE"""),1)</f>
        <v>1</v>
      </c>
      <c r="B61" s="53" t="str">
        <f ca="1">IFERROR(__xludf.DUMMYFUNCTION("""COMPUTED_VALUE"""),"THCS Nguyễn An Khương")</f>
        <v>THCS Nguyễn An Khương</v>
      </c>
      <c r="C61" s="53" t="str">
        <f ca="1">IFERROR(__xludf.DUMMYFUNCTION("""COMPUTED_VALUE"""),"THCS")</f>
        <v>THCS</v>
      </c>
      <c r="D61" s="53" t="str">
        <f ca="1">IFERROR(__xludf.DUMMYFUNCTION("""COMPUTED_VALUE"""),"Hóc Môn")</f>
        <v>Hóc Môn</v>
      </c>
      <c r="E61" s="54">
        <f ca="1">IFERROR(__xludf.DUMMYFUNCTION("""COMPUTED_VALUE"""),88)</f>
        <v>88</v>
      </c>
      <c r="F61" s="54">
        <f ca="1">IFERROR(__xludf.DUMMYFUNCTION("""COMPUTED_VALUE"""),88)</f>
        <v>88</v>
      </c>
      <c r="G61" s="51">
        <f t="shared" ca="1" si="0"/>
        <v>1</v>
      </c>
      <c r="H61" s="54">
        <f ca="1">IFERROR(__xludf.DUMMYFUNCTION("""COMPUTED_VALUE"""),88)</f>
        <v>88</v>
      </c>
      <c r="I61" s="51">
        <f t="shared" ca="1" si="1"/>
        <v>1</v>
      </c>
      <c r="J61" s="54">
        <f ca="1">IFERROR(__xludf.DUMMYFUNCTION("""COMPUTED_VALUE"""),87)</f>
        <v>87</v>
      </c>
      <c r="K61" s="51">
        <f t="shared" ca="1" si="2"/>
        <v>0.98863636363636365</v>
      </c>
      <c r="L61" s="54">
        <f ca="1">IFERROR(__xludf.DUMMYFUNCTION("""COMPUTED_VALUE"""),53)</f>
        <v>53</v>
      </c>
      <c r="M61" s="51">
        <f t="shared" ca="1" si="3"/>
        <v>0.60227272727272729</v>
      </c>
      <c r="N61" s="54">
        <f ca="1">IFERROR(__xludf.DUMMYFUNCTION("""COMPUTED_VALUE"""),440)</f>
        <v>440</v>
      </c>
      <c r="O61" s="54">
        <f ca="1">IFERROR(__xludf.DUMMYFUNCTION("""COMPUTED_VALUE"""),296)</f>
        <v>296</v>
      </c>
      <c r="P61" s="51">
        <f t="shared" ca="1" si="4"/>
        <v>0.67272727272727273</v>
      </c>
      <c r="Q61" s="54">
        <f ca="1">IFERROR(__xludf.DUMMYFUNCTION("""COMPUTED_VALUE"""),172)</f>
        <v>172</v>
      </c>
      <c r="R61" s="51">
        <f t="shared" ca="1" si="5"/>
        <v>0.39090909090909093</v>
      </c>
      <c r="S61" s="54">
        <f ca="1">IFERROR(__xludf.DUMMYFUNCTION("""COMPUTED_VALUE"""),870)</f>
        <v>870</v>
      </c>
      <c r="T61" s="54">
        <f ca="1">IFERROR(__xludf.DUMMYFUNCTION("""COMPUTED_VALUE"""),841)</f>
        <v>841</v>
      </c>
      <c r="U61" s="51">
        <f t="shared" ca="1" si="6"/>
        <v>0.96666666666666667</v>
      </c>
      <c r="V61" s="54">
        <f ca="1">IFERROR(__xludf.DUMMYFUNCTION("""COMPUTED_VALUE"""),787)</f>
        <v>787</v>
      </c>
      <c r="W61" s="51">
        <f t="shared" ca="1" si="7"/>
        <v>0.90459770114942528</v>
      </c>
      <c r="X61" s="54">
        <f ca="1">IFERROR(__xludf.DUMMYFUNCTION("""COMPUTED_VALUE"""),246)</f>
        <v>246</v>
      </c>
      <c r="Y61" s="51">
        <f t="shared" ca="1" si="8"/>
        <v>0.28275862068965518</v>
      </c>
      <c r="Z61" s="2"/>
      <c r="AA61" s="2"/>
      <c r="AB61" s="2"/>
      <c r="AC61" s="2"/>
      <c r="AD61" s="2"/>
      <c r="AE61" s="2"/>
    </row>
    <row r="62" spans="1:31" ht="12.75" x14ac:dyDescent="0.2">
      <c r="A62" s="53">
        <f ca="1">IFERROR(__xludf.DUMMYFUNCTION("""COMPUTED_VALUE"""),2)</f>
        <v>2</v>
      </c>
      <c r="B62" s="53" t="str">
        <f ca="1">IFERROR(__xludf.DUMMYFUNCTION("""COMPUTED_VALUE"""),"THCS Thị Trấn")</f>
        <v>THCS Thị Trấn</v>
      </c>
      <c r="C62" s="53" t="str">
        <f ca="1">IFERROR(__xludf.DUMMYFUNCTION("""COMPUTED_VALUE"""),"THCS")</f>
        <v>THCS</v>
      </c>
      <c r="D62" s="53" t="str">
        <f ca="1">IFERROR(__xludf.DUMMYFUNCTION("""COMPUTED_VALUE"""),"Hóc Môn")</f>
        <v>Hóc Môn</v>
      </c>
      <c r="E62" s="54">
        <f ca="1">IFERROR(__xludf.DUMMYFUNCTION("""COMPUTED_VALUE"""),39)</f>
        <v>39</v>
      </c>
      <c r="F62" s="54">
        <f ca="1">IFERROR(__xludf.DUMMYFUNCTION("""COMPUTED_VALUE"""),39)</f>
        <v>39</v>
      </c>
      <c r="G62" s="51">
        <f t="shared" ca="1" si="0"/>
        <v>1</v>
      </c>
      <c r="H62" s="54">
        <f ca="1">IFERROR(__xludf.DUMMYFUNCTION("""COMPUTED_VALUE"""),39)</f>
        <v>39</v>
      </c>
      <c r="I62" s="51">
        <f t="shared" ca="1" si="1"/>
        <v>1</v>
      </c>
      <c r="J62" s="54">
        <f ca="1">IFERROR(__xludf.DUMMYFUNCTION("""COMPUTED_VALUE"""),39)</f>
        <v>39</v>
      </c>
      <c r="K62" s="51">
        <f t="shared" ca="1" si="2"/>
        <v>1</v>
      </c>
      <c r="L62" s="54">
        <f ca="1">IFERROR(__xludf.DUMMYFUNCTION("""COMPUTED_VALUE"""),24)</f>
        <v>24</v>
      </c>
      <c r="M62" s="51">
        <f t="shared" ca="1" si="3"/>
        <v>0.61538461538461542</v>
      </c>
      <c r="N62" s="54">
        <f ca="1">IFERROR(__xludf.DUMMYFUNCTION("""COMPUTED_VALUE"""),154)</f>
        <v>154</v>
      </c>
      <c r="O62" s="54">
        <f ca="1">IFERROR(__xludf.DUMMYFUNCTION("""COMPUTED_VALUE"""),136)</f>
        <v>136</v>
      </c>
      <c r="P62" s="51">
        <f t="shared" ca="1" si="4"/>
        <v>0.88311688311688308</v>
      </c>
      <c r="Q62" s="54">
        <f ca="1">IFERROR(__xludf.DUMMYFUNCTION("""COMPUTED_VALUE"""),93)</f>
        <v>93</v>
      </c>
      <c r="R62" s="51">
        <f t="shared" ca="1" si="5"/>
        <v>0.60389610389610393</v>
      </c>
      <c r="S62" s="54">
        <f ca="1">IFERROR(__xludf.DUMMYFUNCTION("""COMPUTED_VALUE"""),416)</f>
        <v>416</v>
      </c>
      <c r="T62" s="54">
        <f ca="1">IFERROR(__xludf.DUMMYFUNCTION("""COMPUTED_VALUE"""),411)</f>
        <v>411</v>
      </c>
      <c r="U62" s="51">
        <f t="shared" ca="1" si="6"/>
        <v>0.98798076923076927</v>
      </c>
      <c r="V62" s="54">
        <f ca="1">IFERROR(__xludf.DUMMYFUNCTION("""COMPUTED_VALUE"""),388)</f>
        <v>388</v>
      </c>
      <c r="W62" s="51">
        <f t="shared" ca="1" si="7"/>
        <v>0.93269230769230771</v>
      </c>
      <c r="X62" s="54">
        <f ca="1">IFERROR(__xludf.DUMMYFUNCTION("""COMPUTED_VALUE"""),122)</f>
        <v>122</v>
      </c>
      <c r="Y62" s="51">
        <f t="shared" ca="1" si="8"/>
        <v>0.29326923076923078</v>
      </c>
      <c r="Z62" s="2"/>
      <c r="AA62" s="2"/>
      <c r="AB62" s="2"/>
      <c r="AC62" s="2"/>
      <c r="AD62" s="2"/>
      <c r="AE62" s="2"/>
    </row>
    <row r="63" spans="1:31" ht="12.75" x14ac:dyDescent="0.2">
      <c r="A63" s="53">
        <f ca="1">IFERROR(__xludf.DUMMYFUNCTION("""COMPUTED_VALUE"""),3)</f>
        <v>3</v>
      </c>
      <c r="B63" s="53" t="str">
        <f ca="1">IFERROR(__xludf.DUMMYFUNCTION("""COMPUTED_VALUE"""),"THCS Tam Đông 1")</f>
        <v>THCS Tam Đông 1</v>
      </c>
      <c r="C63" s="53" t="str">
        <f ca="1">IFERROR(__xludf.DUMMYFUNCTION("""COMPUTED_VALUE"""),"THCS")</f>
        <v>THCS</v>
      </c>
      <c r="D63" s="53" t="str">
        <f ca="1">IFERROR(__xludf.DUMMYFUNCTION("""COMPUTED_VALUE"""),"Hóc Môn")</f>
        <v>Hóc Môn</v>
      </c>
      <c r="E63" s="54">
        <f ca="1">IFERROR(__xludf.DUMMYFUNCTION("""COMPUTED_VALUE"""),88)</f>
        <v>88</v>
      </c>
      <c r="F63" s="54">
        <f ca="1">IFERROR(__xludf.DUMMYFUNCTION("""COMPUTED_VALUE"""),88)</f>
        <v>88</v>
      </c>
      <c r="G63" s="51">
        <f t="shared" ca="1" si="0"/>
        <v>1</v>
      </c>
      <c r="H63" s="54">
        <f ca="1">IFERROR(__xludf.DUMMYFUNCTION("""COMPUTED_VALUE"""),88)</f>
        <v>88</v>
      </c>
      <c r="I63" s="51">
        <f t="shared" ca="1" si="1"/>
        <v>1</v>
      </c>
      <c r="J63" s="54">
        <f ca="1">IFERROR(__xludf.DUMMYFUNCTION("""COMPUTED_VALUE"""),88)</f>
        <v>88</v>
      </c>
      <c r="K63" s="51">
        <f t="shared" ca="1" si="2"/>
        <v>1</v>
      </c>
      <c r="L63" s="54">
        <f ca="1">IFERROR(__xludf.DUMMYFUNCTION("""COMPUTED_VALUE"""),80)</f>
        <v>80</v>
      </c>
      <c r="M63" s="51">
        <f t="shared" ca="1" si="3"/>
        <v>0.90909090909090906</v>
      </c>
      <c r="N63" s="54">
        <f ca="1">IFERROR(__xludf.DUMMYFUNCTION("""COMPUTED_VALUE"""),216)</f>
        <v>216</v>
      </c>
      <c r="O63" s="54">
        <f ca="1">IFERROR(__xludf.DUMMYFUNCTION("""COMPUTED_VALUE"""),198)</f>
        <v>198</v>
      </c>
      <c r="P63" s="51">
        <f t="shared" ca="1" si="4"/>
        <v>0.91666666666666663</v>
      </c>
      <c r="Q63" s="54">
        <f ca="1">IFERROR(__xludf.DUMMYFUNCTION("""COMPUTED_VALUE"""),134)</f>
        <v>134</v>
      </c>
      <c r="R63" s="51">
        <f t="shared" ca="1" si="5"/>
        <v>0.62037037037037035</v>
      </c>
      <c r="S63" s="54">
        <f ca="1">IFERROR(__xludf.DUMMYFUNCTION("""COMPUTED_VALUE"""),1789)</f>
        <v>1789</v>
      </c>
      <c r="T63" s="54">
        <f ca="1">IFERROR(__xludf.DUMMYFUNCTION("""COMPUTED_VALUE"""),1760)</f>
        <v>1760</v>
      </c>
      <c r="U63" s="51">
        <f t="shared" ca="1" si="6"/>
        <v>0.9837898267188373</v>
      </c>
      <c r="V63" s="54">
        <f ca="1">IFERROR(__xludf.DUMMYFUNCTION("""COMPUTED_VALUE"""),1365)</f>
        <v>1365</v>
      </c>
      <c r="W63" s="51">
        <f t="shared" ca="1" si="7"/>
        <v>0.76299608719955281</v>
      </c>
      <c r="X63" s="54">
        <f ca="1">IFERROR(__xludf.DUMMYFUNCTION("""COMPUTED_VALUE"""),1125)</f>
        <v>1125</v>
      </c>
      <c r="Y63" s="51">
        <f t="shared" ca="1" si="8"/>
        <v>0.62884292901062044</v>
      </c>
      <c r="Z63" s="2"/>
      <c r="AA63" s="2"/>
      <c r="AB63" s="2"/>
      <c r="AC63" s="2"/>
      <c r="AD63" s="2"/>
      <c r="AE63" s="2"/>
    </row>
    <row r="64" spans="1:31" ht="12.75" x14ac:dyDescent="0.2">
      <c r="A64" s="53">
        <f ca="1">IFERROR(__xludf.DUMMYFUNCTION("""COMPUTED_VALUE"""),4)</f>
        <v>4</v>
      </c>
      <c r="B64" s="53" t="str">
        <f ca="1">IFERROR(__xludf.DUMMYFUNCTION("""COMPUTED_VALUE"""),"THCS Lý Chính Thắng 1")</f>
        <v>THCS Lý Chính Thắng 1</v>
      </c>
      <c r="C64" s="53" t="str">
        <f ca="1">IFERROR(__xludf.DUMMYFUNCTION("""COMPUTED_VALUE"""),"THCS")</f>
        <v>THCS</v>
      </c>
      <c r="D64" s="53" t="str">
        <f ca="1">IFERROR(__xludf.DUMMYFUNCTION("""COMPUTED_VALUE"""),"Hóc Môn")</f>
        <v>Hóc Môn</v>
      </c>
      <c r="E64" s="54">
        <f ca="1">IFERROR(__xludf.DUMMYFUNCTION("""COMPUTED_VALUE"""),88)</f>
        <v>88</v>
      </c>
      <c r="F64" s="54">
        <f ca="1">IFERROR(__xludf.DUMMYFUNCTION("""COMPUTED_VALUE"""),88)</f>
        <v>88</v>
      </c>
      <c r="G64" s="51">
        <f t="shared" ca="1" si="0"/>
        <v>1</v>
      </c>
      <c r="H64" s="54">
        <f ca="1">IFERROR(__xludf.DUMMYFUNCTION("""COMPUTED_VALUE"""),88)</f>
        <v>88</v>
      </c>
      <c r="I64" s="51">
        <f t="shared" ca="1" si="1"/>
        <v>1</v>
      </c>
      <c r="J64" s="54">
        <f ca="1">IFERROR(__xludf.DUMMYFUNCTION("""COMPUTED_VALUE"""),80)</f>
        <v>80</v>
      </c>
      <c r="K64" s="51">
        <f t="shared" ca="1" si="2"/>
        <v>0.90909090909090906</v>
      </c>
      <c r="L64" s="54">
        <f ca="1">IFERROR(__xludf.DUMMYFUNCTION("""COMPUTED_VALUE"""),51)</f>
        <v>51</v>
      </c>
      <c r="M64" s="51">
        <f t="shared" ca="1" si="3"/>
        <v>0.57954545454545459</v>
      </c>
      <c r="N64" s="54">
        <f ca="1">IFERROR(__xludf.DUMMYFUNCTION("""COMPUTED_VALUE"""),120)</f>
        <v>120</v>
      </c>
      <c r="O64" s="54">
        <f ca="1">IFERROR(__xludf.DUMMYFUNCTION("""COMPUTED_VALUE"""),89)</f>
        <v>89</v>
      </c>
      <c r="P64" s="51">
        <f t="shared" ca="1" si="4"/>
        <v>0.7416666666666667</v>
      </c>
      <c r="Q64" s="54">
        <f ca="1">IFERROR(__xludf.DUMMYFUNCTION("""COMPUTED_VALUE"""),53)</f>
        <v>53</v>
      </c>
      <c r="R64" s="51">
        <f t="shared" ca="1" si="5"/>
        <v>0.44166666666666665</v>
      </c>
      <c r="S64" s="54">
        <f ca="1">IFERROR(__xludf.DUMMYFUNCTION("""COMPUTED_VALUE"""),1586)</f>
        <v>1586</v>
      </c>
      <c r="T64" s="54">
        <f ca="1">IFERROR(__xludf.DUMMYFUNCTION("""COMPUTED_VALUE"""),1542)</f>
        <v>1542</v>
      </c>
      <c r="U64" s="51">
        <f t="shared" ca="1" si="6"/>
        <v>0.97225725094577553</v>
      </c>
      <c r="V64" s="54">
        <f ca="1">IFERROR(__xludf.DUMMYFUNCTION("""COMPUTED_VALUE"""),1290)</f>
        <v>1290</v>
      </c>
      <c r="W64" s="51">
        <f t="shared" ca="1" si="7"/>
        <v>0.81336696090794447</v>
      </c>
      <c r="X64" s="54">
        <f ca="1">IFERROR(__xludf.DUMMYFUNCTION("""COMPUTED_VALUE"""),308)</f>
        <v>308</v>
      </c>
      <c r="Y64" s="51">
        <f t="shared" ca="1" si="8"/>
        <v>0.19419924337957126</v>
      </c>
      <c r="Z64" s="2"/>
      <c r="AA64" s="2"/>
      <c r="AB64" s="2"/>
      <c r="AC64" s="2"/>
      <c r="AD64" s="2"/>
      <c r="AE64" s="2"/>
    </row>
    <row r="65" spans="1:31" ht="12.75" x14ac:dyDescent="0.2">
      <c r="A65" s="53">
        <f ca="1">IFERROR(__xludf.DUMMYFUNCTION("""COMPUTED_VALUE"""),5)</f>
        <v>5</v>
      </c>
      <c r="B65" s="53" t="str">
        <f ca="1">IFERROR(__xludf.DUMMYFUNCTION("""COMPUTED_VALUE"""),"THCS Trung Mỹ Tây 1")</f>
        <v>THCS Trung Mỹ Tây 1</v>
      </c>
      <c r="C65" s="53" t="str">
        <f ca="1">IFERROR(__xludf.DUMMYFUNCTION("""COMPUTED_VALUE"""),"THCS")</f>
        <v>THCS</v>
      </c>
      <c r="D65" s="53" t="str">
        <f ca="1">IFERROR(__xludf.DUMMYFUNCTION("""COMPUTED_VALUE"""),"Hóc Môn")</f>
        <v>Hóc Môn</v>
      </c>
      <c r="E65" s="54">
        <f ca="1">IFERROR(__xludf.DUMMYFUNCTION("""COMPUTED_VALUE"""),119)</f>
        <v>119</v>
      </c>
      <c r="F65" s="54">
        <f ca="1">IFERROR(__xludf.DUMMYFUNCTION("""COMPUTED_VALUE"""),119)</f>
        <v>119</v>
      </c>
      <c r="G65" s="51">
        <f t="shared" ca="1" si="0"/>
        <v>1</v>
      </c>
      <c r="H65" s="54">
        <f ca="1">IFERROR(__xludf.DUMMYFUNCTION("""COMPUTED_VALUE"""),119)</f>
        <v>119</v>
      </c>
      <c r="I65" s="51">
        <f t="shared" ca="1" si="1"/>
        <v>1</v>
      </c>
      <c r="J65" s="54">
        <f ca="1">IFERROR(__xludf.DUMMYFUNCTION("""COMPUTED_VALUE"""),110)</f>
        <v>110</v>
      </c>
      <c r="K65" s="51">
        <f t="shared" ca="1" si="2"/>
        <v>0.92436974789915971</v>
      </c>
      <c r="L65" s="54">
        <f ca="1">IFERROR(__xludf.DUMMYFUNCTION("""COMPUTED_VALUE"""),75)</f>
        <v>75</v>
      </c>
      <c r="M65" s="51">
        <f t="shared" ca="1" si="3"/>
        <v>0.63025210084033612</v>
      </c>
      <c r="N65" s="54">
        <f ca="1">IFERROR(__xludf.DUMMYFUNCTION("""COMPUTED_VALUE"""),913)</f>
        <v>913</v>
      </c>
      <c r="O65" s="54">
        <f ca="1">IFERROR(__xludf.DUMMYFUNCTION("""COMPUTED_VALUE"""),554)</f>
        <v>554</v>
      </c>
      <c r="P65" s="51">
        <f t="shared" ca="1" si="4"/>
        <v>0.60679079956188386</v>
      </c>
      <c r="Q65" s="54">
        <f ca="1">IFERROR(__xludf.DUMMYFUNCTION("""COMPUTED_VALUE"""),352)</f>
        <v>352</v>
      </c>
      <c r="R65" s="51">
        <f t="shared" ca="1" si="5"/>
        <v>0.38554216867469882</v>
      </c>
      <c r="S65" s="54">
        <f ca="1">IFERROR(__xludf.DUMMYFUNCTION("""COMPUTED_VALUE"""),2283)</f>
        <v>2283</v>
      </c>
      <c r="T65" s="54">
        <f ca="1">IFERROR(__xludf.DUMMYFUNCTION("""COMPUTED_VALUE"""),2135)</f>
        <v>2135</v>
      </c>
      <c r="U65" s="51">
        <f t="shared" ca="1" si="6"/>
        <v>0.93517301795882612</v>
      </c>
      <c r="V65" s="54">
        <f ca="1">IFERROR(__xludf.DUMMYFUNCTION("""COMPUTED_VALUE"""),1940)</f>
        <v>1940</v>
      </c>
      <c r="W65" s="51">
        <f t="shared" ca="1" si="7"/>
        <v>0.84975908891809027</v>
      </c>
      <c r="X65" s="54">
        <f ca="1">IFERROR(__xludf.DUMMYFUNCTION("""COMPUTED_VALUE"""),446)</f>
        <v>446</v>
      </c>
      <c r="Y65" s="51">
        <f t="shared" ca="1" si="8"/>
        <v>0.19535698642137539</v>
      </c>
      <c r="Z65" s="2"/>
      <c r="AA65" s="2"/>
      <c r="AB65" s="2"/>
      <c r="AC65" s="2"/>
      <c r="AD65" s="2"/>
      <c r="AE65" s="2"/>
    </row>
    <row r="66" spans="1:31" ht="12.75" x14ac:dyDescent="0.2">
      <c r="A66" s="53">
        <f ca="1">IFERROR(__xludf.DUMMYFUNCTION("""COMPUTED_VALUE"""),6)</f>
        <v>6</v>
      </c>
      <c r="B66" s="53"/>
      <c r="C66" s="53"/>
      <c r="D66" s="53" t="str">
        <f ca="1">IFERROR(__xludf.DUMMYFUNCTION("""COMPUTED_VALUE"""),"Hóc Môn")</f>
        <v>Hóc Môn</v>
      </c>
      <c r="E66" s="54">
        <f ca="1">IFERROR(__xludf.DUMMYFUNCTION("""COMPUTED_VALUE"""),137)</f>
        <v>137</v>
      </c>
      <c r="F66" s="54">
        <f ca="1">IFERROR(__xludf.DUMMYFUNCTION("""COMPUTED_VALUE"""),137)</f>
        <v>137</v>
      </c>
      <c r="G66" s="51">
        <f t="shared" ca="1" si="0"/>
        <v>1</v>
      </c>
      <c r="H66" s="54">
        <f ca="1">IFERROR(__xludf.DUMMYFUNCTION("""COMPUTED_VALUE"""),137)</f>
        <v>137</v>
      </c>
      <c r="I66" s="51">
        <f t="shared" ca="1" si="1"/>
        <v>1</v>
      </c>
      <c r="J66" s="54">
        <f ca="1">IFERROR(__xludf.DUMMYFUNCTION("""COMPUTED_VALUE"""),133)</f>
        <v>133</v>
      </c>
      <c r="K66" s="51">
        <f t="shared" ca="1" si="2"/>
        <v>0.97080291970802923</v>
      </c>
      <c r="L66" s="54">
        <f ca="1">IFERROR(__xludf.DUMMYFUNCTION("""COMPUTED_VALUE"""),98)</f>
        <v>98</v>
      </c>
      <c r="M66" s="51">
        <f t="shared" ca="1" si="3"/>
        <v>0.71532846715328469</v>
      </c>
      <c r="N66" s="54">
        <f ca="1">IFERROR(__xludf.DUMMYFUNCTION("""COMPUTED_VALUE"""),846)</f>
        <v>846</v>
      </c>
      <c r="O66" s="54">
        <f ca="1">IFERROR(__xludf.DUMMYFUNCTION("""COMPUTED_VALUE"""),661)</f>
        <v>661</v>
      </c>
      <c r="P66" s="51">
        <f t="shared" ca="1" si="4"/>
        <v>0.78132387706855788</v>
      </c>
      <c r="Q66" s="54">
        <f ca="1">IFERROR(__xludf.DUMMYFUNCTION("""COMPUTED_VALUE"""),425)</f>
        <v>425</v>
      </c>
      <c r="R66" s="51">
        <f t="shared" ca="1" si="5"/>
        <v>0.50236406619385343</v>
      </c>
      <c r="S66" s="54">
        <f ca="1">IFERROR(__xludf.DUMMYFUNCTION("""COMPUTED_VALUE"""),1984)</f>
        <v>1984</v>
      </c>
      <c r="T66" s="54">
        <f ca="1">IFERROR(__xludf.DUMMYFUNCTION("""COMPUTED_VALUE"""),1925)</f>
        <v>1925</v>
      </c>
      <c r="U66" s="51">
        <f t="shared" ca="1" si="6"/>
        <v>0.97026209677419351</v>
      </c>
      <c r="V66" s="54">
        <f ca="1">IFERROR(__xludf.DUMMYFUNCTION("""COMPUTED_VALUE"""),1835)</f>
        <v>1835</v>
      </c>
      <c r="W66" s="51">
        <f t="shared" ca="1" si="7"/>
        <v>0.92489919354838712</v>
      </c>
      <c r="X66" s="54">
        <f ca="1">IFERROR(__xludf.DUMMYFUNCTION("""COMPUTED_VALUE"""),521)</f>
        <v>521</v>
      </c>
      <c r="Y66" s="51">
        <f t="shared" ca="1" si="8"/>
        <v>0.26260080645161288</v>
      </c>
      <c r="Z66" s="2"/>
      <c r="AA66" s="2"/>
      <c r="AB66" s="2"/>
      <c r="AC66" s="2"/>
      <c r="AD66" s="2"/>
      <c r="AE66" s="2"/>
    </row>
    <row r="67" spans="1:31" ht="12.75" x14ac:dyDescent="0.2">
      <c r="A67" s="53">
        <f ca="1">IFERROR(__xludf.DUMMYFUNCTION("""COMPUTED_VALUE"""),7)</f>
        <v>7</v>
      </c>
      <c r="B67" s="53" t="str">
        <f ca="1">IFERROR(__xludf.DUMMYFUNCTION("""COMPUTED_VALUE"""),"THCS Nguyễn Hồng Đào")</f>
        <v>THCS Nguyễn Hồng Đào</v>
      </c>
      <c r="C67" s="53" t="str">
        <f ca="1">IFERROR(__xludf.DUMMYFUNCTION("""COMPUTED_VALUE"""),"THCS")</f>
        <v>THCS</v>
      </c>
      <c r="D67" s="53" t="str">
        <f ca="1">IFERROR(__xludf.DUMMYFUNCTION("""COMPUTED_VALUE"""),"Hóc Môn")</f>
        <v>Hóc Môn</v>
      </c>
      <c r="E67" s="54">
        <f ca="1">IFERROR(__xludf.DUMMYFUNCTION("""COMPUTED_VALUE"""),110)</f>
        <v>110</v>
      </c>
      <c r="F67" s="54">
        <f ca="1">IFERROR(__xludf.DUMMYFUNCTION("""COMPUTED_VALUE"""),110)</f>
        <v>110</v>
      </c>
      <c r="G67" s="51">
        <f t="shared" ca="1" si="0"/>
        <v>1</v>
      </c>
      <c r="H67" s="54">
        <f ca="1">IFERROR(__xludf.DUMMYFUNCTION("""COMPUTED_VALUE"""),110)</f>
        <v>110</v>
      </c>
      <c r="I67" s="51">
        <f t="shared" ca="1" si="1"/>
        <v>1</v>
      </c>
      <c r="J67" s="54">
        <f ca="1">IFERROR(__xludf.DUMMYFUNCTION("""COMPUTED_VALUE"""),108)</f>
        <v>108</v>
      </c>
      <c r="K67" s="51">
        <f t="shared" ca="1" si="2"/>
        <v>0.98181818181818181</v>
      </c>
      <c r="L67" s="54">
        <f ca="1">IFERROR(__xludf.DUMMYFUNCTION("""COMPUTED_VALUE"""),96)</f>
        <v>96</v>
      </c>
      <c r="M67" s="51">
        <f t="shared" ca="1" si="3"/>
        <v>0.87272727272727268</v>
      </c>
      <c r="N67" s="54">
        <f ca="1">IFERROR(__xludf.DUMMYFUNCTION("""COMPUTED_VALUE"""),578)</f>
        <v>578</v>
      </c>
      <c r="O67" s="54">
        <f ca="1">IFERROR(__xludf.DUMMYFUNCTION("""COMPUTED_VALUE"""),461)</f>
        <v>461</v>
      </c>
      <c r="P67" s="51">
        <f t="shared" ca="1" si="4"/>
        <v>0.79757785467128028</v>
      </c>
      <c r="Q67" s="54">
        <f ca="1">IFERROR(__xludf.DUMMYFUNCTION("""COMPUTED_VALUE"""),334)</f>
        <v>334</v>
      </c>
      <c r="R67" s="51">
        <f t="shared" ca="1" si="5"/>
        <v>0.57785467128027679</v>
      </c>
      <c r="S67" s="54">
        <f ca="1">IFERROR(__xludf.DUMMYFUNCTION("""COMPUTED_VALUE"""),1395)</f>
        <v>1395</v>
      </c>
      <c r="T67" s="54">
        <f ca="1">IFERROR(__xludf.DUMMYFUNCTION("""COMPUTED_VALUE"""),1284)</f>
        <v>1284</v>
      </c>
      <c r="U67" s="51">
        <f t="shared" ca="1" si="6"/>
        <v>0.9204301075268817</v>
      </c>
      <c r="V67" s="54">
        <f ca="1">IFERROR(__xludf.DUMMYFUNCTION("""COMPUTED_VALUE"""),1151)</f>
        <v>1151</v>
      </c>
      <c r="W67" s="51">
        <f t="shared" ca="1" si="7"/>
        <v>0.82508960573476697</v>
      </c>
      <c r="X67" s="54">
        <f ca="1">IFERROR(__xludf.DUMMYFUNCTION("""COMPUTED_VALUE"""),1082)</f>
        <v>1082</v>
      </c>
      <c r="Y67" s="51">
        <f t="shared" ca="1" si="8"/>
        <v>0.77562724014336915</v>
      </c>
      <c r="Z67" s="2"/>
      <c r="AA67" s="2"/>
      <c r="AB67" s="2"/>
      <c r="AC67" s="2"/>
      <c r="AD67" s="2"/>
      <c r="AE67" s="2"/>
    </row>
    <row r="68" spans="1:31" ht="12.75" x14ac:dyDescent="0.2">
      <c r="A68" s="53">
        <f ca="1">IFERROR(__xludf.DUMMYFUNCTION("""COMPUTED_VALUE"""),8)</f>
        <v>8</v>
      </c>
      <c r="B68" s="53" t="str">
        <f ca="1">IFERROR(__xludf.DUMMYFUNCTION("""COMPUTED_VALUE"""),"THCS Đặng Công Bỉnh")</f>
        <v>THCS Đặng Công Bỉnh</v>
      </c>
      <c r="C68" s="53" t="str">
        <f ca="1">IFERROR(__xludf.DUMMYFUNCTION("""COMPUTED_VALUE"""),"THCS")</f>
        <v>THCS</v>
      </c>
      <c r="D68" s="53" t="str">
        <f ca="1">IFERROR(__xludf.DUMMYFUNCTION("""COMPUTED_VALUE"""),"Hóc Môn")</f>
        <v>Hóc Môn</v>
      </c>
      <c r="E68" s="54">
        <f ca="1">IFERROR(__xludf.DUMMYFUNCTION("""COMPUTED_VALUE"""),71)</f>
        <v>71</v>
      </c>
      <c r="F68" s="54">
        <f ca="1">IFERROR(__xludf.DUMMYFUNCTION("""COMPUTED_VALUE"""),71)</f>
        <v>71</v>
      </c>
      <c r="G68" s="51">
        <f t="shared" ca="1" si="0"/>
        <v>1</v>
      </c>
      <c r="H68" s="54">
        <f ca="1">IFERROR(__xludf.DUMMYFUNCTION("""COMPUTED_VALUE"""),71)</f>
        <v>71</v>
      </c>
      <c r="I68" s="51">
        <f t="shared" ca="1" si="1"/>
        <v>1</v>
      </c>
      <c r="J68" s="54">
        <f ca="1">IFERROR(__xludf.DUMMYFUNCTION("""COMPUTED_VALUE"""),65)</f>
        <v>65</v>
      </c>
      <c r="K68" s="51">
        <f t="shared" ca="1" si="2"/>
        <v>0.91549295774647887</v>
      </c>
      <c r="L68" s="54">
        <f ca="1">IFERROR(__xludf.DUMMYFUNCTION("""COMPUTED_VALUE"""),33)</f>
        <v>33</v>
      </c>
      <c r="M68" s="51">
        <f t="shared" ca="1" si="3"/>
        <v>0.46478873239436619</v>
      </c>
      <c r="N68" s="54">
        <f ca="1">IFERROR(__xludf.DUMMYFUNCTION("""COMPUTED_VALUE"""),341)</f>
        <v>341</v>
      </c>
      <c r="O68" s="54">
        <f ca="1">IFERROR(__xludf.DUMMYFUNCTION("""COMPUTED_VALUE"""),226)</f>
        <v>226</v>
      </c>
      <c r="P68" s="51">
        <f t="shared" ca="1" si="4"/>
        <v>0.66275659824046917</v>
      </c>
      <c r="Q68" s="54">
        <f ca="1">IFERROR(__xludf.DUMMYFUNCTION("""COMPUTED_VALUE"""),163)</f>
        <v>163</v>
      </c>
      <c r="R68" s="51">
        <f t="shared" ca="1" si="5"/>
        <v>0.47800586510263932</v>
      </c>
      <c r="S68" s="54">
        <f ca="1">IFERROR(__xludf.DUMMYFUNCTION("""COMPUTED_VALUE"""),1009)</f>
        <v>1009</v>
      </c>
      <c r="T68" s="54">
        <f ca="1">IFERROR(__xludf.DUMMYFUNCTION("""COMPUTED_VALUE"""),862)</f>
        <v>862</v>
      </c>
      <c r="U68" s="51">
        <f t="shared" ca="1" si="6"/>
        <v>0.85431119920713583</v>
      </c>
      <c r="V68" s="54">
        <f ca="1">IFERROR(__xludf.DUMMYFUNCTION("""COMPUTED_VALUE"""),843)</f>
        <v>843</v>
      </c>
      <c r="W68" s="51">
        <f t="shared" ca="1" si="7"/>
        <v>0.83548067393458869</v>
      </c>
      <c r="X68" s="54">
        <f ca="1">IFERROR(__xludf.DUMMYFUNCTION("""COMPUTED_VALUE"""),236)</f>
        <v>236</v>
      </c>
      <c r="Y68" s="51">
        <f t="shared" ca="1" si="8"/>
        <v>0.23389494549058473</v>
      </c>
      <c r="Z68" s="2"/>
      <c r="AA68" s="2"/>
      <c r="AB68" s="2"/>
      <c r="AC68" s="2"/>
      <c r="AD68" s="2"/>
      <c r="AE68" s="2"/>
    </row>
    <row r="69" spans="1:31" ht="12.75" x14ac:dyDescent="0.2">
      <c r="A69" s="53">
        <f ca="1">IFERROR(__xludf.DUMMYFUNCTION("""COMPUTED_VALUE"""),9)</f>
        <v>9</v>
      </c>
      <c r="B69" s="53" t="str">
        <f ca="1">IFERROR(__xludf.DUMMYFUNCTION("""COMPUTED_VALUE"""),"THCS Đỗ Văn Dậy")</f>
        <v>THCS Đỗ Văn Dậy</v>
      </c>
      <c r="C69" s="53" t="str">
        <f ca="1">IFERROR(__xludf.DUMMYFUNCTION("""COMPUTED_VALUE"""),"THCS")</f>
        <v>THCS</v>
      </c>
      <c r="D69" s="53" t="str">
        <f ca="1">IFERROR(__xludf.DUMMYFUNCTION("""COMPUTED_VALUE"""),"Hóc Môn")</f>
        <v>Hóc Môn</v>
      </c>
      <c r="E69" s="54">
        <f ca="1">IFERROR(__xludf.DUMMYFUNCTION("""COMPUTED_VALUE"""),74)</f>
        <v>74</v>
      </c>
      <c r="F69" s="54">
        <f ca="1">IFERROR(__xludf.DUMMYFUNCTION("""COMPUTED_VALUE"""),74)</f>
        <v>74</v>
      </c>
      <c r="G69" s="51">
        <f t="shared" ca="1" si="0"/>
        <v>1</v>
      </c>
      <c r="H69" s="54">
        <f ca="1">IFERROR(__xludf.DUMMYFUNCTION("""COMPUTED_VALUE"""),74)</f>
        <v>74</v>
      </c>
      <c r="I69" s="51">
        <f t="shared" ca="1" si="1"/>
        <v>1</v>
      </c>
      <c r="J69" s="54">
        <f ca="1">IFERROR(__xludf.DUMMYFUNCTION("""COMPUTED_VALUE"""),74)</f>
        <v>74</v>
      </c>
      <c r="K69" s="51">
        <f t="shared" ca="1" si="2"/>
        <v>1</v>
      </c>
      <c r="L69" s="54">
        <f ca="1">IFERROR(__xludf.DUMMYFUNCTION("""COMPUTED_VALUE"""),40)</f>
        <v>40</v>
      </c>
      <c r="M69" s="51">
        <f t="shared" ca="1" si="3"/>
        <v>0.54054054054054057</v>
      </c>
      <c r="N69" s="54">
        <f ca="1">IFERROR(__xludf.DUMMYFUNCTION("""COMPUTED_VALUE"""),518)</f>
        <v>518</v>
      </c>
      <c r="O69" s="54">
        <f ca="1">IFERROR(__xludf.DUMMYFUNCTION("""COMPUTED_VALUE"""),505)</f>
        <v>505</v>
      </c>
      <c r="P69" s="51">
        <f t="shared" ca="1" si="4"/>
        <v>0.97490347490347495</v>
      </c>
      <c r="Q69" s="54">
        <f ca="1">IFERROR(__xludf.DUMMYFUNCTION("""COMPUTED_VALUE"""),400)</f>
        <v>400</v>
      </c>
      <c r="R69" s="51">
        <f t="shared" ca="1" si="5"/>
        <v>0.77220077220077221</v>
      </c>
      <c r="S69" s="54">
        <f ca="1">IFERROR(__xludf.DUMMYFUNCTION("""COMPUTED_VALUE"""),1326)</f>
        <v>1326</v>
      </c>
      <c r="T69" s="54">
        <f ca="1">IFERROR(__xludf.DUMMYFUNCTION("""COMPUTED_VALUE"""),1326)</f>
        <v>1326</v>
      </c>
      <c r="U69" s="51">
        <f t="shared" ca="1" si="6"/>
        <v>1</v>
      </c>
      <c r="V69" s="54">
        <f ca="1">IFERROR(__xludf.DUMMYFUNCTION("""COMPUTED_VALUE"""),1320)</f>
        <v>1320</v>
      </c>
      <c r="W69" s="51">
        <f t="shared" ca="1" si="7"/>
        <v>0.99547511312217196</v>
      </c>
      <c r="X69" s="54">
        <f ca="1">IFERROR(__xludf.DUMMYFUNCTION("""COMPUTED_VALUE"""),1000)</f>
        <v>1000</v>
      </c>
      <c r="Y69" s="51">
        <f t="shared" ca="1" si="8"/>
        <v>0.75414781297134237</v>
      </c>
      <c r="Z69" s="2"/>
      <c r="AA69" s="2"/>
      <c r="AB69" s="2"/>
      <c r="AC69" s="2"/>
      <c r="AD69" s="2"/>
      <c r="AE69" s="2"/>
    </row>
    <row r="70" spans="1:31" ht="12.75" x14ac:dyDescent="0.2">
      <c r="A70" s="53">
        <f ca="1">IFERROR(__xludf.DUMMYFUNCTION("""COMPUTED_VALUE"""),10)</f>
        <v>10</v>
      </c>
      <c r="B70" s="53" t="str">
        <f ca="1">IFERROR(__xludf.DUMMYFUNCTION("""COMPUTED_VALUE"""),"THCS Phan Công Hớn")</f>
        <v>THCS Phan Công Hớn</v>
      </c>
      <c r="C70" s="53" t="str">
        <f ca="1">IFERROR(__xludf.DUMMYFUNCTION("""COMPUTED_VALUE"""),"THCS")</f>
        <v>THCS</v>
      </c>
      <c r="D70" s="53" t="str">
        <f ca="1">IFERROR(__xludf.DUMMYFUNCTION("""COMPUTED_VALUE"""),"Hóc Môn")</f>
        <v>Hóc Môn</v>
      </c>
      <c r="E70" s="54">
        <f ca="1">IFERROR(__xludf.DUMMYFUNCTION("""COMPUTED_VALUE"""),104)</f>
        <v>104</v>
      </c>
      <c r="F70" s="54">
        <f ca="1">IFERROR(__xludf.DUMMYFUNCTION("""COMPUTED_VALUE"""),104)</f>
        <v>104</v>
      </c>
      <c r="G70" s="51">
        <f t="shared" ref="G70:G78" ca="1" si="9">IFERROR(F70/E70,"")</f>
        <v>1</v>
      </c>
      <c r="H70" s="54">
        <f ca="1">IFERROR(__xludf.DUMMYFUNCTION("""COMPUTED_VALUE"""),104)</f>
        <v>104</v>
      </c>
      <c r="I70" s="51">
        <f t="shared" ref="I70:I78" ca="1" si="10">IFERROR(H70/E70,"")</f>
        <v>1</v>
      </c>
      <c r="J70" s="54">
        <f ca="1">IFERROR(__xludf.DUMMYFUNCTION("""COMPUTED_VALUE"""),102)</f>
        <v>102</v>
      </c>
      <c r="K70" s="51">
        <f t="shared" ref="K70:K78" ca="1" si="11">IFERROR(J70/E70,"")</f>
        <v>0.98076923076923073</v>
      </c>
      <c r="L70" s="54">
        <f ca="1">IFERROR(__xludf.DUMMYFUNCTION("""COMPUTED_VALUE"""),68)</f>
        <v>68</v>
      </c>
      <c r="M70" s="51">
        <f t="shared" ref="M70:M78" ca="1" si="12">IFERROR(L70/E70,"")</f>
        <v>0.65384615384615385</v>
      </c>
      <c r="N70" s="54">
        <f ca="1">IFERROR(__xludf.DUMMYFUNCTION("""COMPUTED_VALUE"""),565)</f>
        <v>565</v>
      </c>
      <c r="O70" s="54">
        <f ca="1">IFERROR(__xludf.DUMMYFUNCTION("""COMPUTED_VALUE"""),294)</f>
        <v>294</v>
      </c>
      <c r="P70" s="51">
        <f t="shared" ref="P70:P78" ca="1" si="13">IFERROR(O70/N70,"")</f>
        <v>0.52035398230088492</v>
      </c>
      <c r="Q70" s="54">
        <f ca="1">IFERROR(__xludf.DUMMYFUNCTION("""COMPUTED_VALUE"""),226)</f>
        <v>226</v>
      </c>
      <c r="R70" s="51">
        <f t="shared" ref="R70:R78" ca="1" si="14">IFERROR(Q70/N70,"")</f>
        <v>0.4</v>
      </c>
      <c r="S70" s="54">
        <f ca="1">IFERROR(__xludf.DUMMYFUNCTION("""COMPUTED_VALUE"""),1746)</f>
        <v>1746</v>
      </c>
      <c r="T70" s="54">
        <f ca="1">IFERROR(__xludf.DUMMYFUNCTION("""COMPUTED_VALUE"""),1625)</f>
        <v>1625</v>
      </c>
      <c r="U70" s="51">
        <f t="shared" ref="U70:U78" ca="1" si="15">IFERROR(T70/S70,"")</f>
        <v>0.93069873997709052</v>
      </c>
      <c r="V70" s="54">
        <f ca="1">IFERROR(__xludf.DUMMYFUNCTION("""COMPUTED_VALUE"""),1503)</f>
        <v>1503</v>
      </c>
      <c r="W70" s="51">
        <f t="shared" ref="W70:W78" ca="1" si="16">IFERROR(V70/S70,"")</f>
        <v>0.86082474226804129</v>
      </c>
      <c r="X70" s="54">
        <f ca="1">IFERROR(__xludf.DUMMYFUNCTION("""COMPUTED_VALUE"""),530)</f>
        <v>530</v>
      </c>
      <c r="Y70" s="51">
        <f t="shared" ref="Y70:Y78" ca="1" si="17">IFERROR(X70/S70,"")</f>
        <v>0.30355097365406641</v>
      </c>
      <c r="Z70" s="2"/>
      <c r="AA70" s="2"/>
      <c r="AB70" s="2"/>
      <c r="AC70" s="2"/>
      <c r="AD70" s="2"/>
      <c r="AE70" s="2"/>
    </row>
    <row r="71" spans="1:31" ht="12.75" x14ac:dyDescent="0.2">
      <c r="A71" s="53">
        <f ca="1">IFERROR(__xludf.DUMMYFUNCTION("""COMPUTED_VALUE"""),11)</f>
        <v>11</v>
      </c>
      <c r="B71" s="53" t="str">
        <f ca="1">IFERROR(__xludf.DUMMYFUNCTION("""COMPUTED_VALUE"""),"THCS Tân Xuân")</f>
        <v>THCS Tân Xuân</v>
      </c>
      <c r="C71" s="53" t="str">
        <f ca="1">IFERROR(__xludf.DUMMYFUNCTION("""COMPUTED_VALUE"""),"THCS")</f>
        <v>THCS</v>
      </c>
      <c r="D71" s="53" t="str">
        <f ca="1">IFERROR(__xludf.DUMMYFUNCTION("""COMPUTED_VALUE"""),"Hóc Môn")</f>
        <v>Hóc Môn</v>
      </c>
      <c r="E71" s="54">
        <f ca="1">IFERROR(__xludf.DUMMYFUNCTION("""COMPUTED_VALUE"""),107)</f>
        <v>107</v>
      </c>
      <c r="F71" s="54">
        <f ca="1">IFERROR(__xludf.DUMMYFUNCTION("""COMPUTED_VALUE"""),107)</f>
        <v>107</v>
      </c>
      <c r="G71" s="51">
        <f t="shared" ca="1" si="9"/>
        <v>1</v>
      </c>
      <c r="H71" s="54">
        <f ca="1">IFERROR(__xludf.DUMMYFUNCTION("""COMPUTED_VALUE"""),107)</f>
        <v>107</v>
      </c>
      <c r="I71" s="51">
        <f t="shared" ca="1" si="10"/>
        <v>1</v>
      </c>
      <c r="J71" s="54">
        <f ca="1">IFERROR(__xludf.DUMMYFUNCTION("""COMPUTED_VALUE"""),104)</f>
        <v>104</v>
      </c>
      <c r="K71" s="51">
        <f t="shared" ca="1" si="11"/>
        <v>0.9719626168224299</v>
      </c>
      <c r="L71" s="54">
        <f ca="1">IFERROR(__xludf.DUMMYFUNCTION("""COMPUTED_VALUE"""),67)</f>
        <v>67</v>
      </c>
      <c r="M71" s="51">
        <f t="shared" ca="1" si="12"/>
        <v>0.62616822429906538</v>
      </c>
      <c r="N71" s="54">
        <f ca="1">IFERROR(__xludf.DUMMYFUNCTION("""COMPUTED_VALUE"""),652)</f>
        <v>652</v>
      </c>
      <c r="O71" s="54">
        <f ca="1">IFERROR(__xludf.DUMMYFUNCTION("""COMPUTED_VALUE"""),369)</f>
        <v>369</v>
      </c>
      <c r="P71" s="51">
        <f t="shared" ca="1" si="13"/>
        <v>0.56595092024539873</v>
      </c>
      <c r="Q71" s="54">
        <f ca="1">IFERROR(__xludf.DUMMYFUNCTION("""COMPUTED_VALUE"""),214)</f>
        <v>214</v>
      </c>
      <c r="R71" s="51">
        <f t="shared" ca="1" si="14"/>
        <v>0.32822085889570551</v>
      </c>
      <c r="S71" s="54">
        <f ca="1">IFERROR(__xludf.DUMMYFUNCTION("""COMPUTED_VALUE"""),1825)</f>
        <v>1825</v>
      </c>
      <c r="T71" s="54">
        <f ca="1">IFERROR(__xludf.DUMMYFUNCTION("""COMPUTED_VALUE"""),1744)</f>
        <v>1744</v>
      </c>
      <c r="U71" s="51">
        <f t="shared" ca="1" si="15"/>
        <v>0.95561643835616439</v>
      </c>
      <c r="V71" s="54">
        <f ca="1">IFERROR(__xludf.DUMMYFUNCTION("""COMPUTED_VALUE"""),1531)</f>
        <v>1531</v>
      </c>
      <c r="W71" s="51">
        <f t="shared" ca="1" si="16"/>
        <v>0.83890410958904105</v>
      </c>
      <c r="X71" s="54">
        <f ca="1">IFERROR(__xludf.DUMMYFUNCTION("""COMPUTED_VALUE"""),214)</f>
        <v>214</v>
      </c>
      <c r="Y71" s="51">
        <f t="shared" ca="1" si="17"/>
        <v>0.11726027397260275</v>
      </c>
      <c r="Z71" s="2"/>
      <c r="AA71" s="2"/>
      <c r="AB71" s="2"/>
      <c r="AC71" s="2"/>
      <c r="AD71" s="2"/>
      <c r="AE71" s="2"/>
    </row>
    <row r="72" spans="1:31" ht="12.75" x14ac:dyDescent="0.2">
      <c r="A72" s="53">
        <f ca="1">IFERROR(__xludf.DUMMYFUNCTION("""COMPUTED_VALUE"""),12)</f>
        <v>12</v>
      </c>
      <c r="B72" s="53" t="str">
        <f ca="1">IFERROR(__xludf.DUMMYFUNCTION("""COMPUTED_VALUE"""),"THCS Xuân Thới Thượng")</f>
        <v>THCS Xuân Thới Thượng</v>
      </c>
      <c r="C72" s="53" t="str">
        <f ca="1">IFERROR(__xludf.DUMMYFUNCTION("""COMPUTED_VALUE"""),"THCS")</f>
        <v>THCS</v>
      </c>
      <c r="D72" s="53" t="str">
        <f ca="1">IFERROR(__xludf.DUMMYFUNCTION("""COMPUTED_VALUE"""),"Hóc Môn")</f>
        <v>Hóc Môn</v>
      </c>
      <c r="E72" s="54">
        <f ca="1">IFERROR(__xludf.DUMMYFUNCTION("""COMPUTED_VALUE"""),122)</f>
        <v>122</v>
      </c>
      <c r="F72" s="54">
        <f ca="1">IFERROR(__xludf.DUMMYFUNCTION("""COMPUTED_VALUE"""),121)</f>
        <v>121</v>
      </c>
      <c r="G72" s="51">
        <f t="shared" ca="1" si="9"/>
        <v>0.99180327868852458</v>
      </c>
      <c r="H72" s="54">
        <f ca="1">IFERROR(__xludf.DUMMYFUNCTION("""COMPUTED_VALUE"""),121)</f>
        <v>121</v>
      </c>
      <c r="I72" s="51">
        <f t="shared" ca="1" si="10"/>
        <v>0.99180327868852458</v>
      </c>
      <c r="J72" s="54">
        <f ca="1">IFERROR(__xludf.DUMMYFUNCTION("""COMPUTED_VALUE"""),119)</f>
        <v>119</v>
      </c>
      <c r="K72" s="51">
        <f t="shared" ca="1" si="11"/>
        <v>0.97540983606557374</v>
      </c>
      <c r="L72" s="54">
        <f ca="1">IFERROR(__xludf.DUMMYFUNCTION("""COMPUTED_VALUE"""),95)</f>
        <v>95</v>
      </c>
      <c r="M72" s="51">
        <f t="shared" ca="1" si="12"/>
        <v>0.77868852459016391</v>
      </c>
      <c r="N72" s="54">
        <f ca="1">IFERROR(__xludf.DUMMYFUNCTION("""COMPUTED_VALUE"""),758)</f>
        <v>758</v>
      </c>
      <c r="O72" s="54">
        <f ca="1">IFERROR(__xludf.DUMMYFUNCTION("""COMPUTED_VALUE"""),616)</f>
        <v>616</v>
      </c>
      <c r="P72" s="51">
        <f t="shared" ca="1" si="13"/>
        <v>0.81266490765171506</v>
      </c>
      <c r="Q72" s="54">
        <f ca="1">IFERROR(__xludf.DUMMYFUNCTION("""COMPUTED_VALUE"""),361)</f>
        <v>361</v>
      </c>
      <c r="R72" s="51">
        <f t="shared" ca="1" si="14"/>
        <v>0.4762532981530343</v>
      </c>
      <c r="S72" s="54">
        <f ca="1">IFERROR(__xludf.DUMMYFUNCTION("""COMPUTED_VALUE"""),1922)</f>
        <v>1922</v>
      </c>
      <c r="T72" s="54">
        <f ca="1">IFERROR(__xludf.DUMMYFUNCTION("""COMPUTED_VALUE"""),1863)</f>
        <v>1863</v>
      </c>
      <c r="U72" s="51">
        <f t="shared" ca="1" si="15"/>
        <v>0.96930280957336112</v>
      </c>
      <c r="V72" s="54">
        <f ca="1">IFERROR(__xludf.DUMMYFUNCTION("""COMPUTED_VALUE"""),1369)</f>
        <v>1369</v>
      </c>
      <c r="W72" s="51">
        <f t="shared" ca="1" si="16"/>
        <v>0.71227887617065555</v>
      </c>
      <c r="X72" s="54">
        <f ca="1">IFERROR(__xludf.DUMMYFUNCTION("""COMPUTED_VALUE"""),477)</f>
        <v>477</v>
      </c>
      <c r="Y72" s="51">
        <f t="shared" ca="1" si="17"/>
        <v>0.2481789802289282</v>
      </c>
      <c r="Z72" s="2"/>
      <c r="AA72" s="2"/>
      <c r="AB72" s="2"/>
      <c r="AC72" s="2"/>
      <c r="AD72" s="2"/>
      <c r="AE72" s="2"/>
    </row>
    <row r="73" spans="1:31" ht="12.75" x14ac:dyDescent="0.2">
      <c r="A73" s="53">
        <f ca="1">IFERROR(__xludf.DUMMYFUNCTION("""COMPUTED_VALUE"""),13)</f>
        <v>13</v>
      </c>
      <c r="B73" s="53" t="str">
        <f ca="1">IFERROR(__xludf.DUMMYFUNCTION("""COMPUTED_VALUE"""),"THCS Tô Ký")</f>
        <v>THCS Tô Ký</v>
      </c>
      <c r="C73" s="53" t="str">
        <f ca="1">IFERROR(__xludf.DUMMYFUNCTION("""COMPUTED_VALUE"""),"THCS")</f>
        <v>THCS</v>
      </c>
      <c r="D73" s="53" t="str">
        <f ca="1">IFERROR(__xludf.DUMMYFUNCTION("""COMPUTED_VALUE"""),"Hóc Môn")</f>
        <v>Hóc Môn</v>
      </c>
      <c r="E73" s="54">
        <f ca="1">IFERROR(__xludf.DUMMYFUNCTION("""COMPUTED_VALUE"""),110)</f>
        <v>110</v>
      </c>
      <c r="F73" s="54">
        <f ca="1">IFERROR(__xludf.DUMMYFUNCTION("""COMPUTED_VALUE"""),110)</f>
        <v>110</v>
      </c>
      <c r="G73" s="51">
        <f t="shared" ca="1" si="9"/>
        <v>1</v>
      </c>
      <c r="H73" s="54">
        <f ca="1">IFERROR(__xludf.DUMMYFUNCTION("""COMPUTED_VALUE"""),110)</f>
        <v>110</v>
      </c>
      <c r="I73" s="51">
        <f t="shared" ca="1" si="10"/>
        <v>1</v>
      </c>
      <c r="J73" s="54">
        <f ca="1">IFERROR(__xludf.DUMMYFUNCTION("""COMPUTED_VALUE"""),104)</f>
        <v>104</v>
      </c>
      <c r="K73" s="51">
        <f t="shared" ca="1" si="11"/>
        <v>0.94545454545454544</v>
      </c>
      <c r="L73" s="54">
        <f ca="1">IFERROR(__xludf.DUMMYFUNCTION("""COMPUTED_VALUE"""),55)</f>
        <v>55</v>
      </c>
      <c r="M73" s="51">
        <f t="shared" ca="1" si="12"/>
        <v>0.5</v>
      </c>
      <c r="N73" s="54">
        <f ca="1">IFERROR(__xludf.DUMMYFUNCTION("""COMPUTED_VALUE"""),911)</f>
        <v>911</v>
      </c>
      <c r="O73" s="54">
        <f ca="1">IFERROR(__xludf.DUMMYFUNCTION("""COMPUTED_VALUE"""),702)</f>
        <v>702</v>
      </c>
      <c r="P73" s="51">
        <f t="shared" ca="1" si="13"/>
        <v>0.77058177826564211</v>
      </c>
      <c r="Q73" s="54">
        <f ca="1">IFERROR(__xludf.DUMMYFUNCTION("""COMPUTED_VALUE"""),541)</f>
        <v>541</v>
      </c>
      <c r="R73" s="51">
        <f t="shared" ca="1" si="14"/>
        <v>0.59385290889132825</v>
      </c>
      <c r="S73" s="54">
        <f ca="1">IFERROR(__xludf.DUMMYFUNCTION("""COMPUTED_VALUE"""),1986)</f>
        <v>1986</v>
      </c>
      <c r="T73" s="54">
        <f ca="1">IFERROR(__xludf.DUMMYFUNCTION("""COMPUTED_VALUE"""),1852)</f>
        <v>1852</v>
      </c>
      <c r="U73" s="51">
        <f t="shared" ca="1" si="15"/>
        <v>0.93252769385699896</v>
      </c>
      <c r="V73" s="54">
        <f ca="1">IFERROR(__xludf.DUMMYFUNCTION("""COMPUTED_VALUE"""),1757)</f>
        <v>1757</v>
      </c>
      <c r="W73" s="51">
        <f t="shared" ca="1" si="16"/>
        <v>0.88469284994964759</v>
      </c>
      <c r="X73" s="54">
        <f ca="1">IFERROR(__xludf.DUMMYFUNCTION("""COMPUTED_VALUE"""),616)</f>
        <v>616</v>
      </c>
      <c r="Y73" s="51">
        <f t="shared" ca="1" si="17"/>
        <v>0.31017119838872104</v>
      </c>
      <c r="Z73" s="2"/>
      <c r="AA73" s="2"/>
      <c r="AB73" s="2"/>
      <c r="AC73" s="2"/>
      <c r="AD73" s="2"/>
      <c r="AE73" s="2"/>
    </row>
    <row r="74" spans="1:31" ht="12.75" x14ac:dyDescent="0.2">
      <c r="A74" s="53">
        <f ca="1">IFERROR(__xludf.DUMMYFUNCTION("""COMPUTED_VALUE"""),14)</f>
        <v>14</v>
      </c>
      <c r="B74" s="53"/>
      <c r="C74" s="53"/>
      <c r="D74" s="53" t="str">
        <f ca="1">IFERROR(__xludf.DUMMYFUNCTION("""COMPUTED_VALUE"""),"Hóc Môn")</f>
        <v>Hóc Môn</v>
      </c>
      <c r="E74" s="54">
        <f ca="1">IFERROR(__xludf.DUMMYFUNCTION("""COMPUTED_VALUE"""),70)</f>
        <v>70</v>
      </c>
      <c r="F74" s="54">
        <f ca="1">IFERROR(__xludf.DUMMYFUNCTION("""COMPUTED_VALUE"""),70)</f>
        <v>70</v>
      </c>
      <c r="G74" s="51">
        <f t="shared" ca="1" si="9"/>
        <v>1</v>
      </c>
      <c r="H74" s="54">
        <f ca="1">IFERROR(__xludf.DUMMYFUNCTION("""COMPUTED_VALUE"""),70)</f>
        <v>70</v>
      </c>
      <c r="I74" s="51">
        <f t="shared" ca="1" si="10"/>
        <v>1</v>
      </c>
      <c r="J74" s="54">
        <f ca="1">IFERROR(__xludf.DUMMYFUNCTION("""COMPUTED_VALUE"""),67)</f>
        <v>67</v>
      </c>
      <c r="K74" s="51">
        <f t="shared" ca="1" si="11"/>
        <v>0.95714285714285718</v>
      </c>
      <c r="L74" s="54">
        <f ca="1">IFERROR(__xludf.DUMMYFUNCTION("""COMPUTED_VALUE"""),43)</f>
        <v>43</v>
      </c>
      <c r="M74" s="51">
        <f t="shared" ca="1" si="12"/>
        <v>0.61428571428571432</v>
      </c>
      <c r="N74" s="54">
        <f ca="1">IFERROR(__xludf.DUMMYFUNCTION("""COMPUTED_VALUE"""),500)</f>
        <v>500</v>
      </c>
      <c r="O74" s="54">
        <f ca="1">IFERROR(__xludf.DUMMYFUNCTION("""COMPUTED_VALUE"""),426)</f>
        <v>426</v>
      </c>
      <c r="P74" s="51">
        <f t="shared" ca="1" si="13"/>
        <v>0.85199999999999998</v>
      </c>
      <c r="Q74" s="54">
        <f ca="1">IFERROR(__xludf.DUMMYFUNCTION("""COMPUTED_VALUE"""),266)</f>
        <v>266</v>
      </c>
      <c r="R74" s="51">
        <f t="shared" ca="1" si="14"/>
        <v>0.53200000000000003</v>
      </c>
      <c r="S74" s="54">
        <f ca="1">IFERROR(__xludf.DUMMYFUNCTION("""COMPUTED_VALUE"""),1696)</f>
        <v>1696</v>
      </c>
      <c r="T74" s="54">
        <f ca="1">IFERROR(__xludf.DUMMYFUNCTION("""COMPUTED_VALUE"""),1539)</f>
        <v>1539</v>
      </c>
      <c r="U74" s="51">
        <f t="shared" ca="1" si="15"/>
        <v>0.90742924528301883</v>
      </c>
      <c r="V74" s="54">
        <f ca="1">IFERROR(__xludf.DUMMYFUNCTION("""COMPUTED_VALUE"""),1009)</f>
        <v>1009</v>
      </c>
      <c r="W74" s="51">
        <f t="shared" ca="1" si="16"/>
        <v>0.59492924528301883</v>
      </c>
      <c r="X74" s="54">
        <f ca="1">IFERROR(__xludf.DUMMYFUNCTION("""COMPUTED_VALUE"""),369)</f>
        <v>369</v>
      </c>
      <c r="Y74" s="51">
        <f t="shared" ca="1" si="17"/>
        <v>0.21757075471698112</v>
      </c>
      <c r="Z74" s="2"/>
      <c r="AA74" s="2"/>
      <c r="AB74" s="2"/>
      <c r="AC74" s="2"/>
      <c r="AD74" s="2"/>
      <c r="AE74" s="2"/>
    </row>
    <row r="75" spans="1:31" ht="12.75" x14ac:dyDescent="0.2">
      <c r="A75" s="53">
        <f ca="1">IFERROR(__xludf.DUMMYFUNCTION("""COMPUTED_VALUE"""),15)</f>
        <v>15</v>
      </c>
      <c r="B75" s="53" t="str">
        <f ca="1">IFERROR(__xludf.DUMMYFUNCTION("""COMPUTED_VALUE"""),"THCS Đặng Thúc Vịnh")</f>
        <v>THCS Đặng Thúc Vịnh</v>
      </c>
      <c r="C75" s="53" t="str">
        <f ca="1">IFERROR(__xludf.DUMMYFUNCTION("""COMPUTED_VALUE"""),"THCS")</f>
        <v>THCS</v>
      </c>
      <c r="D75" s="53" t="str">
        <f ca="1">IFERROR(__xludf.DUMMYFUNCTION("""COMPUTED_VALUE"""),"Hóc Môn")</f>
        <v>Hóc Môn</v>
      </c>
      <c r="E75" s="54">
        <f ca="1">IFERROR(__xludf.DUMMYFUNCTION("""COMPUTED_VALUE"""),60)</f>
        <v>60</v>
      </c>
      <c r="F75" s="54">
        <f ca="1">IFERROR(__xludf.DUMMYFUNCTION("""COMPUTED_VALUE"""),60)</f>
        <v>60</v>
      </c>
      <c r="G75" s="51">
        <f t="shared" ca="1" si="9"/>
        <v>1</v>
      </c>
      <c r="H75" s="54">
        <f ca="1">IFERROR(__xludf.DUMMYFUNCTION("""COMPUTED_VALUE"""),60)</f>
        <v>60</v>
      </c>
      <c r="I75" s="51">
        <f t="shared" ca="1" si="10"/>
        <v>1</v>
      </c>
      <c r="J75" s="54">
        <f ca="1">IFERROR(__xludf.DUMMYFUNCTION("""COMPUTED_VALUE"""),49)</f>
        <v>49</v>
      </c>
      <c r="K75" s="51">
        <f t="shared" ca="1" si="11"/>
        <v>0.81666666666666665</v>
      </c>
      <c r="L75" s="54">
        <f ca="1">IFERROR(__xludf.DUMMYFUNCTION("""COMPUTED_VALUE"""),37)</f>
        <v>37</v>
      </c>
      <c r="M75" s="51">
        <f t="shared" ca="1" si="12"/>
        <v>0.6166666666666667</v>
      </c>
      <c r="N75" s="54">
        <f ca="1">IFERROR(__xludf.DUMMYFUNCTION("""COMPUTED_VALUE"""),597)</f>
        <v>597</v>
      </c>
      <c r="O75" s="54">
        <f ca="1">IFERROR(__xludf.DUMMYFUNCTION("""COMPUTED_VALUE"""),468)</f>
        <v>468</v>
      </c>
      <c r="P75" s="51">
        <f t="shared" ca="1" si="13"/>
        <v>0.7839195979899497</v>
      </c>
      <c r="Q75" s="54">
        <f ca="1">IFERROR(__xludf.DUMMYFUNCTION("""COMPUTED_VALUE"""),322)</f>
        <v>322</v>
      </c>
      <c r="R75" s="51">
        <f t="shared" ca="1" si="14"/>
        <v>0.53936348408710222</v>
      </c>
      <c r="S75" s="54">
        <f ca="1">IFERROR(__xludf.DUMMYFUNCTION("""COMPUTED_VALUE"""),1040)</f>
        <v>1040</v>
      </c>
      <c r="T75" s="54">
        <f ca="1">IFERROR(__xludf.DUMMYFUNCTION("""COMPUTED_VALUE"""),960)</f>
        <v>960</v>
      </c>
      <c r="U75" s="51">
        <f t="shared" ca="1" si="15"/>
        <v>0.92307692307692313</v>
      </c>
      <c r="V75" s="54">
        <f ca="1">IFERROR(__xludf.DUMMYFUNCTION("""COMPUTED_VALUE"""),815)</f>
        <v>815</v>
      </c>
      <c r="W75" s="51">
        <f t="shared" ca="1" si="16"/>
        <v>0.78365384615384615</v>
      </c>
      <c r="X75" s="54">
        <f ca="1">IFERROR(__xludf.DUMMYFUNCTION("""COMPUTED_VALUE"""),290)</f>
        <v>290</v>
      </c>
      <c r="Y75" s="51">
        <f t="shared" ca="1" si="17"/>
        <v>0.27884615384615385</v>
      </c>
      <c r="Z75" s="2"/>
      <c r="AA75" s="2"/>
      <c r="AB75" s="2"/>
      <c r="AC75" s="2"/>
      <c r="AD75" s="2"/>
      <c r="AE75" s="2"/>
    </row>
    <row r="76" spans="1:31" ht="12.75" x14ac:dyDescent="0.2">
      <c r="A76" s="53">
        <f ca="1">IFERROR(__xludf.DUMMYFUNCTION("""COMPUTED_VALUE"""),16)</f>
        <v>16</v>
      </c>
      <c r="B76" s="53"/>
      <c r="C76" s="53"/>
      <c r="D76" s="53" t="str">
        <f ca="1">IFERROR(__xludf.DUMMYFUNCTION("""COMPUTED_VALUE"""),"Hóc Môn")</f>
        <v>Hóc Môn</v>
      </c>
      <c r="E76" s="54">
        <f ca="1">IFERROR(__xludf.DUMMYFUNCTION("""COMPUTED_VALUE"""),37)</f>
        <v>37</v>
      </c>
      <c r="F76" s="54">
        <f ca="1">IFERROR(__xludf.DUMMYFUNCTION("""COMPUTED_VALUE"""),37)</f>
        <v>37</v>
      </c>
      <c r="G76" s="51">
        <f t="shared" ca="1" si="9"/>
        <v>1</v>
      </c>
      <c r="H76" s="54">
        <f ca="1">IFERROR(__xludf.DUMMYFUNCTION("""COMPUTED_VALUE"""),37)</f>
        <v>37</v>
      </c>
      <c r="I76" s="51">
        <f t="shared" ca="1" si="10"/>
        <v>1</v>
      </c>
      <c r="J76" s="54">
        <f ca="1">IFERROR(__xludf.DUMMYFUNCTION("""COMPUTED_VALUE"""),30)</f>
        <v>30</v>
      </c>
      <c r="K76" s="51">
        <f t="shared" ca="1" si="11"/>
        <v>0.81081081081081086</v>
      </c>
      <c r="L76" s="54">
        <f ca="1">IFERROR(__xludf.DUMMYFUNCTION("""COMPUTED_VALUE"""),17)</f>
        <v>17</v>
      </c>
      <c r="M76" s="51">
        <f t="shared" ca="1" si="12"/>
        <v>0.45945945945945948</v>
      </c>
      <c r="N76" s="54">
        <f ca="1">IFERROR(__xludf.DUMMYFUNCTION("""COMPUTED_VALUE"""),905)</f>
        <v>905</v>
      </c>
      <c r="O76" s="54">
        <f ca="1">IFERROR(__xludf.DUMMYFUNCTION("""COMPUTED_VALUE"""),548)</f>
        <v>548</v>
      </c>
      <c r="P76" s="51">
        <f t="shared" ca="1" si="13"/>
        <v>0.605524861878453</v>
      </c>
      <c r="Q76" s="54">
        <f ca="1">IFERROR(__xludf.DUMMYFUNCTION("""COMPUTED_VALUE"""),325)</f>
        <v>325</v>
      </c>
      <c r="R76" s="51">
        <f t="shared" ca="1" si="14"/>
        <v>0.35911602209944754</v>
      </c>
      <c r="S76" s="54">
        <f ca="1">IFERROR(__xludf.DUMMYFUNCTION("""COMPUTED_VALUE"""),101)</f>
        <v>101</v>
      </c>
      <c r="T76" s="54">
        <f ca="1">IFERROR(__xludf.DUMMYFUNCTION("""COMPUTED_VALUE"""),77)</f>
        <v>77</v>
      </c>
      <c r="U76" s="51">
        <f t="shared" ca="1" si="15"/>
        <v>0.76237623762376239</v>
      </c>
      <c r="V76" s="54">
        <f ca="1">IFERROR(__xludf.DUMMYFUNCTION("""COMPUTED_VALUE"""),52)</f>
        <v>52</v>
      </c>
      <c r="W76" s="51">
        <f t="shared" ca="1" si="16"/>
        <v>0.51485148514851486</v>
      </c>
      <c r="X76" s="54">
        <f ca="1">IFERROR(__xludf.DUMMYFUNCTION("""COMPUTED_VALUE"""),1)</f>
        <v>1</v>
      </c>
      <c r="Y76" s="51">
        <f t="shared" ca="1" si="17"/>
        <v>9.9009900990099011E-3</v>
      </c>
      <c r="Z76" s="2"/>
      <c r="AA76" s="2"/>
      <c r="AB76" s="2"/>
      <c r="AC76" s="2"/>
      <c r="AD76" s="2"/>
      <c r="AE76" s="2"/>
    </row>
    <row r="77" spans="1:31" ht="12.75" x14ac:dyDescent="0.2">
      <c r="A77" s="53"/>
      <c r="B77" s="53" t="str">
        <f ca="1">IFERROR(__xludf.DUMMYFUNCTION("""COMPUTED_VALUE"""),"CẤP TRUNG HỌC PHỔ THÔNG")</f>
        <v>CẤP TRUNG HỌC PHỔ THÔNG</v>
      </c>
      <c r="C77" s="53"/>
      <c r="D77" s="53"/>
      <c r="E77" s="54">
        <f ca="1">IFERROR(__xludf.DUMMYFUNCTION("""COMPUTED_VALUE"""),713)</f>
        <v>713</v>
      </c>
      <c r="F77" s="54">
        <f ca="1">IFERROR(__xludf.DUMMYFUNCTION("""COMPUTED_VALUE"""),712)</f>
        <v>712</v>
      </c>
      <c r="G77" s="51">
        <f t="shared" ca="1" si="9"/>
        <v>0.99859747545582045</v>
      </c>
      <c r="H77" s="54">
        <f ca="1">IFERROR(__xludf.DUMMYFUNCTION("""COMPUTED_VALUE"""),712)</f>
        <v>712</v>
      </c>
      <c r="I77" s="51">
        <f t="shared" ca="1" si="10"/>
        <v>0.99859747545582045</v>
      </c>
      <c r="J77" s="54">
        <f ca="1">IFERROR(__xludf.DUMMYFUNCTION("""COMPUTED_VALUE"""),656)</f>
        <v>656</v>
      </c>
      <c r="K77" s="51">
        <f t="shared" ca="1" si="11"/>
        <v>0.92005610098176716</v>
      </c>
      <c r="L77" s="54">
        <f ca="1">IFERROR(__xludf.DUMMYFUNCTION("""COMPUTED_VALUE"""),270)</f>
        <v>270</v>
      </c>
      <c r="M77" s="51">
        <f t="shared" ca="1" si="12"/>
        <v>0.37868162692847124</v>
      </c>
      <c r="N77" s="54">
        <f ca="1">IFERROR(__xludf.DUMMYFUNCTION("""COMPUTED_VALUE"""),9)</f>
        <v>9</v>
      </c>
      <c r="O77" s="54">
        <f ca="1">IFERROR(__xludf.DUMMYFUNCTION("""COMPUTED_VALUE"""),7)</f>
        <v>7</v>
      </c>
      <c r="P77" s="51">
        <f t="shared" ca="1" si="13"/>
        <v>0.77777777777777779</v>
      </c>
      <c r="Q77" s="54">
        <f ca="1">IFERROR(__xludf.DUMMYFUNCTION("""COMPUTED_VALUE"""),4)</f>
        <v>4</v>
      </c>
      <c r="R77" s="51">
        <f t="shared" ca="1" si="14"/>
        <v>0.44444444444444442</v>
      </c>
      <c r="S77" s="54">
        <f ca="1">IFERROR(__xludf.DUMMYFUNCTION("""COMPUTED_VALUE"""),13173)</f>
        <v>13173</v>
      </c>
      <c r="T77" s="54">
        <f ca="1">IFERROR(__xludf.DUMMYFUNCTION("""COMPUTED_VALUE"""),12968)</f>
        <v>12968</v>
      </c>
      <c r="U77" s="51">
        <f t="shared" ca="1" si="15"/>
        <v>0.98443786533060051</v>
      </c>
      <c r="V77" s="54">
        <f ca="1">IFERROR(__xludf.DUMMYFUNCTION("""COMPUTED_VALUE"""),12882)</f>
        <v>12882</v>
      </c>
      <c r="W77" s="51">
        <f t="shared" ca="1" si="16"/>
        <v>0.97790936005465723</v>
      </c>
      <c r="X77" s="54">
        <f ca="1">IFERROR(__xludf.DUMMYFUNCTION("""COMPUTED_VALUE"""),5416)</f>
        <v>5416</v>
      </c>
      <c r="Y77" s="51">
        <f t="shared" ca="1" si="17"/>
        <v>0.41114400668033096</v>
      </c>
      <c r="Z77" s="2"/>
      <c r="AA77" s="2"/>
      <c r="AB77" s="2"/>
      <c r="AC77" s="2"/>
      <c r="AD77" s="2"/>
      <c r="AE77" s="2"/>
    </row>
    <row r="78" spans="1:31" ht="12.75" x14ac:dyDescent="0.2">
      <c r="A78" s="53">
        <f ca="1">IFERROR(__xludf.DUMMYFUNCTION("""COMPUTED_VALUE"""),1)</f>
        <v>1</v>
      </c>
      <c r="B78" s="53" t="str">
        <f ca="1">IFERROR(__xludf.DUMMYFUNCTION("""COMPUTED_VALUE"""),"THPT Lý Thường Kiệt")</f>
        <v>THPT Lý Thường Kiệt</v>
      </c>
      <c r="C78" s="53" t="str">
        <f ca="1">IFERROR(__xludf.DUMMYFUNCTION("""COMPUTED_VALUE"""),"THPT")</f>
        <v>THPT</v>
      </c>
      <c r="D78" s="53" t="str">
        <f ca="1">IFERROR(__xludf.DUMMYFUNCTION("""COMPUTED_VALUE"""),"Hóc Môn")</f>
        <v>Hóc Môn</v>
      </c>
      <c r="E78" s="54">
        <f ca="1">IFERROR(__xludf.DUMMYFUNCTION("""COMPUTED_VALUE"""),97)</f>
        <v>97</v>
      </c>
      <c r="F78" s="54">
        <f ca="1">IFERROR(__xludf.DUMMYFUNCTION("""COMPUTED_VALUE"""),97)</f>
        <v>97</v>
      </c>
      <c r="G78" s="51">
        <f t="shared" ca="1" si="9"/>
        <v>1</v>
      </c>
      <c r="H78" s="54">
        <f ca="1">IFERROR(__xludf.DUMMYFUNCTION("""COMPUTED_VALUE"""),97)</f>
        <v>97</v>
      </c>
      <c r="I78" s="51">
        <f t="shared" ca="1" si="10"/>
        <v>1</v>
      </c>
      <c r="J78" s="54">
        <f ca="1">IFERROR(__xludf.DUMMYFUNCTION("""COMPUTED_VALUE"""),97)</f>
        <v>97</v>
      </c>
      <c r="K78" s="51">
        <f t="shared" ca="1" si="11"/>
        <v>1</v>
      </c>
      <c r="L78" s="54">
        <f ca="1">IFERROR(__xludf.DUMMYFUNCTION("""COMPUTED_VALUE"""),65)</f>
        <v>65</v>
      </c>
      <c r="M78" s="51">
        <f t="shared" ca="1" si="12"/>
        <v>0.67010309278350511</v>
      </c>
      <c r="N78" s="53"/>
      <c r="O78" s="53"/>
      <c r="P78" s="51" t="str">
        <f t="shared" si="13"/>
        <v/>
      </c>
      <c r="Q78" s="53"/>
      <c r="R78" s="51" t="str">
        <f t="shared" si="14"/>
        <v/>
      </c>
      <c r="S78" s="54">
        <f ca="1">IFERROR(__xludf.DUMMYFUNCTION("""COMPUTED_VALUE"""),1692)</f>
        <v>1692</v>
      </c>
      <c r="T78" s="54">
        <f ca="1">IFERROR(__xludf.DUMMYFUNCTION("""COMPUTED_VALUE"""),1690)</f>
        <v>1690</v>
      </c>
      <c r="U78" s="51">
        <f t="shared" ca="1" si="15"/>
        <v>0.99881796690307334</v>
      </c>
      <c r="V78" s="54">
        <f ca="1">IFERROR(__xludf.DUMMYFUNCTION("""COMPUTED_VALUE"""),1685)</f>
        <v>1685</v>
      </c>
      <c r="W78" s="51">
        <f t="shared" ca="1" si="16"/>
        <v>0.99586288416075652</v>
      </c>
      <c r="X78" s="54">
        <f ca="1">IFERROR(__xludf.DUMMYFUNCTION("""COMPUTED_VALUE"""),1110)</f>
        <v>1110</v>
      </c>
      <c r="Y78" s="51">
        <f t="shared" ca="1" si="17"/>
        <v>0.65602836879432624</v>
      </c>
      <c r="Z78" s="2"/>
      <c r="AA78" s="2"/>
      <c r="AB78" s="2"/>
      <c r="AC78" s="2"/>
      <c r="AD78" s="2"/>
      <c r="AE78" s="2"/>
    </row>
    <row r="79" spans="1:31" ht="12.75" x14ac:dyDescent="0.2">
      <c r="A79" s="53">
        <f ca="1">IFERROR(__xludf.DUMMYFUNCTION("""COMPUTED_VALUE"""),2)</f>
        <v>2</v>
      </c>
      <c r="B79" s="53" t="str">
        <f ca="1">IFERROR(__xludf.DUMMYFUNCTION("""COMPUTED_VALUE"""),"THPT Nguyễn Hữu Cầu")</f>
        <v>THPT Nguyễn Hữu Cầu</v>
      </c>
      <c r="C79" s="53" t="str">
        <f ca="1">IFERROR(__xludf.DUMMYFUNCTION("""COMPUTED_VALUE"""),"THPT")</f>
        <v>THPT</v>
      </c>
      <c r="D79" s="53" t="str">
        <f ca="1">IFERROR(__xludf.DUMMYFUNCTION("""COMPUTED_VALUE"""),"Hóc Môn")</f>
        <v>Hóc Môn</v>
      </c>
      <c r="E79" s="54">
        <f ca="1">IFERROR(__xludf.DUMMYFUNCTION("""COMPUTED_VALUE"""),99)</f>
        <v>99</v>
      </c>
      <c r="F79" s="54">
        <f ca="1">IFERROR(__xludf.DUMMYFUNCTION("""COMPUTED_VALUE"""),99)</f>
        <v>99</v>
      </c>
      <c r="G79" s="54"/>
      <c r="H79" s="54">
        <f ca="1">IFERROR(__xludf.DUMMYFUNCTION("""COMPUTED_VALUE"""),99)</f>
        <v>99</v>
      </c>
      <c r="I79" s="54"/>
      <c r="J79" s="54">
        <f ca="1">IFERROR(__xludf.DUMMYFUNCTION("""COMPUTED_VALUE"""),97)</f>
        <v>97</v>
      </c>
      <c r="K79" s="54"/>
      <c r="L79" s="54">
        <f ca="1">IFERROR(__xludf.DUMMYFUNCTION("""COMPUTED_VALUE"""),40)</f>
        <v>40</v>
      </c>
      <c r="M79" s="54"/>
      <c r="N79" s="53"/>
      <c r="O79" s="53"/>
      <c r="P79" s="53"/>
      <c r="Q79" s="53"/>
      <c r="R79" s="53"/>
      <c r="S79" s="54">
        <f ca="1">IFERROR(__xludf.DUMMYFUNCTION("""COMPUTED_VALUE"""),1769)</f>
        <v>1769</v>
      </c>
      <c r="T79" s="54">
        <f ca="1">IFERROR(__xludf.DUMMYFUNCTION("""COMPUTED_VALUE"""),1761)</f>
        <v>1761</v>
      </c>
      <c r="U79" s="54"/>
      <c r="V79" s="54">
        <f ca="1">IFERROR(__xludf.DUMMYFUNCTION("""COMPUTED_VALUE"""),1745)</f>
        <v>1745</v>
      </c>
      <c r="W79" s="54"/>
      <c r="X79" s="54">
        <f ca="1">IFERROR(__xludf.DUMMYFUNCTION("""COMPUTED_VALUE"""),527)</f>
        <v>527</v>
      </c>
      <c r="Y79" s="54"/>
      <c r="Z79" s="2"/>
      <c r="AA79" s="2"/>
      <c r="AB79" s="2"/>
      <c r="AC79" s="2"/>
      <c r="AD79" s="2"/>
      <c r="AE79" s="2"/>
    </row>
    <row r="80" spans="1:31" ht="12.75" x14ac:dyDescent="0.2">
      <c r="A80" s="53">
        <f ca="1">IFERROR(__xludf.DUMMYFUNCTION("""COMPUTED_VALUE"""),3)</f>
        <v>3</v>
      </c>
      <c r="B80" s="53" t="str">
        <f ca="1">IFERROR(__xludf.DUMMYFUNCTION("""COMPUTED_VALUE"""),"THPT Nguyễn Văn Cừ")</f>
        <v>THPT Nguyễn Văn Cừ</v>
      </c>
      <c r="C80" s="53" t="str">
        <f ca="1">IFERROR(__xludf.DUMMYFUNCTION("""COMPUTED_VALUE"""),"THPT")</f>
        <v>THPT</v>
      </c>
      <c r="D80" s="53" t="str">
        <f ca="1">IFERROR(__xludf.DUMMYFUNCTION("""COMPUTED_VALUE"""),"Hóc Môn")</f>
        <v>Hóc Môn</v>
      </c>
      <c r="E80" s="54">
        <f ca="1">IFERROR(__xludf.DUMMYFUNCTION("""COMPUTED_VALUE"""),84)</f>
        <v>84</v>
      </c>
      <c r="F80" s="54">
        <f ca="1">IFERROR(__xludf.DUMMYFUNCTION("""COMPUTED_VALUE"""),84)</f>
        <v>84</v>
      </c>
      <c r="G80" s="54"/>
      <c r="H80" s="54">
        <f ca="1">IFERROR(__xludf.DUMMYFUNCTION("""COMPUTED_VALUE"""),84)</f>
        <v>84</v>
      </c>
      <c r="I80" s="54"/>
      <c r="J80" s="54">
        <f ca="1">IFERROR(__xludf.DUMMYFUNCTION("""COMPUTED_VALUE"""),76)</f>
        <v>76</v>
      </c>
      <c r="K80" s="54"/>
      <c r="L80" s="54">
        <f ca="1">IFERROR(__xludf.DUMMYFUNCTION("""COMPUTED_VALUE"""),30)</f>
        <v>30</v>
      </c>
      <c r="M80" s="54"/>
      <c r="N80" s="53"/>
      <c r="O80" s="53"/>
      <c r="P80" s="53"/>
      <c r="Q80" s="53"/>
      <c r="R80" s="53"/>
      <c r="S80" s="54">
        <f ca="1">IFERROR(__xludf.DUMMYFUNCTION("""COMPUTED_VALUE"""),1368)</f>
        <v>1368</v>
      </c>
      <c r="T80" s="54">
        <f ca="1">IFERROR(__xludf.DUMMYFUNCTION("""COMPUTED_VALUE"""),1364)</f>
        <v>1364</v>
      </c>
      <c r="U80" s="54"/>
      <c r="V80" s="54">
        <f ca="1">IFERROR(__xludf.DUMMYFUNCTION("""COMPUTED_VALUE"""),1347)</f>
        <v>1347</v>
      </c>
      <c r="W80" s="54"/>
      <c r="X80" s="54">
        <f ca="1">IFERROR(__xludf.DUMMYFUNCTION("""COMPUTED_VALUE"""),526)</f>
        <v>526</v>
      </c>
      <c r="Y80" s="54"/>
      <c r="Z80" s="2"/>
      <c r="AA80" s="2"/>
      <c r="AB80" s="2"/>
      <c r="AC80" s="2"/>
      <c r="AD80" s="2"/>
      <c r="AE80" s="2"/>
    </row>
    <row r="81" spans="1:31" ht="12.75" x14ac:dyDescent="0.2">
      <c r="A81" s="53">
        <f ca="1">IFERROR(__xludf.DUMMYFUNCTION("""COMPUTED_VALUE"""),4)</f>
        <v>4</v>
      </c>
      <c r="B81" s="53" t="str">
        <f ca="1">IFERROR(__xludf.DUMMYFUNCTION("""COMPUTED_VALUE"""),"THPT Nguyễn Hữu Tiến")</f>
        <v>THPT Nguyễn Hữu Tiến</v>
      </c>
      <c r="C81" s="53" t="str">
        <f ca="1">IFERROR(__xludf.DUMMYFUNCTION("""COMPUTED_VALUE"""),"THPT")</f>
        <v>THPT</v>
      </c>
      <c r="D81" s="53" t="str">
        <f ca="1">IFERROR(__xludf.DUMMYFUNCTION("""COMPUTED_VALUE"""),"Hóc Môn")</f>
        <v>Hóc Môn</v>
      </c>
      <c r="E81" s="54">
        <f ca="1">IFERROR(__xludf.DUMMYFUNCTION("""COMPUTED_VALUE"""),81)</f>
        <v>81</v>
      </c>
      <c r="F81" s="54">
        <f ca="1">IFERROR(__xludf.DUMMYFUNCTION("""COMPUTED_VALUE"""),80)</f>
        <v>80</v>
      </c>
      <c r="G81" s="54"/>
      <c r="H81" s="54">
        <f ca="1">IFERROR(__xludf.DUMMYFUNCTION("""COMPUTED_VALUE"""),80)</f>
        <v>80</v>
      </c>
      <c r="I81" s="54"/>
      <c r="J81" s="54">
        <f ca="1">IFERROR(__xludf.DUMMYFUNCTION("""COMPUTED_VALUE"""),76)</f>
        <v>76</v>
      </c>
      <c r="K81" s="54"/>
      <c r="L81" s="54">
        <f ca="1">IFERROR(__xludf.DUMMYFUNCTION("""COMPUTED_VALUE"""),38)</f>
        <v>38</v>
      </c>
      <c r="M81" s="54"/>
      <c r="N81" s="53"/>
      <c r="O81" s="53"/>
      <c r="P81" s="53"/>
      <c r="Q81" s="53"/>
      <c r="R81" s="53"/>
      <c r="S81" s="54">
        <f ca="1">IFERROR(__xludf.DUMMYFUNCTION("""COMPUTED_VALUE"""),1488)</f>
        <v>1488</v>
      </c>
      <c r="T81" s="54">
        <f ca="1">IFERROR(__xludf.DUMMYFUNCTION("""COMPUTED_VALUE"""),1486)</f>
        <v>1486</v>
      </c>
      <c r="U81" s="54"/>
      <c r="V81" s="54">
        <f ca="1">IFERROR(__xludf.DUMMYFUNCTION("""COMPUTED_VALUE"""),1486)</f>
        <v>1486</v>
      </c>
      <c r="W81" s="54"/>
      <c r="X81" s="54">
        <f ca="1">IFERROR(__xludf.DUMMYFUNCTION("""COMPUTED_VALUE"""),1087)</f>
        <v>1087</v>
      </c>
      <c r="Y81" s="54"/>
      <c r="Z81" s="2"/>
      <c r="AA81" s="2"/>
      <c r="AB81" s="2"/>
      <c r="AC81" s="2"/>
      <c r="AD81" s="2"/>
      <c r="AE81" s="2"/>
    </row>
    <row r="82" spans="1:31" ht="12.75" x14ac:dyDescent="0.2">
      <c r="A82" s="53">
        <f ca="1">IFERROR(__xludf.DUMMYFUNCTION("""COMPUTED_VALUE"""),5)</f>
        <v>5</v>
      </c>
      <c r="B82" s="53" t="str">
        <f ca="1">IFERROR(__xludf.DUMMYFUNCTION("""COMPUTED_VALUE"""),"THPT Bà Điểm")</f>
        <v>THPT Bà Điểm</v>
      </c>
      <c r="C82" s="53" t="str">
        <f ca="1">IFERROR(__xludf.DUMMYFUNCTION("""COMPUTED_VALUE"""),"THPT")</f>
        <v>THPT</v>
      </c>
      <c r="D82" s="53" t="str">
        <f ca="1">IFERROR(__xludf.DUMMYFUNCTION("""COMPUTED_VALUE"""),"Hóc Môn")</f>
        <v>Hóc Môn</v>
      </c>
      <c r="E82" s="54">
        <f ca="1">IFERROR(__xludf.DUMMYFUNCTION("""COMPUTED_VALUE"""),100)</f>
        <v>100</v>
      </c>
      <c r="F82" s="54">
        <f ca="1">IFERROR(__xludf.DUMMYFUNCTION("""COMPUTED_VALUE"""),100)</f>
        <v>100</v>
      </c>
      <c r="G82" s="54"/>
      <c r="H82" s="54">
        <f ca="1">IFERROR(__xludf.DUMMYFUNCTION("""COMPUTED_VALUE"""),100)</f>
        <v>100</v>
      </c>
      <c r="I82" s="54"/>
      <c r="J82" s="54">
        <f ca="1">IFERROR(__xludf.DUMMYFUNCTION("""COMPUTED_VALUE"""),100)</f>
        <v>100</v>
      </c>
      <c r="K82" s="54"/>
      <c r="L82" s="54">
        <f ca="1">IFERROR(__xludf.DUMMYFUNCTION("""COMPUTED_VALUE"""),55)</f>
        <v>55</v>
      </c>
      <c r="M82" s="54"/>
      <c r="N82" s="53"/>
      <c r="O82" s="53"/>
      <c r="P82" s="53"/>
      <c r="Q82" s="53"/>
      <c r="R82" s="53"/>
      <c r="S82" s="54">
        <f ca="1">IFERROR(__xludf.DUMMYFUNCTION("""COMPUTED_VALUE"""),1855)</f>
        <v>1855</v>
      </c>
      <c r="T82" s="54">
        <f ca="1">IFERROR(__xludf.DUMMYFUNCTION("""COMPUTED_VALUE"""),1855)</f>
        <v>1855</v>
      </c>
      <c r="U82" s="54"/>
      <c r="V82" s="54">
        <f ca="1">IFERROR(__xludf.DUMMYFUNCTION("""COMPUTED_VALUE"""),1855)</f>
        <v>1855</v>
      </c>
      <c r="W82" s="54"/>
      <c r="X82" s="54">
        <f ca="1">IFERROR(__xludf.DUMMYFUNCTION("""COMPUTED_VALUE"""),650)</f>
        <v>650</v>
      </c>
      <c r="Y82" s="54"/>
      <c r="Z82" s="2"/>
      <c r="AA82" s="2"/>
      <c r="AB82" s="2"/>
      <c r="AC82" s="2"/>
      <c r="AD82" s="2"/>
      <c r="AE82" s="2"/>
    </row>
    <row r="83" spans="1:31" ht="12.75" x14ac:dyDescent="0.2">
      <c r="A83" s="53">
        <f ca="1">IFERROR(__xludf.DUMMYFUNCTION("""COMPUTED_VALUE"""),6)</f>
        <v>6</v>
      </c>
      <c r="B83" s="53" t="str">
        <f ca="1">IFERROR(__xludf.DUMMYFUNCTION("""COMPUTED_VALUE"""),"THPT Phạm Văn Sáng")</f>
        <v>THPT Phạm Văn Sáng</v>
      </c>
      <c r="C83" s="53" t="str">
        <f ca="1">IFERROR(__xludf.DUMMYFUNCTION("""COMPUTED_VALUE"""),"THPT")</f>
        <v>THPT</v>
      </c>
      <c r="D83" s="53" t="str">
        <f ca="1">IFERROR(__xludf.DUMMYFUNCTION("""COMPUTED_VALUE"""),"Hóc Môn")</f>
        <v>Hóc Môn</v>
      </c>
      <c r="E83" s="54">
        <f ca="1">IFERROR(__xludf.DUMMYFUNCTION("""COMPUTED_VALUE"""),110)</f>
        <v>110</v>
      </c>
      <c r="F83" s="54">
        <f ca="1">IFERROR(__xludf.DUMMYFUNCTION("""COMPUTED_VALUE"""),110)</f>
        <v>110</v>
      </c>
      <c r="G83" s="54"/>
      <c r="H83" s="54">
        <f ca="1">IFERROR(__xludf.DUMMYFUNCTION("""COMPUTED_VALUE"""),110)</f>
        <v>110</v>
      </c>
      <c r="I83" s="54"/>
      <c r="J83" s="54">
        <f ca="1">IFERROR(__xludf.DUMMYFUNCTION("""COMPUTED_VALUE"""),92)</f>
        <v>92</v>
      </c>
      <c r="K83" s="54"/>
      <c r="L83" s="54">
        <f ca="1">IFERROR(__xludf.DUMMYFUNCTION("""COMPUTED_VALUE"""),28)</f>
        <v>28</v>
      </c>
      <c r="M83" s="54"/>
      <c r="N83" s="53"/>
      <c r="O83" s="53"/>
      <c r="P83" s="53"/>
      <c r="Q83" s="53"/>
      <c r="R83" s="53"/>
      <c r="S83" s="54">
        <f ca="1">IFERROR(__xludf.DUMMYFUNCTION("""COMPUTED_VALUE"""),1975)</f>
        <v>1975</v>
      </c>
      <c r="T83" s="54">
        <f ca="1">IFERROR(__xludf.DUMMYFUNCTION("""COMPUTED_VALUE"""),1791)</f>
        <v>1791</v>
      </c>
      <c r="U83" s="54"/>
      <c r="V83" s="54">
        <f ca="1">IFERROR(__xludf.DUMMYFUNCTION("""COMPUTED_VALUE"""),1744)</f>
        <v>1744</v>
      </c>
      <c r="W83" s="54"/>
      <c r="X83" s="54">
        <f ca="1">IFERROR(__xludf.DUMMYFUNCTION("""COMPUTED_VALUE"""),497)</f>
        <v>497</v>
      </c>
      <c r="Y83" s="54"/>
      <c r="Z83" s="2"/>
      <c r="AA83" s="2"/>
      <c r="AB83" s="2"/>
      <c r="AC83" s="2"/>
      <c r="AD83" s="2"/>
      <c r="AE83" s="2"/>
    </row>
    <row r="84" spans="1:31" ht="12.75" x14ac:dyDescent="0.2">
      <c r="A84" s="53">
        <f ca="1">IFERROR(__xludf.DUMMYFUNCTION("""COMPUTED_VALUE"""),7)</f>
        <v>7</v>
      </c>
      <c r="B84" s="53" t="str">
        <f ca="1">IFERROR(__xludf.DUMMYFUNCTION("""COMPUTED_VALUE"""),"THPT Hồ Thị Bi")</f>
        <v>THPT Hồ Thị Bi</v>
      </c>
      <c r="C84" s="53" t="str">
        <f ca="1">IFERROR(__xludf.DUMMYFUNCTION("""COMPUTED_VALUE"""),"THPT")</f>
        <v>THPT</v>
      </c>
      <c r="D84" s="53" t="str">
        <f ca="1">IFERROR(__xludf.DUMMYFUNCTION("""COMPUTED_VALUE"""),"Hóc Môn")</f>
        <v>Hóc Môn</v>
      </c>
      <c r="E84" s="54">
        <f ca="1">IFERROR(__xludf.DUMMYFUNCTION("""COMPUTED_VALUE"""),89)</f>
        <v>89</v>
      </c>
      <c r="F84" s="54">
        <f ca="1">IFERROR(__xludf.DUMMYFUNCTION("""COMPUTED_VALUE"""),89)</f>
        <v>89</v>
      </c>
      <c r="G84" s="54"/>
      <c r="H84" s="54">
        <f ca="1">IFERROR(__xludf.DUMMYFUNCTION("""COMPUTED_VALUE"""),89)</f>
        <v>89</v>
      </c>
      <c r="I84" s="54"/>
      <c r="J84" s="54">
        <f ca="1">IFERROR(__xludf.DUMMYFUNCTION("""COMPUTED_VALUE"""),84)</f>
        <v>84</v>
      </c>
      <c r="K84" s="54"/>
      <c r="L84" s="54">
        <f ca="1">IFERROR(__xludf.DUMMYFUNCTION("""COMPUTED_VALUE"""),10)</f>
        <v>10</v>
      </c>
      <c r="M84" s="54"/>
      <c r="N84" s="53"/>
      <c r="O84" s="53"/>
      <c r="P84" s="53"/>
      <c r="Q84" s="53"/>
      <c r="R84" s="53"/>
      <c r="S84" s="54">
        <f ca="1">IFERROR(__xludf.DUMMYFUNCTION("""COMPUTED_VALUE"""),2061)</f>
        <v>2061</v>
      </c>
      <c r="T84" s="54">
        <f ca="1">IFERROR(__xludf.DUMMYFUNCTION("""COMPUTED_VALUE"""),2056)</f>
        <v>2056</v>
      </c>
      <c r="U84" s="54"/>
      <c r="V84" s="54">
        <f ca="1">IFERROR(__xludf.DUMMYFUNCTION("""COMPUTED_VALUE"""),2056)</f>
        <v>2056</v>
      </c>
      <c r="W84" s="54"/>
      <c r="X84" s="54">
        <f ca="1">IFERROR(__xludf.DUMMYFUNCTION("""COMPUTED_VALUE"""),730)</f>
        <v>730</v>
      </c>
      <c r="Y84" s="54"/>
      <c r="Z84" s="2"/>
      <c r="AA84" s="2"/>
      <c r="AB84" s="2"/>
      <c r="AC84" s="2"/>
      <c r="AD84" s="2"/>
      <c r="AE84" s="2"/>
    </row>
    <row r="85" spans="1:31" ht="12.75" x14ac:dyDescent="0.2">
      <c r="A85" s="53">
        <f ca="1">IFERROR(__xludf.DUMMYFUNCTION("""COMPUTED_VALUE"""),8)</f>
        <v>8</v>
      </c>
      <c r="B85" s="53" t="str">
        <f ca="1">IFERROR(__xludf.DUMMYFUNCTION("""COMPUTED_VALUE"""),"TH-THCS-THPT Tre Việt_CS1")</f>
        <v>TH-THCS-THPT Tre Việt_CS1</v>
      </c>
      <c r="C85" s="53" t="str">
        <f ca="1">IFERROR(__xludf.DUMMYFUNCTION("""COMPUTED_VALUE"""),"THPT")</f>
        <v>THPT</v>
      </c>
      <c r="D85" s="53" t="str">
        <f ca="1">IFERROR(__xludf.DUMMYFUNCTION("""COMPUTED_VALUE"""),"Hóc Môn")</f>
        <v>Hóc Môn</v>
      </c>
      <c r="E85" s="54">
        <f ca="1">IFERROR(__xludf.DUMMYFUNCTION("""COMPUTED_VALUE"""),53)</f>
        <v>53</v>
      </c>
      <c r="F85" s="54">
        <f ca="1">IFERROR(__xludf.DUMMYFUNCTION("""COMPUTED_VALUE"""),53)</f>
        <v>53</v>
      </c>
      <c r="G85" s="54"/>
      <c r="H85" s="54">
        <f ca="1">IFERROR(__xludf.DUMMYFUNCTION("""COMPUTED_VALUE"""),53)</f>
        <v>53</v>
      </c>
      <c r="I85" s="54"/>
      <c r="J85" s="54">
        <f ca="1">IFERROR(__xludf.DUMMYFUNCTION("""COMPUTED_VALUE"""),34)</f>
        <v>34</v>
      </c>
      <c r="K85" s="54"/>
      <c r="L85" s="54">
        <f ca="1">IFERROR(__xludf.DUMMYFUNCTION("""COMPUTED_VALUE"""),4)</f>
        <v>4</v>
      </c>
      <c r="M85" s="54"/>
      <c r="N85" s="54">
        <f ca="1">IFERROR(__xludf.DUMMYFUNCTION("""COMPUTED_VALUE"""),9)</f>
        <v>9</v>
      </c>
      <c r="O85" s="54">
        <f ca="1">IFERROR(__xludf.DUMMYFUNCTION("""COMPUTED_VALUE"""),7)</f>
        <v>7</v>
      </c>
      <c r="P85" s="54"/>
      <c r="Q85" s="54">
        <f ca="1">IFERROR(__xludf.DUMMYFUNCTION("""COMPUTED_VALUE"""),4)</f>
        <v>4</v>
      </c>
      <c r="R85" s="54"/>
      <c r="S85" s="54">
        <f ca="1">IFERROR(__xludf.DUMMYFUNCTION("""COMPUTED_VALUE"""),965)</f>
        <v>965</v>
      </c>
      <c r="T85" s="54">
        <f ca="1">IFERROR(__xludf.DUMMYFUNCTION("""COMPUTED_VALUE"""),965)</f>
        <v>965</v>
      </c>
      <c r="U85" s="54"/>
      <c r="V85" s="54">
        <f ca="1">IFERROR(__xludf.DUMMYFUNCTION("""COMPUTED_VALUE"""),964)</f>
        <v>964</v>
      </c>
      <c r="W85" s="54"/>
      <c r="X85" s="54">
        <f ca="1">IFERROR(__xludf.DUMMYFUNCTION("""COMPUTED_VALUE"""),289)</f>
        <v>289</v>
      </c>
      <c r="Y85" s="54"/>
      <c r="Z85" s="2"/>
      <c r="AA85" s="2"/>
      <c r="AB85" s="2"/>
      <c r="AC85" s="2"/>
      <c r="AD85" s="2"/>
      <c r="AE85" s="2"/>
    </row>
    <row r="86" spans="1:31" ht="12.75" x14ac:dyDescent="0.2">
      <c r="A86" s="53"/>
      <c r="B86" s="53" t="str">
        <f ca="1">IFERROR(__xludf.DUMMYFUNCTION("""COMPUTED_VALUE"""),"Giáo dục thường xuyên")</f>
        <v>Giáo dục thường xuyên</v>
      </c>
      <c r="C86" s="53"/>
      <c r="D86" s="53"/>
      <c r="E86" s="54">
        <f ca="1">IFERROR(__xludf.DUMMYFUNCTION("""COMPUTED_VALUE"""),91)</f>
        <v>91</v>
      </c>
      <c r="F86" s="54">
        <f ca="1">IFERROR(__xludf.DUMMYFUNCTION("""COMPUTED_VALUE"""),87)</f>
        <v>87</v>
      </c>
      <c r="G86" s="54"/>
      <c r="H86" s="54">
        <f ca="1">IFERROR(__xludf.DUMMYFUNCTION("""COMPUTED_VALUE"""),87)</f>
        <v>87</v>
      </c>
      <c r="I86" s="54"/>
      <c r="J86" s="54">
        <f ca="1">IFERROR(__xludf.DUMMYFUNCTION("""COMPUTED_VALUE"""),87)</f>
        <v>87</v>
      </c>
      <c r="K86" s="54"/>
      <c r="L86" s="54">
        <f ca="1">IFERROR(__xludf.DUMMYFUNCTION("""COMPUTED_VALUE"""),71)</f>
        <v>71</v>
      </c>
      <c r="M86" s="54"/>
      <c r="N86" s="54">
        <f ca="1">IFERROR(__xludf.DUMMYFUNCTION("""COMPUTED_VALUE"""),0)</f>
        <v>0</v>
      </c>
      <c r="O86" s="54">
        <f ca="1">IFERROR(__xludf.DUMMYFUNCTION("""COMPUTED_VALUE"""),0)</f>
        <v>0</v>
      </c>
      <c r="P86" s="54"/>
      <c r="Q86" s="54">
        <f ca="1">IFERROR(__xludf.DUMMYFUNCTION("""COMPUTED_VALUE"""),0)</f>
        <v>0</v>
      </c>
      <c r="R86" s="54"/>
      <c r="S86" s="54">
        <f ca="1">IFERROR(__xludf.DUMMYFUNCTION("""COMPUTED_VALUE"""),1739)</f>
        <v>1739</v>
      </c>
      <c r="T86" s="54">
        <f ca="1">IFERROR(__xludf.DUMMYFUNCTION("""COMPUTED_VALUE"""),1739)</f>
        <v>1739</v>
      </c>
      <c r="U86" s="54"/>
      <c r="V86" s="54">
        <f ca="1">IFERROR(__xludf.DUMMYFUNCTION("""COMPUTED_VALUE"""),1739)</f>
        <v>1739</v>
      </c>
      <c r="W86" s="54"/>
      <c r="X86" s="54">
        <f ca="1">IFERROR(__xludf.DUMMYFUNCTION("""COMPUTED_VALUE"""),1118)</f>
        <v>1118</v>
      </c>
      <c r="Y86" s="54"/>
      <c r="Z86" s="2"/>
      <c r="AA86" s="2"/>
      <c r="AB86" s="2"/>
      <c r="AC86" s="2"/>
      <c r="AD86" s="2"/>
      <c r="AE86" s="2"/>
    </row>
    <row r="87" spans="1:31" ht="12.75" x14ac:dyDescent="0.2">
      <c r="A87" s="53">
        <f ca="1">IFERROR(__xludf.DUMMYFUNCTION("""COMPUTED_VALUE"""),1)</f>
        <v>1</v>
      </c>
      <c r="B87" s="53" t="str">
        <f ca="1">IFERROR(__xludf.DUMMYFUNCTION("""COMPUTED_VALUE"""),"TT.GDNN-GDTX Hóc Môn")</f>
        <v>TT.GDNN-GDTX Hóc Môn</v>
      </c>
      <c r="C87" s="53" t="str">
        <f ca="1">IFERROR(__xludf.DUMMYFUNCTION("""COMPUTED_VALUE"""),"GDTX")</f>
        <v>GDTX</v>
      </c>
      <c r="D87" s="53" t="str">
        <f ca="1">IFERROR(__xludf.DUMMYFUNCTION("""COMPUTED_VALUE"""),"Hóc Môn")</f>
        <v>Hóc Môn</v>
      </c>
      <c r="E87" s="54">
        <f ca="1">IFERROR(__xludf.DUMMYFUNCTION("""COMPUTED_VALUE"""),43)</f>
        <v>43</v>
      </c>
      <c r="F87" s="54">
        <f ca="1">IFERROR(__xludf.DUMMYFUNCTION("""COMPUTED_VALUE"""),43)</f>
        <v>43</v>
      </c>
      <c r="G87" s="54"/>
      <c r="H87" s="54">
        <f ca="1">IFERROR(__xludf.DUMMYFUNCTION("""COMPUTED_VALUE"""),43)</f>
        <v>43</v>
      </c>
      <c r="I87" s="54"/>
      <c r="J87" s="54">
        <f ca="1">IFERROR(__xludf.DUMMYFUNCTION("""COMPUTED_VALUE"""),43)</f>
        <v>43</v>
      </c>
      <c r="K87" s="54"/>
      <c r="L87" s="54">
        <f ca="1">IFERROR(__xludf.DUMMYFUNCTION("""COMPUTED_VALUE"""),27)</f>
        <v>27</v>
      </c>
      <c r="M87" s="54"/>
      <c r="N87" s="53"/>
      <c r="O87" s="53"/>
      <c r="P87" s="53"/>
      <c r="Q87" s="53"/>
      <c r="R87" s="53"/>
      <c r="S87" s="54">
        <f ca="1">IFERROR(__xludf.DUMMYFUNCTION("""COMPUTED_VALUE"""),1174)</f>
        <v>1174</v>
      </c>
      <c r="T87" s="54">
        <f ca="1">IFERROR(__xludf.DUMMYFUNCTION("""COMPUTED_VALUE"""),1174)</f>
        <v>1174</v>
      </c>
      <c r="U87" s="54"/>
      <c r="V87" s="54">
        <f ca="1">IFERROR(__xludf.DUMMYFUNCTION("""COMPUTED_VALUE"""),1174)</f>
        <v>1174</v>
      </c>
      <c r="W87" s="54"/>
      <c r="X87" s="54">
        <f ca="1">IFERROR(__xludf.DUMMYFUNCTION("""COMPUTED_VALUE"""),591)</f>
        <v>591</v>
      </c>
      <c r="Y87" s="54"/>
      <c r="Z87" s="2"/>
      <c r="AA87" s="2"/>
      <c r="AB87" s="2"/>
      <c r="AC87" s="2"/>
      <c r="AD87" s="2"/>
      <c r="AE87" s="2"/>
    </row>
    <row r="88" spans="1:31" ht="12.75" x14ac:dyDescent="0.2">
      <c r="A88" s="53">
        <f ca="1">IFERROR(__xludf.DUMMYFUNCTION("""COMPUTED_VALUE"""),2)</f>
        <v>2</v>
      </c>
      <c r="B88" s="53" t="str">
        <f ca="1">IFERROR(__xludf.DUMMYFUNCTION("""COMPUTED_VALUE"""),"TT.GDTX Thanh niên XP")</f>
        <v>TT.GDTX Thanh niên XP</v>
      </c>
      <c r="C88" s="53" t="str">
        <f ca="1">IFERROR(__xludf.DUMMYFUNCTION("""COMPUTED_VALUE"""),"GDTX")</f>
        <v>GDTX</v>
      </c>
      <c r="D88" s="53" t="str">
        <f ca="1">IFERROR(__xludf.DUMMYFUNCTION("""COMPUTED_VALUE"""),"Hóc Môn")</f>
        <v>Hóc Môn</v>
      </c>
      <c r="E88" s="54">
        <f ca="1">IFERROR(__xludf.DUMMYFUNCTION("""COMPUTED_VALUE"""),48)</f>
        <v>48</v>
      </c>
      <c r="F88" s="54">
        <f ca="1">IFERROR(__xludf.DUMMYFUNCTION("""COMPUTED_VALUE"""),44)</f>
        <v>44</v>
      </c>
      <c r="G88" s="54"/>
      <c r="H88" s="54">
        <f ca="1">IFERROR(__xludf.DUMMYFUNCTION("""COMPUTED_VALUE"""),44)</f>
        <v>44</v>
      </c>
      <c r="I88" s="54"/>
      <c r="J88" s="54">
        <f ca="1">IFERROR(__xludf.DUMMYFUNCTION("""COMPUTED_VALUE"""),44)</f>
        <v>44</v>
      </c>
      <c r="K88" s="54"/>
      <c r="L88" s="54">
        <f ca="1">IFERROR(__xludf.DUMMYFUNCTION("""COMPUTED_VALUE"""),44)</f>
        <v>44</v>
      </c>
      <c r="M88" s="54"/>
      <c r="N88" s="53"/>
      <c r="O88" s="53"/>
      <c r="P88" s="53"/>
      <c r="Q88" s="53"/>
      <c r="R88" s="53"/>
      <c r="S88" s="54">
        <f ca="1">IFERROR(__xludf.DUMMYFUNCTION("""COMPUTED_VALUE"""),565)</f>
        <v>565</v>
      </c>
      <c r="T88" s="54">
        <f ca="1">IFERROR(__xludf.DUMMYFUNCTION("""COMPUTED_VALUE"""),565)</f>
        <v>565</v>
      </c>
      <c r="U88" s="54"/>
      <c r="V88" s="54">
        <f ca="1">IFERROR(__xludf.DUMMYFUNCTION("""COMPUTED_VALUE"""),565)</f>
        <v>565</v>
      </c>
      <c r="W88" s="54"/>
      <c r="X88" s="54">
        <f ca="1">IFERROR(__xludf.DUMMYFUNCTION("""COMPUTED_VALUE"""),527)</f>
        <v>527</v>
      </c>
      <c r="Y88" s="54"/>
      <c r="Z88" s="2"/>
      <c r="AA88" s="2"/>
      <c r="AB88" s="2"/>
      <c r="AC88" s="2"/>
      <c r="AD88" s="2"/>
      <c r="AE88" s="2"/>
    </row>
    <row r="89" spans="1:31" ht="12.75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</row>
    <row r="90" spans="1:31" ht="12.75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ht="12.75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92" spans="1:31" ht="12.75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</row>
    <row r="93" spans="1:31" ht="12.75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</row>
    <row r="94" spans="1:31" ht="12.75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</row>
    <row r="95" spans="1:31" ht="12.75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</row>
    <row r="96" spans="1:31" ht="12.75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</row>
    <row r="97" spans="1:31" ht="12.75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</row>
    <row r="98" spans="1:31" ht="12.75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</row>
    <row r="99" spans="1:31" ht="12.75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</row>
    <row r="100" spans="1:31" ht="12.75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</row>
    <row r="101" spans="1:31" ht="12.75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</row>
    <row r="102" spans="1:31" ht="12.75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1:31" ht="12.75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1:31" ht="12.75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1:31" ht="12.75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1:31" ht="12.75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1:31" ht="12.75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</row>
    <row r="108" spans="1:31" ht="12.75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1:31" ht="12.75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 spans="1:31" ht="12.75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1:31" ht="12.75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1:31" ht="12.75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:31" ht="12.75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 ht="12.75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 ht="12.75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 ht="12.75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 ht="12.75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 ht="12.75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 ht="12.75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 ht="12.75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 ht="12.75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 ht="12.75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 ht="12.75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 ht="12.75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 ht="12.75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ht="12.75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ht="12.75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ht="12.75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ht="12.75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ht="12.75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ht="12.75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ht="12.75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ht="12.75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ht="12.75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ht="12.75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ht="12.75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ht="12.75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ht="12.75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ht="12.75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ht="12.75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2.75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2.75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2.75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2.75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2.75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2.75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2.75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2.75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2.75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2.75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2.75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2.75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2.75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2.75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2.75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2.75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2.75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2.75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2.75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2.75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2.75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2.75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2.75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2.75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2.75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2.75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2.75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2.75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2.75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2.75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2.75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2.75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2.75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2.75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2.75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2.75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2.75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2.75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2.75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2.75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2.75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2.75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2.75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2.75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2.75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2.75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2.75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2.75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2.75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2.75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2.75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2.75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2.75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2.75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2.75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2.75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2.75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2.75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2.75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2.75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2.75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2.75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2.75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2.75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2.75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2.75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2.75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2.75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2.75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2.75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2.75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2.75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2.75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2.75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2.75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2.75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2.75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2.75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2.75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2.75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2.75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2.75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2.75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2.75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2.75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2.75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2.75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2.75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2.75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2.75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2.75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2.75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2.75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2.75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2.75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2.75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2.75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2.75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2.75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2.75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2.75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2.75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2.75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2.75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2.75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2.75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2.75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2.75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2.75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2.75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2.75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2.75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2.75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2.75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2.75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2.75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2.75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2.75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2.75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2.75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2.75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2.75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2.75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2.75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2.75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2.75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2.75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2.75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2.75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2.75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2.75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2.75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2.75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2.75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2.75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2.75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2.75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2.75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2.75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2.75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2.75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2.75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2.75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2.75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2.75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2.75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2.75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2.75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2.75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2.75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2.75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2.75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2.75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2.75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2.75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2.75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2.75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2.75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2.75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2.75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2.75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2.75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2.75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2.75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2.75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2.75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2.75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2.75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2.75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2.75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2.75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2.75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2.75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2.75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2.75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2.75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2.75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2.75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2.75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2.75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2.75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2.75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2.75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2.75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2.75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2.75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2.75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2.75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2.75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2.75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2.75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2.75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2.75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2.75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2.75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2.75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2.75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2.75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2.75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2.75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2.75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2.75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2.75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2.75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2.75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2.75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2.75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2.75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2.75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2.75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2.75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2.75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2.75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2.75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2.75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2.75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2.75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2.75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2.75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2.75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2.75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2.75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2.75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2.75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2.75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2.75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2.75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2.75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2.75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2.75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2.75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2.75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2.75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2.75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2.75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2.75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2.75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2.75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2.75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2.75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2.75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2.75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2.75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2.75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2.75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2.75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2.75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2.75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2.75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2.75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2.75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2.75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2.75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2.75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2.75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2.75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2.75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2.75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2.75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2.75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2.75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2.75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2.75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2.75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2.75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2.75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2.75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2.75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2.75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2.75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2.75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2.75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2.75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2.75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2.75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2.75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2.75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2.75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2.75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2.75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2.75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2.75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2.75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2.75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2.75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2.75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2.75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2.75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2.75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2.75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2.75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2.75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2.75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2.75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2.75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2.75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2.75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2.75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2.75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2.75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2.75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2.75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2.75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2.75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2.75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2.75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2.75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2.75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2.75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2.75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2.75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2.75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2.75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2.75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2.75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2.75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2.75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2.75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2.75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2.75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2.75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2.75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2.75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2.75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2.75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2.75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2.75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2.75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2.75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2.75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2.75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2.75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2.75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2.75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2.75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2.75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2.75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2.75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2.75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2.75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2.75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2.75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2.75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2.75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2.75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2.75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2.75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2.75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2.75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2.75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2.75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2.75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2.75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2.75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2.75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2.75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2.75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2.75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2.75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2.75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2.75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2.75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2.75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2.75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2.75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2.75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2.75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2.75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2.75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2.75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2.75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2.75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2.75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2.75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2.75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2.75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2.75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2.75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2.75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2.75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2.75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2.75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2.75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2.75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2.75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2.75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2.75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2.75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2.75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2.75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2.75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2.75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2.75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2.75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2.75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2.75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2.75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2.75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2.75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2.75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2.75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2.75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2.75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2.75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2.75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2.75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2.75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2.75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2.75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2.75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2.75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2.75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2.75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2.75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2.75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2.75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2.75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2.75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2.75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2.75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2.75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2.75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2.75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2.75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2.75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2.75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2.75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2.75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2.75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2.75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2.75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2.75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2.75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2.75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2.75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2.75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2.75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2.75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2.75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2.75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2.75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2.75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2.75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2.75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2.75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2.75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2.75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2.75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2.75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2.75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2.75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2.75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2.75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2.75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2.75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2.75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2.75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2.75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2.75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2.75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2.75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2.75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2.75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2.75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2.75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2.75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2.75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2.75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2.75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2.75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2.75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2.75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2.75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2.75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2.75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2.75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2.75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2.75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2.75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2.75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2.75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2.75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2.75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2.75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2.75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2.75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2.75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2.75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2.75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2.75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2.75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2.75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2.75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2.75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2.75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2.75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2.75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2.75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2.75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2.75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2.75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2.75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2.75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2.75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2.75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2.75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2.75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2.75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2.75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2.75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2.75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2.75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2.75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2.75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2.75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2.75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2.75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2.75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2.75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2.75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2.75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2.75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2.75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2.75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2.75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2.75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2.75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2.75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2.75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2.75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2.75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2.75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2.75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2.75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2.75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2.75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2.75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2.75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2.75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2.75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2.75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2.75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2.75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2.75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2.75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2.75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2.75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2.75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2.75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2.75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2.75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2.75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2.75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2.75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2.75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2.75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2.75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2.75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2.75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2.75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2.75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2.75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2.75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2.75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2.75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2.75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2.75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2.75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2.75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2.75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2.75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2.75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2.75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2.75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2.75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2.75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2.75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2.75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2.75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2.75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2.75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2.75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2.75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2.75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2.75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2.75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2.75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2.75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2.75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2.75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2.75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2.75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2.75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2.75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2.75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2.75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2.75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2.75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2.75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2.75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2.75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2.75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2.75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2.75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2.75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2.75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2.75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2.75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2.75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2.75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2.75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2.75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2.75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2.75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2.75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2.75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2.75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2.75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2.75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2.75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2.75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2.75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2.75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2.75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2.75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2.75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2.75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2.75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2.75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2.75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2.75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2.75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2.75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2.75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2.75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2.75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2.75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2.75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2.75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2.75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2.75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2.75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2.75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2.75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2.75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2.75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2.75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2.75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2.75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2.75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2.75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2.75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2.75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2.75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2.75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2.75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2.75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2.75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2.75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2.75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2.75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2.75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2.75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2.75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2.75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2.75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2.75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2.75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2.75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2.75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2.75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2.75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2.75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2.75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2.75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2.75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2.75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2.75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2.75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2.75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2.75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2.75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2.75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2.75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2.75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2.75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2.75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2.75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2.75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2.75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2.75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2.75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2.75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2.75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2.75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2.75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2.75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2.75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2.75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2.75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2.75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2.75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2.75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2.75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2.75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2.75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2.75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2.75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2.75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2.75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2.75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2.75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2.75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2.75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2.75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2.75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2.75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2.75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2.75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2.75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2.75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2.75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2.75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2.75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2.75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2.75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2.75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2.75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2.75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2.75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2.75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2.75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2.75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2.75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2.75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2.75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2.75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2.75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2.75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2.75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2.75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2.75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2.75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2.75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2.75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2.75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2.75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2.75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2.75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2.75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2.75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2.75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2.75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2.75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2.75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2.75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2.75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2.75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2.75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2.75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2.75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2.75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2.75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2.75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2.75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2.75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2.75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2.75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2.75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2.75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2.75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2.75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2.75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2.75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2.75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2.75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2.75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2.75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2.75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2.75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2.75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2.75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2.75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2.75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2.75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2.75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2.75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2.75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2.75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2.75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2.75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2.75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2.75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2.75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2.75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2.75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2.75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2.75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2.75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2.75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2.75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2.75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2.75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2.75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2.75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2.75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2.75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2.75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2.75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2.75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2.75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2.75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2.75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2.75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2.75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2.75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2.75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2.75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2.75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2.75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2.75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2.75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2.75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2.75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2.75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2.75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2.75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2.75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2.75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2.75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2.75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2.75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2.75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2.75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2.75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2.75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2.75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2.75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2.75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2.75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2.75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2.75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2.75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2.75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2.75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2.75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2.75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2.75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2.75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2.75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2.75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2.75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2.75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2.75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2.75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2.75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2.75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 ht="12.75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 ht="12.75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  <row r="1000" spans="1:31" ht="12.75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</row>
  </sheetData>
  <mergeCells count="16">
    <mergeCell ref="N3:R3"/>
    <mergeCell ref="S3:Y3"/>
    <mergeCell ref="F4:G4"/>
    <mergeCell ref="H4:I4"/>
    <mergeCell ref="J4:K4"/>
    <mergeCell ref="L4:M4"/>
    <mergeCell ref="O4:P4"/>
    <mergeCell ref="Q4:R4"/>
    <mergeCell ref="T4:U4"/>
    <mergeCell ref="V4:W4"/>
    <mergeCell ref="X4:Y4"/>
    <mergeCell ref="A3:A4"/>
    <mergeCell ref="B3:B4"/>
    <mergeCell ref="C3:C4"/>
    <mergeCell ref="D3:D4"/>
    <mergeCell ref="E3:M3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E1000"/>
  <sheetViews>
    <sheetView tabSelected="1" zoomScale="85" zoomScaleNormal="85" workbookViewId="0">
      <selection activeCell="B21" sqref="B21"/>
    </sheetView>
  </sheetViews>
  <sheetFormatPr defaultColWidth="12.5703125" defaultRowHeight="15.75" customHeight="1" x14ac:dyDescent="0.2"/>
  <cols>
    <col min="1" max="1" width="10.28515625" style="3" customWidth="1"/>
    <col min="2" max="2" width="35.42578125" style="3" customWidth="1"/>
    <col min="3" max="4" width="12.5703125" style="3"/>
    <col min="5" max="5" width="10.42578125" style="3" customWidth="1"/>
    <col min="6" max="13" width="8.85546875" style="3" customWidth="1"/>
    <col min="14" max="14" width="10.42578125" style="3" customWidth="1"/>
    <col min="15" max="18" width="8.85546875" style="3" customWidth="1"/>
    <col min="19" max="19" width="10.42578125" style="3" customWidth="1"/>
    <col min="20" max="25" width="8.85546875" style="3" customWidth="1"/>
    <col min="26" max="16384" width="12.5703125" style="3"/>
  </cols>
  <sheetData>
    <row r="1" spans="1:31" ht="26.25" customHeight="1" x14ac:dyDescent="0.2">
      <c r="A1" s="49" t="s">
        <v>20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ht="35.25" customHeight="1" x14ac:dyDescent="0.2">
      <c r="A2" s="4" t="s">
        <v>26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</row>
    <row r="3" spans="1:31" ht="30.75" customHeight="1" x14ac:dyDescent="0.2">
      <c r="A3" s="89" t="str">
        <f ca="1">IFERROR(__xludf.DUMMYFUNCTION("IMPORTRANGE(""https://docs.google.com/spreadsheets/d/1giFCfPZvq6d2WPbrXwJ7ksTcnSjmuNbU5G4IRrh5hOk/edit#gid=0"",""CG!A14:T500"")"),"STT")</f>
        <v>STT</v>
      </c>
      <c r="B3" s="89" t="str">
        <f ca="1">IFERROR(__xludf.DUMMYFUNCTION("""COMPUTED_VALUE"""),"TRƯỜNG")</f>
        <v>TRƯỜNG</v>
      </c>
      <c r="C3" s="89" t="str">
        <f ca="1">IFERROR(__xludf.DUMMYFUNCTION("""COMPUTED_VALUE"""),"BẬC HỌC (MN, TH, THCS, THPT, CB, GDTX)")</f>
        <v>BẬC HỌC (MN, TH, THCS, THPT, CB, GDTX)</v>
      </c>
      <c r="D3" s="89" t="str">
        <f ca="1">IFERROR(__xludf.DUMMYFUNCTION("""COMPUTED_VALUE"""),"THÀNH PHỐ, QUẬN, HUYỆN")</f>
        <v>THÀNH PHỐ, QUẬN, HUYỆN</v>
      </c>
      <c r="E3" s="91" t="str">
        <f ca="1">IFERROR(__xludf.DUMMYFUNCTION("""COMPUTED_VALUE"""),"Cán bộ - Giáo viên - Nhân viên")</f>
        <v>Cán bộ - Giáo viên - Nhân viên</v>
      </c>
      <c r="F3" s="92"/>
      <c r="G3" s="92"/>
      <c r="H3" s="92"/>
      <c r="I3" s="92"/>
      <c r="J3" s="92"/>
      <c r="K3" s="92"/>
      <c r="L3" s="92"/>
      <c r="M3" s="92"/>
      <c r="N3" s="93" t="str">
        <f ca="1">IFERROR(__xludf.DUMMYFUNCTION("""COMPUTED_VALUE"""),"Học sinh từ 5 đến dưới 12 tuổi")</f>
        <v>Học sinh từ 5 đến dưới 12 tuổi</v>
      </c>
      <c r="O3" s="92"/>
      <c r="P3" s="92"/>
      <c r="Q3" s="92"/>
      <c r="R3" s="92"/>
      <c r="S3" s="94" t="str">
        <f ca="1">IFERROR(__xludf.DUMMYFUNCTION("""COMPUTED_VALUE"""),"Học sinh từ 12 đến dưới 18 tuổi")</f>
        <v>Học sinh từ 12 đến dưới 18 tuổi</v>
      </c>
      <c r="T3" s="95"/>
      <c r="U3" s="95"/>
      <c r="V3" s="95"/>
      <c r="W3" s="95"/>
      <c r="X3" s="95"/>
      <c r="Y3" s="95"/>
      <c r="Z3" s="2"/>
      <c r="AA3" s="2"/>
      <c r="AB3" s="2"/>
      <c r="AC3" s="2"/>
      <c r="AD3" s="2"/>
      <c r="AE3" s="2"/>
    </row>
    <row r="4" spans="1:31" ht="27" customHeight="1" x14ac:dyDescent="0.2">
      <c r="A4" s="90"/>
      <c r="B4" s="90"/>
      <c r="C4" s="90"/>
      <c r="D4" s="90"/>
      <c r="E4" s="7" t="str">
        <f ca="1">IFERROR(__xludf.DUMMYFUNCTION("""COMPUTED_VALUE"""),"Tổng CB-GV-NV")</f>
        <v>Tổng CB-GV-NV</v>
      </c>
      <c r="F4" s="96" t="s">
        <v>22</v>
      </c>
      <c r="G4" s="97"/>
      <c r="H4" s="96" t="s">
        <v>23</v>
      </c>
      <c r="I4" s="97"/>
      <c r="J4" s="96" t="s">
        <v>24</v>
      </c>
      <c r="K4" s="97"/>
      <c r="L4" s="96" t="s">
        <v>25</v>
      </c>
      <c r="M4" s="97"/>
      <c r="N4" s="7" t="str">
        <f ca="1">IFERROR(__xludf.DUMMYFUNCTION("""COMPUTED_VALUE"""),"Tổng học sinh")</f>
        <v>Tổng học sinh</v>
      </c>
      <c r="O4" s="96" t="s">
        <v>22</v>
      </c>
      <c r="P4" s="97"/>
      <c r="Q4" s="96" t="s">
        <v>23</v>
      </c>
      <c r="R4" s="97"/>
      <c r="S4" s="8" t="str">
        <f ca="1">IFERROR(__xludf.DUMMYFUNCTION("""COMPUTED_VALUE"""),"Tổng học sinh")</f>
        <v>Tổng học sinh</v>
      </c>
      <c r="T4" s="98" t="s">
        <v>22</v>
      </c>
      <c r="U4" s="99"/>
      <c r="V4" s="98" t="s">
        <v>23</v>
      </c>
      <c r="W4" s="99"/>
      <c r="X4" s="98" t="s">
        <v>24</v>
      </c>
      <c r="Y4" s="99"/>
      <c r="Z4" s="2"/>
      <c r="AA4" s="2"/>
      <c r="AB4" s="2"/>
      <c r="AC4" s="2"/>
      <c r="AD4" s="2"/>
      <c r="AE4" s="2"/>
    </row>
    <row r="5" spans="1:31" ht="12.75" x14ac:dyDescent="0.2">
      <c r="A5" s="50" t="str">
        <f ca="1">IFERROR(__xludf.DUMMYFUNCTION("""COMPUTED_VALUE"""),"TỔNG TOÀN QUẬN/HUYỆN/TP")</f>
        <v>TỔNG TOÀN QUẬN/HUYỆN/TP</v>
      </c>
      <c r="B5" s="20"/>
      <c r="C5" s="20"/>
      <c r="D5" s="20" t="str">
        <f ca="1">IFERROR(__xludf.DUMMYFUNCTION("""COMPUTED_VALUE"""),"CẦN GIỜ")</f>
        <v>CẦN GIỜ</v>
      </c>
      <c r="E5" s="15">
        <f ca="1">IFERROR(__xludf.DUMMYFUNCTION("""COMPUTED_VALUE"""),1403)</f>
        <v>1403</v>
      </c>
      <c r="F5" s="15">
        <f ca="1">IFERROR(__xludf.DUMMYFUNCTION("""COMPUTED_VALUE"""),1407)</f>
        <v>1407</v>
      </c>
      <c r="G5" s="51">
        <f ca="1">IFERROR(F5/E5,"")</f>
        <v>1.0028510334996437</v>
      </c>
      <c r="H5" s="15">
        <f ca="1">IFERROR(__xludf.DUMMYFUNCTION("""COMPUTED_VALUE"""),1406)</f>
        <v>1406</v>
      </c>
      <c r="I5" s="51">
        <f ca="1">IFERROR(H5/E5,"")</f>
        <v>1.0021382751247327</v>
      </c>
      <c r="J5" s="15">
        <f ca="1">IFERROR(__xludf.DUMMYFUNCTION("""COMPUTED_VALUE"""),1398)</f>
        <v>1398</v>
      </c>
      <c r="K5" s="51">
        <f ca="1">IFERROR(J5/E5,"")</f>
        <v>0.99643620812544542</v>
      </c>
      <c r="L5" s="15">
        <f ca="1">IFERROR(__xludf.DUMMYFUNCTION("""COMPUTED_VALUE"""),1192)</f>
        <v>1192</v>
      </c>
      <c r="M5" s="51">
        <f ca="1">IFERROR(L5/E5,"")</f>
        <v>0.84960798289379902</v>
      </c>
      <c r="N5" s="15">
        <f ca="1">IFERROR(__xludf.DUMMYFUNCTION("""COMPUTED_VALUE"""),6454)</f>
        <v>6454</v>
      </c>
      <c r="O5" s="15">
        <f ca="1">IFERROR(__xludf.DUMMYFUNCTION("""COMPUTED_VALUE"""),5017)</f>
        <v>5017</v>
      </c>
      <c r="P5" s="51">
        <f ca="1">IFERROR(O5/N5,"")</f>
        <v>0.77734738146885651</v>
      </c>
      <c r="Q5" s="15">
        <f ca="1">IFERROR(__xludf.DUMMYFUNCTION("""COMPUTED_VALUE"""),3885)</f>
        <v>3885</v>
      </c>
      <c r="R5" s="51">
        <f ca="1">IFERROR(Q5/N5,"")</f>
        <v>0.60195227765726678</v>
      </c>
      <c r="S5" s="15">
        <f ca="1">IFERROR(__xludf.DUMMYFUNCTION("""COMPUTED_VALUE"""),7126)</f>
        <v>7126</v>
      </c>
      <c r="T5" s="15">
        <f ca="1">IFERROR(__xludf.DUMMYFUNCTION("""COMPUTED_VALUE"""),7027)</f>
        <v>7027</v>
      </c>
      <c r="U5" s="51">
        <f ca="1">IFERROR(T5/S5,"")</f>
        <v>0.98610721302273363</v>
      </c>
      <c r="V5" s="15">
        <f ca="1">IFERROR(__xludf.DUMMYFUNCTION("""COMPUTED_VALUE"""),6667)</f>
        <v>6667</v>
      </c>
      <c r="W5" s="51">
        <f ca="1">IFERROR(V5/S5,"")</f>
        <v>0.93558798765085605</v>
      </c>
      <c r="X5" s="15">
        <f ca="1">IFERROR(__xludf.DUMMYFUNCTION("""COMPUTED_VALUE"""),4463)</f>
        <v>4463</v>
      </c>
      <c r="Y5" s="51">
        <f ca="1">IFERROR(X5/S5,"")</f>
        <v>0.62629806342969407</v>
      </c>
      <c r="Z5" s="2"/>
      <c r="AA5" s="2"/>
      <c r="AB5" s="2"/>
      <c r="AC5" s="2"/>
      <c r="AD5" s="2"/>
      <c r="AE5" s="2"/>
    </row>
    <row r="6" spans="1:31" ht="12.75" x14ac:dyDescent="0.2">
      <c r="A6" s="52" t="str">
        <f ca="1">IFERROR(__xludf.DUMMYFUNCTION("""COMPUTED_VALUE"""),"Mầm non")</f>
        <v>Mầm non</v>
      </c>
      <c r="B6" s="53"/>
      <c r="C6" s="53"/>
      <c r="D6" s="53"/>
      <c r="E6" s="53"/>
      <c r="F6" s="53"/>
      <c r="G6" s="51" t="str">
        <f t="shared" ref="G6:G69" si="0">IFERROR(F6/E6,"")</f>
        <v/>
      </c>
      <c r="H6" s="53"/>
      <c r="I6" s="51" t="str">
        <f t="shared" ref="I6:I69" si="1">IFERROR(H6/E6,"")</f>
        <v/>
      </c>
      <c r="J6" s="53"/>
      <c r="K6" s="51" t="str">
        <f t="shared" ref="K6:K69" si="2">IFERROR(J6/E6,"")</f>
        <v/>
      </c>
      <c r="L6" s="53"/>
      <c r="M6" s="51" t="str">
        <f t="shared" ref="M6:M69" si="3">IFERROR(L6/E6,"")</f>
        <v/>
      </c>
      <c r="N6" s="53"/>
      <c r="O6" s="53"/>
      <c r="P6" s="51" t="str">
        <f t="shared" ref="P6:P69" si="4">IFERROR(O6/N6,"")</f>
        <v/>
      </c>
      <c r="Q6" s="53"/>
      <c r="R6" s="51" t="str">
        <f t="shared" ref="R6:R69" si="5">IFERROR(Q6/N6,"")</f>
        <v/>
      </c>
      <c r="S6" s="53"/>
      <c r="T6" s="53"/>
      <c r="U6" s="51" t="str">
        <f t="shared" ref="U6:U69" si="6">IFERROR(T6/S6,"")</f>
        <v/>
      </c>
      <c r="V6" s="53"/>
      <c r="W6" s="51" t="str">
        <f t="shared" ref="W6:W69" si="7">IFERROR(V6/S6,"")</f>
        <v/>
      </c>
      <c r="X6" s="53"/>
      <c r="Y6" s="51" t="str">
        <f t="shared" ref="Y6:Y69" si="8">IFERROR(X6/S6,"")</f>
        <v/>
      </c>
      <c r="Z6" s="2"/>
      <c r="AA6" s="2"/>
      <c r="AB6" s="2"/>
      <c r="AC6" s="2"/>
      <c r="AD6" s="2"/>
      <c r="AE6" s="2"/>
    </row>
    <row r="7" spans="1:31" ht="12.75" x14ac:dyDescent="0.2">
      <c r="A7" s="53">
        <f ca="1">IFERROR(__xludf.DUMMYFUNCTION("""COMPUTED_VALUE"""),1)</f>
        <v>1</v>
      </c>
      <c r="B7" s="53" t="str">
        <f ca="1">IFERROR(__xludf.DUMMYFUNCTION("""COMPUTED_VALUE"""),"Trường Mầm non Bình Khánh")</f>
        <v>Trường Mầm non Bình Khánh</v>
      </c>
      <c r="C7" s="53" t="str">
        <f ca="1">IFERROR(__xludf.DUMMYFUNCTION("""COMPUTED_VALUE"""),"MN")</f>
        <v>MN</v>
      </c>
      <c r="D7" s="53" t="str">
        <f ca="1">IFERROR(__xludf.DUMMYFUNCTION("""COMPUTED_VALUE"""),"Cần Giờ")</f>
        <v>Cần Giờ</v>
      </c>
      <c r="E7" s="54">
        <f ca="1">IFERROR(__xludf.DUMMYFUNCTION("""COMPUTED_VALUE"""),59)</f>
        <v>59</v>
      </c>
      <c r="F7" s="54">
        <f ca="1">IFERROR(__xludf.DUMMYFUNCTION("""COMPUTED_VALUE"""),59)</f>
        <v>59</v>
      </c>
      <c r="G7" s="51">
        <f t="shared" ca="1" si="0"/>
        <v>1</v>
      </c>
      <c r="H7" s="54">
        <f ca="1">IFERROR(__xludf.DUMMYFUNCTION("""COMPUTED_VALUE"""),59)</f>
        <v>59</v>
      </c>
      <c r="I7" s="51">
        <f t="shared" ca="1" si="1"/>
        <v>1</v>
      </c>
      <c r="J7" s="54">
        <f ca="1">IFERROR(__xludf.DUMMYFUNCTION("""COMPUTED_VALUE"""),59)</f>
        <v>59</v>
      </c>
      <c r="K7" s="51">
        <f t="shared" ca="1" si="2"/>
        <v>1</v>
      </c>
      <c r="L7" s="54">
        <f ca="1">IFERROR(__xludf.DUMMYFUNCTION("""COMPUTED_VALUE"""),58)</f>
        <v>58</v>
      </c>
      <c r="M7" s="51">
        <f t="shared" ca="1" si="3"/>
        <v>0.98305084745762716</v>
      </c>
      <c r="N7" s="54">
        <f ca="1">IFERROR(__xludf.DUMMYFUNCTION("""COMPUTED_VALUE"""),129)</f>
        <v>129</v>
      </c>
      <c r="O7" s="54" t="str">
        <f ca="1">IFERROR(__xludf.DUMMYFUNCTION("""COMPUTED_VALUE"""),"-")</f>
        <v>-</v>
      </c>
      <c r="P7" s="51" t="str">
        <f t="shared" ca="1" si="4"/>
        <v/>
      </c>
      <c r="Q7" s="54">
        <f ca="1">IFERROR(__xludf.DUMMYFUNCTION("""COMPUTED_VALUE"""),0)</f>
        <v>0</v>
      </c>
      <c r="R7" s="51">
        <f t="shared" ca="1" si="5"/>
        <v>0</v>
      </c>
      <c r="S7" s="53"/>
      <c r="T7" s="53"/>
      <c r="U7" s="51" t="str">
        <f t="shared" si="6"/>
        <v/>
      </c>
      <c r="V7" s="53"/>
      <c r="W7" s="51" t="str">
        <f t="shared" si="7"/>
        <v/>
      </c>
      <c r="X7" s="53"/>
      <c r="Y7" s="51" t="str">
        <f t="shared" si="8"/>
        <v/>
      </c>
      <c r="Z7" s="2"/>
      <c r="AA7" s="2"/>
      <c r="AB7" s="2"/>
      <c r="AC7" s="2"/>
      <c r="AD7" s="2"/>
      <c r="AE7" s="2"/>
    </row>
    <row r="8" spans="1:31" ht="12.75" x14ac:dyDescent="0.2">
      <c r="A8" s="53">
        <f ca="1">IFERROR(__xludf.DUMMYFUNCTION("""COMPUTED_VALUE"""),2)</f>
        <v>2</v>
      </c>
      <c r="B8" s="53" t="str">
        <f ca="1">IFERROR(__xludf.DUMMYFUNCTION("""COMPUTED_VALUE"""),"Trường Mầm non Bình An")</f>
        <v>Trường Mầm non Bình An</v>
      </c>
      <c r="C8" s="53" t="str">
        <f ca="1">IFERROR(__xludf.DUMMYFUNCTION("""COMPUTED_VALUE"""),"MN")</f>
        <v>MN</v>
      </c>
      <c r="D8" s="53" t="str">
        <f ca="1">IFERROR(__xludf.DUMMYFUNCTION("""COMPUTED_VALUE"""),"Cần Giờ")</f>
        <v>Cần Giờ</v>
      </c>
      <c r="E8" s="54">
        <f ca="1">IFERROR(__xludf.DUMMYFUNCTION("""COMPUTED_VALUE"""),30)</f>
        <v>30</v>
      </c>
      <c r="F8" s="54">
        <f ca="1">IFERROR(__xludf.DUMMYFUNCTION("""COMPUTED_VALUE"""),30)</f>
        <v>30</v>
      </c>
      <c r="G8" s="51">
        <f t="shared" ca="1" si="0"/>
        <v>1</v>
      </c>
      <c r="H8" s="53">
        <f ca="1">IFERROR(__xludf.DUMMYFUNCTION("""COMPUTED_VALUE"""),30)</f>
        <v>30</v>
      </c>
      <c r="I8" s="51">
        <f t="shared" ca="1" si="1"/>
        <v>1</v>
      </c>
      <c r="J8" s="54">
        <f ca="1">IFERROR(__xludf.DUMMYFUNCTION("""COMPUTED_VALUE"""),30)</f>
        <v>30</v>
      </c>
      <c r="K8" s="51">
        <f t="shared" ca="1" si="2"/>
        <v>1</v>
      </c>
      <c r="L8" s="54">
        <f ca="1">IFERROR(__xludf.DUMMYFUNCTION("""COMPUTED_VALUE"""),30)</f>
        <v>30</v>
      </c>
      <c r="M8" s="51">
        <f t="shared" ca="1" si="3"/>
        <v>1</v>
      </c>
      <c r="N8" s="54">
        <f ca="1">IFERROR(__xludf.DUMMYFUNCTION("""COMPUTED_VALUE"""),86)</f>
        <v>86</v>
      </c>
      <c r="O8" s="54" t="str">
        <f ca="1">IFERROR(__xludf.DUMMYFUNCTION("""COMPUTED_VALUE"""),"-")</f>
        <v>-</v>
      </c>
      <c r="P8" s="51" t="str">
        <f t="shared" ca="1" si="4"/>
        <v/>
      </c>
      <c r="Q8" s="54">
        <f ca="1">IFERROR(__xludf.DUMMYFUNCTION("""COMPUTED_VALUE"""),0)</f>
        <v>0</v>
      </c>
      <c r="R8" s="51">
        <f t="shared" ca="1" si="5"/>
        <v>0</v>
      </c>
      <c r="S8" s="53"/>
      <c r="T8" s="53"/>
      <c r="U8" s="51" t="str">
        <f t="shared" si="6"/>
        <v/>
      </c>
      <c r="V8" s="53"/>
      <c r="W8" s="51" t="str">
        <f t="shared" si="7"/>
        <v/>
      </c>
      <c r="X8" s="53"/>
      <c r="Y8" s="51" t="str">
        <f t="shared" si="8"/>
        <v/>
      </c>
      <c r="Z8" s="2"/>
      <c r="AA8" s="2"/>
      <c r="AB8" s="2"/>
      <c r="AC8" s="2"/>
      <c r="AD8" s="2"/>
      <c r="AE8" s="2"/>
    </row>
    <row r="9" spans="1:31" ht="12.75" x14ac:dyDescent="0.2">
      <c r="A9" s="53">
        <f ca="1">IFERROR(__xludf.DUMMYFUNCTION("""COMPUTED_VALUE"""),3)</f>
        <v>3</v>
      </c>
      <c r="B9" s="53" t="str">
        <f ca="1">IFERROR(__xludf.DUMMYFUNCTION("""COMPUTED_VALUE"""),"MẦM NON AN THỚI ĐÔNG")</f>
        <v>MẦM NON AN THỚI ĐÔNG</v>
      </c>
      <c r="C9" s="53" t="str">
        <f ca="1">IFERROR(__xludf.DUMMYFUNCTION("""COMPUTED_VALUE"""),"MN")</f>
        <v>MN</v>
      </c>
      <c r="D9" s="53" t="str">
        <f ca="1">IFERROR(__xludf.DUMMYFUNCTION("""COMPUTED_VALUE"""),"Cần Giờ")</f>
        <v>Cần Giờ</v>
      </c>
      <c r="E9" s="54">
        <f ca="1">IFERROR(__xludf.DUMMYFUNCTION("""COMPUTED_VALUE"""),37)</f>
        <v>37</v>
      </c>
      <c r="F9" s="54">
        <f ca="1">IFERROR(__xludf.DUMMYFUNCTION("""COMPUTED_VALUE"""),37)</f>
        <v>37</v>
      </c>
      <c r="G9" s="51">
        <f t="shared" ca="1" si="0"/>
        <v>1</v>
      </c>
      <c r="H9" s="54">
        <f ca="1">IFERROR(__xludf.DUMMYFUNCTION("""COMPUTED_VALUE"""),37)</f>
        <v>37</v>
      </c>
      <c r="I9" s="51">
        <f t="shared" ca="1" si="1"/>
        <v>1</v>
      </c>
      <c r="J9" s="54">
        <f ca="1">IFERROR(__xludf.DUMMYFUNCTION("""COMPUTED_VALUE"""),37)</f>
        <v>37</v>
      </c>
      <c r="K9" s="51">
        <f t="shared" ca="1" si="2"/>
        <v>1</v>
      </c>
      <c r="L9" s="54">
        <f ca="1">IFERROR(__xludf.DUMMYFUNCTION("""COMPUTED_VALUE"""),36)</f>
        <v>36</v>
      </c>
      <c r="M9" s="51">
        <f t="shared" ca="1" si="3"/>
        <v>0.97297297297297303</v>
      </c>
      <c r="N9" s="54">
        <f ca="1">IFERROR(__xludf.DUMMYFUNCTION("""COMPUTED_VALUE"""),119)</f>
        <v>119</v>
      </c>
      <c r="O9" s="54">
        <f ca="1">IFERROR(__xludf.DUMMYFUNCTION("""COMPUTED_VALUE"""),13)</f>
        <v>13</v>
      </c>
      <c r="P9" s="51">
        <f t="shared" ca="1" si="4"/>
        <v>0.1092436974789916</v>
      </c>
      <c r="Q9" s="54">
        <f ca="1">IFERROR(__xludf.DUMMYFUNCTION("""COMPUTED_VALUE"""),7)</f>
        <v>7</v>
      </c>
      <c r="R9" s="51">
        <f t="shared" ca="1" si="5"/>
        <v>5.8823529411764705E-2</v>
      </c>
      <c r="S9" s="53"/>
      <c r="T9" s="53"/>
      <c r="U9" s="51" t="str">
        <f t="shared" si="6"/>
        <v/>
      </c>
      <c r="V9" s="53"/>
      <c r="W9" s="51" t="str">
        <f t="shared" si="7"/>
        <v/>
      </c>
      <c r="X9" s="53"/>
      <c r="Y9" s="51" t="str">
        <f t="shared" si="8"/>
        <v/>
      </c>
      <c r="Z9" s="2"/>
      <c r="AA9" s="2"/>
      <c r="AB9" s="2"/>
      <c r="AC9" s="2"/>
      <c r="AD9" s="2"/>
      <c r="AE9" s="2"/>
    </row>
    <row r="10" spans="1:31" ht="12.75" x14ac:dyDescent="0.2">
      <c r="A10" s="53">
        <f ca="1">IFERROR(__xludf.DUMMYFUNCTION("""COMPUTED_VALUE"""),4)</f>
        <v>4</v>
      </c>
      <c r="B10" s="53" t="str">
        <f ca="1">IFERROR(__xludf.DUMMYFUNCTION("""COMPUTED_VALUE"""),"Trường Mầm non Doi Lầu")</f>
        <v>Trường Mầm non Doi Lầu</v>
      </c>
      <c r="C10" s="53" t="str">
        <f ca="1">IFERROR(__xludf.DUMMYFUNCTION("""COMPUTED_VALUE"""),"MN")</f>
        <v>MN</v>
      </c>
      <c r="D10" s="53" t="str">
        <f ca="1">IFERROR(__xludf.DUMMYFUNCTION("""COMPUTED_VALUE"""),"Cần Giờ")</f>
        <v>Cần Giờ</v>
      </c>
      <c r="E10" s="54">
        <f ca="1">IFERROR(__xludf.DUMMYFUNCTION("""COMPUTED_VALUE"""),36)</f>
        <v>36</v>
      </c>
      <c r="F10" s="54">
        <f ca="1">IFERROR(__xludf.DUMMYFUNCTION("""COMPUTED_VALUE"""),36)</f>
        <v>36</v>
      </c>
      <c r="G10" s="51">
        <f t="shared" ca="1" si="0"/>
        <v>1</v>
      </c>
      <c r="H10" s="54">
        <f ca="1">IFERROR(__xludf.DUMMYFUNCTION("""COMPUTED_VALUE"""),36)</f>
        <v>36</v>
      </c>
      <c r="I10" s="51">
        <f t="shared" ca="1" si="1"/>
        <v>1</v>
      </c>
      <c r="J10" s="54">
        <f ca="1">IFERROR(__xludf.DUMMYFUNCTION("""COMPUTED_VALUE"""),36)</f>
        <v>36</v>
      </c>
      <c r="K10" s="51">
        <f t="shared" ca="1" si="2"/>
        <v>1</v>
      </c>
      <c r="L10" s="54">
        <f ca="1">IFERROR(__xludf.DUMMYFUNCTION("""COMPUTED_VALUE"""),31)</f>
        <v>31</v>
      </c>
      <c r="M10" s="51">
        <f t="shared" ca="1" si="3"/>
        <v>0.86111111111111116</v>
      </c>
      <c r="N10" s="54">
        <f ca="1">IFERROR(__xludf.DUMMYFUNCTION("""COMPUTED_VALUE"""),50)</f>
        <v>50</v>
      </c>
      <c r="O10" s="54">
        <f ca="1">IFERROR(__xludf.DUMMYFUNCTION("""COMPUTED_VALUE"""),2)</f>
        <v>2</v>
      </c>
      <c r="P10" s="51">
        <f t="shared" ca="1" si="4"/>
        <v>0.04</v>
      </c>
      <c r="Q10" s="54">
        <f ca="1">IFERROR(__xludf.DUMMYFUNCTION("""COMPUTED_VALUE"""),0)</f>
        <v>0</v>
      </c>
      <c r="R10" s="51">
        <f t="shared" ca="1" si="5"/>
        <v>0</v>
      </c>
      <c r="S10" s="53"/>
      <c r="T10" s="53"/>
      <c r="U10" s="51" t="str">
        <f t="shared" si="6"/>
        <v/>
      </c>
      <c r="V10" s="53"/>
      <c r="W10" s="51" t="str">
        <f t="shared" si="7"/>
        <v/>
      </c>
      <c r="X10" s="53"/>
      <c r="Y10" s="51" t="str">
        <f t="shared" si="8"/>
        <v/>
      </c>
      <c r="Z10" s="2"/>
      <c r="AA10" s="2"/>
      <c r="AB10" s="2"/>
      <c r="AC10" s="2"/>
      <c r="AD10" s="2"/>
      <c r="AE10" s="2"/>
    </row>
    <row r="11" spans="1:31" ht="12.75" x14ac:dyDescent="0.2">
      <c r="A11" s="53">
        <f ca="1">IFERROR(__xludf.DUMMYFUNCTION("""COMPUTED_VALUE"""),5)</f>
        <v>5</v>
      </c>
      <c r="B11" s="53" t="str">
        <f ca="1">IFERROR(__xludf.DUMMYFUNCTION("""COMPUTED_VALUE"""),"MN TAM THÔN HIỆP")</f>
        <v>MN TAM THÔN HIỆP</v>
      </c>
      <c r="C11" s="53" t="str">
        <f ca="1">IFERROR(__xludf.DUMMYFUNCTION("""COMPUTED_VALUE"""),"MN")</f>
        <v>MN</v>
      </c>
      <c r="D11" s="53" t="str">
        <f ca="1">IFERROR(__xludf.DUMMYFUNCTION("""COMPUTED_VALUE"""),"Cần Giờ")</f>
        <v>Cần Giờ</v>
      </c>
      <c r="E11" s="54">
        <f ca="1">IFERROR(__xludf.DUMMYFUNCTION("""COMPUTED_VALUE"""),31)</f>
        <v>31</v>
      </c>
      <c r="F11" s="54">
        <f ca="1">IFERROR(__xludf.DUMMYFUNCTION("""COMPUTED_VALUE"""),31)</f>
        <v>31</v>
      </c>
      <c r="G11" s="51">
        <f t="shared" ca="1" si="0"/>
        <v>1</v>
      </c>
      <c r="H11" s="54">
        <f ca="1">IFERROR(__xludf.DUMMYFUNCTION("""COMPUTED_VALUE"""),31)</f>
        <v>31</v>
      </c>
      <c r="I11" s="51">
        <f t="shared" ca="1" si="1"/>
        <v>1</v>
      </c>
      <c r="J11" s="54">
        <f ca="1">IFERROR(__xludf.DUMMYFUNCTION("""COMPUTED_VALUE"""),31)</f>
        <v>31</v>
      </c>
      <c r="K11" s="51">
        <f t="shared" ca="1" si="2"/>
        <v>1</v>
      </c>
      <c r="L11" s="54">
        <f ca="1">IFERROR(__xludf.DUMMYFUNCTION("""COMPUTED_VALUE"""),29)</f>
        <v>29</v>
      </c>
      <c r="M11" s="51">
        <f t="shared" ca="1" si="3"/>
        <v>0.93548387096774188</v>
      </c>
      <c r="N11" s="54">
        <f ca="1">IFERROR(__xludf.DUMMYFUNCTION("""COMPUTED_VALUE"""),101)</f>
        <v>101</v>
      </c>
      <c r="O11" s="54">
        <f ca="1">IFERROR(__xludf.DUMMYFUNCTION("""COMPUTED_VALUE"""),25)</f>
        <v>25</v>
      </c>
      <c r="P11" s="51">
        <f t="shared" ca="1" si="4"/>
        <v>0.24752475247524752</v>
      </c>
      <c r="Q11" s="54">
        <f ca="1">IFERROR(__xludf.DUMMYFUNCTION("""COMPUTED_VALUE"""),20)</f>
        <v>20</v>
      </c>
      <c r="R11" s="51">
        <f t="shared" ca="1" si="5"/>
        <v>0.19801980198019803</v>
      </c>
      <c r="S11" s="53"/>
      <c r="T11" s="53"/>
      <c r="U11" s="51" t="str">
        <f t="shared" si="6"/>
        <v/>
      </c>
      <c r="V11" s="53"/>
      <c r="W11" s="51" t="str">
        <f t="shared" si="7"/>
        <v/>
      </c>
      <c r="X11" s="53"/>
      <c r="Y11" s="51" t="str">
        <f t="shared" si="8"/>
        <v/>
      </c>
      <c r="Z11" s="2"/>
      <c r="AA11" s="2"/>
      <c r="AB11" s="2"/>
      <c r="AC11" s="2"/>
      <c r="AD11" s="2"/>
      <c r="AE11" s="2"/>
    </row>
    <row r="12" spans="1:31" ht="12.75" x14ac:dyDescent="0.2">
      <c r="A12" s="53">
        <f ca="1">IFERROR(__xludf.DUMMYFUNCTION("""COMPUTED_VALUE"""),6)</f>
        <v>6</v>
      </c>
      <c r="B12" s="53" t="str">
        <f ca="1">IFERROR(__xludf.DUMMYFUNCTION("""COMPUTED_VALUE"""),"Mầm non Lý Nhơn")</f>
        <v>Mầm non Lý Nhơn</v>
      </c>
      <c r="C12" s="53" t="str">
        <f ca="1">IFERROR(__xludf.DUMMYFUNCTION("""COMPUTED_VALUE"""),"MN")</f>
        <v>MN</v>
      </c>
      <c r="D12" s="53" t="str">
        <f ca="1">IFERROR(__xludf.DUMMYFUNCTION("""COMPUTED_VALUE"""),"Cần Giờ")</f>
        <v>Cần Giờ</v>
      </c>
      <c r="E12" s="54">
        <f ca="1">IFERROR(__xludf.DUMMYFUNCTION("""COMPUTED_VALUE"""),30)</f>
        <v>30</v>
      </c>
      <c r="F12" s="54">
        <f ca="1">IFERROR(__xludf.DUMMYFUNCTION("""COMPUTED_VALUE"""),30)</f>
        <v>30</v>
      </c>
      <c r="G12" s="51">
        <f t="shared" ca="1" si="0"/>
        <v>1</v>
      </c>
      <c r="H12" s="54">
        <f ca="1">IFERROR(__xludf.DUMMYFUNCTION("""COMPUTED_VALUE"""),30)</f>
        <v>30</v>
      </c>
      <c r="I12" s="51">
        <f t="shared" ca="1" si="1"/>
        <v>1</v>
      </c>
      <c r="J12" s="54">
        <f ca="1">IFERROR(__xludf.DUMMYFUNCTION("""COMPUTED_VALUE"""),30)</f>
        <v>30</v>
      </c>
      <c r="K12" s="51">
        <f t="shared" ca="1" si="2"/>
        <v>1</v>
      </c>
      <c r="L12" s="54">
        <f ca="1">IFERROR(__xludf.DUMMYFUNCTION("""COMPUTED_VALUE"""),28)</f>
        <v>28</v>
      </c>
      <c r="M12" s="51">
        <f t="shared" ca="1" si="3"/>
        <v>0.93333333333333335</v>
      </c>
      <c r="N12" s="54">
        <f ca="1">IFERROR(__xludf.DUMMYFUNCTION("""COMPUTED_VALUE"""),77)</f>
        <v>77</v>
      </c>
      <c r="O12" s="54">
        <f ca="1">IFERROR(__xludf.DUMMYFUNCTION("""COMPUTED_VALUE"""),21)</f>
        <v>21</v>
      </c>
      <c r="P12" s="51">
        <f t="shared" ca="1" si="4"/>
        <v>0.27272727272727271</v>
      </c>
      <c r="Q12" s="54">
        <f ca="1">IFERROR(__xludf.DUMMYFUNCTION("""COMPUTED_VALUE"""),7)</f>
        <v>7</v>
      </c>
      <c r="R12" s="51">
        <f t="shared" ca="1" si="5"/>
        <v>9.0909090909090912E-2</v>
      </c>
      <c r="S12" s="53"/>
      <c r="T12" s="53"/>
      <c r="U12" s="51" t="str">
        <f t="shared" si="6"/>
        <v/>
      </c>
      <c r="V12" s="53"/>
      <c r="W12" s="51" t="str">
        <f t="shared" si="7"/>
        <v/>
      </c>
      <c r="X12" s="53"/>
      <c r="Y12" s="51" t="str">
        <f t="shared" si="8"/>
        <v/>
      </c>
      <c r="Z12" s="2"/>
      <c r="AA12" s="2"/>
      <c r="AB12" s="2"/>
      <c r="AC12" s="2"/>
      <c r="AD12" s="2"/>
      <c r="AE12" s="2"/>
    </row>
    <row r="13" spans="1:31" ht="12.75" x14ac:dyDescent="0.2">
      <c r="A13" s="53">
        <f ca="1">IFERROR(__xludf.DUMMYFUNCTION("""COMPUTED_VALUE"""),7)</f>
        <v>7</v>
      </c>
      <c r="B13" s="53" t="str">
        <f ca="1">IFERROR(__xludf.DUMMYFUNCTION("""COMPUTED_VALUE"""),"Mầm non Long Hòa")</f>
        <v>Mầm non Long Hòa</v>
      </c>
      <c r="C13" s="53" t="str">
        <f ca="1">IFERROR(__xludf.DUMMYFUNCTION("""COMPUTED_VALUE"""),"MN")</f>
        <v>MN</v>
      </c>
      <c r="D13" s="53" t="str">
        <f ca="1">IFERROR(__xludf.DUMMYFUNCTION("""COMPUTED_VALUE"""),"Cần Giờ")</f>
        <v>Cần Giờ</v>
      </c>
      <c r="E13" s="54">
        <f ca="1">IFERROR(__xludf.DUMMYFUNCTION("""COMPUTED_VALUE"""),38)</f>
        <v>38</v>
      </c>
      <c r="F13" s="54">
        <f ca="1">IFERROR(__xludf.DUMMYFUNCTION("""COMPUTED_VALUE"""),38)</f>
        <v>38</v>
      </c>
      <c r="G13" s="51">
        <f t="shared" ca="1" si="0"/>
        <v>1</v>
      </c>
      <c r="H13" s="54">
        <f ca="1">IFERROR(__xludf.DUMMYFUNCTION("""COMPUTED_VALUE"""),38)</f>
        <v>38</v>
      </c>
      <c r="I13" s="51">
        <f t="shared" ca="1" si="1"/>
        <v>1</v>
      </c>
      <c r="J13" s="54">
        <f ca="1">IFERROR(__xludf.DUMMYFUNCTION("""COMPUTED_VALUE"""),38)</f>
        <v>38</v>
      </c>
      <c r="K13" s="51">
        <f t="shared" ca="1" si="2"/>
        <v>1</v>
      </c>
      <c r="L13" s="54">
        <f ca="1">IFERROR(__xludf.DUMMYFUNCTION("""COMPUTED_VALUE"""),34)</f>
        <v>34</v>
      </c>
      <c r="M13" s="51">
        <f t="shared" ca="1" si="3"/>
        <v>0.89473684210526316</v>
      </c>
      <c r="N13" s="54">
        <f ca="1">IFERROR(__xludf.DUMMYFUNCTION("""COMPUTED_VALUE"""),74)</f>
        <v>74</v>
      </c>
      <c r="O13" s="54">
        <f ca="1">IFERROR(__xludf.DUMMYFUNCTION("""COMPUTED_VALUE"""),6)</f>
        <v>6</v>
      </c>
      <c r="P13" s="51">
        <f t="shared" ca="1" si="4"/>
        <v>8.1081081081081086E-2</v>
      </c>
      <c r="Q13" s="54">
        <f ca="1">IFERROR(__xludf.DUMMYFUNCTION("""COMPUTED_VALUE"""),1)</f>
        <v>1</v>
      </c>
      <c r="R13" s="51">
        <f t="shared" ca="1" si="5"/>
        <v>1.3513513513513514E-2</v>
      </c>
      <c r="S13" s="53"/>
      <c r="T13" s="53"/>
      <c r="U13" s="51" t="str">
        <f t="shared" si="6"/>
        <v/>
      </c>
      <c r="V13" s="53"/>
      <c r="W13" s="51" t="str">
        <f t="shared" si="7"/>
        <v/>
      </c>
      <c r="X13" s="53"/>
      <c r="Y13" s="51" t="str">
        <f t="shared" si="8"/>
        <v/>
      </c>
      <c r="Z13" s="2"/>
      <c r="AA13" s="2"/>
      <c r="AB13" s="2"/>
      <c r="AC13" s="2"/>
      <c r="AD13" s="2"/>
      <c r="AE13" s="2"/>
    </row>
    <row r="14" spans="1:31" ht="12.75" x14ac:dyDescent="0.2">
      <c r="A14" s="53">
        <f ca="1">IFERROR(__xludf.DUMMYFUNCTION("""COMPUTED_VALUE"""),8)</f>
        <v>8</v>
      </c>
      <c r="B14" s="53" t="str">
        <f ca="1">IFERROR(__xludf.DUMMYFUNCTION("""COMPUTED_VALUE"""),"MẦM NON ĐỒNG TRANH")</f>
        <v>MẦM NON ĐỒNG TRANH</v>
      </c>
      <c r="C14" s="53" t="str">
        <f ca="1">IFERROR(__xludf.DUMMYFUNCTION("""COMPUTED_VALUE"""),"MN")</f>
        <v>MN</v>
      </c>
      <c r="D14" s="53" t="str">
        <f ca="1">IFERROR(__xludf.DUMMYFUNCTION("""COMPUTED_VALUE"""),"Cần Giờ")</f>
        <v>Cần Giờ</v>
      </c>
      <c r="E14" s="54">
        <f ca="1">IFERROR(__xludf.DUMMYFUNCTION("""COMPUTED_VALUE"""),25)</f>
        <v>25</v>
      </c>
      <c r="F14" s="54">
        <f ca="1">IFERROR(__xludf.DUMMYFUNCTION("""COMPUTED_VALUE"""),25)</f>
        <v>25</v>
      </c>
      <c r="G14" s="51">
        <f t="shared" ca="1" si="0"/>
        <v>1</v>
      </c>
      <c r="H14" s="54">
        <f ca="1">IFERROR(__xludf.DUMMYFUNCTION("""COMPUTED_VALUE"""),25)</f>
        <v>25</v>
      </c>
      <c r="I14" s="51">
        <f t="shared" ca="1" si="1"/>
        <v>1</v>
      </c>
      <c r="J14" s="54">
        <f ca="1">IFERROR(__xludf.DUMMYFUNCTION("""COMPUTED_VALUE"""),25)</f>
        <v>25</v>
      </c>
      <c r="K14" s="51">
        <f t="shared" ca="1" si="2"/>
        <v>1</v>
      </c>
      <c r="L14" s="54">
        <f ca="1">IFERROR(__xludf.DUMMYFUNCTION("""COMPUTED_VALUE"""),25)</f>
        <v>25</v>
      </c>
      <c r="M14" s="51">
        <f t="shared" ca="1" si="3"/>
        <v>1</v>
      </c>
      <c r="N14" s="54">
        <f ca="1">IFERROR(__xludf.DUMMYFUNCTION("""COMPUTED_VALUE"""),63)</f>
        <v>63</v>
      </c>
      <c r="O14" s="54">
        <f ca="1">IFERROR(__xludf.DUMMYFUNCTION("""COMPUTED_VALUE"""),8)</f>
        <v>8</v>
      </c>
      <c r="P14" s="51">
        <f t="shared" ca="1" si="4"/>
        <v>0.12698412698412698</v>
      </c>
      <c r="Q14" s="54">
        <f ca="1">IFERROR(__xludf.DUMMYFUNCTION("""COMPUTED_VALUE"""),3)</f>
        <v>3</v>
      </c>
      <c r="R14" s="51">
        <f t="shared" ca="1" si="5"/>
        <v>4.7619047619047616E-2</v>
      </c>
      <c r="S14" s="53"/>
      <c r="T14" s="53"/>
      <c r="U14" s="51" t="str">
        <f t="shared" si="6"/>
        <v/>
      </c>
      <c r="V14" s="53"/>
      <c r="W14" s="51" t="str">
        <f t="shared" si="7"/>
        <v/>
      </c>
      <c r="X14" s="53"/>
      <c r="Y14" s="51" t="str">
        <f t="shared" si="8"/>
        <v/>
      </c>
      <c r="Z14" s="2"/>
      <c r="AA14" s="2"/>
      <c r="AB14" s="2"/>
      <c r="AC14" s="2"/>
      <c r="AD14" s="2"/>
      <c r="AE14" s="2"/>
    </row>
    <row r="15" spans="1:31" ht="12.75" x14ac:dyDescent="0.2">
      <c r="A15" s="53">
        <f ca="1">IFERROR(__xludf.DUMMYFUNCTION("""COMPUTED_VALUE"""),9)</f>
        <v>9</v>
      </c>
      <c r="B15" s="53" t="str">
        <f ca="1">IFERROR(__xludf.DUMMYFUNCTION("""COMPUTED_VALUE"""),"Trường Mầm non Cần Thạnh")</f>
        <v>Trường Mầm non Cần Thạnh</v>
      </c>
      <c r="C15" s="53" t="str">
        <f ca="1">IFERROR(__xludf.DUMMYFUNCTION("""COMPUTED_VALUE"""),"MN")</f>
        <v>MN</v>
      </c>
      <c r="D15" s="53" t="str">
        <f ca="1">IFERROR(__xludf.DUMMYFUNCTION("""COMPUTED_VALUE"""),"Cần Giờ")</f>
        <v>Cần Giờ</v>
      </c>
      <c r="E15" s="54">
        <f ca="1">IFERROR(__xludf.DUMMYFUNCTION("""COMPUTED_VALUE"""),43)</f>
        <v>43</v>
      </c>
      <c r="F15" s="54">
        <f ca="1">IFERROR(__xludf.DUMMYFUNCTION("""COMPUTED_VALUE"""),43)</f>
        <v>43</v>
      </c>
      <c r="G15" s="51">
        <f t="shared" ca="1" si="0"/>
        <v>1</v>
      </c>
      <c r="H15" s="54">
        <f ca="1">IFERROR(__xludf.DUMMYFUNCTION("""COMPUTED_VALUE"""),43)</f>
        <v>43</v>
      </c>
      <c r="I15" s="51">
        <f t="shared" ca="1" si="1"/>
        <v>1</v>
      </c>
      <c r="J15" s="54">
        <f ca="1">IFERROR(__xludf.DUMMYFUNCTION("""COMPUTED_VALUE"""),43)</f>
        <v>43</v>
      </c>
      <c r="K15" s="51">
        <f t="shared" ca="1" si="2"/>
        <v>1</v>
      </c>
      <c r="L15" s="54">
        <f ca="1">IFERROR(__xludf.DUMMYFUNCTION("""COMPUTED_VALUE"""),37)</f>
        <v>37</v>
      </c>
      <c r="M15" s="51">
        <f t="shared" ca="1" si="3"/>
        <v>0.86046511627906974</v>
      </c>
      <c r="N15" s="54">
        <f ca="1">IFERROR(__xludf.DUMMYFUNCTION("""COMPUTED_VALUE"""),55)</f>
        <v>55</v>
      </c>
      <c r="O15" s="53"/>
      <c r="P15" s="51">
        <f t="shared" ca="1" si="4"/>
        <v>0</v>
      </c>
      <c r="Q15" s="53"/>
      <c r="R15" s="51">
        <f t="shared" ca="1" si="5"/>
        <v>0</v>
      </c>
      <c r="S15" s="53"/>
      <c r="T15" s="53"/>
      <c r="U15" s="51" t="str">
        <f t="shared" si="6"/>
        <v/>
      </c>
      <c r="V15" s="53"/>
      <c r="W15" s="51" t="str">
        <f t="shared" si="7"/>
        <v/>
      </c>
      <c r="X15" s="53"/>
      <c r="Y15" s="51" t="str">
        <f t="shared" si="8"/>
        <v/>
      </c>
      <c r="Z15" s="2"/>
      <c r="AA15" s="2"/>
      <c r="AB15" s="2"/>
      <c r="AC15" s="2"/>
      <c r="AD15" s="2"/>
      <c r="AE15" s="2"/>
    </row>
    <row r="16" spans="1:31" ht="12.75" x14ac:dyDescent="0.2">
      <c r="A16" s="53">
        <f ca="1">IFERROR(__xludf.DUMMYFUNCTION("""COMPUTED_VALUE"""),10)</f>
        <v>10</v>
      </c>
      <c r="B16" s="53" t="str">
        <f ca="1">IFERROR(__xludf.DUMMYFUNCTION("""COMPUTED_VALUE"""),"Trường Mầm non Cần Thạnh 2")</f>
        <v>Trường Mầm non Cần Thạnh 2</v>
      </c>
      <c r="C16" s="53" t="str">
        <f ca="1">IFERROR(__xludf.DUMMYFUNCTION("""COMPUTED_VALUE"""),"MN")</f>
        <v>MN</v>
      </c>
      <c r="D16" s="53" t="str">
        <f ca="1">IFERROR(__xludf.DUMMYFUNCTION("""COMPUTED_VALUE"""),"Cần Giờ")</f>
        <v>Cần Giờ</v>
      </c>
      <c r="E16" s="54">
        <f ca="1">IFERROR(__xludf.DUMMYFUNCTION("""COMPUTED_VALUE"""),24)</f>
        <v>24</v>
      </c>
      <c r="F16" s="54">
        <f ca="1">IFERROR(__xludf.DUMMYFUNCTION("""COMPUTED_VALUE"""),24)</f>
        <v>24</v>
      </c>
      <c r="G16" s="51">
        <f t="shared" ca="1" si="0"/>
        <v>1</v>
      </c>
      <c r="H16" s="54">
        <f ca="1">IFERROR(__xludf.DUMMYFUNCTION("""COMPUTED_VALUE"""),24)</f>
        <v>24</v>
      </c>
      <c r="I16" s="51">
        <f t="shared" ca="1" si="1"/>
        <v>1</v>
      </c>
      <c r="J16" s="54">
        <f ca="1">IFERROR(__xludf.DUMMYFUNCTION("""COMPUTED_VALUE"""),24)</f>
        <v>24</v>
      </c>
      <c r="K16" s="51">
        <f t="shared" ca="1" si="2"/>
        <v>1</v>
      </c>
      <c r="L16" s="54">
        <f ca="1">IFERROR(__xludf.DUMMYFUNCTION("""COMPUTED_VALUE"""),23)</f>
        <v>23</v>
      </c>
      <c r="M16" s="51">
        <f t="shared" ca="1" si="3"/>
        <v>0.95833333333333337</v>
      </c>
      <c r="N16" s="54">
        <f ca="1">IFERROR(__xludf.DUMMYFUNCTION("""COMPUTED_VALUE"""),39)</f>
        <v>39</v>
      </c>
      <c r="O16" s="54">
        <f ca="1">IFERROR(__xludf.DUMMYFUNCTION("""COMPUTED_VALUE"""),15)</f>
        <v>15</v>
      </c>
      <c r="P16" s="51">
        <f t="shared" ca="1" si="4"/>
        <v>0.38461538461538464</v>
      </c>
      <c r="Q16" s="54">
        <f ca="1">IFERROR(__xludf.DUMMYFUNCTION("""COMPUTED_VALUE"""),9)</f>
        <v>9</v>
      </c>
      <c r="R16" s="51">
        <f t="shared" ca="1" si="5"/>
        <v>0.23076923076923078</v>
      </c>
      <c r="S16" s="53"/>
      <c r="T16" s="53"/>
      <c r="U16" s="51" t="str">
        <f t="shared" si="6"/>
        <v/>
      </c>
      <c r="V16" s="53"/>
      <c r="W16" s="51" t="str">
        <f t="shared" si="7"/>
        <v/>
      </c>
      <c r="X16" s="53"/>
      <c r="Y16" s="51" t="str">
        <f t="shared" si="8"/>
        <v/>
      </c>
      <c r="Z16" s="2"/>
      <c r="AA16" s="2"/>
      <c r="AB16" s="2"/>
      <c r="AC16" s="2"/>
      <c r="AD16" s="2"/>
      <c r="AE16" s="2"/>
    </row>
    <row r="17" spans="1:31" ht="12.75" x14ac:dyDescent="0.2">
      <c r="A17" s="53">
        <f ca="1">IFERROR(__xludf.DUMMYFUNCTION("""COMPUTED_VALUE"""),11)</f>
        <v>11</v>
      </c>
      <c r="B17" s="53" t="str">
        <f ca="1">IFERROR(__xludf.DUMMYFUNCTION("""COMPUTED_VALUE"""),"trường MN Thạnh An")</f>
        <v>trường MN Thạnh An</v>
      </c>
      <c r="C17" s="53" t="str">
        <f ca="1">IFERROR(__xludf.DUMMYFUNCTION("""COMPUTED_VALUE"""),"MN")</f>
        <v>MN</v>
      </c>
      <c r="D17" s="53" t="str">
        <f ca="1">IFERROR(__xludf.DUMMYFUNCTION("""COMPUTED_VALUE"""),"Cần Giờ")</f>
        <v>Cần Giờ</v>
      </c>
      <c r="E17" s="54">
        <f ca="1">IFERROR(__xludf.DUMMYFUNCTION("""COMPUTED_VALUE"""),24)</f>
        <v>24</v>
      </c>
      <c r="F17" s="54">
        <f ca="1">IFERROR(__xludf.DUMMYFUNCTION("""COMPUTED_VALUE"""),24)</f>
        <v>24</v>
      </c>
      <c r="G17" s="51">
        <f t="shared" ca="1" si="0"/>
        <v>1</v>
      </c>
      <c r="H17" s="54">
        <f ca="1">IFERROR(__xludf.DUMMYFUNCTION("""COMPUTED_VALUE"""),24)</f>
        <v>24</v>
      </c>
      <c r="I17" s="51">
        <f t="shared" ca="1" si="1"/>
        <v>1</v>
      </c>
      <c r="J17" s="54">
        <f ca="1">IFERROR(__xludf.DUMMYFUNCTION("""COMPUTED_VALUE"""),24)</f>
        <v>24</v>
      </c>
      <c r="K17" s="51">
        <f t="shared" ca="1" si="2"/>
        <v>1</v>
      </c>
      <c r="L17" s="54">
        <f ca="1">IFERROR(__xludf.DUMMYFUNCTION("""COMPUTED_VALUE"""),21)</f>
        <v>21</v>
      </c>
      <c r="M17" s="51">
        <f t="shared" ca="1" si="3"/>
        <v>0.875</v>
      </c>
      <c r="N17" s="54">
        <f ca="1">IFERROR(__xludf.DUMMYFUNCTION("""COMPUTED_VALUE"""),44)</f>
        <v>44</v>
      </c>
      <c r="O17" s="54">
        <f ca="1">IFERROR(__xludf.DUMMYFUNCTION("""COMPUTED_VALUE"""),0)</f>
        <v>0</v>
      </c>
      <c r="P17" s="51">
        <f t="shared" ca="1" si="4"/>
        <v>0</v>
      </c>
      <c r="Q17" s="54">
        <f ca="1">IFERROR(__xludf.DUMMYFUNCTION("""COMPUTED_VALUE"""),0)</f>
        <v>0</v>
      </c>
      <c r="R17" s="51">
        <f t="shared" ca="1" si="5"/>
        <v>0</v>
      </c>
      <c r="S17" s="53"/>
      <c r="T17" s="53"/>
      <c r="U17" s="51" t="str">
        <f t="shared" si="6"/>
        <v/>
      </c>
      <c r="V17" s="53"/>
      <c r="W17" s="51" t="str">
        <f t="shared" si="7"/>
        <v/>
      </c>
      <c r="X17" s="53"/>
      <c r="Y17" s="51" t="str">
        <f t="shared" si="8"/>
        <v/>
      </c>
      <c r="Z17" s="2"/>
      <c r="AA17" s="2"/>
      <c r="AB17" s="2"/>
      <c r="AC17" s="2"/>
      <c r="AD17" s="2"/>
      <c r="AE17" s="2"/>
    </row>
    <row r="18" spans="1:31" ht="12.75" x14ac:dyDescent="0.2">
      <c r="A18" s="53"/>
      <c r="B18" s="53"/>
      <c r="C18" s="53"/>
      <c r="D18" s="53"/>
      <c r="E18" s="53"/>
      <c r="F18" s="53"/>
      <c r="G18" s="51" t="str">
        <f t="shared" si="0"/>
        <v/>
      </c>
      <c r="H18" s="53"/>
      <c r="I18" s="51" t="str">
        <f t="shared" si="1"/>
        <v/>
      </c>
      <c r="J18" s="53"/>
      <c r="K18" s="51" t="str">
        <f t="shared" si="2"/>
        <v/>
      </c>
      <c r="L18" s="53"/>
      <c r="M18" s="51" t="str">
        <f t="shared" si="3"/>
        <v/>
      </c>
      <c r="N18" s="53"/>
      <c r="O18" s="53"/>
      <c r="P18" s="51" t="str">
        <f t="shared" si="4"/>
        <v/>
      </c>
      <c r="Q18" s="53"/>
      <c r="R18" s="51" t="str">
        <f t="shared" si="5"/>
        <v/>
      </c>
      <c r="S18" s="53"/>
      <c r="T18" s="53"/>
      <c r="U18" s="51" t="str">
        <f t="shared" si="6"/>
        <v/>
      </c>
      <c r="V18" s="53"/>
      <c r="W18" s="51" t="str">
        <f t="shared" si="7"/>
        <v/>
      </c>
      <c r="X18" s="53"/>
      <c r="Y18" s="51" t="str">
        <f t="shared" si="8"/>
        <v/>
      </c>
      <c r="Z18" s="2"/>
      <c r="AA18" s="2"/>
      <c r="AB18" s="2"/>
      <c r="AC18" s="2"/>
      <c r="AD18" s="2"/>
      <c r="AE18" s="2"/>
    </row>
    <row r="19" spans="1:31" ht="12.75" x14ac:dyDescent="0.2">
      <c r="A19" s="53">
        <f ca="1">IFERROR(__xludf.DUMMYFUNCTION("""COMPUTED_VALUE"""),1)</f>
        <v>1</v>
      </c>
      <c r="B19" s="53" t="str">
        <f ca="1">IFERROR(__xludf.DUMMYFUNCTION("""COMPUTED_VALUE"""),"Trường Tiểu học Bình Khánh")</f>
        <v>Trường Tiểu học Bình Khánh</v>
      </c>
      <c r="C19" s="53" t="str">
        <f ca="1">IFERROR(__xludf.DUMMYFUNCTION("""COMPUTED_VALUE"""),"TH")</f>
        <v>TH</v>
      </c>
      <c r="D19" s="53" t="str">
        <f ca="1">IFERROR(__xludf.DUMMYFUNCTION("""COMPUTED_VALUE"""),"Cần Giờ")</f>
        <v>Cần Giờ</v>
      </c>
      <c r="E19" s="54">
        <f ca="1">IFERROR(__xludf.DUMMYFUNCTION("""COMPUTED_VALUE"""),61)</f>
        <v>61</v>
      </c>
      <c r="F19" s="54">
        <f ca="1">IFERROR(__xludf.DUMMYFUNCTION("""COMPUTED_VALUE"""),61)</f>
        <v>61</v>
      </c>
      <c r="G19" s="51">
        <f t="shared" ca="1" si="0"/>
        <v>1</v>
      </c>
      <c r="H19" s="54">
        <f ca="1">IFERROR(__xludf.DUMMYFUNCTION("""COMPUTED_VALUE"""),61)</f>
        <v>61</v>
      </c>
      <c r="I19" s="51">
        <f t="shared" ca="1" si="1"/>
        <v>1</v>
      </c>
      <c r="J19" s="54">
        <f ca="1">IFERROR(__xludf.DUMMYFUNCTION("""COMPUTED_VALUE"""),61)</f>
        <v>61</v>
      </c>
      <c r="K19" s="51">
        <f t="shared" ca="1" si="2"/>
        <v>1</v>
      </c>
      <c r="L19" s="54">
        <f ca="1">IFERROR(__xludf.DUMMYFUNCTION("""COMPUTED_VALUE"""),61)</f>
        <v>61</v>
      </c>
      <c r="M19" s="51">
        <f t="shared" ca="1" si="3"/>
        <v>1</v>
      </c>
      <c r="N19" s="54">
        <f ca="1">IFERROR(__xludf.DUMMYFUNCTION("""COMPUTED_VALUE"""),957)</f>
        <v>957</v>
      </c>
      <c r="O19" s="54">
        <f ca="1">IFERROR(__xludf.DUMMYFUNCTION("""COMPUTED_VALUE"""),822)</f>
        <v>822</v>
      </c>
      <c r="P19" s="51">
        <f t="shared" ca="1" si="4"/>
        <v>0.85893416927899691</v>
      </c>
      <c r="Q19" s="54">
        <f ca="1">IFERROR(__xludf.DUMMYFUNCTION("""COMPUTED_VALUE"""),530)</f>
        <v>530</v>
      </c>
      <c r="R19" s="51">
        <f t="shared" ca="1" si="5"/>
        <v>0.5538140020898642</v>
      </c>
      <c r="S19" s="53"/>
      <c r="T19" s="53"/>
      <c r="U19" s="51" t="str">
        <f t="shared" si="6"/>
        <v/>
      </c>
      <c r="V19" s="53"/>
      <c r="W19" s="51" t="str">
        <f t="shared" si="7"/>
        <v/>
      </c>
      <c r="X19" s="53"/>
      <c r="Y19" s="51" t="str">
        <f t="shared" si="8"/>
        <v/>
      </c>
      <c r="Z19" s="2"/>
      <c r="AA19" s="2"/>
      <c r="AB19" s="2"/>
      <c r="AC19" s="2"/>
      <c r="AD19" s="2"/>
      <c r="AE19" s="2"/>
    </row>
    <row r="20" spans="1:31" ht="12.75" x14ac:dyDescent="0.2">
      <c r="A20" s="53">
        <f ca="1">IFERROR(__xludf.DUMMYFUNCTION("""COMPUTED_VALUE"""),2)</f>
        <v>2</v>
      </c>
      <c r="B20" s="53" t="str">
        <f ca="1">IFERROR(__xludf.DUMMYFUNCTION("""COMPUTED_VALUE"""),"TIỂU HỌC BÌNH MỸ")</f>
        <v>TIỂU HỌC BÌNH MỸ</v>
      </c>
      <c r="C20" s="53" t="str">
        <f ca="1">IFERROR(__xludf.DUMMYFUNCTION("""COMPUTED_VALUE"""),"TH")</f>
        <v>TH</v>
      </c>
      <c r="D20" s="53" t="str">
        <f ca="1">IFERROR(__xludf.DUMMYFUNCTION("""COMPUTED_VALUE"""),"Cần Giờ")</f>
        <v>Cần Giờ</v>
      </c>
      <c r="E20" s="54">
        <f ca="1">IFERROR(__xludf.DUMMYFUNCTION("""COMPUTED_VALUE"""),23)</f>
        <v>23</v>
      </c>
      <c r="F20" s="54">
        <f ca="1">IFERROR(__xludf.DUMMYFUNCTION("""COMPUTED_VALUE"""),23)</f>
        <v>23</v>
      </c>
      <c r="G20" s="51">
        <f t="shared" ca="1" si="0"/>
        <v>1</v>
      </c>
      <c r="H20" s="54">
        <f ca="1">IFERROR(__xludf.DUMMYFUNCTION("""COMPUTED_VALUE"""),23)</f>
        <v>23</v>
      </c>
      <c r="I20" s="51">
        <f t="shared" ca="1" si="1"/>
        <v>1</v>
      </c>
      <c r="J20" s="54">
        <f ca="1">IFERROR(__xludf.DUMMYFUNCTION("""COMPUTED_VALUE"""),23)</f>
        <v>23</v>
      </c>
      <c r="K20" s="51">
        <f t="shared" ca="1" si="2"/>
        <v>1</v>
      </c>
      <c r="L20" s="54">
        <f ca="1">IFERROR(__xludf.DUMMYFUNCTION("""COMPUTED_VALUE"""),21)</f>
        <v>21</v>
      </c>
      <c r="M20" s="51">
        <f t="shared" ca="1" si="3"/>
        <v>0.91304347826086951</v>
      </c>
      <c r="N20" s="54">
        <f ca="1">IFERROR(__xludf.DUMMYFUNCTION("""COMPUTED_VALUE"""),236)</f>
        <v>236</v>
      </c>
      <c r="O20" s="54">
        <f ca="1">IFERROR(__xludf.DUMMYFUNCTION("""COMPUTED_VALUE"""),192)</f>
        <v>192</v>
      </c>
      <c r="P20" s="51">
        <f t="shared" ca="1" si="4"/>
        <v>0.81355932203389836</v>
      </c>
      <c r="Q20" s="54">
        <f ca="1">IFERROR(__xludf.DUMMYFUNCTION("""COMPUTED_VALUE"""),179)</f>
        <v>179</v>
      </c>
      <c r="R20" s="51">
        <f t="shared" ca="1" si="5"/>
        <v>0.75847457627118642</v>
      </c>
      <c r="S20" s="53"/>
      <c r="T20" s="53"/>
      <c r="U20" s="51" t="str">
        <f t="shared" si="6"/>
        <v/>
      </c>
      <c r="V20" s="53"/>
      <c r="W20" s="51" t="str">
        <f t="shared" si="7"/>
        <v/>
      </c>
      <c r="X20" s="53"/>
      <c r="Y20" s="51" t="str">
        <f t="shared" si="8"/>
        <v/>
      </c>
      <c r="Z20" s="2"/>
      <c r="AA20" s="2"/>
      <c r="AB20" s="2"/>
      <c r="AC20" s="2"/>
      <c r="AD20" s="2"/>
      <c r="AE20" s="2"/>
    </row>
    <row r="21" spans="1:31" ht="12.75" x14ac:dyDescent="0.2">
      <c r="A21" s="53">
        <f ca="1">IFERROR(__xludf.DUMMYFUNCTION("""COMPUTED_VALUE"""),3)</f>
        <v>3</v>
      </c>
      <c r="B21" s="53" t="str">
        <f ca="1">IFERROR(__xludf.DUMMYFUNCTION("""COMPUTED_VALUE"""),"TRƯỜNG TIỀU HỌC BÌNH PHƯỚC")</f>
        <v>TRƯỜNG TIỀU HỌC BÌNH PHƯỚC</v>
      </c>
      <c r="C21" s="53" t="str">
        <f ca="1">IFERROR(__xludf.DUMMYFUNCTION("""COMPUTED_VALUE"""),"TH")</f>
        <v>TH</v>
      </c>
      <c r="D21" s="53" t="str">
        <f ca="1">IFERROR(__xludf.DUMMYFUNCTION("""COMPUTED_VALUE"""),"Cần Giờ")</f>
        <v>Cần Giờ</v>
      </c>
      <c r="E21" s="54">
        <f ca="1">IFERROR(__xludf.DUMMYFUNCTION("""COMPUTED_VALUE"""),33)</f>
        <v>33</v>
      </c>
      <c r="F21" s="54">
        <f ca="1">IFERROR(__xludf.DUMMYFUNCTION("""COMPUTED_VALUE"""),33)</f>
        <v>33</v>
      </c>
      <c r="G21" s="51">
        <f t="shared" ca="1" si="0"/>
        <v>1</v>
      </c>
      <c r="H21" s="54">
        <f ca="1">IFERROR(__xludf.DUMMYFUNCTION("""COMPUTED_VALUE"""),33)</f>
        <v>33</v>
      </c>
      <c r="I21" s="51">
        <f t="shared" ca="1" si="1"/>
        <v>1</v>
      </c>
      <c r="J21" s="54">
        <f ca="1">IFERROR(__xludf.DUMMYFUNCTION("""COMPUTED_VALUE"""),33)</f>
        <v>33</v>
      </c>
      <c r="K21" s="51">
        <f t="shared" ca="1" si="2"/>
        <v>1</v>
      </c>
      <c r="L21" s="54">
        <f ca="1">IFERROR(__xludf.DUMMYFUNCTION("""COMPUTED_VALUE"""),29)</f>
        <v>29</v>
      </c>
      <c r="M21" s="51">
        <f t="shared" ca="1" si="3"/>
        <v>0.87878787878787878</v>
      </c>
      <c r="N21" s="54">
        <f ca="1">IFERROR(__xludf.DUMMYFUNCTION("""COMPUTED_VALUE"""),415)</f>
        <v>415</v>
      </c>
      <c r="O21" s="54">
        <f ca="1">IFERROR(__xludf.DUMMYFUNCTION("""COMPUTED_VALUE"""),336)</f>
        <v>336</v>
      </c>
      <c r="P21" s="51">
        <f t="shared" ca="1" si="4"/>
        <v>0.80963855421686748</v>
      </c>
      <c r="Q21" s="54">
        <f ca="1">IFERROR(__xludf.DUMMYFUNCTION("""COMPUTED_VALUE"""),242)</f>
        <v>242</v>
      </c>
      <c r="R21" s="51">
        <f t="shared" ca="1" si="5"/>
        <v>0.58313253012048194</v>
      </c>
      <c r="S21" s="53"/>
      <c r="T21" s="53"/>
      <c r="U21" s="51" t="str">
        <f t="shared" si="6"/>
        <v/>
      </c>
      <c r="V21" s="53"/>
      <c r="W21" s="51" t="str">
        <f t="shared" si="7"/>
        <v/>
      </c>
      <c r="X21" s="53"/>
      <c r="Y21" s="51" t="str">
        <f t="shared" si="8"/>
        <v/>
      </c>
      <c r="Z21" s="2"/>
      <c r="AA21" s="2"/>
      <c r="AB21" s="2"/>
      <c r="AC21" s="2"/>
      <c r="AD21" s="2"/>
      <c r="AE21" s="2"/>
    </row>
    <row r="22" spans="1:31" ht="12.75" x14ac:dyDescent="0.2">
      <c r="A22" s="53">
        <f ca="1">IFERROR(__xludf.DUMMYFUNCTION("""COMPUTED_VALUE"""),4)</f>
        <v>4</v>
      </c>
      <c r="B22" s="53" t="str">
        <f ca="1">IFERROR(__xludf.DUMMYFUNCTION("""COMPUTED_VALUE"""),"Tiểu học Bình Thạnh")</f>
        <v>Tiểu học Bình Thạnh</v>
      </c>
      <c r="C22" s="53" t="str">
        <f ca="1">IFERROR(__xludf.DUMMYFUNCTION("""COMPUTED_VALUE"""),"TH")</f>
        <v>TH</v>
      </c>
      <c r="D22" s="53" t="str">
        <f ca="1">IFERROR(__xludf.DUMMYFUNCTION("""COMPUTED_VALUE"""),"Cần Giờ")</f>
        <v>Cần Giờ</v>
      </c>
      <c r="E22" s="54">
        <f ca="1">IFERROR(__xludf.DUMMYFUNCTION("""COMPUTED_VALUE"""),17)</f>
        <v>17</v>
      </c>
      <c r="F22" s="54">
        <f ca="1">IFERROR(__xludf.DUMMYFUNCTION("""COMPUTED_VALUE"""),17)</f>
        <v>17</v>
      </c>
      <c r="G22" s="51">
        <f t="shared" ca="1" si="0"/>
        <v>1</v>
      </c>
      <c r="H22" s="54">
        <f ca="1">IFERROR(__xludf.DUMMYFUNCTION("""COMPUTED_VALUE"""),17)</f>
        <v>17</v>
      </c>
      <c r="I22" s="51">
        <f t="shared" ca="1" si="1"/>
        <v>1</v>
      </c>
      <c r="J22" s="54">
        <f ca="1">IFERROR(__xludf.DUMMYFUNCTION("""COMPUTED_VALUE"""),17)</f>
        <v>17</v>
      </c>
      <c r="K22" s="51">
        <f t="shared" ca="1" si="2"/>
        <v>1</v>
      </c>
      <c r="L22" s="54">
        <f ca="1">IFERROR(__xludf.DUMMYFUNCTION("""COMPUTED_VALUE"""),12)</f>
        <v>12</v>
      </c>
      <c r="M22" s="51">
        <f t="shared" ca="1" si="3"/>
        <v>0.70588235294117652</v>
      </c>
      <c r="N22" s="54">
        <f ca="1">IFERROR(__xludf.DUMMYFUNCTION("""COMPUTED_VALUE"""),135)</f>
        <v>135</v>
      </c>
      <c r="O22" s="54">
        <f ca="1">IFERROR(__xludf.DUMMYFUNCTION("""COMPUTED_VALUE"""),120)</f>
        <v>120</v>
      </c>
      <c r="P22" s="51">
        <f t="shared" ca="1" si="4"/>
        <v>0.88888888888888884</v>
      </c>
      <c r="Q22" s="54">
        <f ca="1">IFERROR(__xludf.DUMMYFUNCTION("""COMPUTED_VALUE"""),86)</f>
        <v>86</v>
      </c>
      <c r="R22" s="51">
        <f t="shared" ca="1" si="5"/>
        <v>0.63703703703703707</v>
      </c>
      <c r="S22" s="53"/>
      <c r="T22" s="53"/>
      <c r="U22" s="51" t="str">
        <f t="shared" si="6"/>
        <v/>
      </c>
      <c r="V22" s="53"/>
      <c r="W22" s="51" t="str">
        <f t="shared" si="7"/>
        <v/>
      </c>
      <c r="X22" s="53"/>
      <c r="Y22" s="51" t="str">
        <f t="shared" si="8"/>
        <v/>
      </c>
      <c r="Z22" s="2"/>
      <c r="AA22" s="2"/>
      <c r="AB22" s="2"/>
      <c r="AC22" s="2"/>
      <c r="AD22" s="2"/>
      <c r="AE22" s="2"/>
    </row>
    <row r="23" spans="1:31" ht="12.75" x14ac:dyDescent="0.2">
      <c r="A23" s="53">
        <f ca="1">IFERROR(__xludf.DUMMYFUNCTION("""COMPUTED_VALUE"""),5)</f>
        <v>5</v>
      </c>
      <c r="B23" s="53" t="str">
        <f ca="1">IFERROR(__xludf.DUMMYFUNCTION("""COMPUTED_VALUE"""),"Tiểu học An Nghĩa")</f>
        <v>Tiểu học An Nghĩa</v>
      </c>
      <c r="C23" s="53" t="str">
        <f ca="1">IFERROR(__xludf.DUMMYFUNCTION("""COMPUTED_VALUE"""),"TH")</f>
        <v>TH</v>
      </c>
      <c r="D23" s="53" t="str">
        <f ca="1">IFERROR(__xludf.DUMMYFUNCTION("""COMPUTED_VALUE"""),"Cần Giờ")</f>
        <v>Cần Giờ</v>
      </c>
      <c r="E23" s="54">
        <f ca="1">IFERROR(__xludf.DUMMYFUNCTION("""COMPUTED_VALUE"""),26)</f>
        <v>26</v>
      </c>
      <c r="F23" s="54">
        <f ca="1">IFERROR(__xludf.DUMMYFUNCTION("""COMPUTED_VALUE"""),26)</f>
        <v>26</v>
      </c>
      <c r="G23" s="51">
        <f t="shared" ca="1" si="0"/>
        <v>1</v>
      </c>
      <c r="H23" s="54">
        <f ca="1">IFERROR(__xludf.DUMMYFUNCTION("""COMPUTED_VALUE"""),26)</f>
        <v>26</v>
      </c>
      <c r="I23" s="51">
        <f t="shared" ca="1" si="1"/>
        <v>1</v>
      </c>
      <c r="J23" s="54">
        <f ca="1">IFERROR(__xludf.DUMMYFUNCTION("""COMPUTED_VALUE"""),26)</f>
        <v>26</v>
      </c>
      <c r="K23" s="51">
        <f t="shared" ca="1" si="2"/>
        <v>1</v>
      </c>
      <c r="L23" s="54">
        <f ca="1">IFERROR(__xludf.DUMMYFUNCTION("""COMPUTED_VALUE"""),25)</f>
        <v>25</v>
      </c>
      <c r="M23" s="51">
        <f t="shared" ca="1" si="3"/>
        <v>0.96153846153846156</v>
      </c>
      <c r="N23" s="54">
        <f ca="1">IFERROR(__xludf.DUMMYFUNCTION("""COMPUTED_VALUE"""),323)</f>
        <v>323</v>
      </c>
      <c r="O23" s="54">
        <f ca="1">IFERROR(__xludf.DUMMYFUNCTION("""COMPUTED_VALUE"""),314)</f>
        <v>314</v>
      </c>
      <c r="P23" s="51">
        <f t="shared" ca="1" si="4"/>
        <v>0.97213622291021673</v>
      </c>
      <c r="Q23" s="54">
        <f ca="1">IFERROR(__xludf.DUMMYFUNCTION("""COMPUTED_VALUE"""),260)</f>
        <v>260</v>
      </c>
      <c r="R23" s="51">
        <f t="shared" ca="1" si="5"/>
        <v>0.804953560371517</v>
      </c>
      <c r="S23" s="53"/>
      <c r="T23" s="53"/>
      <c r="U23" s="51" t="str">
        <f t="shared" si="6"/>
        <v/>
      </c>
      <c r="V23" s="53"/>
      <c r="W23" s="51" t="str">
        <f t="shared" si="7"/>
        <v/>
      </c>
      <c r="X23" s="53"/>
      <c r="Y23" s="51" t="str">
        <f t="shared" si="8"/>
        <v/>
      </c>
      <c r="Z23" s="2"/>
      <c r="AA23" s="2"/>
      <c r="AB23" s="2"/>
      <c r="AC23" s="2"/>
      <c r="AD23" s="2"/>
      <c r="AE23" s="2"/>
    </row>
    <row r="24" spans="1:31" ht="12.75" x14ac:dyDescent="0.2">
      <c r="A24" s="53">
        <f ca="1">IFERROR(__xludf.DUMMYFUNCTION("""COMPUTED_VALUE"""),6)</f>
        <v>6</v>
      </c>
      <c r="B24" s="53" t="str">
        <f ca="1">IFERROR(__xludf.DUMMYFUNCTION("""COMPUTED_VALUE"""),"TH An Thới Đông")</f>
        <v>TH An Thới Đông</v>
      </c>
      <c r="C24" s="53" t="str">
        <f ca="1">IFERROR(__xludf.DUMMYFUNCTION("""COMPUTED_VALUE"""),"TH")</f>
        <v>TH</v>
      </c>
      <c r="D24" s="53" t="str">
        <f ca="1">IFERROR(__xludf.DUMMYFUNCTION("""COMPUTED_VALUE"""),"Cần Giờ")</f>
        <v>Cần Giờ</v>
      </c>
      <c r="E24" s="54">
        <f ca="1">IFERROR(__xludf.DUMMYFUNCTION("""COMPUTED_VALUE"""),36)</f>
        <v>36</v>
      </c>
      <c r="F24" s="54">
        <f ca="1">IFERROR(__xludf.DUMMYFUNCTION("""COMPUTED_VALUE"""),36)</f>
        <v>36</v>
      </c>
      <c r="G24" s="51">
        <f t="shared" ca="1" si="0"/>
        <v>1</v>
      </c>
      <c r="H24" s="54">
        <f ca="1">IFERROR(__xludf.DUMMYFUNCTION("""COMPUTED_VALUE"""),35)</f>
        <v>35</v>
      </c>
      <c r="I24" s="51">
        <f t="shared" ca="1" si="1"/>
        <v>0.97222222222222221</v>
      </c>
      <c r="J24" s="54">
        <f ca="1">IFERROR(__xludf.DUMMYFUNCTION("""COMPUTED_VALUE"""),35)</f>
        <v>35</v>
      </c>
      <c r="K24" s="51">
        <f t="shared" ca="1" si="2"/>
        <v>0.97222222222222221</v>
      </c>
      <c r="L24" s="54">
        <f ca="1">IFERROR(__xludf.DUMMYFUNCTION("""COMPUTED_VALUE"""),33)</f>
        <v>33</v>
      </c>
      <c r="M24" s="51">
        <f t="shared" ca="1" si="3"/>
        <v>0.91666666666666663</v>
      </c>
      <c r="N24" s="54">
        <f ca="1">IFERROR(__xludf.DUMMYFUNCTION("""COMPUTED_VALUE"""),545)</f>
        <v>545</v>
      </c>
      <c r="O24" s="54">
        <f ca="1">IFERROR(__xludf.DUMMYFUNCTION("""COMPUTED_VALUE"""),516)</f>
        <v>516</v>
      </c>
      <c r="P24" s="51">
        <f t="shared" ca="1" si="4"/>
        <v>0.94678899082568813</v>
      </c>
      <c r="Q24" s="54">
        <f ca="1">IFERROR(__xludf.DUMMYFUNCTION("""COMPUTED_VALUE"""),467)</f>
        <v>467</v>
      </c>
      <c r="R24" s="51">
        <f t="shared" ca="1" si="5"/>
        <v>0.85688073394495412</v>
      </c>
      <c r="S24" s="53"/>
      <c r="T24" s="53"/>
      <c r="U24" s="51" t="str">
        <f t="shared" si="6"/>
        <v/>
      </c>
      <c r="V24" s="53"/>
      <c r="W24" s="51" t="str">
        <f t="shared" si="7"/>
        <v/>
      </c>
      <c r="X24" s="53"/>
      <c r="Y24" s="51" t="str">
        <f t="shared" si="8"/>
        <v/>
      </c>
      <c r="Z24" s="2"/>
      <c r="AA24" s="2"/>
      <c r="AB24" s="2"/>
      <c r="AC24" s="2"/>
      <c r="AD24" s="2"/>
      <c r="AE24" s="2"/>
    </row>
    <row r="25" spans="1:31" ht="12.75" x14ac:dyDescent="0.2">
      <c r="A25" s="53">
        <f ca="1">IFERROR(__xludf.DUMMYFUNCTION("""COMPUTED_VALUE"""),7)</f>
        <v>7</v>
      </c>
      <c r="B25" s="53" t="str">
        <f ca="1">IFERROR(__xludf.DUMMYFUNCTION("""COMPUTED_VALUE"""),"TIỂU HỌC DOI LẦU")</f>
        <v>TIỂU HỌC DOI LẦU</v>
      </c>
      <c r="C25" s="53" t="str">
        <f ca="1">IFERROR(__xludf.DUMMYFUNCTION("""COMPUTED_VALUE"""),"TH")</f>
        <v>TH</v>
      </c>
      <c r="D25" s="53" t="str">
        <f ca="1">IFERROR(__xludf.DUMMYFUNCTION("""COMPUTED_VALUE"""),"Cần Giờ")</f>
        <v>Cần Giờ</v>
      </c>
      <c r="E25" s="54">
        <f ca="1">IFERROR(__xludf.DUMMYFUNCTION("""COMPUTED_VALUE"""),26)</f>
        <v>26</v>
      </c>
      <c r="F25" s="54">
        <f ca="1">IFERROR(__xludf.DUMMYFUNCTION("""COMPUTED_VALUE"""),26)</f>
        <v>26</v>
      </c>
      <c r="G25" s="51">
        <f t="shared" ca="1" si="0"/>
        <v>1</v>
      </c>
      <c r="H25" s="54">
        <f ca="1">IFERROR(__xludf.DUMMYFUNCTION("""COMPUTED_VALUE"""),26)</f>
        <v>26</v>
      </c>
      <c r="I25" s="51">
        <f t="shared" ca="1" si="1"/>
        <v>1</v>
      </c>
      <c r="J25" s="54">
        <f ca="1">IFERROR(__xludf.DUMMYFUNCTION("""COMPUTED_VALUE"""),26)</f>
        <v>26</v>
      </c>
      <c r="K25" s="51">
        <f t="shared" ca="1" si="2"/>
        <v>1</v>
      </c>
      <c r="L25" s="54">
        <f ca="1">IFERROR(__xludf.DUMMYFUNCTION("""COMPUTED_VALUE"""),17)</f>
        <v>17</v>
      </c>
      <c r="M25" s="51">
        <f t="shared" ca="1" si="3"/>
        <v>0.65384615384615385</v>
      </c>
      <c r="N25" s="54">
        <f ca="1">IFERROR(__xludf.DUMMYFUNCTION("""COMPUTED_VALUE"""),194)</f>
        <v>194</v>
      </c>
      <c r="O25" s="54">
        <f ca="1">IFERROR(__xludf.DUMMYFUNCTION("""COMPUTED_VALUE"""),177)</f>
        <v>177</v>
      </c>
      <c r="P25" s="51">
        <f t="shared" ca="1" si="4"/>
        <v>0.91237113402061853</v>
      </c>
      <c r="Q25" s="54">
        <f ca="1">IFERROR(__xludf.DUMMYFUNCTION("""COMPUTED_VALUE"""),161)</f>
        <v>161</v>
      </c>
      <c r="R25" s="51">
        <f t="shared" ca="1" si="5"/>
        <v>0.82989690721649489</v>
      </c>
      <c r="S25" s="53"/>
      <c r="T25" s="53"/>
      <c r="U25" s="51" t="str">
        <f t="shared" si="6"/>
        <v/>
      </c>
      <c r="V25" s="53"/>
      <c r="W25" s="51" t="str">
        <f t="shared" si="7"/>
        <v/>
      </c>
      <c r="X25" s="53"/>
      <c r="Y25" s="51" t="str">
        <f t="shared" si="8"/>
        <v/>
      </c>
      <c r="Z25" s="2"/>
      <c r="AA25" s="2"/>
      <c r="AB25" s="2"/>
      <c r="AC25" s="2"/>
      <c r="AD25" s="2"/>
      <c r="AE25" s="2"/>
    </row>
    <row r="26" spans="1:31" ht="12.75" x14ac:dyDescent="0.2">
      <c r="A26" s="53">
        <f ca="1">IFERROR(__xludf.DUMMYFUNCTION("""COMPUTED_VALUE"""),8)</f>
        <v>8</v>
      </c>
      <c r="B26" s="53" t="str">
        <f ca="1">IFERROR(__xludf.DUMMYFUNCTION("""COMPUTED_VALUE"""),"TIỂU HỌC TAM THÔN HIỆP")</f>
        <v>TIỂU HỌC TAM THÔN HIỆP</v>
      </c>
      <c r="C26" s="53" t="str">
        <f ca="1">IFERROR(__xludf.DUMMYFUNCTION("""COMPUTED_VALUE"""),"TH")</f>
        <v>TH</v>
      </c>
      <c r="D26" s="53" t="str">
        <f ca="1">IFERROR(__xludf.DUMMYFUNCTION("""COMPUTED_VALUE"""),"Cần Giờ")</f>
        <v>Cần Giờ</v>
      </c>
      <c r="E26" s="54">
        <f ca="1">IFERROR(__xludf.DUMMYFUNCTION("""COMPUTED_VALUE"""),33)</f>
        <v>33</v>
      </c>
      <c r="F26" s="54">
        <f ca="1">IFERROR(__xludf.DUMMYFUNCTION("""COMPUTED_VALUE"""),33)</f>
        <v>33</v>
      </c>
      <c r="G26" s="51">
        <f t="shared" ca="1" si="0"/>
        <v>1</v>
      </c>
      <c r="H26" s="54">
        <f ca="1">IFERROR(__xludf.DUMMYFUNCTION("""COMPUTED_VALUE"""),33)</f>
        <v>33</v>
      </c>
      <c r="I26" s="51">
        <f t="shared" ca="1" si="1"/>
        <v>1</v>
      </c>
      <c r="J26" s="54">
        <f ca="1">IFERROR(__xludf.DUMMYFUNCTION("""COMPUTED_VALUE"""),33)</f>
        <v>33</v>
      </c>
      <c r="K26" s="51">
        <f t="shared" ca="1" si="2"/>
        <v>1</v>
      </c>
      <c r="L26" s="54">
        <f ca="1">IFERROR(__xludf.DUMMYFUNCTION("""COMPUTED_VALUE"""),26)</f>
        <v>26</v>
      </c>
      <c r="M26" s="51">
        <f t="shared" ca="1" si="3"/>
        <v>0.78787878787878785</v>
      </c>
      <c r="N26" s="54">
        <f ca="1">IFERROR(__xludf.DUMMYFUNCTION("""COMPUTED_VALUE"""),454)</f>
        <v>454</v>
      </c>
      <c r="O26" s="54">
        <f ca="1">IFERROR(__xludf.DUMMYFUNCTION("""COMPUTED_VALUE"""),428)</f>
        <v>428</v>
      </c>
      <c r="P26" s="51">
        <f t="shared" ca="1" si="4"/>
        <v>0.94273127753303965</v>
      </c>
      <c r="Q26" s="54">
        <f ca="1">IFERROR(__xludf.DUMMYFUNCTION("""COMPUTED_VALUE"""),388)</f>
        <v>388</v>
      </c>
      <c r="R26" s="51">
        <f t="shared" ca="1" si="5"/>
        <v>0.85462555066079293</v>
      </c>
      <c r="S26" s="53"/>
      <c r="T26" s="53"/>
      <c r="U26" s="51" t="str">
        <f t="shared" si="6"/>
        <v/>
      </c>
      <c r="V26" s="53"/>
      <c r="W26" s="51" t="str">
        <f t="shared" si="7"/>
        <v/>
      </c>
      <c r="X26" s="53"/>
      <c r="Y26" s="51" t="str">
        <f t="shared" si="8"/>
        <v/>
      </c>
      <c r="Z26" s="2"/>
      <c r="AA26" s="2"/>
      <c r="AB26" s="2"/>
      <c r="AC26" s="2"/>
      <c r="AD26" s="2"/>
      <c r="AE26" s="2"/>
    </row>
    <row r="27" spans="1:31" ht="12.75" x14ac:dyDescent="0.2">
      <c r="A27" s="53">
        <f ca="1">IFERROR(__xludf.DUMMYFUNCTION("""COMPUTED_VALUE"""),9)</f>
        <v>9</v>
      </c>
      <c r="B27" s="53" t="str">
        <f ca="1">IFERROR(__xludf.DUMMYFUNCTION("""COMPUTED_VALUE"""),"TIỂU HỌCVÀM SÁT")</f>
        <v>TIỂU HỌCVÀM SÁT</v>
      </c>
      <c r="C27" s="53" t="str">
        <f ca="1">IFERROR(__xludf.DUMMYFUNCTION("""COMPUTED_VALUE"""),"TH")</f>
        <v>TH</v>
      </c>
      <c r="D27" s="53" t="str">
        <f ca="1">IFERROR(__xludf.DUMMYFUNCTION("""COMPUTED_VALUE"""),"Cần Giờ")</f>
        <v>Cần Giờ</v>
      </c>
      <c r="E27" s="54">
        <f ca="1">IFERROR(__xludf.DUMMYFUNCTION("""COMPUTED_VALUE"""),20)</f>
        <v>20</v>
      </c>
      <c r="F27" s="54">
        <f ca="1">IFERROR(__xludf.DUMMYFUNCTION("""COMPUTED_VALUE"""),20)</f>
        <v>20</v>
      </c>
      <c r="G27" s="51">
        <f t="shared" ca="1" si="0"/>
        <v>1</v>
      </c>
      <c r="H27" s="54">
        <f ca="1">IFERROR(__xludf.DUMMYFUNCTION("""COMPUTED_VALUE"""),20)</f>
        <v>20</v>
      </c>
      <c r="I27" s="51">
        <f t="shared" ca="1" si="1"/>
        <v>1</v>
      </c>
      <c r="J27" s="54">
        <f ca="1">IFERROR(__xludf.DUMMYFUNCTION("""COMPUTED_VALUE"""),20)</f>
        <v>20</v>
      </c>
      <c r="K27" s="51">
        <f t="shared" ca="1" si="2"/>
        <v>1</v>
      </c>
      <c r="L27" s="54">
        <f ca="1">IFERROR(__xludf.DUMMYFUNCTION("""COMPUTED_VALUE"""),12)</f>
        <v>12</v>
      </c>
      <c r="M27" s="51">
        <f t="shared" ca="1" si="3"/>
        <v>0.6</v>
      </c>
      <c r="N27" s="54">
        <f ca="1">IFERROR(__xludf.DUMMYFUNCTION("""COMPUTED_VALUE"""),152)</f>
        <v>152</v>
      </c>
      <c r="O27" s="54">
        <f ca="1">IFERROR(__xludf.DUMMYFUNCTION("""COMPUTED_VALUE"""),145)</f>
        <v>145</v>
      </c>
      <c r="P27" s="51">
        <f t="shared" ca="1" si="4"/>
        <v>0.95394736842105265</v>
      </c>
      <c r="Q27" s="54">
        <f ca="1">IFERROR(__xludf.DUMMYFUNCTION("""COMPUTED_VALUE"""),102)</f>
        <v>102</v>
      </c>
      <c r="R27" s="51">
        <f t="shared" ca="1" si="5"/>
        <v>0.67105263157894735</v>
      </c>
      <c r="S27" s="53"/>
      <c r="T27" s="53"/>
      <c r="U27" s="51" t="str">
        <f t="shared" si="6"/>
        <v/>
      </c>
      <c r="V27" s="53"/>
      <c r="W27" s="51" t="str">
        <f t="shared" si="7"/>
        <v/>
      </c>
      <c r="X27" s="53"/>
      <c r="Y27" s="51" t="str">
        <f t="shared" si="8"/>
        <v/>
      </c>
      <c r="Z27" s="2"/>
      <c r="AA27" s="2"/>
      <c r="AB27" s="2"/>
      <c r="AC27" s="2"/>
      <c r="AD27" s="2"/>
      <c r="AE27" s="2"/>
    </row>
    <row r="28" spans="1:31" ht="12.75" x14ac:dyDescent="0.2">
      <c r="A28" s="53">
        <f ca="1">IFERROR(__xludf.DUMMYFUNCTION("""COMPUTED_VALUE"""),10)</f>
        <v>10</v>
      </c>
      <c r="B28" s="53" t="str">
        <f ca="1">IFERROR(__xludf.DUMMYFUNCTION("""COMPUTED_VALUE"""),"TIỂU HỌC LÝ NHƠN")</f>
        <v>TIỂU HỌC LÝ NHƠN</v>
      </c>
      <c r="C28" s="53" t="str">
        <f ca="1">IFERROR(__xludf.DUMMYFUNCTION("""COMPUTED_VALUE"""),"TH")</f>
        <v>TH</v>
      </c>
      <c r="D28" s="53" t="str">
        <f ca="1">IFERROR(__xludf.DUMMYFUNCTION("""COMPUTED_VALUE"""),"Cần Giờ")</f>
        <v>Cần Giờ</v>
      </c>
      <c r="E28" s="54">
        <f ca="1">IFERROR(__xludf.DUMMYFUNCTION("""COMPUTED_VALUE"""),25)</f>
        <v>25</v>
      </c>
      <c r="F28" s="54">
        <f ca="1">IFERROR(__xludf.DUMMYFUNCTION("""COMPUTED_VALUE"""),25)</f>
        <v>25</v>
      </c>
      <c r="G28" s="51">
        <f t="shared" ca="1" si="0"/>
        <v>1</v>
      </c>
      <c r="H28" s="54">
        <f ca="1">IFERROR(__xludf.DUMMYFUNCTION("""COMPUTED_VALUE"""),25)</f>
        <v>25</v>
      </c>
      <c r="I28" s="51">
        <f t="shared" ca="1" si="1"/>
        <v>1</v>
      </c>
      <c r="J28" s="54">
        <f ca="1">IFERROR(__xludf.DUMMYFUNCTION("""COMPUTED_VALUE"""),24)</f>
        <v>24</v>
      </c>
      <c r="K28" s="51">
        <f t="shared" ca="1" si="2"/>
        <v>0.96</v>
      </c>
      <c r="L28" s="54">
        <f ca="1">IFERROR(__xludf.DUMMYFUNCTION("""COMPUTED_VALUE"""),23)</f>
        <v>23</v>
      </c>
      <c r="M28" s="51">
        <f t="shared" ca="1" si="3"/>
        <v>0.92</v>
      </c>
      <c r="N28" s="54">
        <f ca="1">IFERROR(__xludf.DUMMYFUNCTION("""COMPUTED_VALUE"""),238)</f>
        <v>238</v>
      </c>
      <c r="O28" s="54">
        <f ca="1">IFERROR(__xludf.DUMMYFUNCTION("""COMPUTED_VALUE"""),230)</f>
        <v>230</v>
      </c>
      <c r="P28" s="51">
        <f t="shared" ca="1" si="4"/>
        <v>0.96638655462184875</v>
      </c>
      <c r="Q28" s="54">
        <f ca="1">IFERROR(__xludf.DUMMYFUNCTION("""COMPUTED_VALUE"""),213)</f>
        <v>213</v>
      </c>
      <c r="R28" s="51">
        <f t="shared" ca="1" si="5"/>
        <v>0.89495798319327735</v>
      </c>
      <c r="S28" s="53"/>
      <c r="T28" s="53"/>
      <c r="U28" s="51" t="str">
        <f t="shared" si="6"/>
        <v/>
      </c>
      <c r="V28" s="53"/>
      <c r="W28" s="51" t="str">
        <f t="shared" si="7"/>
        <v/>
      </c>
      <c r="X28" s="53"/>
      <c r="Y28" s="51" t="str">
        <f t="shared" si="8"/>
        <v/>
      </c>
      <c r="Z28" s="2"/>
      <c r="AA28" s="2"/>
      <c r="AB28" s="2"/>
      <c r="AC28" s="2"/>
      <c r="AD28" s="2"/>
      <c r="AE28" s="2"/>
    </row>
    <row r="29" spans="1:31" ht="12.75" x14ac:dyDescent="0.2">
      <c r="A29" s="53">
        <f ca="1">IFERROR(__xludf.DUMMYFUNCTION("""COMPUTED_VALUE"""),11)</f>
        <v>11</v>
      </c>
      <c r="B29" s="53" t="str">
        <f ca="1">IFERROR(__xludf.DUMMYFUNCTION("""COMPUTED_VALUE"""),"TH Hòa Hiệp")</f>
        <v>TH Hòa Hiệp</v>
      </c>
      <c r="C29" s="53" t="str">
        <f ca="1">IFERROR(__xludf.DUMMYFUNCTION("""COMPUTED_VALUE"""),"TH")</f>
        <v>TH</v>
      </c>
      <c r="D29" s="53" t="str">
        <f ca="1">IFERROR(__xludf.DUMMYFUNCTION("""COMPUTED_VALUE"""),"Cần Giờ")</f>
        <v>Cần Giờ</v>
      </c>
      <c r="E29" s="54">
        <f ca="1">IFERROR(__xludf.DUMMYFUNCTION("""COMPUTED_VALUE"""),22)</f>
        <v>22</v>
      </c>
      <c r="F29" s="54">
        <f ca="1">IFERROR(__xludf.DUMMYFUNCTION("""COMPUTED_VALUE"""),22)</f>
        <v>22</v>
      </c>
      <c r="G29" s="51">
        <f t="shared" ca="1" si="0"/>
        <v>1</v>
      </c>
      <c r="H29" s="54">
        <f ca="1">IFERROR(__xludf.DUMMYFUNCTION("""COMPUTED_VALUE"""),22)</f>
        <v>22</v>
      </c>
      <c r="I29" s="51">
        <f t="shared" ca="1" si="1"/>
        <v>1</v>
      </c>
      <c r="J29" s="54">
        <f ca="1">IFERROR(__xludf.DUMMYFUNCTION("""COMPUTED_VALUE"""),22)</f>
        <v>22</v>
      </c>
      <c r="K29" s="51">
        <f t="shared" ca="1" si="2"/>
        <v>1</v>
      </c>
      <c r="L29" s="54">
        <f ca="1">IFERROR(__xludf.DUMMYFUNCTION("""COMPUTED_VALUE"""),11)</f>
        <v>11</v>
      </c>
      <c r="M29" s="51">
        <f t="shared" ca="1" si="3"/>
        <v>0.5</v>
      </c>
      <c r="N29" s="54">
        <f ca="1">IFERROR(__xludf.DUMMYFUNCTION("""COMPUTED_VALUE"""),217)</f>
        <v>217</v>
      </c>
      <c r="O29" s="54">
        <f ca="1">IFERROR(__xludf.DUMMYFUNCTION("""COMPUTED_VALUE"""),179)</f>
        <v>179</v>
      </c>
      <c r="P29" s="51">
        <f t="shared" ca="1" si="4"/>
        <v>0.82488479262672809</v>
      </c>
      <c r="Q29" s="54">
        <f ca="1">IFERROR(__xludf.DUMMYFUNCTION("""COMPUTED_VALUE"""),129)</f>
        <v>129</v>
      </c>
      <c r="R29" s="51">
        <f t="shared" ca="1" si="5"/>
        <v>0.59447004608294929</v>
      </c>
      <c r="S29" s="53"/>
      <c r="T29" s="53"/>
      <c r="U29" s="51" t="str">
        <f t="shared" si="6"/>
        <v/>
      </c>
      <c r="V29" s="53"/>
      <c r="W29" s="51" t="str">
        <f t="shared" si="7"/>
        <v/>
      </c>
      <c r="X29" s="53"/>
      <c r="Y29" s="51" t="str">
        <f t="shared" si="8"/>
        <v/>
      </c>
      <c r="Z29" s="2"/>
      <c r="AA29" s="2"/>
      <c r="AB29" s="2"/>
      <c r="AC29" s="2"/>
      <c r="AD29" s="2"/>
      <c r="AE29" s="2"/>
    </row>
    <row r="30" spans="1:31" ht="12.75" x14ac:dyDescent="0.2">
      <c r="A30" s="53">
        <f ca="1">IFERROR(__xludf.DUMMYFUNCTION("""COMPUTED_VALUE"""),12)</f>
        <v>12</v>
      </c>
      <c r="B30" s="53" t="str">
        <f ca="1">IFERROR(__xludf.DUMMYFUNCTION("""COMPUTED_VALUE"""),"TH Long Thạnh")</f>
        <v>TH Long Thạnh</v>
      </c>
      <c r="C30" s="53" t="str">
        <f ca="1">IFERROR(__xludf.DUMMYFUNCTION("""COMPUTED_VALUE"""),"TH")</f>
        <v>TH</v>
      </c>
      <c r="D30" s="53" t="str">
        <f ca="1">IFERROR(__xludf.DUMMYFUNCTION("""COMPUTED_VALUE"""),"Cần Giờ")</f>
        <v>Cần Giờ</v>
      </c>
      <c r="E30" s="54">
        <f ca="1">IFERROR(__xludf.DUMMYFUNCTION("""COMPUTED_VALUE"""),25)</f>
        <v>25</v>
      </c>
      <c r="F30" s="54">
        <f ca="1">IFERROR(__xludf.DUMMYFUNCTION("""COMPUTED_VALUE"""),25)</f>
        <v>25</v>
      </c>
      <c r="G30" s="51">
        <f t="shared" ca="1" si="0"/>
        <v>1</v>
      </c>
      <c r="H30" s="54">
        <f ca="1">IFERROR(__xludf.DUMMYFUNCTION("""COMPUTED_VALUE"""),25)</f>
        <v>25</v>
      </c>
      <c r="I30" s="51">
        <f t="shared" ca="1" si="1"/>
        <v>1</v>
      </c>
      <c r="J30" s="54">
        <f ca="1">IFERROR(__xludf.DUMMYFUNCTION("""COMPUTED_VALUE"""),25)</f>
        <v>25</v>
      </c>
      <c r="K30" s="51">
        <f t="shared" ca="1" si="2"/>
        <v>1</v>
      </c>
      <c r="L30" s="54">
        <f ca="1">IFERROR(__xludf.DUMMYFUNCTION("""COMPUTED_VALUE"""),21)</f>
        <v>21</v>
      </c>
      <c r="M30" s="51">
        <f t="shared" ca="1" si="3"/>
        <v>0.84</v>
      </c>
      <c r="N30" s="54">
        <f ca="1">IFERROR(__xludf.DUMMYFUNCTION("""COMPUTED_VALUE"""),239)</f>
        <v>239</v>
      </c>
      <c r="O30" s="54">
        <f ca="1">IFERROR(__xludf.DUMMYFUNCTION("""COMPUTED_VALUE"""),197)</f>
        <v>197</v>
      </c>
      <c r="P30" s="51">
        <f t="shared" ca="1" si="4"/>
        <v>0.82426778242677823</v>
      </c>
      <c r="Q30" s="54">
        <f ca="1">IFERROR(__xludf.DUMMYFUNCTION("""COMPUTED_VALUE"""),136)</f>
        <v>136</v>
      </c>
      <c r="R30" s="51">
        <f t="shared" ca="1" si="5"/>
        <v>0.56903765690376573</v>
      </c>
      <c r="S30" s="53"/>
      <c r="T30" s="53"/>
      <c r="U30" s="51" t="str">
        <f t="shared" si="6"/>
        <v/>
      </c>
      <c r="V30" s="53"/>
      <c r="W30" s="51" t="str">
        <f t="shared" si="7"/>
        <v/>
      </c>
      <c r="X30" s="53"/>
      <c r="Y30" s="51" t="str">
        <f t="shared" si="8"/>
        <v/>
      </c>
      <c r="Z30" s="2"/>
      <c r="AA30" s="2"/>
      <c r="AB30" s="2"/>
      <c r="AC30" s="2"/>
      <c r="AD30" s="2"/>
      <c r="AE30" s="2"/>
    </row>
    <row r="31" spans="1:31" ht="12.75" x14ac:dyDescent="0.2">
      <c r="A31" s="53">
        <f ca="1">IFERROR(__xludf.DUMMYFUNCTION("""COMPUTED_VALUE"""),13)</f>
        <v>13</v>
      </c>
      <c r="B31" s="53" t="str">
        <f ca="1">IFERROR(__xludf.DUMMYFUNCTION("""COMPUTED_VALUE"""),"Trường Tiểu học Đồng Hòa")</f>
        <v>Trường Tiểu học Đồng Hòa</v>
      </c>
      <c r="C31" s="53" t="str">
        <f ca="1">IFERROR(__xludf.DUMMYFUNCTION("""COMPUTED_VALUE"""),"TH")</f>
        <v>TH</v>
      </c>
      <c r="D31" s="53" t="str">
        <f ca="1">IFERROR(__xludf.DUMMYFUNCTION("""COMPUTED_VALUE"""),"Cần Giờ")</f>
        <v>Cần Giờ</v>
      </c>
      <c r="E31" s="54">
        <f ca="1">IFERROR(__xludf.DUMMYFUNCTION("""COMPUTED_VALUE"""),25)</f>
        <v>25</v>
      </c>
      <c r="F31" s="54">
        <f ca="1">IFERROR(__xludf.DUMMYFUNCTION("""COMPUTED_VALUE"""),25)</f>
        <v>25</v>
      </c>
      <c r="G31" s="51">
        <f t="shared" ca="1" si="0"/>
        <v>1</v>
      </c>
      <c r="H31" s="54">
        <f ca="1">IFERROR(__xludf.DUMMYFUNCTION("""COMPUTED_VALUE"""),25)</f>
        <v>25</v>
      </c>
      <c r="I31" s="51">
        <f t="shared" ca="1" si="1"/>
        <v>1</v>
      </c>
      <c r="J31" s="54">
        <f ca="1">IFERROR(__xludf.DUMMYFUNCTION("""COMPUTED_VALUE"""),22)</f>
        <v>22</v>
      </c>
      <c r="K31" s="51">
        <f t="shared" ca="1" si="2"/>
        <v>0.88</v>
      </c>
      <c r="L31" s="54">
        <f ca="1">IFERROR(__xludf.DUMMYFUNCTION("""COMPUTED_VALUE"""),19)</f>
        <v>19</v>
      </c>
      <c r="M31" s="51">
        <f t="shared" ca="1" si="3"/>
        <v>0.76</v>
      </c>
      <c r="N31" s="54">
        <f ca="1">IFERROR(__xludf.DUMMYFUNCTION("""COMPUTED_VALUE"""),231)</f>
        <v>231</v>
      </c>
      <c r="O31" s="54">
        <f ca="1">IFERROR(__xludf.DUMMYFUNCTION("""COMPUTED_VALUE"""),196)</f>
        <v>196</v>
      </c>
      <c r="P31" s="51">
        <f t="shared" ca="1" si="4"/>
        <v>0.84848484848484851</v>
      </c>
      <c r="Q31" s="54">
        <f ca="1">IFERROR(__xludf.DUMMYFUNCTION("""COMPUTED_VALUE"""),146)</f>
        <v>146</v>
      </c>
      <c r="R31" s="51">
        <f t="shared" ca="1" si="5"/>
        <v>0.63203463203463206</v>
      </c>
      <c r="S31" s="53"/>
      <c r="T31" s="53"/>
      <c r="U31" s="51" t="str">
        <f t="shared" si="6"/>
        <v/>
      </c>
      <c r="V31" s="53"/>
      <c r="W31" s="51" t="str">
        <f t="shared" si="7"/>
        <v/>
      </c>
      <c r="X31" s="53"/>
      <c r="Y31" s="51" t="str">
        <f t="shared" si="8"/>
        <v/>
      </c>
      <c r="Z31" s="2"/>
      <c r="AA31" s="2"/>
      <c r="AB31" s="2"/>
      <c r="AC31" s="2"/>
      <c r="AD31" s="2"/>
      <c r="AE31" s="2"/>
    </row>
    <row r="32" spans="1:31" ht="12.75" x14ac:dyDescent="0.2">
      <c r="A32" s="53">
        <f ca="1">IFERROR(__xludf.DUMMYFUNCTION("""COMPUTED_VALUE"""),14)</f>
        <v>14</v>
      </c>
      <c r="B32" s="53" t="str">
        <f ca="1">IFERROR(__xludf.DUMMYFUNCTION("""COMPUTED_VALUE"""),"TRƯỜNG TH CẦN THẠNH")</f>
        <v>TRƯỜNG TH CẦN THẠNH</v>
      </c>
      <c r="C32" s="53" t="str">
        <f ca="1">IFERROR(__xludf.DUMMYFUNCTION("""COMPUTED_VALUE"""),"TH")</f>
        <v>TH</v>
      </c>
      <c r="D32" s="53" t="str">
        <f ca="1">IFERROR(__xludf.DUMMYFUNCTION("""COMPUTED_VALUE"""),"Cần Giờ")</f>
        <v>Cần Giờ</v>
      </c>
      <c r="E32" s="54">
        <f ca="1">IFERROR(__xludf.DUMMYFUNCTION("""COMPUTED_VALUE"""),37)</f>
        <v>37</v>
      </c>
      <c r="F32" s="54">
        <f ca="1">IFERROR(__xludf.DUMMYFUNCTION("""COMPUTED_VALUE"""),37)</f>
        <v>37</v>
      </c>
      <c r="G32" s="51">
        <f t="shared" ca="1" si="0"/>
        <v>1</v>
      </c>
      <c r="H32" s="54">
        <f ca="1">IFERROR(__xludf.DUMMYFUNCTION("""COMPUTED_VALUE"""),37)</f>
        <v>37</v>
      </c>
      <c r="I32" s="51">
        <f t="shared" ca="1" si="1"/>
        <v>1</v>
      </c>
      <c r="J32" s="54">
        <f ca="1">IFERROR(__xludf.DUMMYFUNCTION("""COMPUTED_VALUE"""),37)</f>
        <v>37</v>
      </c>
      <c r="K32" s="51">
        <f t="shared" ca="1" si="2"/>
        <v>1</v>
      </c>
      <c r="L32" s="54">
        <f ca="1">IFERROR(__xludf.DUMMYFUNCTION("""COMPUTED_VALUE"""),28)</f>
        <v>28</v>
      </c>
      <c r="M32" s="51">
        <f t="shared" ca="1" si="3"/>
        <v>0.7567567567567568</v>
      </c>
      <c r="N32" s="54">
        <f ca="1">IFERROR(__xludf.DUMMYFUNCTION("""COMPUTED_VALUE"""),500)</f>
        <v>500</v>
      </c>
      <c r="O32" s="54">
        <f ca="1">IFERROR(__xludf.DUMMYFUNCTION("""COMPUTED_VALUE"""),405)</f>
        <v>405</v>
      </c>
      <c r="P32" s="51">
        <f t="shared" ca="1" si="4"/>
        <v>0.81</v>
      </c>
      <c r="Q32" s="54">
        <f ca="1">IFERROR(__xludf.DUMMYFUNCTION("""COMPUTED_VALUE"""),292)</f>
        <v>292</v>
      </c>
      <c r="R32" s="51">
        <f t="shared" ca="1" si="5"/>
        <v>0.58399999999999996</v>
      </c>
      <c r="S32" s="53"/>
      <c r="T32" s="53"/>
      <c r="U32" s="51" t="str">
        <f t="shared" si="6"/>
        <v/>
      </c>
      <c r="V32" s="53"/>
      <c r="W32" s="51" t="str">
        <f t="shared" si="7"/>
        <v/>
      </c>
      <c r="X32" s="53"/>
      <c r="Y32" s="51" t="str">
        <f t="shared" si="8"/>
        <v/>
      </c>
      <c r="Z32" s="2"/>
      <c r="AA32" s="2"/>
      <c r="AB32" s="2"/>
      <c r="AC32" s="2"/>
      <c r="AD32" s="2"/>
      <c r="AE32" s="2"/>
    </row>
    <row r="33" spans="1:31" ht="12.75" x14ac:dyDescent="0.2">
      <c r="A33" s="53">
        <f ca="1">IFERROR(__xludf.DUMMYFUNCTION("""COMPUTED_VALUE"""),15)</f>
        <v>15</v>
      </c>
      <c r="B33" s="53" t="str">
        <f ca="1">IFERROR(__xludf.DUMMYFUNCTION("""COMPUTED_VALUE"""),"Tiểu học Cần Thạnh 2")</f>
        <v>Tiểu học Cần Thạnh 2</v>
      </c>
      <c r="C33" s="53" t="str">
        <f ca="1">IFERROR(__xludf.DUMMYFUNCTION("""COMPUTED_VALUE"""),"TH")</f>
        <v>TH</v>
      </c>
      <c r="D33" s="53" t="str">
        <f ca="1">IFERROR(__xludf.DUMMYFUNCTION("""COMPUTED_VALUE"""),"Cần Giờ")</f>
        <v>Cần Giờ</v>
      </c>
      <c r="E33" s="54">
        <f ca="1">IFERROR(__xludf.DUMMYFUNCTION("""COMPUTED_VALUE"""),32)</f>
        <v>32</v>
      </c>
      <c r="F33" s="54">
        <f ca="1">IFERROR(__xludf.DUMMYFUNCTION("""COMPUTED_VALUE"""),32)</f>
        <v>32</v>
      </c>
      <c r="G33" s="51">
        <f t="shared" ca="1" si="0"/>
        <v>1</v>
      </c>
      <c r="H33" s="54">
        <f ca="1">IFERROR(__xludf.DUMMYFUNCTION("""COMPUTED_VALUE"""),32)</f>
        <v>32</v>
      </c>
      <c r="I33" s="51">
        <f t="shared" ca="1" si="1"/>
        <v>1</v>
      </c>
      <c r="J33" s="54">
        <f ca="1">IFERROR(__xludf.DUMMYFUNCTION("""COMPUTED_VALUE"""),32)</f>
        <v>32</v>
      </c>
      <c r="K33" s="51">
        <f t="shared" ca="1" si="2"/>
        <v>1</v>
      </c>
      <c r="L33" s="54">
        <f ca="1">IFERROR(__xludf.DUMMYFUNCTION("""COMPUTED_VALUE"""),25)</f>
        <v>25</v>
      </c>
      <c r="M33" s="51">
        <f t="shared" ca="1" si="3"/>
        <v>0.78125</v>
      </c>
      <c r="N33" s="54">
        <f ca="1">IFERROR(__xludf.DUMMYFUNCTION("""COMPUTED_VALUE"""),474)</f>
        <v>474</v>
      </c>
      <c r="O33" s="54">
        <f ca="1">IFERROR(__xludf.DUMMYFUNCTION("""COMPUTED_VALUE"""),387)</f>
        <v>387</v>
      </c>
      <c r="P33" s="51">
        <f t="shared" ca="1" si="4"/>
        <v>0.81645569620253167</v>
      </c>
      <c r="Q33" s="54">
        <f ca="1">IFERROR(__xludf.DUMMYFUNCTION("""COMPUTED_VALUE"""),240)</f>
        <v>240</v>
      </c>
      <c r="R33" s="51">
        <f t="shared" ca="1" si="5"/>
        <v>0.50632911392405067</v>
      </c>
      <c r="S33" s="53"/>
      <c r="T33" s="53"/>
      <c r="U33" s="51" t="str">
        <f t="shared" si="6"/>
        <v/>
      </c>
      <c r="V33" s="53"/>
      <c r="W33" s="51" t="str">
        <f t="shared" si="7"/>
        <v/>
      </c>
      <c r="X33" s="53"/>
      <c r="Y33" s="51" t="str">
        <f t="shared" si="8"/>
        <v/>
      </c>
      <c r="Z33" s="2"/>
      <c r="AA33" s="2"/>
      <c r="AB33" s="2"/>
      <c r="AC33" s="2"/>
      <c r="AD33" s="2"/>
      <c r="AE33" s="2"/>
    </row>
    <row r="34" spans="1:31" ht="12.75" x14ac:dyDescent="0.2">
      <c r="A34" s="53">
        <f ca="1">IFERROR(__xludf.DUMMYFUNCTION("""COMPUTED_VALUE"""),16)</f>
        <v>16</v>
      </c>
      <c r="B34" s="53" t="str">
        <f ca="1">IFERROR(__xludf.DUMMYFUNCTION("""COMPUTED_VALUE"""),"Tiểu học Thạnh An")</f>
        <v>Tiểu học Thạnh An</v>
      </c>
      <c r="C34" s="53" t="str">
        <f ca="1">IFERROR(__xludf.DUMMYFUNCTION("""COMPUTED_VALUE"""),"TH")</f>
        <v>TH</v>
      </c>
      <c r="D34" s="53" t="str">
        <f ca="1">IFERROR(__xludf.DUMMYFUNCTION("""COMPUTED_VALUE"""),"Cần Giờ")</f>
        <v>Cần Giờ</v>
      </c>
      <c r="E34" s="54">
        <f ca="1">IFERROR(__xludf.DUMMYFUNCTION("""COMPUTED_VALUE"""),31)</f>
        <v>31</v>
      </c>
      <c r="F34" s="54">
        <f ca="1">IFERROR(__xludf.DUMMYFUNCTION("""COMPUTED_VALUE"""),31)</f>
        <v>31</v>
      </c>
      <c r="G34" s="51">
        <f t="shared" ca="1" si="0"/>
        <v>1</v>
      </c>
      <c r="H34" s="54">
        <f ca="1">IFERROR(__xludf.DUMMYFUNCTION("""COMPUTED_VALUE"""),31)</f>
        <v>31</v>
      </c>
      <c r="I34" s="51">
        <f t="shared" ca="1" si="1"/>
        <v>1</v>
      </c>
      <c r="J34" s="54">
        <f ca="1">IFERROR(__xludf.DUMMYFUNCTION("""COMPUTED_VALUE"""),31)</f>
        <v>31</v>
      </c>
      <c r="K34" s="51">
        <f t="shared" ca="1" si="2"/>
        <v>1</v>
      </c>
      <c r="L34" s="54">
        <f ca="1">IFERROR(__xludf.DUMMYFUNCTION("""COMPUTED_VALUE"""),29)</f>
        <v>29</v>
      </c>
      <c r="M34" s="51">
        <f t="shared" ca="1" si="3"/>
        <v>0.93548387096774188</v>
      </c>
      <c r="N34" s="54">
        <f ca="1">IFERROR(__xludf.DUMMYFUNCTION("""COMPUTED_VALUE"""),287)</f>
        <v>287</v>
      </c>
      <c r="O34" s="54">
        <f ca="1">IFERROR(__xludf.DUMMYFUNCTION("""COMPUTED_VALUE"""),269)</f>
        <v>269</v>
      </c>
      <c r="P34" s="51">
        <f t="shared" ca="1" si="4"/>
        <v>0.93728222996515675</v>
      </c>
      <c r="Q34" s="54">
        <f ca="1">IFERROR(__xludf.DUMMYFUNCTION("""COMPUTED_VALUE"""),260)</f>
        <v>260</v>
      </c>
      <c r="R34" s="51">
        <f t="shared" ca="1" si="5"/>
        <v>0.90592334494773519</v>
      </c>
      <c r="S34" s="53"/>
      <c r="T34" s="53"/>
      <c r="U34" s="51" t="str">
        <f t="shared" si="6"/>
        <v/>
      </c>
      <c r="V34" s="53"/>
      <c r="W34" s="51" t="str">
        <f t="shared" si="7"/>
        <v/>
      </c>
      <c r="X34" s="53"/>
      <c r="Y34" s="51" t="str">
        <f t="shared" si="8"/>
        <v/>
      </c>
      <c r="Z34" s="2"/>
      <c r="AA34" s="2"/>
      <c r="AB34" s="2"/>
      <c r="AC34" s="2"/>
      <c r="AD34" s="2"/>
      <c r="AE34" s="2"/>
    </row>
    <row r="35" spans="1:31" ht="12.75" x14ac:dyDescent="0.2">
      <c r="A35" s="52" t="str">
        <f ca="1">IFERROR(__xludf.DUMMYFUNCTION("""COMPUTED_VALUE"""),"THCS")</f>
        <v>THCS</v>
      </c>
      <c r="B35" s="53"/>
      <c r="C35" s="53"/>
      <c r="D35" s="53"/>
      <c r="E35" s="53"/>
      <c r="F35" s="53"/>
      <c r="G35" s="51" t="str">
        <f t="shared" si="0"/>
        <v/>
      </c>
      <c r="H35" s="53"/>
      <c r="I35" s="51" t="str">
        <f t="shared" si="1"/>
        <v/>
      </c>
      <c r="J35" s="53"/>
      <c r="K35" s="51" t="str">
        <f t="shared" si="2"/>
        <v/>
      </c>
      <c r="L35" s="53"/>
      <c r="M35" s="51" t="str">
        <f t="shared" si="3"/>
        <v/>
      </c>
      <c r="N35" s="53"/>
      <c r="O35" s="53"/>
      <c r="P35" s="51" t="str">
        <f t="shared" si="4"/>
        <v/>
      </c>
      <c r="Q35" s="53"/>
      <c r="R35" s="51" t="str">
        <f t="shared" si="5"/>
        <v/>
      </c>
      <c r="S35" s="53"/>
      <c r="T35" s="53"/>
      <c r="U35" s="51" t="str">
        <f t="shared" si="6"/>
        <v/>
      </c>
      <c r="V35" s="53"/>
      <c r="W35" s="51" t="str">
        <f t="shared" si="7"/>
        <v/>
      </c>
      <c r="X35" s="53"/>
      <c r="Y35" s="51" t="str">
        <f t="shared" si="8"/>
        <v/>
      </c>
      <c r="Z35" s="2"/>
      <c r="AA35" s="2"/>
      <c r="AB35" s="2"/>
      <c r="AC35" s="2"/>
      <c r="AD35" s="2"/>
      <c r="AE35" s="2"/>
    </row>
    <row r="36" spans="1:31" ht="12.75" x14ac:dyDescent="0.2">
      <c r="A36" s="53">
        <f ca="1">IFERROR(__xludf.DUMMYFUNCTION("""COMPUTED_VALUE"""),1)</f>
        <v>1</v>
      </c>
      <c r="B36" s="53"/>
      <c r="C36" s="53"/>
      <c r="D36" s="53" t="str">
        <f ca="1">IFERROR(__xludf.DUMMYFUNCTION("""COMPUTED_VALUE"""),"Cần Giờ")</f>
        <v>Cần Giờ</v>
      </c>
      <c r="E36" s="54">
        <f ca="1">IFERROR(__xludf.DUMMYFUNCTION("""COMPUTED_VALUE"""),40)</f>
        <v>40</v>
      </c>
      <c r="F36" s="54">
        <f ca="1">IFERROR(__xludf.DUMMYFUNCTION("""COMPUTED_VALUE"""),39)</f>
        <v>39</v>
      </c>
      <c r="G36" s="51">
        <f t="shared" ca="1" si="0"/>
        <v>0.97499999999999998</v>
      </c>
      <c r="H36" s="54">
        <f ca="1">IFERROR(__xludf.DUMMYFUNCTION("""COMPUTED_VALUE"""),39)</f>
        <v>39</v>
      </c>
      <c r="I36" s="51">
        <f t="shared" ca="1" si="1"/>
        <v>0.97499999999999998</v>
      </c>
      <c r="J36" s="54">
        <f ca="1">IFERROR(__xludf.DUMMYFUNCTION("""COMPUTED_VALUE"""),38)</f>
        <v>38</v>
      </c>
      <c r="K36" s="51">
        <f t="shared" ca="1" si="2"/>
        <v>0.95</v>
      </c>
      <c r="L36" s="54">
        <f ca="1">IFERROR(__xludf.DUMMYFUNCTION("""COMPUTED_VALUE"""),26)</f>
        <v>26</v>
      </c>
      <c r="M36" s="51">
        <f t="shared" ca="1" si="3"/>
        <v>0.65</v>
      </c>
      <c r="N36" s="53"/>
      <c r="O36" s="53"/>
      <c r="P36" s="51" t="str">
        <f t="shared" si="4"/>
        <v/>
      </c>
      <c r="Q36" s="53"/>
      <c r="R36" s="51" t="str">
        <f t="shared" si="5"/>
        <v/>
      </c>
      <c r="S36" s="54">
        <f ca="1">IFERROR(__xludf.DUMMYFUNCTION("""COMPUTED_VALUE"""),421)</f>
        <v>421</v>
      </c>
      <c r="T36" s="54">
        <f ca="1">IFERROR(__xludf.DUMMYFUNCTION("""COMPUTED_VALUE"""),416)</f>
        <v>416</v>
      </c>
      <c r="U36" s="51">
        <f t="shared" ca="1" si="6"/>
        <v>0.98812351543942989</v>
      </c>
      <c r="V36" s="54">
        <f ca="1">IFERROR(__xludf.DUMMYFUNCTION("""COMPUTED_VALUE"""),386)</f>
        <v>386</v>
      </c>
      <c r="W36" s="51">
        <f t="shared" ca="1" si="7"/>
        <v>0.91686460807600945</v>
      </c>
      <c r="X36" s="54">
        <f ca="1">IFERROR(__xludf.DUMMYFUNCTION("""COMPUTED_VALUE"""),208)</f>
        <v>208</v>
      </c>
      <c r="Y36" s="51">
        <f t="shared" ca="1" si="8"/>
        <v>0.49406175771971494</v>
      </c>
      <c r="Z36" s="2"/>
      <c r="AA36" s="2"/>
      <c r="AB36" s="2"/>
      <c r="AC36" s="2"/>
      <c r="AD36" s="2"/>
      <c r="AE36" s="2"/>
    </row>
    <row r="37" spans="1:31" ht="12.75" x14ac:dyDescent="0.2">
      <c r="A37" s="53">
        <f ca="1">IFERROR(__xludf.DUMMYFUNCTION("""COMPUTED_VALUE"""),2)</f>
        <v>2</v>
      </c>
      <c r="B37" s="53" t="str">
        <f ca="1">IFERROR(__xludf.DUMMYFUNCTION("""COMPUTED_VALUE"""),"THCS Long Hòa")</f>
        <v>THCS Long Hòa</v>
      </c>
      <c r="C37" s="53" t="str">
        <f ca="1">IFERROR(__xludf.DUMMYFUNCTION("""COMPUTED_VALUE"""),"THCS")</f>
        <v>THCS</v>
      </c>
      <c r="D37" s="53" t="str">
        <f ca="1">IFERROR(__xludf.DUMMYFUNCTION("""COMPUTED_VALUE"""),"Cần Giờ")</f>
        <v>Cần Giờ</v>
      </c>
      <c r="E37" s="54">
        <f ca="1">IFERROR(__xludf.DUMMYFUNCTION("""COMPUTED_VALUE"""),42)</f>
        <v>42</v>
      </c>
      <c r="F37" s="54">
        <f ca="1">IFERROR(__xludf.DUMMYFUNCTION("""COMPUTED_VALUE"""),42)</f>
        <v>42</v>
      </c>
      <c r="G37" s="51">
        <f t="shared" ca="1" si="0"/>
        <v>1</v>
      </c>
      <c r="H37" s="54">
        <f ca="1">IFERROR(__xludf.DUMMYFUNCTION("""COMPUTED_VALUE"""),42)</f>
        <v>42</v>
      </c>
      <c r="I37" s="51">
        <f t="shared" ca="1" si="1"/>
        <v>1</v>
      </c>
      <c r="J37" s="54">
        <f ca="1">IFERROR(__xludf.DUMMYFUNCTION("""COMPUTED_VALUE"""),42)</f>
        <v>42</v>
      </c>
      <c r="K37" s="51">
        <f t="shared" ca="1" si="2"/>
        <v>1</v>
      </c>
      <c r="L37" s="54">
        <f ca="1">IFERROR(__xludf.DUMMYFUNCTION("""COMPUTED_VALUE"""),34)</f>
        <v>34</v>
      </c>
      <c r="M37" s="51">
        <f t="shared" ca="1" si="3"/>
        <v>0.80952380952380953</v>
      </c>
      <c r="N37" s="53"/>
      <c r="O37" s="53"/>
      <c r="P37" s="51" t="str">
        <f t="shared" si="4"/>
        <v/>
      </c>
      <c r="Q37" s="53"/>
      <c r="R37" s="51" t="str">
        <f t="shared" si="5"/>
        <v/>
      </c>
      <c r="S37" s="54">
        <f ca="1">IFERROR(__xludf.DUMMYFUNCTION("""COMPUTED_VALUE"""),608)</f>
        <v>608</v>
      </c>
      <c r="T37" s="54">
        <f ca="1">IFERROR(__xludf.DUMMYFUNCTION("""COMPUTED_VALUE"""),597)</f>
        <v>597</v>
      </c>
      <c r="U37" s="51">
        <f t="shared" ca="1" si="6"/>
        <v>0.98190789473684215</v>
      </c>
      <c r="V37" s="54">
        <f ca="1">IFERROR(__xludf.DUMMYFUNCTION("""COMPUTED_VALUE"""),489)</f>
        <v>489</v>
      </c>
      <c r="W37" s="51">
        <f t="shared" ca="1" si="7"/>
        <v>0.80427631578947367</v>
      </c>
      <c r="X37" s="54">
        <f ca="1">IFERROR(__xludf.DUMMYFUNCTION("""COMPUTED_VALUE"""),246)</f>
        <v>246</v>
      </c>
      <c r="Y37" s="51">
        <f t="shared" ca="1" si="8"/>
        <v>0.40460526315789475</v>
      </c>
      <c r="Z37" s="2"/>
      <c r="AA37" s="2"/>
      <c r="AB37" s="2"/>
      <c r="AC37" s="2"/>
      <c r="AD37" s="2"/>
      <c r="AE37" s="2"/>
    </row>
    <row r="38" spans="1:31" ht="12.75" x14ac:dyDescent="0.2">
      <c r="A38" s="53">
        <f ca="1">IFERROR(__xludf.DUMMYFUNCTION("""COMPUTED_VALUE"""),3)</f>
        <v>3</v>
      </c>
      <c r="B38" s="53" t="str">
        <f ca="1">IFERROR(__xludf.DUMMYFUNCTION("""COMPUTED_VALUE"""),"THCS An Thới Đông")</f>
        <v>THCS An Thới Đông</v>
      </c>
      <c r="C38" s="53" t="str">
        <f ca="1">IFERROR(__xludf.DUMMYFUNCTION("""COMPUTED_VALUE"""),"THCS")</f>
        <v>THCS</v>
      </c>
      <c r="D38" s="53" t="str">
        <f ca="1">IFERROR(__xludf.DUMMYFUNCTION("""COMPUTED_VALUE"""),"Cần Giờ")</f>
        <v>Cần Giờ</v>
      </c>
      <c r="E38" s="54">
        <f ca="1">IFERROR(__xludf.DUMMYFUNCTION("""COMPUTED_VALUE"""),49)</f>
        <v>49</v>
      </c>
      <c r="F38" s="54">
        <f ca="1">IFERROR(__xludf.DUMMYFUNCTION("""COMPUTED_VALUE"""),49)</f>
        <v>49</v>
      </c>
      <c r="G38" s="51">
        <f t="shared" ca="1" si="0"/>
        <v>1</v>
      </c>
      <c r="H38" s="54">
        <f ca="1">IFERROR(__xludf.DUMMYFUNCTION("""COMPUTED_VALUE"""),49)</f>
        <v>49</v>
      </c>
      <c r="I38" s="51">
        <f t="shared" ca="1" si="1"/>
        <v>1</v>
      </c>
      <c r="J38" s="54">
        <f ca="1">IFERROR(__xludf.DUMMYFUNCTION("""COMPUTED_VALUE"""),49)</f>
        <v>49</v>
      </c>
      <c r="K38" s="51">
        <f t="shared" ca="1" si="2"/>
        <v>1</v>
      </c>
      <c r="L38" s="54">
        <f ca="1">IFERROR(__xludf.DUMMYFUNCTION("""COMPUTED_VALUE"""),47)</f>
        <v>47</v>
      </c>
      <c r="M38" s="51">
        <f t="shared" ca="1" si="3"/>
        <v>0.95918367346938771</v>
      </c>
      <c r="N38" s="53"/>
      <c r="O38" s="53"/>
      <c r="P38" s="51" t="str">
        <f t="shared" si="4"/>
        <v/>
      </c>
      <c r="Q38" s="53"/>
      <c r="R38" s="51" t="str">
        <f t="shared" si="5"/>
        <v/>
      </c>
      <c r="S38" s="54">
        <f ca="1">IFERROR(__xludf.DUMMYFUNCTION("""COMPUTED_VALUE"""),708)</f>
        <v>708</v>
      </c>
      <c r="T38" s="53">
        <f ca="1">IFERROR(__xludf.DUMMYFUNCTION("""COMPUTED_VALUE"""),703)</f>
        <v>703</v>
      </c>
      <c r="U38" s="51">
        <f t="shared" ca="1" si="6"/>
        <v>0.99293785310734461</v>
      </c>
      <c r="V38" s="54">
        <f ca="1">IFERROR(__xludf.DUMMYFUNCTION("""COMPUTED_VALUE"""),683)</f>
        <v>683</v>
      </c>
      <c r="W38" s="51">
        <f t="shared" ca="1" si="7"/>
        <v>0.96468926553672318</v>
      </c>
      <c r="X38" s="54">
        <f ca="1">IFERROR(__xludf.DUMMYFUNCTION("""COMPUTED_VALUE"""),375)</f>
        <v>375</v>
      </c>
      <c r="Y38" s="51">
        <f t="shared" ca="1" si="8"/>
        <v>0.52966101694915257</v>
      </c>
      <c r="Z38" s="2"/>
      <c r="AA38" s="2"/>
      <c r="AB38" s="2"/>
      <c r="AC38" s="2"/>
      <c r="AD38" s="2"/>
      <c r="AE38" s="2"/>
    </row>
    <row r="39" spans="1:31" ht="12.75" x14ac:dyDescent="0.2">
      <c r="A39" s="53">
        <f ca="1">IFERROR(__xludf.DUMMYFUNCTION("""COMPUTED_VALUE"""),4)</f>
        <v>4</v>
      </c>
      <c r="B39" s="53" t="str">
        <f ca="1">IFERROR(__xludf.DUMMYFUNCTION("""COMPUTED_VALUE"""),"Trường THCS Cần Thạnh")</f>
        <v>Trường THCS Cần Thạnh</v>
      </c>
      <c r="C39" s="53" t="str">
        <f ca="1">IFERROR(__xludf.DUMMYFUNCTION("""COMPUTED_VALUE"""),"THCS")</f>
        <v>THCS</v>
      </c>
      <c r="D39" s="53" t="str">
        <f ca="1">IFERROR(__xludf.DUMMYFUNCTION("""COMPUTED_VALUE"""),"Cần Giờ")</f>
        <v>Cần Giờ</v>
      </c>
      <c r="E39" s="54">
        <f ca="1">IFERROR(__xludf.DUMMYFUNCTION("""COMPUTED_VALUE"""),46)</f>
        <v>46</v>
      </c>
      <c r="F39" s="54">
        <f ca="1">IFERROR(__xludf.DUMMYFUNCTION("""COMPUTED_VALUE"""),46)</f>
        <v>46</v>
      </c>
      <c r="G39" s="51">
        <f t="shared" ca="1" si="0"/>
        <v>1</v>
      </c>
      <c r="H39" s="54">
        <f ca="1">IFERROR(__xludf.DUMMYFUNCTION("""COMPUTED_VALUE"""),46)</f>
        <v>46</v>
      </c>
      <c r="I39" s="51">
        <f t="shared" ca="1" si="1"/>
        <v>1</v>
      </c>
      <c r="J39" s="54">
        <f ca="1">IFERROR(__xludf.DUMMYFUNCTION("""COMPUTED_VALUE"""),46)</f>
        <v>46</v>
      </c>
      <c r="K39" s="51">
        <f t="shared" ca="1" si="2"/>
        <v>1</v>
      </c>
      <c r="L39" s="54">
        <f ca="1">IFERROR(__xludf.DUMMYFUNCTION("""COMPUTED_VALUE"""),42)</f>
        <v>42</v>
      </c>
      <c r="M39" s="51">
        <f t="shared" ca="1" si="3"/>
        <v>0.91304347826086951</v>
      </c>
      <c r="N39" s="53"/>
      <c r="O39" s="53"/>
      <c r="P39" s="51" t="str">
        <f t="shared" si="4"/>
        <v/>
      </c>
      <c r="Q39" s="53"/>
      <c r="R39" s="51" t="str">
        <f t="shared" si="5"/>
        <v/>
      </c>
      <c r="S39" s="54">
        <f ca="1">IFERROR(__xludf.DUMMYFUNCTION("""COMPUTED_VALUE"""),1350)</f>
        <v>1350</v>
      </c>
      <c r="T39" s="54">
        <f ca="1">IFERROR(__xludf.DUMMYFUNCTION("""COMPUTED_VALUE"""),1326)</f>
        <v>1326</v>
      </c>
      <c r="U39" s="51">
        <f t="shared" ca="1" si="6"/>
        <v>0.98222222222222222</v>
      </c>
      <c r="V39" s="54">
        <f ca="1">IFERROR(__xludf.DUMMYFUNCTION("""COMPUTED_VALUE"""),1269)</f>
        <v>1269</v>
      </c>
      <c r="W39" s="51">
        <f t="shared" ca="1" si="7"/>
        <v>0.94</v>
      </c>
      <c r="X39" s="54">
        <f ca="1">IFERROR(__xludf.DUMMYFUNCTION("""COMPUTED_VALUE"""),644)</f>
        <v>644</v>
      </c>
      <c r="Y39" s="51">
        <f t="shared" ca="1" si="8"/>
        <v>0.47703703703703704</v>
      </c>
      <c r="Z39" s="2"/>
      <c r="AA39" s="2"/>
      <c r="AB39" s="2"/>
      <c r="AC39" s="2"/>
      <c r="AD39" s="2"/>
      <c r="AE39" s="2"/>
    </row>
    <row r="40" spans="1:31" ht="12.75" x14ac:dyDescent="0.2">
      <c r="A40" s="53">
        <f ca="1">IFERROR(__xludf.DUMMYFUNCTION("""COMPUTED_VALUE"""),5)</f>
        <v>5</v>
      </c>
      <c r="B40" s="53" t="str">
        <f ca="1">IFERROR(__xludf.DUMMYFUNCTION("""COMPUTED_VALUE"""),"Trường THCS Bình Khánh")</f>
        <v>Trường THCS Bình Khánh</v>
      </c>
      <c r="C40" s="53" t="str">
        <f ca="1">IFERROR(__xludf.DUMMYFUNCTION("""COMPUTED_VALUE"""),"THCS")</f>
        <v>THCS</v>
      </c>
      <c r="D40" s="53" t="str">
        <f ca="1">IFERROR(__xludf.DUMMYFUNCTION("""COMPUTED_VALUE"""),"Cần Giờ")</f>
        <v>Cần Giờ</v>
      </c>
      <c r="E40" s="54">
        <f ca="1">IFERROR(__xludf.DUMMYFUNCTION("""COMPUTED_VALUE"""),77)</f>
        <v>77</v>
      </c>
      <c r="F40" s="54">
        <f ca="1">IFERROR(__xludf.DUMMYFUNCTION("""COMPUTED_VALUE"""),77)</f>
        <v>77</v>
      </c>
      <c r="G40" s="51">
        <f t="shared" ca="1" si="0"/>
        <v>1</v>
      </c>
      <c r="H40" s="54">
        <f ca="1">IFERROR(__xludf.DUMMYFUNCTION("""COMPUTED_VALUE"""),77)</f>
        <v>77</v>
      </c>
      <c r="I40" s="51">
        <f t="shared" ca="1" si="1"/>
        <v>1</v>
      </c>
      <c r="J40" s="54">
        <f ca="1">IFERROR(__xludf.DUMMYFUNCTION("""COMPUTED_VALUE"""),77)</f>
        <v>77</v>
      </c>
      <c r="K40" s="51">
        <f t="shared" ca="1" si="2"/>
        <v>1</v>
      </c>
      <c r="L40" s="54">
        <f ca="1">IFERROR(__xludf.DUMMYFUNCTION("""COMPUTED_VALUE"""),56)</f>
        <v>56</v>
      </c>
      <c r="M40" s="51">
        <f t="shared" ca="1" si="3"/>
        <v>0.72727272727272729</v>
      </c>
      <c r="N40" s="53"/>
      <c r="O40" s="53"/>
      <c r="P40" s="51" t="str">
        <f t="shared" si="4"/>
        <v/>
      </c>
      <c r="Q40" s="53"/>
      <c r="R40" s="51" t="str">
        <f t="shared" si="5"/>
        <v/>
      </c>
      <c r="S40" s="54">
        <f ca="1">IFERROR(__xludf.DUMMYFUNCTION("""COMPUTED_VALUE"""),678)</f>
        <v>678</v>
      </c>
      <c r="T40" s="54">
        <f ca="1">IFERROR(__xludf.DUMMYFUNCTION("""COMPUTED_VALUE"""),639)</f>
        <v>639</v>
      </c>
      <c r="U40" s="51">
        <f t="shared" ca="1" si="6"/>
        <v>0.94247787610619471</v>
      </c>
      <c r="V40" s="54">
        <f ca="1">IFERROR(__xludf.DUMMYFUNCTION("""COMPUTED_VALUE"""),525)</f>
        <v>525</v>
      </c>
      <c r="W40" s="51">
        <f t="shared" ca="1" si="7"/>
        <v>0.77433628318584069</v>
      </c>
      <c r="X40" s="54">
        <f ca="1">IFERROR(__xludf.DUMMYFUNCTION("""COMPUTED_VALUE"""),353)</f>
        <v>353</v>
      </c>
      <c r="Y40" s="51">
        <f t="shared" ca="1" si="8"/>
        <v>0.52064896755162238</v>
      </c>
      <c r="Z40" s="2"/>
      <c r="AA40" s="2"/>
      <c r="AB40" s="2"/>
      <c r="AC40" s="2"/>
      <c r="AD40" s="2"/>
      <c r="AE40" s="2"/>
    </row>
    <row r="41" spans="1:31" ht="12.75" x14ac:dyDescent="0.2">
      <c r="A41" s="53">
        <f ca="1">IFERROR(__xludf.DUMMYFUNCTION("""COMPUTED_VALUE"""),6)</f>
        <v>6</v>
      </c>
      <c r="B41" s="53" t="str">
        <f ca="1">IFERROR(__xludf.DUMMYFUNCTION("""COMPUTED_VALUE"""),"THCS Doi Lầu")</f>
        <v>THCS Doi Lầu</v>
      </c>
      <c r="C41" s="53" t="str">
        <f ca="1">IFERROR(__xludf.DUMMYFUNCTION("""COMPUTED_VALUE"""),"THCS")</f>
        <v>THCS</v>
      </c>
      <c r="D41" s="53" t="str">
        <f ca="1">IFERROR(__xludf.DUMMYFUNCTION("""COMPUTED_VALUE"""),"Cần Giờ")</f>
        <v>Cần Giờ</v>
      </c>
      <c r="E41" s="54">
        <f ca="1">IFERROR(__xludf.DUMMYFUNCTION("""COMPUTED_VALUE"""),28)</f>
        <v>28</v>
      </c>
      <c r="F41" s="54">
        <f ca="1">IFERROR(__xludf.DUMMYFUNCTION("""COMPUTED_VALUE"""),28)</f>
        <v>28</v>
      </c>
      <c r="G41" s="51">
        <f t="shared" ca="1" si="0"/>
        <v>1</v>
      </c>
      <c r="H41" s="54">
        <f ca="1">IFERROR(__xludf.DUMMYFUNCTION("""COMPUTED_VALUE"""),28)</f>
        <v>28</v>
      </c>
      <c r="I41" s="51">
        <f t="shared" ca="1" si="1"/>
        <v>1</v>
      </c>
      <c r="J41" s="54">
        <f ca="1">IFERROR(__xludf.DUMMYFUNCTION("""COMPUTED_VALUE"""),25)</f>
        <v>25</v>
      </c>
      <c r="K41" s="51">
        <f t="shared" ca="1" si="2"/>
        <v>0.8928571428571429</v>
      </c>
      <c r="L41" s="54">
        <f ca="1">IFERROR(__xludf.DUMMYFUNCTION("""COMPUTED_VALUE"""),16)</f>
        <v>16</v>
      </c>
      <c r="M41" s="51">
        <f t="shared" ca="1" si="3"/>
        <v>0.5714285714285714</v>
      </c>
      <c r="N41" s="53"/>
      <c r="O41" s="53"/>
      <c r="P41" s="51" t="str">
        <f t="shared" si="4"/>
        <v/>
      </c>
      <c r="Q41" s="53"/>
      <c r="R41" s="51" t="str">
        <f t="shared" si="5"/>
        <v/>
      </c>
      <c r="S41" s="54">
        <f ca="1">IFERROR(__xludf.DUMMYFUNCTION("""COMPUTED_VALUE"""),246)</f>
        <v>246</v>
      </c>
      <c r="T41" s="54">
        <f ca="1">IFERROR(__xludf.DUMMYFUNCTION("""COMPUTED_VALUE"""),242)</f>
        <v>242</v>
      </c>
      <c r="U41" s="51">
        <f t="shared" ca="1" si="6"/>
        <v>0.98373983739837401</v>
      </c>
      <c r="V41" s="54">
        <f ca="1">IFERROR(__xludf.DUMMYFUNCTION("""COMPUTED_VALUE"""),228)</f>
        <v>228</v>
      </c>
      <c r="W41" s="51">
        <f t="shared" ca="1" si="7"/>
        <v>0.92682926829268297</v>
      </c>
      <c r="X41" s="54">
        <f ca="1">IFERROR(__xludf.DUMMYFUNCTION("""COMPUTED_VALUE"""),79)</f>
        <v>79</v>
      </c>
      <c r="Y41" s="51">
        <f t="shared" ca="1" si="8"/>
        <v>0.32113821138211385</v>
      </c>
      <c r="Z41" s="2"/>
      <c r="AA41" s="2"/>
      <c r="AB41" s="2"/>
      <c r="AC41" s="2"/>
      <c r="AD41" s="2"/>
      <c r="AE41" s="2"/>
    </row>
    <row r="42" spans="1:31" ht="12.75" x14ac:dyDescent="0.2">
      <c r="A42" s="53">
        <f ca="1">IFERROR(__xludf.DUMMYFUNCTION("""COMPUTED_VALUE"""),7)</f>
        <v>7</v>
      </c>
      <c r="B42" s="53" t="str">
        <f ca="1">IFERROR(__xludf.DUMMYFUNCTION("""COMPUTED_VALUE"""),"THCS Lý Nhơn")</f>
        <v>THCS Lý Nhơn</v>
      </c>
      <c r="C42" s="53" t="str">
        <f ca="1">IFERROR(__xludf.DUMMYFUNCTION("""COMPUTED_VALUE"""),"THCS")</f>
        <v>THCS</v>
      </c>
      <c r="D42" s="53" t="str">
        <f ca="1">IFERROR(__xludf.DUMMYFUNCTION("""COMPUTED_VALUE"""),"Cần Giờ")</f>
        <v>Cần Giờ</v>
      </c>
      <c r="E42" s="54">
        <f ca="1">IFERROR(__xludf.DUMMYFUNCTION("""COMPUTED_VALUE"""),27)</f>
        <v>27</v>
      </c>
      <c r="F42" s="54">
        <f ca="1">IFERROR(__xludf.DUMMYFUNCTION("""COMPUTED_VALUE"""),27)</f>
        <v>27</v>
      </c>
      <c r="G42" s="51">
        <f t="shared" ca="1" si="0"/>
        <v>1</v>
      </c>
      <c r="H42" s="54">
        <f ca="1">IFERROR(__xludf.DUMMYFUNCTION("""COMPUTED_VALUE"""),27)</f>
        <v>27</v>
      </c>
      <c r="I42" s="51">
        <f t="shared" ca="1" si="1"/>
        <v>1</v>
      </c>
      <c r="J42" s="54">
        <f ca="1">IFERROR(__xludf.DUMMYFUNCTION("""COMPUTED_VALUE"""),27)</f>
        <v>27</v>
      </c>
      <c r="K42" s="51">
        <f t="shared" ca="1" si="2"/>
        <v>1</v>
      </c>
      <c r="L42" s="54">
        <f ca="1">IFERROR(__xludf.DUMMYFUNCTION("""COMPUTED_VALUE"""),20)</f>
        <v>20</v>
      </c>
      <c r="M42" s="51">
        <f t="shared" ca="1" si="3"/>
        <v>0.7407407407407407</v>
      </c>
      <c r="N42" s="53"/>
      <c r="O42" s="53"/>
      <c r="P42" s="51" t="str">
        <f t="shared" si="4"/>
        <v/>
      </c>
      <c r="Q42" s="53"/>
      <c r="R42" s="51" t="str">
        <f t="shared" si="5"/>
        <v/>
      </c>
      <c r="S42" s="54">
        <f ca="1">IFERROR(__xludf.DUMMYFUNCTION("""COMPUTED_VALUE"""),271)</f>
        <v>271</v>
      </c>
      <c r="T42" s="54">
        <f ca="1">IFERROR(__xludf.DUMMYFUNCTION("""COMPUTED_VALUE"""),263)</f>
        <v>263</v>
      </c>
      <c r="U42" s="51">
        <f t="shared" ca="1" si="6"/>
        <v>0.97047970479704793</v>
      </c>
      <c r="V42" s="54">
        <f ca="1">IFERROR(__xludf.DUMMYFUNCTION("""COMPUTED_VALUE"""),250)</f>
        <v>250</v>
      </c>
      <c r="W42" s="51">
        <f t="shared" ca="1" si="7"/>
        <v>0.92250922509225097</v>
      </c>
      <c r="X42" s="54">
        <f ca="1">IFERROR(__xludf.DUMMYFUNCTION("""COMPUTED_VALUE"""),147)</f>
        <v>147</v>
      </c>
      <c r="Y42" s="51">
        <f t="shared" ca="1" si="8"/>
        <v>0.54243542435424352</v>
      </c>
      <c r="Z42" s="2"/>
      <c r="AA42" s="2"/>
      <c r="AB42" s="2"/>
      <c r="AC42" s="2"/>
      <c r="AD42" s="2"/>
      <c r="AE42" s="2"/>
    </row>
    <row r="43" spans="1:31" ht="12.75" x14ac:dyDescent="0.2">
      <c r="A43" s="52" t="str">
        <f ca="1">IFERROR(__xludf.DUMMYFUNCTION("""COMPUTED_VALUE"""),"THPT")</f>
        <v>THPT</v>
      </c>
      <c r="B43" s="53"/>
      <c r="C43" s="53"/>
      <c r="D43" s="53"/>
      <c r="E43" s="53"/>
      <c r="F43" s="53"/>
      <c r="G43" s="51" t="str">
        <f t="shared" si="0"/>
        <v/>
      </c>
      <c r="H43" s="53"/>
      <c r="I43" s="51" t="str">
        <f t="shared" si="1"/>
        <v/>
      </c>
      <c r="J43" s="53"/>
      <c r="K43" s="51" t="str">
        <f t="shared" si="2"/>
        <v/>
      </c>
      <c r="L43" s="53"/>
      <c r="M43" s="51" t="str">
        <f t="shared" si="3"/>
        <v/>
      </c>
      <c r="N43" s="53"/>
      <c r="O43" s="53"/>
      <c r="P43" s="51" t="str">
        <f t="shared" si="4"/>
        <v/>
      </c>
      <c r="Q43" s="53"/>
      <c r="R43" s="51" t="str">
        <f t="shared" si="5"/>
        <v/>
      </c>
      <c r="S43" s="53"/>
      <c r="T43" s="53"/>
      <c r="U43" s="51" t="str">
        <f t="shared" si="6"/>
        <v/>
      </c>
      <c r="V43" s="53"/>
      <c r="W43" s="51" t="str">
        <f t="shared" si="7"/>
        <v/>
      </c>
      <c r="X43" s="53"/>
      <c r="Y43" s="51" t="str">
        <f t="shared" si="8"/>
        <v/>
      </c>
      <c r="Z43" s="2"/>
      <c r="AA43" s="2"/>
      <c r="AB43" s="2"/>
      <c r="AC43" s="2"/>
      <c r="AD43" s="2"/>
      <c r="AE43" s="2"/>
    </row>
    <row r="44" spans="1:31" ht="12.75" x14ac:dyDescent="0.2">
      <c r="A44" s="53">
        <f ca="1">IFERROR(__xludf.DUMMYFUNCTION("""COMPUTED_VALUE"""),1)</f>
        <v>1</v>
      </c>
      <c r="B44" s="53" t="str">
        <f ca="1">IFERROR(__xludf.DUMMYFUNCTION("""COMPUTED_VALUE"""),"THPT Cần Thạnh")</f>
        <v>THPT Cần Thạnh</v>
      </c>
      <c r="C44" s="53" t="str">
        <f ca="1">IFERROR(__xludf.DUMMYFUNCTION("""COMPUTED_VALUE"""),"THPT")</f>
        <v>THPT</v>
      </c>
      <c r="D44" s="53" t="str">
        <f ca="1">IFERROR(__xludf.DUMMYFUNCTION("""COMPUTED_VALUE"""),"Cần Giờ")</f>
        <v>Cần Giờ</v>
      </c>
      <c r="E44" s="54">
        <f ca="1">IFERROR(__xludf.DUMMYFUNCTION("""COMPUTED_VALUE"""),50)</f>
        <v>50</v>
      </c>
      <c r="F44" s="54">
        <f ca="1">IFERROR(__xludf.DUMMYFUNCTION("""COMPUTED_VALUE"""),50)</f>
        <v>50</v>
      </c>
      <c r="G44" s="51">
        <f t="shared" ca="1" si="0"/>
        <v>1</v>
      </c>
      <c r="H44" s="54">
        <f ca="1">IFERROR(__xludf.DUMMYFUNCTION("""COMPUTED_VALUE"""),50)</f>
        <v>50</v>
      </c>
      <c r="I44" s="51">
        <f t="shared" ca="1" si="1"/>
        <v>1</v>
      </c>
      <c r="J44" s="54">
        <f ca="1">IFERROR(__xludf.DUMMYFUNCTION("""COMPUTED_VALUE"""),50)</f>
        <v>50</v>
      </c>
      <c r="K44" s="51">
        <f t="shared" ca="1" si="2"/>
        <v>1</v>
      </c>
      <c r="L44" s="54">
        <f ca="1">IFERROR(__xludf.DUMMYFUNCTION("""COMPUTED_VALUE"""),32)</f>
        <v>32</v>
      </c>
      <c r="M44" s="51">
        <f t="shared" ca="1" si="3"/>
        <v>0.64</v>
      </c>
      <c r="N44" s="53"/>
      <c r="O44" s="53"/>
      <c r="P44" s="51" t="str">
        <f t="shared" si="4"/>
        <v/>
      </c>
      <c r="Q44" s="53"/>
      <c r="R44" s="51" t="str">
        <f t="shared" si="5"/>
        <v/>
      </c>
      <c r="S44" s="54">
        <f ca="1">IFERROR(__xludf.DUMMYFUNCTION("""COMPUTED_VALUE"""),693)</f>
        <v>693</v>
      </c>
      <c r="T44" s="54">
        <f ca="1">IFERROR(__xludf.DUMMYFUNCTION("""COMPUTED_VALUE"""),692)</f>
        <v>692</v>
      </c>
      <c r="U44" s="51">
        <f t="shared" ca="1" si="6"/>
        <v>0.99855699855699853</v>
      </c>
      <c r="V44" s="54">
        <f ca="1">IFERROR(__xludf.DUMMYFUNCTION("""COMPUTED_VALUE"""),692)</f>
        <v>692</v>
      </c>
      <c r="W44" s="51">
        <f t="shared" ca="1" si="7"/>
        <v>0.99855699855699853</v>
      </c>
      <c r="X44" s="54">
        <f ca="1">IFERROR(__xludf.DUMMYFUNCTION("""COMPUTED_VALUE"""),674)</f>
        <v>674</v>
      </c>
      <c r="Y44" s="51">
        <f t="shared" ca="1" si="8"/>
        <v>0.97258297258297255</v>
      </c>
      <c r="Z44" s="2"/>
      <c r="AA44" s="2"/>
      <c r="AB44" s="2"/>
      <c r="AC44" s="2"/>
      <c r="AD44" s="2"/>
      <c r="AE44" s="2"/>
    </row>
    <row r="45" spans="1:31" ht="12.75" x14ac:dyDescent="0.2">
      <c r="A45" s="53">
        <f ca="1">IFERROR(__xludf.DUMMYFUNCTION("""COMPUTED_VALUE"""),2)</f>
        <v>2</v>
      </c>
      <c r="B45" s="53" t="str">
        <f ca="1">IFERROR(__xludf.DUMMYFUNCTION("""COMPUTED_VALUE"""),"THCSTHPT Thạnh An")</f>
        <v>THCSTHPT Thạnh An</v>
      </c>
      <c r="C45" s="53" t="str">
        <f ca="1">IFERROR(__xludf.DUMMYFUNCTION("""COMPUTED_VALUE"""),"THPT")</f>
        <v>THPT</v>
      </c>
      <c r="D45" s="53" t="str">
        <f ca="1">IFERROR(__xludf.DUMMYFUNCTION("""COMPUTED_VALUE"""),"Cần Giờ")</f>
        <v>Cần Giờ</v>
      </c>
      <c r="E45" s="54">
        <f ca="1">IFERROR(__xludf.DUMMYFUNCTION("""COMPUTED_VALUE"""),37)</f>
        <v>37</v>
      </c>
      <c r="F45" s="54">
        <f ca="1">IFERROR(__xludf.DUMMYFUNCTION("""COMPUTED_VALUE"""),37)</f>
        <v>37</v>
      </c>
      <c r="G45" s="51">
        <f t="shared" ca="1" si="0"/>
        <v>1</v>
      </c>
      <c r="H45" s="54">
        <f ca="1">IFERROR(__xludf.DUMMYFUNCTION("""COMPUTED_VALUE"""),37)</f>
        <v>37</v>
      </c>
      <c r="I45" s="51">
        <f t="shared" ca="1" si="1"/>
        <v>1</v>
      </c>
      <c r="J45" s="54">
        <f ca="1">IFERROR(__xludf.DUMMYFUNCTION("""COMPUTED_VALUE"""),37)</f>
        <v>37</v>
      </c>
      <c r="K45" s="51">
        <f t="shared" ca="1" si="2"/>
        <v>1</v>
      </c>
      <c r="L45" s="54">
        <f ca="1">IFERROR(__xludf.DUMMYFUNCTION("""COMPUTED_VALUE"""),27)</f>
        <v>27</v>
      </c>
      <c r="M45" s="51">
        <f t="shared" ca="1" si="3"/>
        <v>0.72972972972972971</v>
      </c>
      <c r="N45" s="53"/>
      <c r="O45" s="53"/>
      <c r="P45" s="51" t="str">
        <f t="shared" si="4"/>
        <v/>
      </c>
      <c r="Q45" s="53"/>
      <c r="R45" s="51" t="str">
        <f t="shared" si="5"/>
        <v/>
      </c>
      <c r="S45" s="54">
        <f ca="1">IFERROR(__xludf.DUMMYFUNCTION("""COMPUTED_VALUE"""),266)</f>
        <v>266</v>
      </c>
      <c r="T45" s="53">
        <f ca="1">IFERROR(__xludf.DUMMYFUNCTION("""COMPUTED_VALUE"""),265)</f>
        <v>265</v>
      </c>
      <c r="U45" s="51">
        <f t="shared" ca="1" si="6"/>
        <v>0.99624060150375937</v>
      </c>
      <c r="V45" s="54">
        <f ca="1">IFERROR(__xludf.DUMMYFUNCTION("""COMPUTED_VALUE"""),261)</f>
        <v>261</v>
      </c>
      <c r="W45" s="51">
        <f t="shared" ca="1" si="7"/>
        <v>0.98120300751879697</v>
      </c>
      <c r="X45" s="54">
        <f ca="1">IFERROR(__xludf.DUMMYFUNCTION("""COMPUTED_VALUE"""),200)</f>
        <v>200</v>
      </c>
      <c r="Y45" s="51">
        <f t="shared" ca="1" si="8"/>
        <v>0.75187969924812026</v>
      </c>
      <c r="Z45" s="2"/>
      <c r="AA45" s="2"/>
      <c r="AB45" s="2"/>
      <c r="AC45" s="2"/>
      <c r="AD45" s="2"/>
      <c r="AE45" s="2"/>
    </row>
    <row r="46" spans="1:31" ht="12.75" x14ac:dyDescent="0.2">
      <c r="A46" s="53">
        <f ca="1">IFERROR(__xludf.DUMMYFUNCTION("""COMPUTED_VALUE"""),3)</f>
        <v>3</v>
      </c>
      <c r="B46" s="53" t="str">
        <f ca="1">IFERROR(__xludf.DUMMYFUNCTION("""COMPUTED_VALUE"""),"THPT Binh Khanh")</f>
        <v>THPT Binh Khanh</v>
      </c>
      <c r="C46" s="53" t="str">
        <f ca="1">IFERROR(__xludf.DUMMYFUNCTION("""COMPUTED_VALUE"""),"THPT")</f>
        <v>THPT</v>
      </c>
      <c r="D46" s="53" t="str">
        <f ca="1">IFERROR(__xludf.DUMMYFUNCTION("""COMPUTED_VALUE"""),"Cần Giờ")</f>
        <v>Cần Giờ</v>
      </c>
      <c r="E46" s="54">
        <f ca="1">IFERROR(__xludf.DUMMYFUNCTION("""COMPUTED_VALUE"""),55)</f>
        <v>55</v>
      </c>
      <c r="F46" s="54">
        <f ca="1">IFERROR(__xludf.DUMMYFUNCTION("""COMPUTED_VALUE"""),55)</f>
        <v>55</v>
      </c>
      <c r="G46" s="51">
        <f t="shared" ca="1" si="0"/>
        <v>1</v>
      </c>
      <c r="H46" s="54">
        <f ca="1">IFERROR(__xludf.DUMMYFUNCTION("""COMPUTED_VALUE"""),55)</f>
        <v>55</v>
      </c>
      <c r="I46" s="51">
        <f t="shared" ca="1" si="1"/>
        <v>1</v>
      </c>
      <c r="J46" s="54">
        <f ca="1">IFERROR(__xludf.DUMMYFUNCTION("""COMPUTED_VALUE"""),55)</f>
        <v>55</v>
      </c>
      <c r="K46" s="51">
        <f t="shared" ca="1" si="2"/>
        <v>1</v>
      </c>
      <c r="L46" s="54">
        <f ca="1">IFERROR(__xludf.DUMMYFUNCTION("""COMPUTED_VALUE"""),49)</f>
        <v>49</v>
      </c>
      <c r="M46" s="51">
        <f t="shared" ca="1" si="3"/>
        <v>0.89090909090909087</v>
      </c>
      <c r="N46" s="53"/>
      <c r="O46" s="53"/>
      <c r="P46" s="51" t="str">
        <f t="shared" si="4"/>
        <v/>
      </c>
      <c r="Q46" s="53"/>
      <c r="R46" s="51" t="str">
        <f t="shared" si="5"/>
        <v/>
      </c>
      <c r="S46" s="54">
        <f ca="1">IFERROR(__xludf.DUMMYFUNCTION("""COMPUTED_VALUE"""),733)</f>
        <v>733</v>
      </c>
      <c r="T46" s="53">
        <f ca="1">IFERROR(__xludf.DUMMYFUNCTION("""COMPUTED_VALUE"""),733)</f>
        <v>733</v>
      </c>
      <c r="U46" s="51">
        <f t="shared" ca="1" si="6"/>
        <v>1</v>
      </c>
      <c r="V46" s="54">
        <f ca="1">IFERROR(__xludf.DUMMYFUNCTION("""COMPUTED_VALUE"""),733)</f>
        <v>733</v>
      </c>
      <c r="W46" s="51">
        <f t="shared" ca="1" si="7"/>
        <v>1</v>
      </c>
      <c r="X46" s="54">
        <f ca="1">IFERROR(__xludf.DUMMYFUNCTION("""COMPUTED_VALUE"""),606)</f>
        <v>606</v>
      </c>
      <c r="Y46" s="51">
        <f t="shared" ca="1" si="8"/>
        <v>0.82673942701227832</v>
      </c>
      <c r="Z46" s="2"/>
      <c r="AA46" s="2"/>
      <c r="AB46" s="2"/>
      <c r="AC46" s="2"/>
      <c r="AD46" s="2"/>
      <c r="AE46" s="2"/>
    </row>
    <row r="47" spans="1:31" ht="12.75" x14ac:dyDescent="0.2">
      <c r="A47" s="53">
        <f ca="1">IFERROR(__xludf.DUMMYFUNCTION("""COMPUTED_VALUE"""),4)</f>
        <v>4</v>
      </c>
      <c r="B47" s="53" t="str">
        <f ca="1">IFERROR(__xludf.DUMMYFUNCTION("""COMPUTED_VALUE"""),"THPT An Nghĩa")</f>
        <v>THPT An Nghĩa</v>
      </c>
      <c r="C47" s="53" t="str">
        <f ca="1">IFERROR(__xludf.DUMMYFUNCTION("""COMPUTED_VALUE"""),"THPT")</f>
        <v>THPT</v>
      </c>
      <c r="D47" s="53" t="str">
        <f ca="1">IFERROR(__xludf.DUMMYFUNCTION("""COMPUTED_VALUE"""),"Cần Giờ")</f>
        <v>Cần Giờ</v>
      </c>
      <c r="E47" s="54">
        <f ca="1">IFERROR(__xludf.DUMMYFUNCTION("""COMPUTED_VALUE"""),63)</f>
        <v>63</v>
      </c>
      <c r="F47" s="54">
        <f ca="1">IFERROR(__xludf.DUMMYFUNCTION("""COMPUTED_VALUE"""),63)</f>
        <v>63</v>
      </c>
      <c r="G47" s="51">
        <f t="shared" ca="1" si="0"/>
        <v>1</v>
      </c>
      <c r="H47" s="54">
        <f ca="1">IFERROR(__xludf.DUMMYFUNCTION("""COMPUTED_VALUE"""),63)</f>
        <v>63</v>
      </c>
      <c r="I47" s="51">
        <f t="shared" ca="1" si="1"/>
        <v>1</v>
      </c>
      <c r="J47" s="54">
        <f ca="1">IFERROR(__xludf.DUMMYFUNCTION("""COMPUTED_VALUE"""),63)</f>
        <v>63</v>
      </c>
      <c r="K47" s="51">
        <f t="shared" ca="1" si="2"/>
        <v>1</v>
      </c>
      <c r="L47" s="54">
        <f ca="1">IFERROR(__xludf.DUMMYFUNCTION("""COMPUTED_VALUE"""),62)</f>
        <v>62</v>
      </c>
      <c r="M47" s="51">
        <f t="shared" ca="1" si="3"/>
        <v>0.98412698412698407</v>
      </c>
      <c r="N47" s="53"/>
      <c r="O47" s="53"/>
      <c r="P47" s="51" t="str">
        <f t="shared" si="4"/>
        <v/>
      </c>
      <c r="Q47" s="53"/>
      <c r="R47" s="51" t="str">
        <f t="shared" si="5"/>
        <v/>
      </c>
      <c r="S47" s="54">
        <f ca="1">IFERROR(__xludf.DUMMYFUNCTION("""COMPUTED_VALUE"""),881)</f>
        <v>881</v>
      </c>
      <c r="T47" s="53">
        <f ca="1">IFERROR(__xludf.DUMMYFUNCTION("""COMPUTED_VALUE"""),881)</f>
        <v>881</v>
      </c>
      <c r="U47" s="51">
        <f t="shared" ca="1" si="6"/>
        <v>1</v>
      </c>
      <c r="V47" s="54">
        <f ca="1">IFERROR(__xludf.DUMMYFUNCTION("""COMPUTED_VALUE"""),881)</f>
        <v>881</v>
      </c>
      <c r="W47" s="51">
        <f t="shared" ca="1" si="7"/>
        <v>1</v>
      </c>
      <c r="X47" s="54">
        <f ca="1">IFERROR(__xludf.DUMMYFUNCTION("""COMPUTED_VALUE"""),829)</f>
        <v>829</v>
      </c>
      <c r="Y47" s="51">
        <f t="shared" ca="1" si="8"/>
        <v>0.94097616345062429</v>
      </c>
      <c r="Z47" s="2"/>
      <c r="AA47" s="2"/>
      <c r="AB47" s="2"/>
      <c r="AC47" s="2"/>
      <c r="AD47" s="2"/>
      <c r="AE47" s="2"/>
    </row>
    <row r="48" spans="1:31" ht="12.75" x14ac:dyDescent="0.2">
      <c r="A48" s="55" t="str">
        <f ca="1">IFERROR(__xludf.DUMMYFUNCTION("""COMPUTED_VALUE"""),"Chuyên biệt (Nếu có)")</f>
        <v>Chuyên biệt (Nếu có)</v>
      </c>
      <c r="B48" s="53"/>
      <c r="C48" s="53"/>
      <c r="D48" s="53"/>
      <c r="E48" s="53"/>
      <c r="F48" s="53"/>
      <c r="G48" s="51" t="str">
        <f t="shared" si="0"/>
        <v/>
      </c>
      <c r="H48" s="53"/>
      <c r="I48" s="51" t="str">
        <f t="shared" si="1"/>
        <v/>
      </c>
      <c r="J48" s="53"/>
      <c r="K48" s="51" t="str">
        <f t="shared" si="2"/>
        <v/>
      </c>
      <c r="L48" s="53"/>
      <c r="M48" s="51" t="str">
        <f t="shared" si="3"/>
        <v/>
      </c>
      <c r="N48" s="53"/>
      <c r="O48" s="53"/>
      <c r="P48" s="51" t="str">
        <f t="shared" si="4"/>
        <v/>
      </c>
      <c r="Q48" s="53"/>
      <c r="R48" s="51" t="str">
        <f t="shared" si="5"/>
        <v/>
      </c>
      <c r="S48" s="53"/>
      <c r="T48" s="53"/>
      <c r="U48" s="51" t="str">
        <f t="shared" si="6"/>
        <v/>
      </c>
      <c r="V48" s="53"/>
      <c r="W48" s="51" t="str">
        <f t="shared" si="7"/>
        <v/>
      </c>
      <c r="X48" s="53"/>
      <c r="Y48" s="51" t="str">
        <f t="shared" si="8"/>
        <v/>
      </c>
      <c r="Z48" s="2"/>
      <c r="AA48" s="2"/>
      <c r="AB48" s="2"/>
      <c r="AC48" s="2"/>
      <c r="AD48" s="2"/>
      <c r="AE48" s="2"/>
    </row>
    <row r="49" spans="1:31" ht="12.75" x14ac:dyDescent="0.2">
      <c r="A49" s="53">
        <f ca="1">IFERROR(__xludf.DUMMYFUNCTION("""COMPUTED_VALUE"""),1)</f>
        <v>1</v>
      </c>
      <c r="B49" s="53" t="str">
        <f ca="1">IFERROR(__xludf.DUMMYFUNCTION("""COMPUTED_VALUE"""),"CB Cần Thạnh")</f>
        <v>CB Cần Thạnh</v>
      </c>
      <c r="C49" s="53" t="str">
        <f ca="1">IFERROR(__xludf.DUMMYFUNCTION("""COMPUTED_VALUE"""),"CB")</f>
        <v>CB</v>
      </c>
      <c r="D49" s="53" t="str">
        <f ca="1">IFERROR(__xludf.DUMMYFUNCTION("""COMPUTED_VALUE"""),"Cần Giờ")</f>
        <v>Cần Giờ</v>
      </c>
      <c r="E49" s="54">
        <f ca="1">IFERROR(__xludf.DUMMYFUNCTION("""COMPUTED_VALUE"""),23)</f>
        <v>23</v>
      </c>
      <c r="F49" s="54">
        <f ca="1">IFERROR(__xludf.DUMMYFUNCTION("""COMPUTED_VALUE"""),23)</f>
        <v>23</v>
      </c>
      <c r="G49" s="51">
        <f t="shared" ca="1" si="0"/>
        <v>1</v>
      </c>
      <c r="H49" s="54">
        <f ca="1">IFERROR(__xludf.DUMMYFUNCTION("""COMPUTED_VALUE"""),23)</f>
        <v>23</v>
      </c>
      <c r="I49" s="51">
        <f t="shared" ca="1" si="1"/>
        <v>1</v>
      </c>
      <c r="J49" s="54">
        <f ca="1">IFERROR(__xludf.DUMMYFUNCTION("""COMPUTED_VALUE"""),23)</f>
        <v>23</v>
      </c>
      <c r="K49" s="51">
        <f t="shared" ca="1" si="2"/>
        <v>1</v>
      </c>
      <c r="L49" s="54">
        <f ca="1">IFERROR(__xludf.DUMMYFUNCTION("""COMPUTED_VALUE"""),16)</f>
        <v>16</v>
      </c>
      <c r="M49" s="51">
        <f t="shared" ca="1" si="3"/>
        <v>0.69565217391304346</v>
      </c>
      <c r="N49" s="54">
        <f ca="1">IFERROR(__xludf.DUMMYFUNCTION("""COMPUTED_VALUE"""),20)</f>
        <v>20</v>
      </c>
      <c r="O49" s="54">
        <f ca="1">IFERROR(__xludf.DUMMYFUNCTION("""COMPUTED_VALUE"""),14)</f>
        <v>14</v>
      </c>
      <c r="P49" s="51">
        <f t="shared" ca="1" si="4"/>
        <v>0.7</v>
      </c>
      <c r="Q49" s="54">
        <f ca="1">IFERROR(__xludf.DUMMYFUNCTION("""COMPUTED_VALUE"""),7)</f>
        <v>7</v>
      </c>
      <c r="R49" s="51">
        <f t="shared" ca="1" si="5"/>
        <v>0.35</v>
      </c>
      <c r="S49" s="54">
        <f ca="1">IFERROR(__xludf.DUMMYFUNCTION("""COMPUTED_VALUE"""),17)</f>
        <v>17</v>
      </c>
      <c r="T49" s="53">
        <f ca="1">IFERROR(__xludf.DUMMYFUNCTION("""COMPUTED_VALUE"""),16)</f>
        <v>16</v>
      </c>
      <c r="U49" s="51">
        <f t="shared" ca="1" si="6"/>
        <v>0.94117647058823528</v>
      </c>
      <c r="V49" s="54">
        <f ca="1">IFERROR(__xludf.DUMMYFUNCTION("""COMPUTED_VALUE"""),16)</f>
        <v>16</v>
      </c>
      <c r="W49" s="51">
        <f t="shared" ca="1" si="7"/>
        <v>0.94117647058823528</v>
      </c>
      <c r="X49" s="54">
        <f ca="1">IFERROR(__xludf.DUMMYFUNCTION("""COMPUTED_VALUE"""),13)</f>
        <v>13</v>
      </c>
      <c r="Y49" s="51">
        <f t="shared" ca="1" si="8"/>
        <v>0.76470588235294112</v>
      </c>
      <c r="Z49" s="2"/>
      <c r="AA49" s="2"/>
      <c r="AB49" s="2"/>
      <c r="AC49" s="2"/>
      <c r="AD49" s="2"/>
      <c r="AE49" s="2"/>
    </row>
    <row r="50" spans="1:31" ht="12.75" x14ac:dyDescent="0.2">
      <c r="A50" s="52" t="str">
        <f ca="1">IFERROR(__xludf.DUMMYFUNCTION("""COMPUTED_VALUE"""),"GDTX")</f>
        <v>GDTX</v>
      </c>
      <c r="B50" s="53"/>
      <c r="C50" s="53"/>
      <c r="D50" s="53"/>
      <c r="E50" s="53"/>
      <c r="F50" s="53"/>
      <c r="G50" s="51" t="str">
        <f t="shared" si="0"/>
        <v/>
      </c>
      <c r="H50" s="53"/>
      <c r="I50" s="51" t="str">
        <f t="shared" si="1"/>
        <v/>
      </c>
      <c r="J50" s="53"/>
      <c r="K50" s="51" t="str">
        <f t="shared" si="2"/>
        <v/>
      </c>
      <c r="L50" s="53"/>
      <c r="M50" s="51" t="str">
        <f t="shared" si="3"/>
        <v/>
      </c>
      <c r="N50" s="53"/>
      <c r="O50" s="53"/>
      <c r="P50" s="51" t="str">
        <f t="shared" si="4"/>
        <v/>
      </c>
      <c r="Q50" s="53"/>
      <c r="R50" s="51" t="str">
        <f t="shared" si="5"/>
        <v/>
      </c>
      <c r="S50" s="53"/>
      <c r="T50" s="53"/>
      <c r="U50" s="51" t="str">
        <f t="shared" si="6"/>
        <v/>
      </c>
      <c r="V50" s="53"/>
      <c r="W50" s="51" t="str">
        <f t="shared" si="7"/>
        <v/>
      </c>
      <c r="X50" s="53"/>
      <c r="Y50" s="51" t="str">
        <f t="shared" si="8"/>
        <v/>
      </c>
      <c r="Z50" s="2"/>
      <c r="AA50" s="2"/>
      <c r="AB50" s="2"/>
      <c r="AC50" s="2"/>
      <c r="AD50" s="2"/>
      <c r="AE50" s="2"/>
    </row>
    <row r="51" spans="1:31" ht="12.75" x14ac:dyDescent="0.2">
      <c r="A51" s="53">
        <f ca="1">IFERROR(__xludf.DUMMYFUNCTION("""COMPUTED_VALUE"""),1)</f>
        <v>1</v>
      </c>
      <c r="B51" s="53" t="str">
        <f ca="1">IFERROR(__xludf.DUMMYFUNCTION("""COMPUTED_VALUE"""),"GDNN- GDTX Cần Giờ")</f>
        <v>GDNN- GDTX Cần Giờ</v>
      </c>
      <c r="C51" s="53" t="str">
        <f ca="1">IFERROR(__xludf.DUMMYFUNCTION("""COMPUTED_VALUE"""),"GDTX")</f>
        <v>GDTX</v>
      </c>
      <c r="D51" s="53" t="str">
        <f ca="1">IFERROR(__xludf.DUMMYFUNCTION("""COMPUTED_VALUE"""),"Cần Giờ")</f>
        <v>Cần Giờ</v>
      </c>
      <c r="E51" s="54">
        <f ca="1">IFERROR(__xludf.DUMMYFUNCTION("""COMPUTED_VALUE"""),22)</f>
        <v>22</v>
      </c>
      <c r="F51" s="54">
        <f ca="1">IFERROR(__xludf.DUMMYFUNCTION("""COMPUTED_VALUE"""),22)</f>
        <v>22</v>
      </c>
      <c r="G51" s="51">
        <f t="shared" ca="1" si="0"/>
        <v>1</v>
      </c>
      <c r="H51" s="54">
        <f ca="1">IFERROR(__xludf.DUMMYFUNCTION("""COMPUTED_VALUE"""),22)</f>
        <v>22</v>
      </c>
      <c r="I51" s="51">
        <f t="shared" ca="1" si="1"/>
        <v>1</v>
      </c>
      <c r="J51" s="54">
        <f ca="1">IFERROR(__xludf.DUMMYFUNCTION("""COMPUTED_VALUE"""),22)</f>
        <v>22</v>
      </c>
      <c r="K51" s="51">
        <f t="shared" ca="1" si="2"/>
        <v>1</v>
      </c>
      <c r="L51" s="54">
        <f ca="1">IFERROR(__xludf.DUMMYFUNCTION("""COMPUTED_VALUE"""),21)</f>
        <v>21</v>
      </c>
      <c r="M51" s="51">
        <f t="shared" ca="1" si="3"/>
        <v>0.95454545454545459</v>
      </c>
      <c r="N51" s="53"/>
      <c r="O51" s="53"/>
      <c r="P51" s="51" t="str">
        <f t="shared" si="4"/>
        <v/>
      </c>
      <c r="Q51" s="53"/>
      <c r="R51" s="51" t="str">
        <f t="shared" si="5"/>
        <v/>
      </c>
      <c r="S51" s="54">
        <f ca="1">IFERROR(__xludf.DUMMYFUNCTION("""COMPUTED_VALUE"""),254)</f>
        <v>254</v>
      </c>
      <c r="T51" s="53">
        <f ca="1">IFERROR(__xludf.DUMMYFUNCTION("""COMPUTED_VALUE"""),254)</f>
        <v>254</v>
      </c>
      <c r="U51" s="51">
        <f t="shared" ca="1" si="6"/>
        <v>1</v>
      </c>
      <c r="V51" s="54">
        <f ca="1">IFERROR(__xludf.DUMMYFUNCTION("""COMPUTED_VALUE"""),254)</f>
        <v>254</v>
      </c>
      <c r="W51" s="51">
        <f t="shared" ca="1" si="7"/>
        <v>1</v>
      </c>
      <c r="X51" s="54">
        <f ca="1">IFERROR(__xludf.DUMMYFUNCTION("""COMPUTED_VALUE"""),89)</f>
        <v>89</v>
      </c>
      <c r="Y51" s="51">
        <f t="shared" ca="1" si="8"/>
        <v>0.35039370078740156</v>
      </c>
      <c r="Z51" s="2"/>
      <c r="AA51" s="2"/>
      <c r="AB51" s="2"/>
      <c r="AC51" s="2"/>
      <c r="AD51" s="2"/>
      <c r="AE51" s="2"/>
    </row>
    <row r="52" spans="1:31" ht="12.75" x14ac:dyDescent="0.2">
      <c r="A52" s="2"/>
      <c r="B52" s="2"/>
      <c r="C52" s="2"/>
      <c r="D52" s="2"/>
      <c r="E52" s="2"/>
      <c r="F52" s="2"/>
      <c r="G52" s="51" t="str">
        <f t="shared" si="0"/>
        <v/>
      </c>
      <c r="H52" s="2"/>
      <c r="I52" s="51" t="str">
        <f t="shared" si="1"/>
        <v/>
      </c>
      <c r="J52" s="2"/>
      <c r="K52" s="51" t="str">
        <f t="shared" si="2"/>
        <v/>
      </c>
      <c r="L52" s="2"/>
      <c r="M52" s="51" t="str">
        <f t="shared" si="3"/>
        <v/>
      </c>
      <c r="N52" s="2"/>
      <c r="O52" s="2"/>
      <c r="P52" s="51" t="str">
        <f t="shared" si="4"/>
        <v/>
      </c>
      <c r="Q52" s="2"/>
      <c r="R52" s="51" t="str">
        <f t="shared" si="5"/>
        <v/>
      </c>
      <c r="S52" s="2"/>
      <c r="T52" s="2"/>
      <c r="U52" s="51" t="str">
        <f t="shared" si="6"/>
        <v/>
      </c>
      <c r="V52" s="2"/>
      <c r="W52" s="51" t="str">
        <f t="shared" si="7"/>
        <v/>
      </c>
      <c r="X52" s="2"/>
      <c r="Y52" s="51" t="str">
        <f t="shared" si="8"/>
        <v/>
      </c>
      <c r="Z52" s="2"/>
      <c r="AA52" s="2"/>
      <c r="AB52" s="2"/>
      <c r="AC52" s="2"/>
      <c r="AD52" s="2"/>
      <c r="AE52" s="2"/>
    </row>
    <row r="53" spans="1:31" ht="12.75" x14ac:dyDescent="0.2">
      <c r="A53" s="2"/>
      <c r="B53" s="2"/>
      <c r="C53" s="2"/>
      <c r="D53" s="2"/>
      <c r="E53" s="2"/>
      <c r="F53" s="2"/>
      <c r="G53" s="51" t="str">
        <f t="shared" si="0"/>
        <v/>
      </c>
      <c r="H53" s="2"/>
      <c r="I53" s="51" t="str">
        <f t="shared" si="1"/>
        <v/>
      </c>
      <c r="J53" s="2"/>
      <c r="K53" s="51" t="str">
        <f t="shared" si="2"/>
        <v/>
      </c>
      <c r="L53" s="2"/>
      <c r="M53" s="51" t="str">
        <f t="shared" si="3"/>
        <v/>
      </c>
      <c r="N53" s="2"/>
      <c r="O53" s="2"/>
      <c r="P53" s="51" t="str">
        <f t="shared" si="4"/>
        <v/>
      </c>
      <c r="Q53" s="2"/>
      <c r="R53" s="51" t="str">
        <f t="shared" si="5"/>
        <v/>
      </c>
      <c r="S53" s="2"/>
      <c r="T53" s="2"/>
      <c r="U53" s="51" t="str">
        <f t="shared" si="6"/>
        <v/>
      </c>
      <c r="V53" s="2"/>
      <c r="W53" s="51" t="str">
        <f t="shared" si="7"/>
        <v/>
      </c>
      <c r="X53" s="2"/>
      <c r="Y53" s="51" t="str">
        <f t="shared" si="8"/>
        <v/>
      </c>
      <c r="Z53" s="2"/>
      <c r="AA53" s="2"/>
      <c r="AB53" s="2"/>
      <c r="AC53" s="2"/>
      <c r="AD53" s="2"/>
      <c r="AE53" s="2"/>
    </row>
    <row r="54" spans="1:31" ht="12.75" x14ac:dyDescent="0.2">
      <c r="A54" s="2"/>
      <c r="B54" s="2"/>
      <c r="C54" s="2"/>
      <c r="D54" s="2"/>
      <c r="E54" s="2"/>
      <c r="F54" s="2"/>
      <c r="G54" s="51" t="str">
        <f t="shared" si="0"/>
        <v/>
      </c>
      <c r="H54" s="2"/>
      <c r="I54" s="51" t="str">
        <f t="shared" si="1"/>
        <v/>
      </c>
      <c r="J54" s="2"/>
      <c r="K54" s="51" t="str">
        <f t="shared" si="2"/>
        <v/>
      </c>
      <c r="L54" s="2"/>
      <c r="M54" s="51" t="str">
        <f t="shared" si="3"/>
        <v/>
      </c>
      <c r="N54" s="2"/>
      <c r="O54" s="2"/>
      <c r="P54" s="51" t="str">
        <f t="shared" si="4"/>
        <v/>
      </c>
      <c r="Q54" s="2"/>
      <c r="R54" s="51" t="str">
        <f t="shared" si="5"/>
        <v/>
      </c>
      <c r="S54" s="2"/>
      <c r="T54" s="2"/>
      <c r="U54" s="51" t="str">
        <f t="shared" si="6"/>
        <v/>
      </c>
      <c r="V54" s="2"/>
      <c r="W54" s="51" t="str">
        <f t="shared" si="7"/>
        <v/>
      </c>
      <c r="X54" s="2"/>
      <c r="Y54" s="51" t="str">
        <f t="shared" si="8"/>
        <v/>
      </c>
      <c r="Z54" s="2"/>
      <c r="AA54" s="2"/>
      <c r="AB54" s="2"/>
      <c r="AC54" s="2"/>
      <c r="AD54" s="2"/>
      <c r="AE54" s="2"/>
    </row>
    <row r="55" spans="1:31" ht="12.75" x14ac:dyDescent="0.2">
      <c r="A55" s="2"/>
      <c r="B55" s="2"/>
      <c r="C55" s="2"/>
      <c r="D55" s="2"/>
      <c r="E55" s="2"/>
      <c r="F55" s="2"/>
      <c r="G55" s="51" t="str">
        <f t="shared" si="0"/>
        <v/>
      </c>
      <c r="H55" s="2"/>
      <c r="I55" s="51" t="str">
        <f t="shared" si="1"/>
        <v/>
      </c>
      <c r="J55" s="2"/>
      <c r="K55" s="51" t="str">
        <f t="shared" si="2"/>
        <v/>
      </c>
      <c r="L55" s="2"/>
      <c r="M55" s="51" t="str">
        <f t="shared" si="3"/>
        <v/>
      </c>
      <c r="N55" s="2"/>
      <c r="O55" s="2"/>
      <c r="P55" s="51" t="str">
        <f t="shared" si="4"/>
        <v/>
      </c>
      <c r="Q55" s="2"/>
      <c r="R55" s="51" t="str">
        <f t="shared" si="5"/>
        <v/>
      </c>
      <c r="S55" s="2"/>
      <c r="T55" s="2"/>
      <c r="U55" s="51" t="str">
        <f t="shared" si="6"/>
        <v/>
      </c>
      <c r="V55" s="2"/>
      <c r="W55" s="51" t="str">
        <f t="shared" si="7"/>
        <v/>
      </c>
      <c r="X55" s="2"/>
      <c r="Y55" s="51" t="str">
        <f t="shared" si="8"/>
        <v/>
      </c>
      <c r="Z55" s="2"/>
      <c r="AA55" s="2"/>
      <c r="AB55" s="2"/>
      <c r="AC55" s="2"/>
      <c r="AD55" s="2"/>
      <c r="AE55" s="2"/>
    </row>
    <row r="56" spans="1:31" ht="12.75" x14ac:dyDescent="0.2">
      <c r="A56" s="2"/>
      <c r="B56" s="2"/>
      <c r="C56" s="2"/>
      <c r="D56" s="2"/>
      <c r="E56" s="2"/>
      <c r="F56" s="2"/>
      <c r="G56" s="51" t="str">
        <f t="shared" si="0"/>
        <v/>
      </c>
      <c r="H56" s="2"/>
      <c r="I56" s="51" t="str">
        <f t="shared" si="1"/>
        <v/>
      </c>
      <c r="J56" s="2"/>
      <c r="K56" s="51" t="str">
        <f t="shared" si="2"/>
        <v/>
      </c>
      <c r="L56" s="2"/>
      <c r="M56" s="51" t="str">
        <f t="shared" si="3"/>
        <v/>
      </c>
      <c r="N56" s="2"/>
      <c r="O56" s="2"/>
      <c r="P56" s="51" t="str">
        <f t="shared" si="4"/>
        <v/>
      </c>
      <c r="Q56" s="2"/>
      <c r="R56" s="51" t="str">
        <f t="shared" si="5"/>
        <v/>
      </c>
      <c r="S56" s="2"/>
      <c r="T56" s="2"/>
      <c r="U56" s="51" t="str">
        <f t="shared" si="6"/>
        <v/>
      </c>
      <c r="V56" s="2"/>
      <c r="W56" s="51" t="str">
        <f t="shared" si="7"/>
        <v/>
      </c>
      <c r="X56" s="2"/>
      <c r="Y56" s="51" t="str">
        <f t="shared" si="8"/>
        <v/>
      </c>
      <c r="Z56" s="2"/>
      <c r="AA56" s="2"/>
      <c r="AB56" s="2"/>
      <c r="AC56" s="2"/>
      <c r="AD56" s="2"/>
      <c r="AE56" s="2"/>
    </row>
    <row r="57" spans="1:31" ht="12.75" x14ac:dyDescent="0.2">
      <c r="A57" s="2"/>
      <c r="B57" s="2"/>
      <c r="C57" s="2"/>
      <c r="D57" s="2"/>
      <c r="E57" s="2"/>
      <c r="F57" s="2"/>
      <c r="G57" s="51" t="str">
        <f t="shared" si="0"/>
        <v/>
      </c>
      <c r="H57" s="2"/>
      <c r="I57" s="51" t="str">
        <f t="shared" si="1"/>
        <v/>
      </c>
      <c r="J57" s="2"/>
      <c r="K57" s="51" t="str">
        <f t="shared" si="2"/>
        <v/>
      </c>
      <c r="L57" s="2"/>
      <c r="M57" s="51" t="str">
        <f t="shared" si="3"/>
        <v/>
      </c>
      <c r="N57" s="2"/>
      <c r="O57" s="2"/>
      <c r="P57" s="51" t="str">
        <f t="shared" si="4"/>
        <v/>
      </c>
      <c r="Q57" s="2"/>
      <c r="R57" s="51" t="str">
        <f t="shared" si="5"/>
        <v/>
      </c>
      <c r="S57" s="2"/>
      <c r="T57" s="2"/>
      <c r="U57" s="51" t="str">
        <f t="shared" si="6"/>
        <v/>
      </c>
      <c r="V57" s="2"/>
      <c r="W57" s="51" t="str">
        <f t="shared" si="7"/>
        <v/>
      </c>
      <c r="X57" s="2"/>
      <c r="Y57" s="51" t="str">
        <f t="shared" si="8"/>
        <v/>
      </c>
      <c r="Z57" s="2"/>
      <c r="AA57" s="2"/>
      <c r="AB57" s="2"/>
      <c r="AC57" s="2"/>
      <c r="AD57" s="2"/>
      <c r="AE57" s="2"/>
    </row>
    <row r="58" spans="1:31" ht="12.75" x14ac:dyDescent="0.2">
      <c r="A58" s="2"/>
      <c r="B58" s="2"/>
      <c r="C58" s="2"/>
      <c r="D58" s="2"/>
      <c r="E58" s="2"/>
      <c r="F58" s="2"/>
      <c r="G58" s="51" t="str">
        <f t="shared" si="0"/>
        <v/>
      </c>
      <c r="H58" s="2"/>
      <c r="I58" s="51" t="str">
        <f t="shared" si="1"/>
        <v/>
      </c>
      <c r="J58" s="2"/>
      <c r="K58" s="51" t="str">
        <f t="shared" si="2"/>
        <v/>
      </c>
      <c r="L58" s="2"/>
      <c r="M58" s="51" t="str">
        <f t="shared" si="3"/>
        <v/>
      </c>
      <c r="N58" s="2"/>
      <c r="O58" s="2"/>
      <c r="P58" s="51" t="str">
        <f t="shared" si="4"/>
        <v/>
      </c>
      <c r="Q58" s="2"/>
      <c r="R58" s="51" t="str">
        <f t="shared" si="5"/>
        <v/>
      </c>
      <c r="S58" s="2"/>
      <c r="T58" s="2"/>
      <c r="U58" s="51" t="str">
        <f t="shared" si="6"/>
        <v/>
      </c>
      <c r="V58" s="2"/>
      <c r="W58" s="51" t="str">
        <f t="shared" si="7"/>
        <v/>
      </c>
      <c r="X58" s="2"/>
      <c r="Y58" s="51" t="str">
        <f t="shared" si="8"/>
        <v/>
      </c>
      <c r="Z58" s="2"/>
      <c r="AA58" s="2"/>
      <c r="AB58" s="2"/>
      <c r="AC58" s="2"/>
      <c r="AD58" s="2"/>
      <c r="AE58" s="2"/>
    </row>
    <row r="59" spans="1:31" ht="12.75" x14ac:dyDescent="0.2">
      <c r="A59" s="2"/>
      <c r="B59" s="2"/>
      <c r="C59" s="2"/>
      <c r="D59" s="2"/>
      <c r="E59" s="2"/>
      <c r="F59" s="2"/>
      <c r="G59" s="51" t="str">
        <f t="shared" si="0"/>
        <v/>
      </c>
      <c r="H59" s="2"/>
      <c r="I59" s="51" t="str">
        <f t="shared" si="1"/>
        <v/>
      </c>
      <c r="J59" s="2"/>
      <c r="K59" s="51" t="str">
        <f t="shared" si="2"/>
        <v/>
      </c>
      <c r="L59" s="2"/>
      <c r="M59" s="51" t="str">
        <f t="shared" si="3"/>
        <v/>
      </c>
      <c r="N59" s="2"/>
      <c r="O59" s="2"/>
      <c r="P59" s="51" t="str">
        <f t="shared" si="4"/>
        <v/>
      </c>
      <c r="Q59" s="2"/>
      <c r="R59" s="51" t="str">
        <f t="shared" si="5"/>
        <v/>
      </c>
      <c r="S59" s="2"/>
      <c r="T59" s="2"/>
      <c r="U59" s="51" t="str">
        <f t="shared" si="6"/>
        <v/>
      </c>
      <c r="V59" s="2"/>
      <c r="W59" s="51" t="str">
        <f t="shared" si="7"/>
        <v/>
      </c>
      <c r="X59" s="2"/>
      <c r="Y59" s="51" t="str">
        <f t="shared" si="8"/>
        <v/>
      </c>
      <c r="Z59" s="2"/>
      <c r="AA59" s="2"/>
      <c r="AB59" s="2"/>
      <c r="AC59" s="2"/>
      <c r="AD59" s="2"/>
      <c r="AE59" s="2"/>
    </row>
    <row r="60" spans="1:31" ht="12.75" x14ac:dyDescent="0.2">
      <c r="A60" s="2"/>
      <c r="B60" s="2"/>
      <c r="C60" s="2"/>
      <c r="D60" s="2"/>
      <c r="E60" s="2"/>
      <c r="F60" s="2"/>
      <c r="G60" s="51" t="str">
        <f t="shared" si="0"/>
        <v/>
      </c>
      <c r="H60" s="2"/>
      <c r="I60" s="51" t="str">
        <f t="shared" si="1"/>
        <v/>
      </c>
      <c r="J60" s="2"/>
      <c r="K60" s="51" t="str">
        <f t="shared" si="2"/>
        <v/>
      </c>
      <c r="L60" s="2"/>
      <c r="M60" s="51" t="str">
        <f t="shared" si="3"/>
        <v/>
      </c>
      <c r="N60" s="2"/>
      <c r="O60" s="2"/>
      <c r="P60" s="51" t="str">
        <f t="shared" si="4"/>
        <v/>
      </c>
      <c r="Q60" s="2"/>
      <c r="R60" s="51" t="str">
        <f t="shared" si="5"/>
        <v/>
      </c>
      <c r="S60" s="2"/>
      <c r="T60" s="2"/>
      <c r="U60" s="51" t="str">
        <f t="shared" si="6"/>
        <v/>
      </c>
      <c r="V60" s="2"/>
      <c r="W60" s="51" t="str">
        <f t="shared" si="7"/>
        <v/>
      </c>
      <c r="X60" s="2"/>
      <c r="Y60" s="51" t="str">
        <f t="shared" si="8"/>
        <v/>
      </c>
      <c r="Z60" s="2"/>
      <c r="AA60" s="2"/>
      <c r="AB60" s="2"/>
      <c r="AC60" s="2"/>
      <c r="AD60" s="2"/>
      <c r="AE60" s="2"/>
    </row>
    <row r="61" spans="1:31" ht="12.75" x14ac:dyDescent="0.2">
      <c r="A61" s="2"/>
      <c r="B61" s="2"/>
      <c r="C61" s="2"/>
      <c r="D61" s="2"/>
      <c r="E61" s="2"/>
      <c r="F61" s="2"/>
      <c r="G61" s="51" t="str">
        <f t="shared" si="0"/>
        <v/>
      </c>
      <c r="H61" s="2"/>
      <c r="I61" s="51" t="str">
        <f t="shared" si="1"/>
        <v/>
      </c>
      <c r="J61" s="2"/>
      <c r="K61" s="51" t="str">
        <f t="shared" si="2"/>
        <v/>
      </c>
      <c r="L61" s="2"/>
      <c r="M61" s="51" t="str">
        <f t="shared" si="3"/>
        <v/>
      </c>
      <c r="N61" s="2"/>
      <c r="O61" s="2"/>
      <c r="P61" s="51" t="str">
        <f t="shared" si="4"/>
        <v/>
      </c>
      <c r="Q61" s="2"/>
      <c r="R61" s="51" t="str">
        <f t="shared" si="5"/>
        <v/>
      </c>
      <c r="S61" s="2"/>
      <c r="T61" s="2"/>
      <c r="U61" s="51" t="str">
        <f t="shared" si="6"/>
        <v/>
      </c>
      <c r="V61" s="2"/>
      <c r="W61" s="51" t="str">
        <f t="shared" si="7"/>
        <v/>
      </c>
      <c r="X61" s="2"/>
      <c r="Y61" s="51" t="str">
        <f t="shared" si="8"/>
        <v/>
      </c>
      <c r="Z61" s="2"/>
      <c r="AA61" s="2"/>
      <c r="AB61" s="2"/>
      <c r="AC61" s="2"/>
      <c r="AD61" s="2"/>
      <c r="AE61" s="2"/>
    </row>
    <row r="62" spans="1:31" ht="12.75" x14ac:dyDescent="0.2">
      <c r="A62" s="2"/>
      <c r="B62" s="2"/>
      <c r="C62" s="2"/>
      <c r="D62" s="2"/>
      <c r="E62" s="2"/>
      <c r="F62" s="2"/>
      <c r="G62" s="51" t="str">
        <f t="shared" si="0"/>
        <v/>
      </c>
      <c r="H62" s="2"/>
      <c r="I62" s="51" t="str">
        <f t="shared" si="1"/>
        <v/>
      </c>
      <c r="J62" s="2"/>
      <c r="K62" s="51" t="str">
        <f t="shared" si="2"/>
        <v/>
      </c>
      <c r="L62" s="2"/>
      <c r="M62" s="51" t="str">
        <f t="shared" si="3"/>
        <v/>
      </c>
      <c r="N62" s="2"/>
      <c r="O62" s="2"/>
      <c r="P62" s="51" t="str">
        <f t="shared" si="4"/>
        <v/>
      </c>
      <c r="Q62" s="2"/>
      <c r="R62" s="51" t="str">
        <f t="shared" si="5"/>
        <v/>
      </c>
      <c r="S62" s="2"/>
      <c r="T62" s="2"/>
      <c r="U62" s="51" t="str">
        <f t="shared" si="6"/>
        <v/>
      </c>
      <c r="V62" s="2"/>
      <c r="W62" s="51" t="str">
        <f t="shared" si="7"/>
        <v/>
      </c>
      <c r="X62" s="2"/>
      <c r="Y62" s="51" t="str">
        <f t="shared" si="8"/>
        <v/>
      </c>
      <c r="Z62" s="2"/>
      <c r="AA62" s="2"/>
      <c r="AB62" s="2"/>
      <c r="AC62" s="2"/>
      <c r="AD62" s="2"/>
      <c r="AE62" s="2"/>
    </row>
    <row r="63" spans="1:31" ht="12.75" x14ac:dyDescent="0.2">
      <c r="A63" s="2"/>
      <c r="B63" s="2"/>
      <c r="C63" s="2"/>
      <c r="D63" s="2"/>
      <c r="E63" s="2"/>
      <c r="F63" s="2"/>
      <c r="G63" s="51" t="str">
        <f t="shared" si="0"/>
        <v/>
      </c>
      <c r="H63" s="2"/>
      <c r="I63" s="51" t="str">
        <f t="shared" si="1"/>
        <v/>
      </c>
      <c r="J63" s="2"/>
      <c r="K63" s="51" t="str">
        <f t="shared" si="2"/>
        <v/>
      </c>
      <c r="L63" s="2"/>
      <c r="M63" s="51" t="str">
        <f t="shared" si="3"/>
        <v/>
      </c>
      <c r="N63" s="2"/>
      <c r="O63" s="2"/>
      <c r="P63" s="51" t="str">
        <f t="shared" si="4"/>
        <v/>
      </c>
      <c r="Q63" s="2"/>
      <c r="R63" s="51" t="str">
        <f t="shared" si="5"/>
        <v/>
      </c>
      <c r="S63" s="2"/>
      <c r="T63" s="2"/>
      <c r="U63" s="51" t="str">
        <f t="shared" si="6"/>
        <v/>
      </c>
      <c r="V63" s="2"/>
      <c r="W63" s="51" t="str">
        <f t="shared" si="7"/>
        <v/>
      </c>
      <c r="X63" s="2"/>
      <c r="Y63" s="51" t="str">
        <f t="shared" si="8"/>
        <v/>
      </c>
      <c r="Z63" s="2"/>
      <c r="AA63" s="2"/>
      <c r="AB63" s="2"/>
      <c r="AC63" s="2"/>
      <c r="AD63" s="2"/>
      <c r="AE63" s="2"/>
    </row>
    <row r="64" spans="1:31" ht="12.75" x14ac:dyDescent="0.2">
      <c r="A64" s="2"/>
      <c r="B64" s="2"/>
      <c r="C64" s="2"/>
      <c r="D64" s="2"/>
      <c r="E64" s="2"/>
      <c r="F64" s="2"/>
      <c r="G64" s="51" t="str">
        <f t="shared" si="0"/>
        <v/>
      </c>
      <c r="H64" s="2"/>
      <c r="I64" s="51" t="str">
        <f t="shared" si="1"/>
        <v/>
      </c>
      <c r="J64" s="2"/>
      <c r="K64" s="51" t="str">
        <f t="shared" si="2"/>
        <v/>
      </c>
      <c r="L64" s="2"/>
      <c r="M64" s="51" t="str">
        <f t="shared" si="3"/>
        <v/>
      </c>
      <c r="N64" s="2"/>
      <c r="O64" s="2"/>
      <c r="P64" s="51" t="str">
        <f t="shared" si="4"/>
        <v/>
      </c>
      <c r="Q64" s="2"/>
      <c r="R64" s="51" t="str">
        <f t="shared" si="5"/>
        <v/>
      </c>
      <c r="S64" s="2"/>
      <c r="T64" s="2"/>
      <c r="U64" s="51" t="str">
        <f t="shared" si="6"/>
        <v/>
      </c>
      <c r="V64" s="2"/>
      <c r="W64" s="51" t="str">
        <f t="shared" si="7"/>
        <v/>
      </c>
      <c r="X64" s="2"/>
      <c r="Y64" s="51" t="str">
        <f t="shared" si="8"/>
        <v/>
      </c>
      <c r="Z64" s="2"/>
      <c r="AA64" s="2"/>
      <c r="AB64" s="2"/>
      <c r="AC64" s="2"/>
      <c r="AD64" s="2"/>
      <c r="AE64" s="2"/>
    </row>
    <row r="65" spans="1:31" ht="12.75" x14ac:dyDescent="0.2">
      <c r="A65" s="2"/>
      <c r="B65" s="2"/>
      <c r="C65" s="2"/>
      <c r="D65" s="2"/>
      <c r="E65" s="2"/>
      <c r="F65" s="2"/>
      <c r="G65" s="51" t="str">
        <f t="shared" si="0"/>
        <v/>
      </c>
      <c r="H65" s="2"/>
      <c r="I65" s="51" t="str">
        <f t="shared" si="1"/>
        <v/>
      </c>
      <c r="J65" s="2"/>
      <c r="K65" s="51" t="str">
        <f t="shared" si="2"/>
        <v/>
      </c>
      <c r="L65" s="2"/>
      <c r="M65" s="51" t="str">
        <f t="shared" si="3"/>
        <v/>
      </c>
      <c r="N65" s="2"/>
      <c r="O65" s="2"/>
      <c r="P65" s="51" t="str">
        <f t="shared" si="4"/>
        <v/>
      </c>
      <c r="Q65" s="2"/>
      <c r="R65" s="51" t="str">
        <f t="shared" si="5"/>
        <v/>
      </c>
      <c r="S65" s="2"/>
      <c r="T65" s="2"/>
      <c r="U65" s="51" t="str">
        <f t="shared" si="6"/>
        <v/>
      </c>
      <c r="V65" s="2"/>
      <c r="W65" s="51" t="str">
        <f t="shared" si="7"/>
        <v/>
      </c>
      <c r="X65" s="2"/>
      <c r="Y65" s="51" t="str">
        <f t="shared" si="8"/>
        <v/>
      </c>
      <c r="Z65" s="2"/>
      <c r="AA65" s="2"/>
      <c r="AB65" s="2"/>
      <c r="AC65" s="2"/>
      <c r="AD65" s="2"/>
      <c r="AE65" s="2"/>
    </row>
    <row r="66" spans="1:31" ht="12.75" x14ac:dyDescent="0.2">
      <c r="A66" s="2"/>
      <c r="B66" s="2"/>
      <c r="C66" s="2"/>
      <c r="D66" s="2"/>
      <c r="E66" s="2"/>
      <c r="F66" s="2"/>
      <c r="G66" s="51" t="str">
        <f t="shared" si="0"/>
        <v/>
      </c>
      <c r="H66" s="2"/>
      <c r="I66" s="51" t="str">
        <f t="shared" si="1"/>
        <v/>
      </c>
      <c r="J66" s="2"/>
      <c r="K66" s="51" t="str">
        <f t="shared" si="2"/>
        <v/>
      </c>
      <c r="L66" s="2"/>
      <c r="M66" s="51" t="str">
        <f t="shared" si="3"/>
        <v/>
      </c>
      <c r="N66" s="2"/>
      <c r="O66" s="2"/>
      <c r="P66" s="51" t="str">
        <f t="shared" si="4"/>
        <v/>
      </c>
      <c r="Q66" s="2"/>
      <c r="R66" s="51" t="str">
        <f t="shared" si="5"/>
        <v/>
      </c>
      <c r="S66" s="2"/>
      <c r="T66" s="2"/>
      <c r="U66" s="51" t="str">
        <f t="shared" si="6"/>
        <v/>
      </c>
      <c r="V66" s="2"/>
      <c r="W66" s="51" t="str">
        <f t="shared" si="7"/>
        <v/>
      </c>
      <c r="X66" s="2"/>
      <c r="Y66" s="51" t="str">
        <f t="shared" si="8"/>
        <v/>
      </c>
      <c r="Z66" s="2"/>
      <c r="AA66" s="2"/>
      <c r="AB66" s="2"/>
      <c r="AC66" s="2"/>
      <c r="AD66" s="2"/>
      <c r="AE66" s="2"/>
    </row>
    <row r="67" spans="1:31" ht="12.75" x14ac:dyDescent="0.2">
      <c r="A67" s="2"/>
      <c r="B67" s="2"/>
      <c r="C67" s="2"/>
      <c r="D67" s="2"/>
      <c r="E67" s="2"/>
      <c r="F67" s="2"/>
      <c r="G67" s="51" t="str">
        <f t="shared" si="0"/>
        <v/>
      </c>
      <c r="H67" s="2"/>
      <c r="I67" s="51" t="str">
        <f t="shared" si="1"/>
        <v/>
      </c>
      <c r="J67" s="2"/>
      <c r="K67" s="51" t="str">
        <f t="shared" si="2"/>
        <v/>
      </c>
      <c r="L67" s="2"/>
      <c r="M67" s="51" t="str">
        <f t="shared" si="3"/>
        <v/>
      </c>
      <c r="N67" s="2"/>
      <c r="O67" s="2"/>
      <c r="P67" s="51" t="str">
        <f t="shared" si="4"/>
        <v/>
      </c>
      <c r="Q67" s="2"/>
      <c r="R67" s="51" t="str">
        <f t="shared" si="5"/>
        <v/>
      </c>
      <c r="S67" s="2"/>
      <c r="T67" s="2"/>
      <c r="U67" s="51" t="str">
        <f t="shared" si="6"/>
        <v/>
      </c>
      <c r="V67" s="2"/>
      <c r="W67" s="51" t="str">
        <f t="shared" si="7"/>
        <v/>
      </c>
      <c r="X67" s="2"/>
      <c r="Y67" s="51" t="str">
        <f t="shared" si="8"/>
        <v/>
      </c>
      <c r="Z67" s="2"/>
      <c r="AA67" s="2"/>
      <c r="AB67" s="2"/>
      <c r="AC67" s="2"/>
      <c r="AD67" s="2"/>
      <c r="AE67" s="2"/>
    </row>
    <row r="68" spans="1:31" ht="12.75" x14ac:dyDescent="0.2">
      <c r="A68" s="2"/>
      <c r="B68" s="2"/>
      <c r="C68" s="2"/>
      <c r="D68" s="2"/>
      <c r="E68" s="2"/>
      <c r="F68" s="2"/>
      <c r="G68" s="51" t="str">
        <f t="shared" si="0"/>
        <v/>
      </c>
      <c r="H68" s="2"/>
      <c r="I68" s="51" t="str">
        <f t="shared" si="1"/>
        <v/>
      </c>
      <c r="J68" s="2"/>
      <c r="K68" s="51" t="str">
        <f t="shared" si="2"/>
        <v/>
      </c>
      <c r="L68" s="2"/>
      <c r="M68" s="51" t="str">
        <f t="shared" si="3"/>
        <v/>
      </c>
      <c r="N68" s="2"/>
      <c r="O68" s="2"/>
      <c r="P68" s="51" t="str">
        <f t="shared" si="4"/>
        <v/>
      </c>
      <c r="Q68" s="2"/>
      <c r="R68" s="51" t="str">
        <f t="shared" si="5"/>
        <v/>
      </c>
      <c r="S68" s="2"/>
      <c r="T68" s="2"/>
      <c r="U68" s="51" t="str">
        <f t="shared" si="6"/>
        <v/>
      </c>
      <c r="V68" s="2"/>
      <c r="W68" s="51" t="str">
        <f t="shared" si="7"/>
        <v/>
      </c>
      <c r="X68" s="2"/>
      <c r="Y68" s="51" t="str">
        <f t="shared" si="8"/>
        <v/>
      </c>
      <c r="Z68" s="2"/>
      <c r="AA68" s="2"/>
      <c r="AB68" s="2"/>
      <c r="AC68" s="2"/>
      <c r="AD68" s="2"/>
      <c r="AE68" s="2"/>
    </row>
    <row r="69" spans="1:31" ht="12.75" x14ac:dyDescent="0.2">
      <c r="A69" s="2"/>
      <c r="B69" s="2"/>
      <c r="C69" s="2"/>
      <c r="D69" s="2"/>
      <c r="E69" s="2"/>
      <c r="F69" s="2"/>
      <c r="G69" s="51" t="str">
        <f t="shared" si="0"/>
        <v/>
      </c>
      <c r="H69" s="2"/>
      <c r="I69" s="51" t="str">
        <f t="shared" si="1"/>
        <v/>
      </c>
      <c r="J69" s="2"/>
      <c r="K69" s="51" t="str">
        <f t="shared" si="2"/>
        <v/>
      </c>
      <c r="L69" s="2"/>
      <c r="M69" s="51" t="str">
        <f t="shared" si="3"/>
        <v/>
      </c>
      <c r="N69" s="2"/>
      <c r="O69" s="2"/>
      <c r="P69" s="51" t="str">
        <f t="shared" si="4"/>
        <v/>
      </c>
      <c r="Q69" s="2"/>
      <c r="R69" s="51" t="str">
        <f t="shared" si="5"/>
        <v/>
      </c>
      <c r="S69" s="2"/>
      <c r="T69" s="2"/>
      <c r="U69" s="51" t="str">
        <f t="shared" si="6"/>
        <v/>
      </c>
      <c r="V69" s="2"/>
      <c r="W69" s="51" t="str">
        <f t="shared" si="7"/>
        <v/>
      </c>
      <c r="X69" s="2"/>
      <c r="Y69" s="51" t="str">
        <f t="shared" si="8"/>
        <v/>
      </c>
      <c r="Z69" s="2"/>
      <c r="AA69" s="2"/>
      <c r="AB69" s="2"/>
      <c r="AC69" s="2"/>
      <c r="AD69" s="2"/>
      <c r="AE69" s="2"/>
    </row>
    <row r="70" spans="1:31" ht="12.75" x14ac:dyDescent="0.2">
      <c r="A70" s="2"/>
      <c r="B70" s="2"/>
      <c r="C70" s="2"/>
      <c r="D70" s="2"/>
      <c r="E70" s="2"/>
      <c r="F70" s="2"/>
      <c r="G70" s="51" t="str">
        <f t="shared" ref="G70:G78" si="9">IFERROR(F70/E70,"")</f>
        <v/>
      </c>
      <c r="H70" s="2"/>
      <c r="I70" s="51" t="str">
        <f t="shared" ref="I70:I78" si="10">IFERROR(H70/E70,"")</f>
        <v/>
      </c>
      <c r="J70" s="2"/>
      <c r="K70" s="51" t="str">
        <f t="shared" ref="K70:K78" si="11">IFERROR(J70/E70,"")</f>
        <v/>
      </c>
      <c r="L70" s="2"/>
      <c r="M70" s="51" t="str">
        <f t="shared" ref="M70:M78" si="12">IFERROR(L70/E70,"")</f>
        <v/>
      </c>
      <c r="N70" s="2"/>
      <c r="O70" s="2"/>
      <c r="P70" s="51" t="str">
        <f t="shared" ref="P70:P78" si="13">IFERROR(O70/N70,"")</f>
        <v/>
      </c>
      <c r="Q70" s="2"/>
      <c r="R70" s="51" t="str">
        <f t="shared" ref="R70:R78" si="14">IFERROR(Q70/N70,"")</f>
        <v/>
      </c>
      <c r="S70" s="2"/>
      <c r="T70" s="2"/>
      <c r="U70" s="51" t="str">
        <f t="shared" ref="U70:U78" si="15">IFERROR(T70/S70,"")</f>
        <v/>
      </c>
      <c r="V70" s="2"/>
      <c r="W70" s="51" t="str">
        <f t="shared" ref="W70:W78" si="16">IFERROR(V70/S70,"")</f>
        <v/>
      </c>
      <c r="X70" s="2"/>
      <c r="Y70" s="51" t="str">
        <f t="shared" ref="Y70:Y78" si="17">IFERROR(X70/S70,"")</f>
        <v/>
      </c>
      <c r="Z70" s="2"/>
      <c r="AA70" s="2"/>
      <c r="AB70" s="2"/>
      <c r="AC70" s="2"/>
      <c r="AD70" s="2"/>
      <c r="AE70" s="2"/>
    </row>
    <row r="71" spans="1:31" ht="12.75" x14ac:dyDescent="0.2">
      <c r="A71" s="2"/>
      <c r="B71" s="2"/>
      <c r="C71" s="2"/>
      <c r="D71" s="2"/>
      <c r="E71" s="2"/>
      <c r="F71" s="2"/>
      <c r="G71" s="51" t="str">
        <f t="shared" si="9"/>
        <v/>
      </c>
      <c r="H71" s="2"/>
      <c r="I71" s="51" t="str">
        <f t="shared" si="10"/>
        <v/>
      </c>
      <c r="J71" s="2"/>
      <c r="K71" s="51" t="str">
        <f t="shared" si="11"/>
        <v/>
      </c>
      <c r="L71" s="2"/>
      <c r="M71" s="51" t="str">
        <f t="shared" si="12"/>
        <v/>
      </c>
      <c r="N71" s="2"/>
      <c r="O71" s="2"/>
      <c r="P71" s="51" t="str">
        <f t="shared" si="13"/>
        <v/>
      </c>
      <c r="Q71" s="2"/>
      <c r="R71" s="51" t="str">
        <f t="shared" si="14"/>
        <v/>
      </c>
      <c r="S71" s="2"/>
      <c r="T71" s="2"/>
      <c r="U71" s="51" t="str">
        <f t="shared" si="15"/>
        <v/>
      </c>
      <c r="V71" s="2"/>
      <c r="W71" s="51" t="str">
        <f t="shared" si="16"/>
        <v/>
      </c>
      <c r="X71" s="2"/>
      <c r="Y71" s="51" t="str">
        <f t="shared" si="17"/>
        <v/>
      </c>
      <c r="Z71" s="2"/>
      <c r="AA71" s="2"/>
      <c r="AB71" s="2"/>
      <c r="AC71" s="2"/>
      <c r="AD71" s="2"/>
      <c r="AE71" s="2"/>
    </row>
    <row r="72" spans="1:31" ht="12.75" x14ac:dyDescent="0.2">
      <c r="A72" s="2"/>
      <c r="B72" s="2"/>
      <c r="C72" s="2"/>
      <c r="D72" s="2"/>
      <c r="E72" s="2"/>
      <c r="F72" s="2"/>
      <c r="G72" s="51" t="str">
        <f t="shared" si="9"/>
        <v/>
      </c>
      <c r="H72" s="2"/>
      <c r="I72" s="51" t="str">
        <f t="shared" si="10"/>
        <v/>
      </c>
      <c r="J72" s="2"/>
      <c r="K72" s="51" t="str">
        <f t="shared" si="11"/>
        <v/>
      </c>
      <c r="L72" s="2"/>
      <c r="M72" s="51" t="str">
        <f t="shared" si="12"/>
        <v/>
      </c>
      <c r="N72" s="2"/>
      <c r="O72" s="2"/>
      <c r="P72" s="51" t="str">
        <f t="shared" si="13"/>
        <v/>
      </c>
      <c r="Q72" s="2"/>
      <c r="R72" s="51" t="str">
        <f t="shared" si="14"/>
        <v/>
      </c>
      <c r="S72" s="2"/>
      <c r="T72" s="2"/>
      <c r="U72" s="51" t="str">
        <f t="shared" si="15"/>
        <v/>
      </c>
      <c r="V72" s="2"/>
      <c r="W72" s="51" t="str">
        <f t="shared" si="16"/>
        <v/>
      </c>
      <c r="X72" s="2"/>
      <c r="Y72" s="51" t="str">
        <f t="shared" si="17"/>
        <v/>
      </c>
      <c r="Z72" s="2"/>
      <c r="AA72" s="2"/>
      <c r="AB72" s="2"/>
      <c r="AC72" s="2"/>
      <c r="AD72" s="2"/>
      <c r="AE72" s="2"/>
    </row>
    <row r="73" spans="1:31" ht="12.75" x14ac:dyDescent="0.2">
      <c r="A73" s="2"/>
      <c r="B73" s="2"/>
      <c r="C73" s="2"/>
      <c r="D73" s="2"/>
      <c r="E73" s="2"/>
      <c r="F73" s="2"/>
      <c r="G73" s="51" t="str">
        <f t="shared" si="9"/>
        <v/>
      </c>
      <c r="H73" s="2"/>
      <c r="I73" s="51" t="str">
        <f t="shared" si="10"/>
        <v/>
      </c>
      <c r="J73" s="2"/>
      <c r="K73" s="51" t="str">
        <f t="shared" si="11"/>
        <v/>
      </c>
      <c r="L73" s="2"/>
      <c r="M73" s="51" t="str">
        <f t="shared" si="12"/>
        <v/>
      </c>
      <c r="N73" s="2"/>
      <c r="O73" s="2"/>
      <c r="P73" s="51" t="str">
        <f t="shared" si="13"/>
        <v/>
      </c>
      <c r="Q73" s="2"/>
      <c r="R73" s="51" t="str">
        <f t="shared" si="14"/>
        <v/>
      </c>
      <c r="S73" s="2"/>
      <c r="T73" s="2"/>
      <c r="U73" s="51" t="str">
        <f t="shared" si="15"/>
        <v/>
      </c>
      <c r="V73" s="2"/>
      <c r="W73" s="51" t="str">
        <f t="shared" si="16"/>
        <v/>
      </c>
      <c r="X73" s="2"/>
      <c r="Y73" s="51" t="str">
        <f t="shared" si="17"/>
        <v/>
      </c>
      <c r="Z73" s="2"/>
      <c r="AA73" s="2"/>
      <c r="AB73" s="2"/>
      <c r="AC73" s="2"/>
      <c r="AD73" s="2"/>
      <c r="AE73" s="2"/>
    </row>
    <row r="74" spans="1:31" ht="12.75" x14ac:dyDescent="0.2">
      <c r="A74" s="2"/>
      <c r="B74" s="2"/>
      <c r="C74" s="2"/>
      <c r="D74" s="2"/>
      <c r="E74" s="2"/>
      <c r="F74" s="2"/>
      <c r="G74" s="51" t="str">
        <f t="shared" si="9"/>
        <v/>
      </c>
      <c r="H74" s="2"/>
      <c r="I74" s="51" t="str">
        <f t="shared" si="10"/>
        <v/>
      </c>
      <c r="J74" s="2"/>
      <c r="K74" s="51" t="str">
        <f t="shared" si="11"/>
        <v/>
      </c>
      <c r="L74" s="2"/>
      <c r="M74" s="51" t="str">
        <f t="shared" si="12"/>
        <v/>
      </c>
      <c r="N74" s="2"/>
      <c r="O74" s="2"/>
      <c r="P74" s="51" t="str">
        <f t="shared" si="13"/>
        <v/>
      </c>
      <c r="Q74" s="2"/>
      <c r="R74" s="51" t="str">
        <f t="shared" si="14"/>
        <v/>
      </c>
      <c r="S74" s="2"/>
      <c r="T74" s="2"/>
      <c r="U74" s="51" t="str">
        <f t="shared" si="15"/>
        <v/>
      </c>
      <c r="V74" s="2"/>
      <c r="W74" s="51" t="str">
        <f t="shared" si="16"/>
        <v/>
      </c>
      <c r="X74" s="2"/>
      <c r="Y74" s="51" t="str">
        <f t="shared" si="17"/>
        <v/>
      </c>
      <c r="Z74" s="2"/>
      <c r="AA74" s="2"/>
      <c r="AB74" s="2"/>
      <c r="AC74" s="2"/>
      <c r="AD74" s="2"/>
      <c r="AE74" s="2"/>
    </row>
    <row r="75" spans="1:31" ht="12.75" x14ac:dyDescent="0.2">
      <c r="A75" s="2"/>
      <c r="B75" s="2"/>
      <c r="C75" s="2"/>
      <c r="D75" s="2"/>
      <c r="E75" s="2"/>
      <c r="F75" s="2"/>
      <c r="G75" s="51" t="str">
        <f t="shared" si="9"/>
        <v/>
      </c>
      <c r="H75" s="2"/>
      <c r="I75" s="51" t="str">
        <f t="shared" si="10"/>
        <v/>
      </c>
      <c r="J75" s="2"/>
      <c r="K75" s="51" t="str">
        <f t="shared" si="11"/>
        <v/>
      </c>
      <c r="L75" s="2"/>
      <c r="M75" s="51" t="str">
        <f t="shared" si="12"/>
        <v/>
      </c>
      <c r="N75" s="2"/>
      <c r="O75" s="2"/>
      <c r="P75" s="51" t="str">
        <f t="shared" si="13"/>
        <v/>
      </c>
      <c r="Q75" s="2"/>
      <c r="R75" s="51" t="str">
        <f t="shared" si="14"/>
        <v/>
      </c>
      <c r="S75" s="2"/>
      <c r="T75" s="2"/>
      <c r="U75" s="51" t="str">
        <f t="shared" si="15"/>
        <v/>
      </c>
      <c r="V75" s="2"/>
      <c r="W75" s="51" t="str">
        <f t="shared" si="16"/>
        <v/>
      </c>
      <c r="X75" s="2"/>
      <c r="Y75" s="51" t="str">
        <f t="shared" si="17"/>
        <v/>
      </c>
      <c r="Z75" s="2"/>
      <c r="AA75" s="2"/>
      <c r="AB75" s="2"/>
      <c r="AC75" s="2"/>
      <c r="AD75" s="2"/>
      <c r="AE75" s="2"/>
    </row>
    <row r="76" spans="1:31" ht="12.75" x14ac:dyDescent="0.2">
      <c r="A76" s="2"/>
      <c r="B76" s="2"/>
      <c r="C76" s="2"/>
      <c r="D76" s="2"/>
      <c r="E76" s="2"/>
      <c r="F76" s="2"/>
      <c r="G76" s="51" t="str">
        <f t="shared" si="9"/>
        <v/>
      </c>
      <c r="H76" s="2"/>
      <c r="I76" s="51" t="str">
        <f t="shared" si="10"/>
        <v/>
      </c>
      <c r="J76" s="2"/>
      <c r="K76" s="51" t="str">
        <f t="shared" si="11"/>
        <v/>
      </c>
      <c r="L76" s="2"/>
      <c r="M76" s="51" t="str">
        <f t="shared" si="12"/>
        <v/>
      </c>
      <c r="N76" s="2"/>
      <c r="O76" s="2"/>
      <c r="P76" s="51" t="str">
        <f t="shared" si="13"/>
        <v/>
      </c>
      <c r="Q76" s="2"/>
      <c r="R76" s="51" t="str">
        <f t="shared" si="14"/>
        <v/>
      </c>
      <c r="S76" s="2"/>
      <c r="T76" s="2"/>
      <c r="U76" s="51" t="str">
        <f t="shared" si="15"/>
        <v/>
      </c>
      <c r="V76" s="2"/>
      <c r="W76" s="51" t="str">
        <f t="shared" si="16"/>
        <v/>
      </c>
      <c r="X76" s="2"/>
      <c r="Y76" s="51" t="str">
        <f t="shared" si="17"/>
        <v/>
      </c>
      <c r="Z76" s="2"/>
      <c r="AA76" s="2"/>
      <c r="AB76" s="2"/>
      <c r="AC76" s="2"/>
      <c r="AD76" s="2"/>
      <c r="AE76" s="2"/>
    </row>
    <row r="77" spans="1:31" ht="12.75" x14ac:dyDescent="0.2">
      <c r="A77" s="2"/>
      <c r="B77" s="2"/>
      <c r="C77" s="2"/>
      <c r="D77" s="2"/>
      <c r="E77" s="2"/>
      <c r="F77" s="2"/>
      <c r="G77" s="51" t="str">
        <f t="shared" si="9"/>
        <v/>
      </c>
      <c r="H77" s="2"/>
      <c r="I77" s="51" t="str">
        <f t="shared" si="10"/>
        <v/>
      </c>
      <c r="J77" s="2"/>
      <c r="K77" s="51" t="str">
        <f t="shared" si="11"/>
        <v/>
      </c>
      <c r="L77" s="2"/>
      <c r="M77" s="51" t="str">
        <f t="shared" si="12"/>
        <v/>
      </c>
      <c r="N77" s="2"/>
      <c r="O77" s="2"/>
      <c r="P77" s="51" t="str">
        <f t="shared" si="13"/>
        <v/>
      </c>
      <c r="Q77" s="2"/>
      <c r="R77" s="51" t="str">
        <f t="shared" si="14"/>
        <v/>
      </c>
      <c r="S77" s="2"/>
      <c r="T77" s="2"/>
      <c r="U77" s="51" t="str">
        <f t="shared" si="15"/>
        <v/>
      </c>
      <c r="V77" s="2"/>
      <c r="W77" s="51" t="str">
        <f t="shared" si="16"/>
        <v/>
      </c>
      <c r="X77" s="2"/>
      <c r="Y77" s="51" t="str">
        <f t="shared" si="17"/>
        <v/>
      </c>
      <c r="Z77" s="2"/>
      <c r="AA77" s="2"/>
      <c r="AB77" s="2"/>
      <c r="AC77" s="2"/>
      <c r="AD77" s="2"/>
      <c r="AE77" s="2"/>
    </row>
    <row r="78" spans="1:31" ht="12.75" x14ac:dyDescent="0.2">
      <c r="A78" s="2"/>
      <c r="B78" s="2"/>
      <c r="C78" s="2"/>
      <c r="D78" s="2"/>
      <c r="E78" s="2"/>
      <c r="F78" s="2"/>
      <c r="G78" s="51" t="str">
        <f t="shared" si="9"/>
        <v/>
      </c>
      <c r="H78" s="2"/>
      <c r="I78" s="51" t="str">
        <f t="shared" si="10"/>
        <v/>
      </c>
      <c r="J78" s="2"/>
      <c r="K78" s="51" t="str">
        <f t="shared" si="11"/>
        <v/>
      </c>
      <c r="L78" s="2"/>
      <c r="M78" s="51" t="str">
        <f t="shared" si="12"/>
        <v/>
      </c>
      <c r="N78" s="2"/>
      <c r="O78" s="2"/>
      <c r="P78" s="51" t="str">
        <f t="shared" si="13"/>
        <v/>
      </c>
      <c r="Q78" s="2"/>
      <c r="R78" s="51" t="str">
        <f t="shared" si="14"/>
        <v/>
      </c>
      <c r="S78" s="2"/>
      <c r="T78" s="2"/>
      <c r="U78" s="51" t="str">
        <f t="shared" si="15"/>
        <v/>
      </c>
      <c r="V78" s="2"/>
      <c r="W78" s="51" t="str">
        <f t="shared" si="16"/>
        <v/>
      </c>
      <c r="X78" s="2"/>
      <c r="Y78" s="51" t="str">
        <f t="shared" si="17"/>
        <v/>
      </c>
      <c r="Z78" s="2"/>
      <c r="AA78" s="2"/>
      <c r="AB78" s="2"/>
      <c r="AC78" s="2"/>
      <c r="AD78" s="2"/>
      <c r="AE78" s="2"/>
    </row>
    <row r="79" spans="1:31" ht="12.75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</row>
    <row r="80" spans="1:31" ht="12.75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</row>
    <row r="81" spans="1:31" ht="12.75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</row>
    <row r="82" spans="1:31" ht="12.75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</row>
    <row r="83" spans="1:31" ht="12.75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</row>
    <row r="84" spans="1:31" ht="12.75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</row>
    <row r="85" spans="1:31" ht="12.75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</row>
    <row r="86" spans="1:31" ht="12.75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</row>
    <row r="87" spans="1:31" ht="12.75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</row>
    <row r="88" spans="1:31" ht="12.75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</row>
    <row r="89" spans="1:31" ht="12.75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</row>
    <row r="90" spans="1:31" ht="12.75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ht="12.75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92" spans="1:31" ht="12.75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</row>
    <row r="93" spans="1:31" ht="12.75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</row>
    <row r="94" spans="1:31" ht="12.75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</row>
    <row r="95" spans="1:31" ht="12.75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</row>
    <row r="96" spans="1:31" ht="12.75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</row>
    <row r="97" spans="1:31" ht="12.75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</row>
    <row r="98" spans="1:31" ht="12.75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</row>
    <row r="99" spans="1:31" ht="12.75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</row>
    <row r="100" spans="1:31" ht="12.75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</row>
    <row r="101" spans="1:31" ht="12.75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</row>
    <row r="102" spans="1:31" ht="12.75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1:31" ht="12.75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1:31" ht="12.75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1:31" ht="12.75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1:31" ht="12.75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1:31" ht="12.75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</row>
    <row r="108" spans="1:31" ht="12.75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1:31" ht="12.75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 spans="1:31" ht="12.75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1:31" ht="12.75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1:31" ht="12.75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:31" ht="12.75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 ht="12.75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 ht="12.75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 ht="12.75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 ht="12.75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 ht="12.75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 ht="12.75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 ht="12.75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 ht="12.75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 ht="12.75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 ht="12.75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 ht="12.75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 ht="12.75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ht="12.75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ht="12.75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ht="12.75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ht="12.75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ht="12.75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ht="12.75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ht="12.75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ht="12.75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ht="12.75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ht="12.75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ht="12.75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ht="12.75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ht="12.75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ht="12.75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ht="12.75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2.75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2.75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2.75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2.75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2.75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2.75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2.75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2.75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2.75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2.75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2.75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2.75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2.75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2.75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2.75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2.75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2.75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2.75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2.75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2.75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2.75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2.75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2.75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2.75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2.75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2.75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2.75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2.75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2.75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2.75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2.75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2.75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2.75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2.75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2.75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2.75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2.75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2.75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2.75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2.75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2.75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2.75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2.75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2.75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2.75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2.75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2.75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2.75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2.75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2.75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2.75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2.75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2.75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2.75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2.75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2.75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2.75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2.75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2.75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2.75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2.75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2.75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2.75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2.75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2.75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2.75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2.75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2.75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2.75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2.75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2.75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2.75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2.75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2.75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2.75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2.75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2.75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2.75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2.75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2.75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2.75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2.75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2.75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2.75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2.75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2.75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2.75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2.75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2.75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2.75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2.75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2.75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2.75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2.75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2.75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2.75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2.75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2.75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2.75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2.75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2.75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2.75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2.75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2.75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2.75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2.75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2.75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2.75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2.75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2.75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2.75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2.75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2.75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2.75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2.75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2.75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2.75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2.75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2.75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2.75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2.75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2.75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2.75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2.75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2.75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2.75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2.75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2.75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2.75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2.75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2.75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2.75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2.75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2.75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2.75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2.75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2.75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2.75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2.75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2.75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2.75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2.75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2.75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2.75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2.75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2.75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2.75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2.75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2.75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2.75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2.75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2.75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2.75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2.75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2.75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2.75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2.75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2.75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2.75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2.75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2.75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2.75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2.75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2.75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2.75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2.75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2.75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2.75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2.75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2.75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2.75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2.75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2.75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2.75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2.75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2.75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2.75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2.75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2.75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2.75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2.75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2.75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2.75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2.75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2.75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2.75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2.75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2.75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2.75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2.75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2.75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2.75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2.75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2.75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2.75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2.75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2.75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2.75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2.75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2.75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2.75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2.75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2.75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2.75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2.75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2.75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2.75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2.75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2.75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2.75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2.75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2.75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2.75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2.75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2.75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2.75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2.75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2.75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2.75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2.75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2.75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2.75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2.75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2.75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2.75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2.75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2.75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2.75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2.75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2.75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2.75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2.75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2.75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2.75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2.75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2.75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2.75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2.75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2.75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2.75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2.75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2.75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2.75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2.75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2.75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2.75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2.75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2.75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2.75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2.75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2.75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2.75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2.75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2.75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2.75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2.75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2.75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2.75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2.75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2.75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2.75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2.75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2.75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2.75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2.75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2.75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2.75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2.75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2.75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2.75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2.75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2.75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2.75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2.75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2.75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2.75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2.75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2.75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2.75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2.75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2.75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2.75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2.75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2.75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2.75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2.75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2.75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2.75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2.75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2.75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2.75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2.75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2.75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2.75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2.75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2.75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2.75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2.75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2.75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2.75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2.75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2.75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2.75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2.75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2.75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2.75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2.75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2.75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2.75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2.75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2.75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2.75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2.75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2.75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2.75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2.75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2.75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2.75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2.75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2.75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2.75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2.75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2.75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2.75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2.75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2.75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2.75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2.75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2.75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2.75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2.75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2.75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2.75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2.75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2.75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2.75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2.75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2.75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2.75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2.75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2.75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2.75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2.75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2.75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2.75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2.75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2.75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2.75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2.75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2.75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2.75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2.75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2.75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2.75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2.75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2.75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2.75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2.75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2.75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2.75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2.75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2.75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2.75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2.75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2.75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2.75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2.75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2.75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2.75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2.75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2.75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2.75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2.75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2.75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2.75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2.75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2.75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2.75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2.75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2.75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2.75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2.75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2.75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2.75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2.75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2.75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2.75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2.75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2.75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2.75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2.75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2.75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2.75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2.75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2.75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2.75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2.75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2.75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2.75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2.75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2.75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2.75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2.75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2.75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2.75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2.75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2.75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2.75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2.75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2.75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2.75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2.75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2.75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2.75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2.75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2.75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2.75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2.75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2.75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2.75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2.75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2.75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2.75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2.75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2.75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2.75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2.75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2.75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2.75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2.75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2.75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2.75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2.75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2.75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2.75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2.75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2.75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2.75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2.75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2.75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2.75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2.75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2.75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2.75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2.75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2.75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2.75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2.75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2.75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2.75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2.75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2.75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2.75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2.75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2.75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2.75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2.75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2.75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2.75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2.75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2.75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2.75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2.75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2.75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2.75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2.75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2.75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2.75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2.75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2.75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2.75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2.75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2.75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2.75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2.75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2.75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2.75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2.75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2.75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2.75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2.75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2.75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2.75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2.75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2.75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2.75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2.75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2.75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2.75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2.75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2.75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2.75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2.75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2.75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2.75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2.75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2.75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2.75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2.75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2.75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2.75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2.75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2.75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2.75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2.75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2.75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2.75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2.75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2.75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2.75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2.75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2.75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2.75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2.75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2.75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2.75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2.75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2.75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2.75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2.75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2.75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2.75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2.75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2.75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2.75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2.75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2.75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2.75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2.75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2.75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2.75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2.75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2.75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2.75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2.75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2.75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2.75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2.75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2.75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2.75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2.75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2.75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2.75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2.75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2.75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2.75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2.75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2.75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2.75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2.75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2.75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2.75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2.75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2.75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2.75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2.75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2.75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2.75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2.75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2.75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2.75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2.75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2.75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2.75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2.75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2.75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2.75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2.75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2.75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2.75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2.75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2.75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2.75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2.75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2.75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2.75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2.75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2.75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2.75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2.75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2.75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2.75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2.75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2.75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2.75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2.75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2.75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2.75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2.75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2.75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2.75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2.75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2.75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2.75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2.75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2.75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2.75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2.75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2.75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2.75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2.75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2.75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2.75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2.75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2.75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2.75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2.75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2.75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2.75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2.75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2.75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2.75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2.75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2.75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2.75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2.75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2.75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2.75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2.75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2.75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2.75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2.75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2.75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2.75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2.75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2.75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2.75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2.75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2.75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2.75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2.75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2.75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2.75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2.75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2.75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2.75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2.75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2.75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2.75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2.75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2.75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2.75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2.75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2.75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2.75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2.75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2.75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2.75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2.75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2.75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2.75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2.75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2.75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2.75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2.75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2.75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2.75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2.75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2.75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2.75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2.75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2.75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2.75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2.75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2.75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2.75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2.75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2.75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2.75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2.75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2.75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2.75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2.75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2.75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2.75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2.75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2.75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2.75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2.75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2.75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2.75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2.75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2.75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2.75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2.75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2.75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2.75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2.75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2.75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2.75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2.75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2.75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2.75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2.75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2.75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2.75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2.75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2.75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2.75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2.75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2.75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2.75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2.75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2.75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2.75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2.75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2.75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2.75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2.75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2.75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2.75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2.75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2.75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2.75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2.75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2.75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2.75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2.75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2.75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2.75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2.75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2.75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2.75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2.75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2.75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2.75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2.75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2.75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2.75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2.75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2.75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2.75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2.75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2.75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2.75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2.75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2.75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2.75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2.75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2.75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2.75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2.75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2.75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2.75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2.75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2.75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2.75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2.75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2.75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2.75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2.75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2.75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2.75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2.75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2.75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2.75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2.75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2.75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2.75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2.75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2.75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2.75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2.75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2.75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2.75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2.75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2.75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2.75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2.75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2.75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2.75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2.75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2.75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2.75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2.75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2.75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2.75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2.75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2.75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2.75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2.75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2.75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2.75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2.75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2.75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2.75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2.75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2.75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2.75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2.75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2.75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2.75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2.75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2.75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2.75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2.75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2.75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2.75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2.75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2.75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2.75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2.75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2.75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2.75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2.75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2.75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2.75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2.75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2.75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2.75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2.75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2.75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2.75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2.75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2.75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2.75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2.75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2.75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2.75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2.75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2.75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2.75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2.75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2.75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2.75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2.75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2.75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2.75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2.75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2.75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2.75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2.75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2.75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2.75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2.75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2.75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2.75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2.75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2.75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2.75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2.75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2.75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2.75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2.75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2.75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2.75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2.75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2.75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2.75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2.75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2.75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2.75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2.75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2.75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2.75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2.75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2.75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 ht="12.75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 ht="12.75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  <row r="1000" spans="1:31" ht="12.75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</row>
  </sheetData>
  <mergeCells count="16">
    <mergeCell ref="N3:R3"/>
    <mergeCell ref="S3:Y3"/>
    <mergeCell ref="F4:G4"/>
    <mergeCell ref="H4:I4"/>
    <mergeCell ref="J4:K4"/>
    <mergeCell ref="L4:M4"/>
    <mergeCell ref="O4:P4"/>
    <mergeCell ref="Q4:R4"/>
    <mergeCell ref="T4:U4"/>
    <mergeCell ref="V4:W4"/>
    <mergeCell ref="X4:Y4"/>
    <mergeCell ref="A3:A4"/>
    <mergeCell ref="B3:B4"/>
    <mergeCell ref="C3:C4"/>
    <mergeCell ref="D3:D4"/>
    <mergeCell ref="E3:M3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E1000"/>
  <sheetViews>
    <sheetView zoomScale="85" zoomScaleNormal="85" workbookViewId="0">
      <selection activeCell="B21" sqref="B21"/>
    </sheetView>
  </sheetViews>
  <sheetFormatPr defaultColWidth="12.5703125" defaultRowHeight="15.75" customHeight="1" x14ac:dyDescent="0.2"/>
  <cols>
    <col min="1" max="1" width="9.28515625" style="3" customWidth="1"/>
    <col min="2" max="2" width="37.28515625" style="3" customWidth="1"/>
    <col min="3" max="4" width="12.5703125" style="3"/>
    <col min="5" max="5" width="10.42578125" style="3" customWidth="1"/>
    <col min="6" max="13" width="8.85546875" style="3" customWidth="1"/>
    <col min="14" max="14" width="10.42578125" style="3" customWidth="1"/>
    <col min="15" max="18" width="8.85546875" style="3" customWidth="1"/>
    <col min="19" max="19" width="10.42578125" style="3" customWidth="1"/>
    <col min="20" max="25" width="8.85546875" style="3" customWidth="1"/>
    <col min="26" max="16384" width="12.5703125" style="3"/>
  </cols>
  <sheetData>
    <row r="1" spans="1:31" ht="26.25" customHeight="1" x14ac:dyDescent="0.2">
      <c r="A1" s="1" t="s">
        <v>21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ht="35.25" customHeight="1" x14ac:dyDescent="0.2">
      <c r="A2" s="4" t="s">
        <v>26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</row>
    <row r="3" spans="1:31" ht="30.75" customHeight="1" x14ac:dyDescent="0.2">
      <c r="A3" s="89" t="str">
        <f ca="1">IFERROR(__xludf.DUMMYFUNCTION("IMPORTRANGE(""https://docs.google.com/spreadsheets/d/1giFCfPZvq6d2WPbrXwJ7ksTcnSjmuNbU5G4IRrh5hOk/edit#gid=0"",""TĐức!A14:T1000"")"),"STT")</f>
        <v>STT</v>
      </c>
      <c r="B3" s="89" t="str">
        <f ca="1">IFERROR(__xludf.DUMMYFUNCTION("""COMPUTED_VALUE"""),"TRƯỜNG")</f>
        <v>TRƯỜNG</v>
      </c>
      <c r="C3" s="89" t="str">
        <f ca="1">IFERROR(__xludf.DUMMYFUNCTION("""COMPUTED_VALUE"""),"BẬC HỌC (MN, TH, THCS, THPT, CB, GDTX)")</f>
        <v>BẬC HỌC (MN, TH, THCS, THPT, CB, GDTX)</v>
      </c>
      <c r="D3" s="89" t="str">
        <f ca="1">IFERROR(__xludf.DUMMYFUNCTION("""COMPUTED_VALUE"""),"THÀNH PHỐ, QUẬN, HUYỆN")</f>
        <v>THÀNH PHỐ, QUẬN, HUYỆN</v>
      </c>
      <c r="E3" s="91" t="str">
        <f ca="1">IFERROR(__xludf.DUMMYFUNCTION("""COMPUTED_VALUE"""),"Cán bộ - Giáo viên - Nhân viên")</f>
        <v>Cán bộ - Giáo viên - Nhân viên</v>
      </c>
      <c r="F3" s="92"/>
      <c r="G3" s="92"/>
      <c r="H3" s="92"/>
      <c r="I3" s="92"/>
      <c r="J3" s="92"/>
      <c r="K3" s="92"/>
      <c r="L3" s="92"/>
      <c r="M3" s="92"/>
      <c r="N3" s="93" t="str">
        <f ca="1">IFERROR(__xludf.DUMMYFUNCTION("""COMPUTED_VALUE"""),"Học sinh từ 5 đến dưới 12 tuổi")</f>
        <v>Học sinh từ 5 đến dưới 12 tuổi</v>
      </c>
      <c r="O3" s="92"/>
      <c r="P3" s="92"/>
      <c r="Q3" s="92"/>
      <c r="R3" s="92"/>
      <c r="S3" s="94" t="str">
        <f ca="1">IFERROR(__xludf.DUMMYFUNCTION("""COMPUTED_VALUE"""),"Học sinh từ 12 đến dưới 18 tuổi")</f>
        <v>Học sinh từ 12 đến dưới 18 tuổi</v>
      </c>
      <c r="T3" s="95"/>
      <c r="U3" s="95"/>
      <c r="V3" s="95"/>
      <c r="W3" s="95"/>
      <c r="X3" s="95"/>
      <c r="Y3" s="95"/>
      <c r="Z3" s="2"/>
      <c r="AA3" s="2"/>
      <c r="AB3" s="2"/>
      <c r="AC3" s="2"/>
      <c r="AD3" s="2"/>
      <c r="AE3" s="2"/>
    </row>
    <row r="4" spans="1:31" ht="27" customHeight="1" x14ac:dyDescent="0.2">
      <c r="A4" s="90"/>
      <c r="B4" s="90"/>
      <c r="C4" s="90"/>
      <c r="D4" s="90"/>
      <c r="E4" s="7" t="str">
        <f ca="1">IFERROR(__xludf.DUMMYFUNCTION("""COMPUTED_VALUE"""),"Tổng CB-GV-NV")</f>
        <v>Tổng CB-GV-NV</v>
      </c>
      <c r="F4" s="96" t="s">
        <v>22</v>
      </c>
      <c r="G4" s="97"/>
      <c r="H4" s="96" t="s">
        <v>23</v>
      </c>
      <c r="I4" s="97"/>
      <c r="J4" s="96" t="s">
        <v>24</v>
      </c>
      <c r="K4" s="97"/>
      <c r="L4" s="96" t="s">
        <v>25</v>
      </c>
      <c r="M4" s="97"/>
      <c r="N4" s="7" t="str">
        <f ca="1">IFERROR(__xludf.DUMMYFUNCTION("""COMPUTED_VALUE"""),"Tổng học sinh")</f>
        <v>Tổng học sinh</v>
      </c>
      <c r="O4" s="96" t="s">
        <v>22</v>
      </c>
      <c r="P4" s="97"/>
      <c r="Q4" s="96" t="s">
        <v>23</v>
      </c>
      <c r="R4" s="97"/>
      <c r="S4" s="8" t="str">
        <f ca="1">IFERROR(__xludf.DUMMYFUNCTION("""COMPUTED_VALUE"""),"Tổng học sinh")</f>
        <v>Tổng học sinh</v>
      </c>
      <c r="T4" s="98" t="s">
        <v>22</v>
      </c>
      <c r="U4" s="99"/>
      <c r="V4" s="98" t="s">
        <v>23</v>
      </c>
      <c r="W4" s="99"/>
      <c r="X4" s="98" t="s">
        <v>24</v>
      </c>
      <c r="Y4" s="99"/>
      <c r="Z4" s="2"/>
      <c r="AA4" s="2"/>
      <c r="AB4" s="2"/>
      <c r="AC4" s="2"/>
      <c r="AD4" s="2"/>
      <c r="AE4" s="2"/>
    </row>
    <row r="5" spans="1:31" ht="12.75" x14ac:dyDescent="0.2">
      <c r="A5" s="11"/>
      <c r="B5" s="10" t="str">
        <f ca="1">IFERROR(__xludf.DUMMYFUNCTION("""COMPUTED_VALUE"""),"TỔNG TOÀN QUẬN/HUYỆN/TP")</f>
        <v>TỔNG TOÀN QUẬN/HUYỆN/TP</v>
      </c>
      <c r="C5" s="11"/>
      <c r="D5" s="11"/>
      <c r="E5" s="12">
        <f ca="1">IFERROR(__xludf.DUMMYFUNCTION("""COMPUTED_VALUE"""),19849)</f>
        <v>19849</v>
      </c>
      <c r="F5" s="12">
        <f ca="1">IFERROR(__xludf.DUMMYFUNCTION("""COMPUTED_VALUE"""),19520)</f>
        <v>19520</v>
      </c>
      <c r="G5" s="13">
        <f ca="1">IFERROR(F5/E5,"")</f>
        <v>0.98342485767544963</v>
      </c>
      <c r="H5" s="12">
        <f ca="1">IFERROR(__xludf.DUMMYFUNCTION("""COMPUTED_VALUE"""),19526)</f>
        <v>19526</v>
      </c>
      <c r="I5" s="13">
        <f ca="1">IFERROR(H5/E5,"")</f>
        <v>0.98372713990629246</v>
      </c>
      <c r="J5" s="12">
        <f ca="1">IFERROR(__xludf.DUMMYFUNCTION("""COMPUTED_VALUE"""),17525)</f>
        <v>17525</v>
      </c>
      <c r="K5" s="13">
        <f ca="1">IFERROR(J5/E5,"")</f>
        <v>0.88291601592019753</v>
      </c>
      <c r="L5" s="12">
        <f ca="1">IFERROR(__xludf.DUMMYFUNCTION("""COMPUTED_VALUE"""),5083)</f>
        <v>5083</v>
      </c>
      <c r="M5" s="13">
        <f ca="1">IFERROR(L5/E5,"")</f>
        <v>0.25608342989571264</v>
      </c>
      <c r="N5" s="12">
        <f ca="1">IFERROR(__xludf.DUMMYFUNCTION("""COMPUTED_VALUE"""),0)</f>
        <v>0</v>
      </c>
      <c r="O5" s="12">
        <f ca="1">IFERROR(__xludf.DUMMYFUNCTION("""COMPUTED_VALUE"""),0)</f>
        <v>0</v>
      </c>
      <c r="P5" s="13" t="str">
        <f ca="1">IFERROR(O5/N5,"")</f>
        <v/>
      </c>
      <c r="Q5" s="12">
        <f ca="1">IFERROR(__xludf.DUMMYFUNCTION("""COMPUTED_VALUE"""),0)</f>
        <v>0</v>
      </c>
      <c r="R5" s="13" t="str">
        <f ca="1">IFERROR(Q5/N5,"")</f>
        <v/>
      </c>
      <c r="S5" s="12">
        <f ca="1">IFERROR(__xludf.DUMMYFUNCTION("""COMPUTED_VALUE"""),83173)</f>
        <v>83173</v>
      </c>
      <c r="T5" s="12">
        <f ca="1">IFERROR(__xludf.DUMMYFUNCTION("""COMPUTED_VALUE"""),73226)</f>
        <v>73226</v>
      </c>
      <c r="U5" s="13">
        <f ca="1">IFERROR(T5/S5,"")</f>
        <v>0.88040590095343441</v>
      </c>
      <c r="V5" s="12">
        <f ca="1">IFERROR(__xludf.DUMMYFUNCTION("""COMPUTED_VALUE"""),70344)</f>
        <v>70344</v>
      </c>
      <c r="W5" s="13">
        <f ca="1">IFERROR(V5/S5,"")</f>
        <v>0.8457552330684236</v>
      </c>
      <c r="X5" s="12">
        <f ca="1">IFERROR(__xludf.DUMMYFUNCTION("""COMPUTED_VALUE"""),24310)</f>
        <v>24310</v>
      </c>
      <c r="Y5" s="13">
        <f ca="1">IFERROR(X5/S5,"")</f>
        <v>0.29228235124379304</v>
      </c>
      <c r="Z5" s="2"/>
      <c r="AA5" s="2"/>
      <c r="AB5" s="2"/>
      <c r="AC5" s="2"/>
      <c r="AD5" s="2"/>
      <c r="AE5" s="2"/>
    </row>
    <row r="6" spans="1:31" ht="12.75" x14ac:dyDescent="0.2">
      <c r="A6" s="24" t="str">
        <f ca="1">IFERROR(__xludf.DUMMYFUNCTION("""COMPUTED_VALUE"""),"MẦM NON CÔNG LẬP")</f>
        <v>MẦM NON CÔNG LẬP</v>
      </c>
      <c r="B6" s="25"/>
      <c r="C6" s="25"/>
      <c r="D6" s="25"/>
      <c r="E6" s="26">
        <f ca="1">IFERROR(__xludf.DUMMYFUNCTION("""COMPUTED_VALUE"""),101)</f>
        <v>101</v>
      </c>
      <c r="F6" s="27">
        <f ca="1">IFERROR(__xludf.DUMMYFUNCTION("""COMPUTED_VALUE"""),101)</f>
        <v>101</v>
      </c>
      <c r="G6" s="13">
        <f t="shared" ref="G6:G69" ca="1" si="0">IFERROR(F6/E6,"")</f>
        <v>1</v>
      </c>
      <c r="H6" s="27">
        <f ca="1">IFERROR(__xludf.DUMMYFUNCTION("""COMPUTED_VALUE"""),100)</f>
        <v>100</v>
      </c>
      <c r="I6" s="13">
        <f t="shared" ref="I6:I69" ca="1" si="1">IFERROR(H6/E6,"")</f>
        <v>0.99009900990099009</v>
      </c>
      <c r="J6" s="27">
        <f ca="1">IFERROR(__xludf.DUMMYFUNCTION("""COMPUTED_VALUE"""),97)</f>
        <v>97</v>
      </c>
      <c r="K6" s="13">
        <f t="shared" ref="K6:K69" ca="1" si="2">IFERROR(J6/E6,"")</f>
        <v>0.96039603960396036</v>
      </c>
      <c r="L6" s="27">
        <f ca="1">IFERROR(__xludf.DUMMYFUNCTION("""COMPUTED_VALUE"""),15)</f>
        <v>15</v>
      </c>
      <c r="M6" s="13">
        <f t="shared" ref="M6:M69" ca="1" si="3">IFERROR(L6/E6,"")</f>
        <v>0.14851485148514851</v>
      </c>
      <c r="N6" s="26">
        <f ca="1">IFERROR(__xludf.DUMMYFUNCTION("""COMPUTED_VALUE"""),0)</f>
        <v>0</v>
      </c>
      <c r="O6" s="27">
        <f ca="1">IFERROR(__xludf.DUMMYFUNCTION("""COMPUTED_VALUE"""),0)</f>
        <v>0</v>
      </c>
      <c r="P6" s="13" t="str">
        <f t="shared" ref="P6:P69" ca="1" si="4">IFERROR(O6/N6,"")</f>
        <v/>
      </c>
      <c r="Q6" s="27">
        <f ca="1">IFERROR(__xludf.DUMMYFUNCTION("""COMPUTED_VALUE"""),0)</f>
        <v>0</v>
      </c>
      <c r="R6" s="13" t="str">
        <f t="shared" ref="R6:R69" ca="1" si="5">IFERROR(Q6/N6,"")</f>
        <v/>
      </c>
      <c r="S6" s="26">
        <f ca="1">IFERROR(__xludf.DUMMYFUNCTION("""COMPUTED_VALUE"""),0)</f>
        <v>0</v>
      </c>
      <c r="T6" s="27">
        <f ca="1">IFERROR(__xludf.DUMMYFUNCTION("""COMPUTED_VALUE"""),0)</f>
        <v>0</v>
      </c>
      <c r="U6" s="13" t="str">
        <f t="shared" ref="U6:U69" ca="1" si="6">IFERROR(T6/S6,"")</f>
        <v/>
      </c>
      <c r="V6" s="27">
        <f ca="1">IFERROR(__xludf.DUMMYFUNCTION("""COMPUTED_VALUE"""),0)</f>
        <v>0</v>
      </c>
      <c r="W6" s="13" t="str">
        <f t="shared" ref="W6:W69" ca="1" si="7">IFERROR(V6/S6,"")</f>
        <v/>
      </c>
      <c r="X6" s="27">
        <f ca="1">IFERROR(__xludf.DUMMYFUNCTION("""COMPUTED_VALUE"""),0)</f>
        <v>0</v>
      </c>
      <c r="Y6" s="13" t="str">
        <f t="shared" ref="Y6:Y69" ca="1" si="8">IFERROR(X6/S6,"")</f>
        <v/>
      </c>
      <c r="Z6" s="2"/>
      <c r="AA6" s="2"/>
      <c r="AB6" s="2"/>
      <c r="AC6" s="2"/>
      <c r="AD6" s="2"/>
      <c r="AE6" s="2"/>
    </row>
    <row r="7" spans="1:31" ht="12.75" x14ac:dyDescent="0.2">
      <c r="A7" s="28">
        <f ca="1">IFERROR(__xludf.DUMMYFUNCTION("""COMPUTED_VALUE"""),1)</f>
        <v>1</v>
      </c>
      <c r="B7" s="29" t="str">
        <f ca="1">IFERROR(__xludf.DUMMYFUNCTION("""COMPUTED_VALUE"""),"MN Thỏ Ngọc KV3")</f>
        <v>MN Thỏ Ngọc KV3</v>
      </c>
      <c r="C7" s="30" t="str">
        <f ca="1">IFERROR(__xludf.DUMMYFUNCTION("""COMPUTED_VALUE"""),"MN")</f>
        <v>MN</v>
      </c>
      <c r="D7" s="30" t="str">
        <f ca="1">IFERROR(__xludf.DUMMYFUNCTION("""COMPUTED_VALUE"""),"Tp. Thủ Đức")</f>
        <v>Tp. Thủ Đức</v>
      </c>
      <c r="E7" s="31">
        <f ca="1">IFERROR(__xludf.DUMMYFUNCTION("""COMPUTED_VALUE"""),27)</f>
        <v>27</v>
      </c>
      <c r="F7" s="32">
        <f ca="1">IFERROR(__xludf.DUMMYFUNCTION("""COMPUTED_VALUE"""),27)</f>
        <v>27</v>
      </c>
      <c r="G7" s="13">
        <f t="shared" ca="1" si="0"/>
        <v>1</v>
      </c>
      <c r="H7" s="32">
        <f ca="1">IFERROR(__xludf.DUMMYFUNCTION("""COMPUTED_VALUE"""),27)</f>
        <v>27</v>
      </c>
      <c r="I7" s="13">
        <f t="shared" ca="1" si="1"/>
        <v>1</v>
      </c>
      <c r="J7" s="32">
        <f ca="1">IFERROR(__xludf.DUMMYFUNCTION("""COMPUTED_VALUE"""),27)</f>
        <v>27</v>
      </c>
      <c r="K7" s="13">
        <f t="shared" ca="1" si="2"/>
        <v>1</v>
      </c>
      <c r="L7" s="32">
        <f ca="1">IFERROR(__xludf.DUMMYFUNCTION("""COMPUTED_VALUE"""),14)</f>
        <v>14</v>
      </c>
      <c r="M7" s="13">
        <f t="shared" ca="1" si="3"/>
        <v>0.51851851851851849</v>
      </c>
      <c r="N7" s="31">
        <f ca="1">IFERROR(__xludf.DUMMYFUNCTION("""COMPUTED_VALUE"""),0)</f>
        <v>0</v>
      </c>
      <c r="O7" s="32">
        <f ca="1">IFERROR(__xludf.DUMMYFUNCTION("""COMPUTED_VALUE"""),0)</f>
        <v>0</v>
      </c>
      <c r="P7" s="13" t="str">
        <f t="shared" ca="1" si="4"/>
        <v/>
      </c>
      <c r="Q7" s="32">
        <f ca="1">IFERROR(__xludf.DUMMYFUNCTION("""COMPUTED_VALUE"""),2)</f>
        <v>2</v>
      </c>
      <c r="R7" s="13" t="str">
        <f t="shared" ca="1" si="5"/>
        <v/>
      </c>
      <c r="S7" s="31">
        <f ca="1">IFERROR(__xludf.DUMMYFUNCTION("""COMPUTED_VALUE"""),0)</f>
        <v>0</v>
      </c>
      <c r="T7" s="32">
        <f ca="1">IFERROR(__xludf.DUMMYFUNCTION("""COMPUTED_VALUE"""),0)</f>
        <v>0</v>
      </c>
      <c r="U7" s="13" t="str">
        <f t="shared" ca="1" si="6"/>
        <v/>
      </c>
      <c r="V7" s="32">
        <f ca="1">IFERROR(__xludf.DUMMYFUNCTION("""COMPUTED_VALUE"""),0)</f>
        <v>0</v>
      </c>
      <c r="W7" s="13" t="str">
        <f t="shared" ca="1" si="7"/>
        <v/>
      </c>
      <c r="X7" s="32">
        <f ca="1">IFERROR(__xludf.DUMMYFUNCTION("""COMPUTED_VALUE"""),0)</f>
        <v>0</v>
      </c>
      <c r="Y7" s="13" t="str">
        <f t="shared" ca="1" si="8"/>
        <v/>
      </c>
      <c r="Z7" s="2"/>
      <c r="AA7" s="2"/>
      <c r="AB7" s="2"/>
      <c r="AC7" s="2"/>
      <c r="AD7" s="2"/>
      <c r="AE7" s="2"/>
    </row>
    <row r="8" spans="1:31" ht="12.75" x14ac:dyDescent="0.2">
      <c r="A8" s="28">
        <f ca="1">IFERROR(__xludf.DUMMYFUNCTION("""COMPUTED_VALUE"""),2)</f>
        <v>2</v>
      </c>
      <c r="B8" s="29" t="str">
        <f ca="1">IFERROR(__xludf.DUMMYFUNCTION("""COMPUTED_VALUE"""),"MN Sao Mai")</f>
        <v>MN Sao Mai</v>
      </c>
      <c r="C8" s="33" t="str">
        <f ca="1">IFERROR(__xludf.DUMMYFUNCTION("""COMPUTED_VALUE"""),"MN")</f>
        <v>MN</v>
      </c>
      <c r="D8" s="30" t="str">
        <f ca="1">IFERROR(__xludf.DUMMYFUNCTION("""COMPUTED_VALUE"""),"Tp. Thủ Đức")</f>
        <v>Tp. Thủ Đức</v>
      </c>
      <c r="E8" s="31">
        <f ca="1">IFERROR(__xludf.DUMMYFUNCTION("""COMPUTED_VALUE"""),30)</f>
        <v>30</v>
      </c>
      <c r="F8" s="32">
        <f ca="1">IFERROR(__xludf.DUMMYFUNCTION("""COMPUTED_VALUE"""),30)</f>
        <v>30</v>
      </c>
      <c r="G8" s="13">
        <f t="shared" ca="1" si="0"/>
        <v>1</v>
      </c>
      <c r="H8" s="32">
        <f ca="1">IFERROR(__xludf.DUMMYFUNCTION("""COMPUTED_VALUE"""),30)</f>
        <v>30</v>
      </c>
      <c r="I8" s="13">
        <f t="shared" ca="1" si="1"/>
        <v>1</v>
      </c>
      <c r="J8" s="32">
        <f ca="1">IFERROR(__xludf.DUMMYFUNCTION("""COMPUTED_VALUE"""),30)</f>
        <v>30</v>
      </c>
      <c r="K8" s="13">
        <f t="shared" ca="1" si="2"/>
        <v>1</v>
      </c>
      <c r="L8" s="32">
        <f ca="1">IFERROR(__xludf.DUMMYFUNCTION("""COMPUTED_VALUE"""),23)</f>
        <v>23</v>
      </c>
      <c r="M8" s="13">
        <f t="shared" ca="1" si="3"/>
        <v>0.76666666666666672</v>
      </c>
      <c r="N8" s="31">
        <f ca="1">IFERROR(__xludf.DUMMYFUNCTION("""COMPUTED_VALUE"""),41)</f>
        <v>41</v>
      </c>
      <c r="O8" s="32">
        <f ca="1">IFERROR(__xludf.DUMMYFUNCTION("""COMPUTED_VALUE"""),5)</f>
        <v>5</v>
      </c>
      <c r="P8" s="13">
        <f t="shared" ca="1" si="4"/>
        <v>0.12195121951219512</v>
      </c>
      <c r="Q8" s="32">
        <f ca="1">IFERROR(__xludf.DUMMYFUNCTION("""COMPUTED_VALUE"""),2)</f>
        <v>2</v>
      </c>
      <c r="R8" s="13">
        <f t="shared" ca="1" si="5"/>
        <v>4.878048780487805E-2</v>
      </c>
      <c r="S8" s="31">
        <f ca="1">IFERROR(__xludf.DUMMYFUNCTION("""COMPUTED_VALUE"""),0)</f>
        <v>0</v>
      </c>
      <c r="T8" s="32">
        <f ca="1">IFERROR(__xludf.DUMMYFUNCTION("""COMPUTED_VALUE"""),0)</f>
        <v>0</v>
      </c>
      <c r="U8" s="13" t="str">
        <f t="shared" ca="1" si="6"/>
        <v/>
      </c>
      <c r="V8" s="32">
        <f ca="1">IFERROR(__xludf.DUMMYFUNCTION("""COMPUTED_VALUE"""),0)</f>
        <v>0</v>
      </c>
      <c r="W8" s="13" t="str">
        <f t="shared" ca="1" si="7"/>
        <v/>
      </c>
      <c r="X8" s="32">
        <f ca="1">IFERROR(__xludf.DUMMYFUNCTION("""COMPUTED_VALUE"""),0)</f>
        <v>0</v>
      </c>
      <c r="Y8" s="13" t="str">
        <f t="shared" ca="1" si="8"/>
        <v/>
      </c>
      <c r="Z8" s="2"/>
      <c r="AA8" s="2"/>
      <c r="AB8" s="2"/>
      <c r="AC8" s="2"/>
      <c r="AD8" s="2"/>
      <c r="AE8" s="2"/>
    </row>
    <row r="9" spans="1:31" ht="12.75" x14ac:dyDescent="0.2">
      <c r="A9" s="28">
        <f ca="1">IFERROR(__xludf.DUMMYFUNCTION("""COMPUTED_VALUE"""),3)</f>
        <v>3</v>
      </c>
      <c r="B9" s="29" t="str">
        <f ca="1">IFERROR(__xludf.DUMMYFUNCTION("""COMPUTED_VALUE"""),"MN Sen Hồng 3")</f>
        <v>MN Sen Hồng 3</v>
      </c>
      <c r="C9" s="33" t="str">
        <f ca="1">IFERROR(__xludf.DUMMYFUNCTION("""COMPUTED_VALUE"""),"MN")</f>
        <v>MN</v>
      </c>
      <c r="D9" s="30" t="str">
        <f ca="1">IFERROR(__xludf.DUMMYFUNCTION("""COMPUTED_VALUE"""),"Tp. Thủ Đức")</f>
        <v>Tp. Thủ Đức</v>
      </c>
      <c r="E9" s="31">
        <f ca="1">IFERROR(__xludf.DUMMYFUNCTION("""COMPUTED_VALUE"""),21)</f>
        <v>21</v>
      </c>
      <c r="F9" s="32">
        <f ca="1">IFERROR(__xludf.DUMMYFUNCTION("""COMPUTED_VALUE"""),21)</f>
        <v>21</v>
      </c>
      <c r="G9" s="13">
        <f t="shared" ca="1" si="0"/>
        <v>1</v>
      </c>
      <c r="H9" s="32">
        <f ca="1">IFERROR(__xludf.DUMMYFUNCTION("""COMPUTED_VALUE"""),21)</f>
        <v>21</v>
      </c>
      <c r="I9" s="13">
        <f t="shared" ca="1" si="1"/>
        <v>1</v>
      </c>
      <c r="J9" s="32">
        <f ca="1">IFERROR(__xludf.DUMMYFUNCTION("""COMPUTED_VALUE"""),21)</f>
        <v>21</v>
      </c>
      <c r="K9" s="13">
        <f t="shared" ca="1" si="2"/>
        <v>1</v>
      </c>
      <c r="L9" s="32">
        <f ca="1">IFERROR(__xludf.DUMMYFUNCTION("""COMPUTED_VALUE"""),7)</f>
        <v>7</v>
      </c>
      <c r="M9" s="13">
        <f t="shared" ca="1" si="3"/>
        <v>0.33333333333333331</v>
      </c>
      <c r="N9" s="31">
        <f ca="1">IFERROR(__xludf.DUMMYFUNCTION("""COMPUTED_VALUE"""),0)</f>
        <v>0</v>
      </c>
      <c r="O9" s="32">
        <f ca="1">IFERROR(__xludf.DUMMYFUNCTION("""COMPUTED_VALUE"""),0)</f>
        <v>0</v>
      </c>
      <c r="P9" s="13" t="str">
        <f t="shared" ca="1" si="4"/>
        <v/>
      </c>
      <c r="Q9" s="32">
        <f ca="1">IFERROR(__xludf.DUMMYFUNCTION("""COMPUTED_VALUE"""),0)</f>
        <v>0</v>
      </c>
      <c r="R9" s="13" t="str">
        <f t="shared" ca="1" si="5"/>
        <v/>
      </c>
      <c r="S9" s="31">
        <f ca="1">IFERROR(__xludf.DUMMYFUNCTION("""COMPUTED_VALUE"""),0)</f>
        <v>0</v>
      </c>
      <c r="T9" s="32">
        <f ca="1">IFERROR(__xludf.DUMMYFUNCTION("""COMPUTED_VALUE"""),0)</f>
        <v>0</v>
      </c>
      <c r="U9" s="13" t="str">
        <f t="shared" ca="1" si="6"/>
        <v/>
      </c>
      <c r="V9" s="32">
        <f ca="1">IFERROR(__xludf.DUMMYFUNCTION("""COMPUTED_VALUE"""),0)</f>
        <v>0</v>
      </c>
      <c r="W9" s="13" t="str">
        <f t="shared" ca="1" si="7"/>
        <v/>
      </c>
      <c r="X9" s="32">
        <f ca="1">IFERROR(__xludf.DUMMYFUNCTION("""COMPUTED_VALUE"""),0)</f>
        <v>0</v>
      </c>
      <c r="Y9" s="13" t="str">
        <f t="shared" ca="1" si="8"/>
        <v/>
      </c>
      <c r="Z9" s="2"/>
      <c r="AA9" s="2"/>
      <c r="AB9" s="2"/>
      <c r="AC9" s="2"/>
      <c r="AD9" s="2"/>
      <c r="AE9" s="2"/>
    </row>
    <row r="10" spans="1:31" ht="12.75" x14ac:dyDescent="0.2">
      <c r="A10" s="28">
        <f ca="1">IFERROR(__xludf.DUMMYFUNCTION("""COMPUTED_VALUE"""),4)</f>
        <v>4</v>
      </c>
      <c r="B10" s="29" t="str">
        <f ca="1">IFERROR(__xludf.DUMMYFUNCTION("""COMPUTED_VALUE"""),"MN Hiệp Bình Chánh")</f>
        <v>MN Hiệp Bình Chánh</v>
      </c>
      <c r="C10" s="33" t="str">
        <f ca="1">IFERROR(__xludf.DUMMYFUNCTION("""COMPUTED_VALUE"""),"MN")</f>
        <v>MN</v>
      </c>
      <c r="D10" s="30" t="str">
        <f ca="1">IFERROR(__xludf.DUMMYFUNCTION("""COMPUTED_VALUE"""),"Tp. Thủ Đức")</f>
        <v>Tp. Thủ Đức</v>
      </c>
      <c r="E10" s="31">
        <f ca="1">IFERROR(__xludf.DUMMYFUNCTION("""COMPUTED_VALUE"""),18)</f>
        <v>18</v>
      </c>
      <c r="F10" s="32">
        <f ca="1">IFERROR(__xludf.DUMMYFUNCTION("""COMPUTED_VALUE"""),18)</f>
        <v>18</v>
      </c>
      <c r="G10" s="13">
        <f t="shared" ca="1" si="0"/>
        <v>1</v>
      </c>
      <c r="H10" s="32">
        <f ca="1">IFERROR(__xludf.DUMMYFUNCTION("""COMPUTED_VALUE"""),18)</f>
        <v>18</v>
      </c>
      <c r="I10" s="13">
        <f t="shared" ca="1" si="1"/>
        <v>1</v>
      </c>
      <c r="J10" s="32">
        <f ca="1">IFERROR(__xludf.DUMMYFUNCTION("""COMPUTED_VALUE"""),18)</f>
        <v>18</v>
      </c>
      <c r="K10" s="13">
        <f t="shared" ca="1" si="2"/>
        <v>1</v>
      </c>
      <c r="L10" s="32">
        <f ca="1">IFERROR(__xludf.DUMMYFUNCTION("""COMPUTED_VALUE"""),11)</f>
        <v>11</v>
      </c>
      <c r="M10" s="13">
        <f t="shared" ca="1" si="3"/>
        <v>0.61111111111111116</v>
      </c>
      <c r="N10" s="31">
        <f ca="1">IFERROR(__xludf.DUMMYFUNCTION("""COMPUTED_VALUE"""),0)</f>
        <v>0</v>
      </c>
      <c r="O10" s="32">
        <f ca="1">IFERROR(__xludf.DUMMYFUNCTION("""COMPUTED_VALUE"""),0)</f>
        <v>0</v>
      </c>
      <c r="P10" s="13" t="str">
        <f t="shared" ca="1" si="4"/>
        <v/>
      </c>
      <c r="Q10" s="32">
        <f ca="1">IFERROR(__xludf.DUMMYFUNCTION("""COMPUTED_VALUE"""),0)</f>
        <v>0</v>
      </c>
      <c r="R10" s="13" t="str">
        <f t="shared" ca="1" si="5"/>
        <v/>
      </c>
      <c r="S10" s="31">
        <f ca="1">IFERROR(__xludf.DUMMYFUNCTION("""COMPUTED_VALUE"""),0)</f>
        <v>0</v>
      </c>
      <c r="T10" s="32">
        <f ca="1">IFERROR(__xludf.DUMMYFUNCTION("""COMPUTED_VALUE"""),0)</f>
        <v>0</v>
      </c>
      <c r="U10" s="13" t="str">
        <f t="shared" ca="1" si="6"/>
        <v/>
      </c>
      <c r="V10" s="32">
        <f ca="1">IFERROR(__xludf.DUMMYFUNCTION("""COMPUTED_VALUE"""),0)</f>
        <v>0</v>
      </c>
      <c r="W10" s="13" t="str">
        <f t="shared" ca="1" si="7"/>
        <v/>
      </c>
      <c r="X10" s="32">
        <f ca="1">IFERROR(__xludf.DUMMYFUNCTION("""COMPUTED_VALUE"""),0)</f>
        <v>0</v>
      </c>
      <c r="Y10" s="13" t="str">
        <f t="shared" ca="1" si="8"/>
        <v/>
      </c>
      <c r="Z10" s="2"/>
      <c r="AA10" s="2"/>
      <c r="AB10" s="2"/>
      <c r="AC10" s="2"/>
      <c r="AD10" s="2"/>
      <c r="AE10" s="2"/>
    </row>
    <row r="11" spans="1:31" ht="12.75" x14ac:dyDescent="0.2">
      <c r="A11" s="28">
        <f ca="1">IFERROR(__xludf.DUMMYFUNCTION("""COMPUTED_VALUE"""),5)</f>
        <v>5</v>
      </c>
      <c r="B11" s="29" t="str">
        <f ca="1">IFERROR(__xludf.DUMMYFUNCTION("""COMPUTED_VALUE"""),"MN Hiệp Bình Phước")</f>
        <v>MN Hiệp Bình Phước</v>
      </c>
      <c r="C11" s="33" t="str">
        <f ca="1">IFERROR(__xludf.DUMMYFUNCTION("""COMPUTED_VALUE"""),"MN")</f>
        <v>MN</v>
      </c>
      <c r="D11" s="30" t="str">
        <f ca="1">IFERROR(__xludf.DUMMYFUNCTION("""COMPUTED_VALUE"""),"Tp. Thủ Đức")</f>
        <v>Tp. Thủ Đức</v>
      </c>
      <c r="E11" s="31">
        <f ca="1">IFERROR(__xludf.DUMMYFUNCTION("""COMPUTED_VALUE"""),17)</f>
        <v>17</v>
      </c>
      <c r="F11" s="32">
        <f ca="1">IFERROR(__xludf.DUMMYFUNCTION("""COMPUTED_VALUE"""),17)</f>
        <v>17</v>
      </c>
      <c r="G11" s="13">
        <f t="shared" ca="1" si="0"/>
        <v>1</v>
      </c>
      <c r="H11" s="32">
        <f ca="1">IFERROR(__xludf.DUMMYFUNCTION("""COMPUTED_VALUE"""),17)</f>
        <v>17</v>
      </c>
      <c r="I11" s="13">
        <f t="shared" ca="1" si="1"/>
        <v>1</v>
      </c>
      <c r="J11" s="32">
        <f ca="1">IFERROR(__xludf.DUMMYFUNCTION("""COMPUTED_VALUE"""),17)</f>
        <v>17</v>
      </c>
      <c r="K11" s="13">
        <f t="shared" ca="1" si="2"/>
        <v>1</v>
      </c>
      <c r="L11" s="32">
        <f ca="1">IFERROR(__xludf.DUMMYFUNCTION("""COMPUTED_VALUE"""),5)</f>
        <v>5</v>
      </c>
      <c r="M11" s="13">
        <f t="shared" ca="1" si="3"/>
        <v>0.29411764705882354</v>
      </c>
      <c r="N11" s="31">
        <f ca="1">IFERROR(__xludf.DUMMYFUNCTION("""COMPUTED_VALUE"""),0)</f>
        <v>0</v>
      </c>
      <c r="O11" s="32">
        <f ca="1">IFERROR(__xludf.DUMMYFUNCTION("""COMPUTED_VALUE"""),0)</f>
        <v>0</v>
      </c>
      <c r="P11" s="13" t="str">
        <f t="shared" ca="1" si="4"/>
        <v/>
      </c>
      <c r="Q11" s="32">
        <f ca="1">IFERROR(__xludf.DUMMYFUNCTION("""COMPUTED_VALUE"""),0)</f>
        <v>0</v>
      </c>
      <c r="R11" s="13" t="str">
        <f t="shared" ca="1" si="5"/>
        <v/>
      </c>
      <c r="S11" s="31">
        <f ca="1">IFERROR(__xludf.DUMMYFUNCTION("""COMPUTED_VALUE"""),0)</f>
        <v>0</v>
      </c>
      <c r="T11" s="32">
        <f ca="1">IFERROR(__xludf.DUMMYFUNCTION("""COMPUTED_VALUE"""),0)</f>
        <v>0</v>
      </c>
      <c r="U11" s="13" t="str">
        <f t="shared" ca="1" si="6"/>
        <v/>
      </c>
      <c r="V11" s="32">
        <f ca="1">IFERROR(__xludf.DUMMYFUNCTION("""COMPUTED_VALUE"""),0)</f>
        <v>0</v>
      </c>
      <c r="W11" s="13" t="str">
        <f t="shared" ca="1" si="7"/>
        <v/>
      </c>
      <c r="X11" s="32">
        <f ca="1">IFERROR(__xludf.DUMMYFUNCTION("""COMPUTED_VALUE"""),0)</f>
        <v>0</v>
      </c>
      <c r="Y11" s="13" t="str">
        <f t="shared" ca="1" si="8"/>
        <v/>
      </c>
      <c r="Z11" s="2"/>
      <c r="AA11" s="2"/>
      <c r="AB11" s="2"/>
      <c r="AC11" s="2"/>
      <c r="AD11" s="2"/>
      <c r="AE11" s="2"/>
    </row>
    <row r="12" spans="1:31" ht="12.75" x14ac:dyDescent="0.2">
      <c r="A12" s="28">
        <f ca="1">IFERROR(__xludf.DUMMYFUNCTION("""COMPUTED_VALUE"""),6)</f>
        <v>6</v>
      </c>
      <c r="B12" s="29" t="str">
        <f ca="1">IFERROR(__xludf.DUMMYFUNCTION("""COMPUTED_VALUE"""),"MN Bình Thọ")</f>
        <v>MN Bình Thọ</v>
      </c>
      <c r="C12" s="33" t="str">
        <f ca="1">IFERROR(__xludf.DUMMYFUNCTION("""COMPUTED_VALUE"""),"MN")</f>
        <v>MN</v>
      </c>
      <c r="D12" s="30" t="str">
        <f ca="1">IFERROR(__xludf.DUMMYFUNCTION("""COMPUTED_VALUE"""),"Tp. Thủ Đức")</f>
        <v>Tp. Thủ Đức</v>
      </c>
      <c r="E12" s="31">
        <f ca="1">IFERROR(__xludf.DUMMYFUNCTION("""COMPUTED_VALUE"""),31)</f>
        <v>31</v>
      </c>
      <c r="F12" s="32">
        <f ca="1">IFERROR(__xludf.DUMMYFUNCTION("""COMPUTED_VALUE"""),31)</f>
        <v>31</v>
      </c>
      <c r="G12" s="13">
        <f t="shared" ca="1" si="0"/>
        <v>1</v>
      </c>
      <c r="H12" s="32">
        <f ca="1">IFERROR(__xludf.DUMMYFUNCTION("""COMPUTED_VALUE"""),30)</f>
        <v>30</v>
      </c>
      <c r="I12" s="13">
        <f t="shared" ca="1" si="1"/>
        <v>0.967741935483871</v>
      </c>
      <c r="J12" s="32">
        <f ca="1">IFERROR(__xludf.DUMMYFUNCTION("""COMPUTED_VALUE"""),29)</f>
        <v>29</v>
      </c>
      <c r="K12" s="13">
        <f t="shared" ca="1" si="2"/>
        <v>0.93548387096774188</v>
      </c>
      <c r="L12" s="32">
        <f ca="1">IFERROR(__xludf.DUMMYFUNCTION("""COMPUTED_VALUE"""),12)</f>
        <v>12</v>
      </c>
      <c r="M12" s="13">
        <f t="shared" ca="1" si="3"/>
        <v>0.38709677419354838</v>
      </c>
      <c r="N12" s="31">
        <f ca="1">IFERROR(__xludf.DUMMYFUNCTION("""COMPUTED_VALUE"""),0)</f>
        <v>0</v>
      </c>
      <c r="O12" s="32">
        <f ca="1">IFERROR(__xludf.DUMMYFUNCTION("""COMPUTED_VALUE"""),0)</f>
        <v>0</v>
      </c>
      <c r="P12" s="13" t="str">
        <f t="shared" ca="1" si="4"/>
        <v/>
      </c>
      <c r="Q12" s="32">
        <f ca="1">IFERROR(__xludf.DUMMYFUNCTION("""COMPUTED_VALUE"""),0)</f>
        <v>0</v>
      </c>
      <c r="R12" s="13" t="str">
        <f t="shared" ca="1" si="5"/>
        <v/>
      </c>
      <c r="S12" s="31">
        <f ca="1">IFERROR(__xludf.DUMMYFUNCTION("""COMPUTED_VALUE"""),0)</f>
        <v>0</v>
      </c>
      <c r="T12" s="32">
        <f ca="1">IFERROR(__xludf.DUMMYFUNCTION("""COMPUTED_VALUE"""),0)</f>
        <v>0</v>
      </c>
      <c r="U12" s="13" t="str">
        <f t="shared" ca="1" si="6"/>
        <v/>
      </c>
      <c r="V12" s="32">
        <f ca="1">IFERROR(__xludf.DUMMYFUNCTION("""COMPUTED_VALUE"""),0)</f>
        <v>0</v>
      </c>
      <c r="W12" s="13" t="str">
        <f t="shared" ca="1" si="7"/>
        <v/>
      </c>
      <c r="X12" s="32">
        <f ca="1">IFERROR(__xludf.DUMMYFUNCTION("""COMPUTED_VALUE"""),0)</f>
        <v>0</v>
      </c>
      <c r="Y12" s="13" t="str">
        <f t="shared" ca="1" si="8"/>
        <v/>
      </c>
      <c r="Z12" s="2"/>
      <c r="AA12" s="2"/>
      <c r="AB12" s="2"/>
      <c r="AC12" s="2"/>
      <c r="AD12" s="2"/>
      <c r="AE12" s="2"/>
    </row>
    <row r="13" spans="1:31" ht="12.75" x14ac:dyDescent="0.2">
      <c r="A13" s="28">
        <f ca="1">IFERROR(__xludf.DUMMYFUNCTION("""COMPUTED_VALUE"""),7)</f>
        <v>7</v>
      </c>
      <c r="B13" s="29" t="str">
        <f ca="1">IFERROR(__xludf.DUMMYFUNCTION("""COMPUTED_VALUE"""),"MN Vành Khuyên 3")</f>
        <v>MN Vành Khuyên 3</v>
      </c>
      <c r="C13" s="33" t="str">
        <f ca="1">IFERROR(__xludf.DUMMYFUNCTION("""COMPUTED_VALUE"""),"MN")</f>
        <v>MN</v>
      </c>
      <c r="D13" s="30" t="str">
        <f ca="1">IFERROR(__xludf.DUMMYFUNCTION("""COMPUTED_VALUE"""),"Tp. Thủ Đức")</f>
        <v>Tp. Thủ Đức</v>
      </c>
      <c r="E13" s="31">
        <f ca="1">IFERROR(__xludf.DUMMYFUNCTION("""COMPUTED_VALUE"""),46)</f>
        <v>46</v>
      </c>
      <c r="F13" s="32">
        <f ca="1">IFERROR(__xludf.DUMMYFUNCTION("""COMPUTED_VALUE"""),46)</f>
        <v>46</v>
      </c>
      <c r="G13" s="13">
        <f t="shared" ca="1" si="0"/>
        <v>1</v>
      </c>
      <c r="H13" s="32">
        <f ca="1">IFERROR(__xludf.DUMMYFUNCTION("""COMPUTED_VALUE"""),46)</f>
        <v>46</v>
      </c>
      <c r="I13" s="13">
        <f t="shared" ca="1" si="1"/>
        <v>1</v>
      </c>
      <c r="J13" s="32">
        <f ca="1">IFERROR(__xludf.DUMMYFUNCTION("""COMPUTED_VALUE"""),46)</f>
        <v>46</v>
      </c>
      <c r="K13" s="13">
        <f t="shared" ca="1" si="2"/>
        <v>1</v>
      </c>
      <c r="L13" s="32">
        <f ca="1">IFERROR(__xludf.DUMMYFUNCTION("""COMPUTED_VALUE"""),29)</f>
        <v>29</v>
      </c>
      <c r="M13" s="13">
        <f t="shared" ca="1" si="3"/>
        <v>0.63043478260869568</v>
      </c>
      <c r="N13" s="31">
        <f ca="1">IFERROR(__xludf.DUMMYFUNCTION("""COMPUTED_VALUE"""),0)</f>
        <v>0</v>
      </c>
      <c r="O13" s="32">
        <f ca="1">IFERROR(__xludf.DUMMYFUNCTION("""COMPUTED_VALUE"""),0)</f>
        <v>0</v>
      </c>
      <c r="P13" s="13" t="str">
        <f t="shared" ca="1" si="4"/>
        <v/>
      </c>
      <c r="Q13" s="32">
        <f ca="1">IFERROR(__xludf.DUMMYFUNCTION("""COMPUTED_VALUE"""),0)</f>
        <v>0</v>
      </c>
      <c r="R13" s="13" t="str">
        <f t="shared" ca="1" si="5"/>
        <v/>
      </c>
      <c r="S13" s="31">
        <f ca="1">IFERROR(__xludf.DUMMYFUNCTION("""COMPUTED_VALUE"""),0)</f>
        <v>0</v>
      </c>
      <c r="T13" s="32">
        <f ca="1">IFERROR(__xludf.DUMMYFUNCTION("""COMPUTED_VALUE"""),0)</f>
        <v>0</v>
      </c>
      <c r="U13" s="13" t="str">
        <f t="shared" ca="1" si="6"/>
        <v/>
      </c>
      <c r="V13" s="32">
        <f ca="1">IFERROR(__xludf.DUMMYFUNCTION("""COMPUTED_VALUE"""),0)</f>
        <v>0</v>
      </c>
      <c r="W13" s="13" t="str">
        <f t="shared" ca="1" si="7"/>
        <v/>
      </c>
      <c r="X13" s="32">
        <f ca="1">IFERROR(__xludf.DUMMYFUNCTION("""COMPUTED_VALUE"""),0)</f>
        <v>0</v>
      </c>
      <c r="Y13" s="13" t="str">
        <f t="shared" ca="1" si="8"/>
        <v/>
      </c>
      <c r="Z13" s="2"/>
      <c r="AA13" s="2"/>
      <c r="AB13" s="2"/>
      <c r="AC13" s="2"/>
      <c r="AD13" s="2"/>
      <c r="AE13" s="2"/>
    </row>
    <row r="14" spans="1:31" ht="12.75" x14ac:dyDescent="0.2">
      <c r="A14" s="28">
        <f ca="1">IFERROR(__xludf.DUMMYFUNCTION("""COMPUTED_VALUE"""),8)</f>
        <v>8</v>
      </c>
      <c r="B14" s="29" t="str">
        <f ca="1">IFERROR(__xludf.DUMMYFUNCTION("""COMPUTED_VALUE"""),"MN Hiệp Bình Chánh II")</f>
        <v>MN Hiệp Bình Chánh II</v>
      </c>
      <c r="C14" s="33" t="str">
        <f ca="1">IFERROR(__xludf.DUMMYFUNCTION("""COMPUTED_VALUE"""),"MN")</f>
        <v>MN</v>
      </c>
      <c r="D14" s="30" t="str">
        <f ca="1">IFERROR(__xludf.DUMMYFUNCTION("""COMPUTED_VALUE"""),"Tp. Thủ Đức")</f>
        <v>Tp. Thủ Đức</v>
      </c>
      <c r="E14" s="31">
        <f ca="1">IFERROR(__xludf.DUMMYFUNCTION("""COMPUTED_VALUE"""),21)</f>
        <v>21</v>
      </c>
      <c r="F14" s="32">
        <f ca="1">IFERROR(__xludf.DUMMYFUNCTION("""COMPUTED_VALUE"""),21)</f>
        <v>21</v>
      </c>
      <c r="G14" s="13">
        <f t="shared" ca="1" si="0"/>
        <v>1</v>
      </c>
      <c r="H14" s="32">
        <f ca="1">IFERROR(__xludf.DUMMYFUNCTION("""COMPUTED_VALUE"""),21)</f>
        <v>21</v>
      </c>
      <c r="I14" s="13">
        <f t="shared" ca="1" si="1"/>
        <v>1</v>
      </c>
      <c r="J14" s="32">
        <f ca="1">IFERROR(__xludf.DUMMYFUNCTION("""COMPUTED_VALUE"""),17)</f>
        <v>17</v>
      </c>
      <c r="K14" s="13">
        <f t="shared" ca="1" si="2"/>
        <v>0.80952380952380953</v>
      </c>
      <c r="L14" s="32">
        <f ca="1">IFERROR(__xludf.DUMMYFUNCTION("""COMPUTED_VALUE"""),2)</f>
        <v>2</v>
      </c>
      <c r="M14" s="13">
        <f t="shared" ca="1" si="3"/>
        <v>9.5238095238095233E-2</v>
      </c>
      <c r="N14" s="31">
        <f ca="1">IFERROR(__xludf.DUMMYFUNCTION("""COMPUTED_VALUE"""),0)</f>
        <v>0</v>
      </c>
      <c r="O14" s="32">
        <f ca="1">IFERROR(__xludf.DUMMYFUNCTION("""COMPUTED_VALUE"""),0)</f>
        <v>0</v>
      </c>
      <c r="P14" s="13" t="str">
        <f t="shared" ca="1" si="4"/>
        <v/>
      </c>
      <c r="Q14" s="32">
        <f ca="1">IFERROR(__xludf.DUMMYFUNCTION("""COMPUTED_VALUE"""),0)</f>
        <v>0</v>
      </c>
      <c r="R14" s="13" t="str">
        <f t="shared" ca="1" si="5"/>
        <v/>
      </c>
      <c r="S14" s="31">
        <f ca="1">IFERROR(__xludf.DUMMYFUNCTION("""COMPUTED_VALUE"""),0)</f>
        <v>0</v>
      </c>
      <c r="T14" s="32">
        <f ca="1">IFERROR(__xludf.DUMMYFUNCTION("""COMPUTED_VALUE"""),0)</f>
        <v>0</v>
      </c>
      <c r="U14" s="13" t="str">
        <f t="shared" ca="1" si="6"/>
        <v/>
      </c>
      <c r="V14" s="32">
        <f ca="1">IFERROR(__xludf.DUMMYFUNCTION("""COMPUTED_VALUE"""),0)</f>
        <v>0</v>
      </c>
      <c r="W14" s="13" t="str">
        <f t="shared" ca="1" si="7"/>
        <v/>
      </c>
      <c r="X14" s="32">
        <f ca="1">IFERROR(__xludf.DUMMYFUNCTION("""COMPUTED_VALUE"""),0)</f>
        <v>0</v>
      </c>
      <c r="Y14" s="13" t="str">
        <f t="shared" ca="1" si="8"/>
        <v/>
      </c>
      <c r="Z14" s="2"/>
      <c r="AA14" s="2"/>
      <c r="AB14" s="2"/>
      <c r="AC14" s="2"/>
      <c r="AD14" s="2"/>
      <c r="AE14" s="2"/>
    </row>
    <row r="15" spans="1:31" ht="12.75" x14ac:dyDescent="0.2">
      <c r="A15" s="28">
        <f ca="1">IFERROR(__xludf.DUMMYFUNCTION("""COMPUTED_VALUE"""),80)</f>
        <v>80</v>
      </c>
      <c r="B15" s="29" t="str">
        <f ca="1">IFERROR(__xludf.DUMMYFUNCTION("""COMPUTED_VALUE"""),"MN Hiệp Bình Chánh III")</f>
        <v>MN Hiệp Bình Chánh III</v>
      </c>
      <c r="C15" s="33" t="str">
        <f ca="1">IFERROR(__xludf.DUMMYFUNCTION("""COMPUTED_VALUE"""),"MN")</f>
        <v>MN</v>
      </c>
      <c r="D15" s="30" t="str">
        <f ca="1">IFERROR(__xludf.DUMMYFUNCTION("""COMPUTED_VALUE"""),"Tp. Thủ Đức")</f>
        <v>Tp. Thủ Đức</v>
      </c>
      <c r="E15" s="31">
        <f ca="1">IFERROR(__xludf.DUMMYFUNCTION("""COMPUTED_VALUE"""),20)</f>
        <v>20</v>
      </c>
      <c r="F15" s="32">
        <f ca="1">IFERROR(__xludf.DUMMYFUNCTION("""COMPUTED_VALUE"""),20)</f>
        <v>20</v>
      </c>
      <c r="G15" s="13">
        <f t="shared" ca="1" si="0"/>
        <v>1</v>
      </c>
      <c r="H15" s="32">
        <f ca="1">IFERROR(__xludf.DUMMYFUNCTION("""COMPUTED_VALUE"""),20)</f>
        <v>20</v>
      </c>
      <c r="I15" s="13">
        <f t="shared" ca="1" si="1"/>
        <v>1</v>
      </c>
      <c r="J15" s="32">
        <f ca="1">IFERROR(__xludf.DUMMYFUNCTION("""COMPUTED_VALUE"""),20)</f>
        <v>20</v>
      </c>
      <c r="K15" s="13">
        <f t="shared" ca="1" si="2"/>
        <v>1</v>
      </c>
      <c r="L15" s="32">
        <f ca="1">IFERROR(__xludf.DUMMYFUNCTION("""COMPUTED_VALUE"""),10)</f>
        <v>10</v>
      </c>
      <c r="M15" s="13">
        <f t="shared" ca="1" si="3"/>
        <v>0.5</v>
      </c>
      <c r="N15" s="31">
        <f ca="1">IFERROR(__xludf.DUMMYFUNCTION("""COMPUTED_VALUE"""),0)</f>
        <v>0</v>
      </c>
      <c r="O15" s="32">
        <f ca="1">IFERROR(__xludf.DUMMYFUNCTION("""COMPUTED_VALUE"""),0)</f>
        <v>0</v>
      </c>
      <c r="P15" s="13" t="str">
        <f t="shared" ca="1" si="4"/>
        <v/>
      </c>
      <c r="Q15" s="32">
        <f ca="1">IFERROR(__xludf.DUMMYFUNCTION("""COMPUTED_VALUE"""),0)</f>
        <v>0</v>
      </c>
      <c r="R15" s="13" t="str">
        <f t="shared" ca="1" si="5"/>
        <v/>
      </c>
      <c r="S15" s="31">
        <f ca="1">IFERROR(__xludf.DUMMYFUNCTION("""COMPUTED_VALUE"""),0)</f>
        <v>0</v>
      </c>
      <c r="T15" s="32">
        <f ca="1">IFERROR(__xludf.DUMMYFUNCTION("""COMPUTED_VALUE"""),0)</f>
        <v>0</v>
      </c>
      <c r="U15" s="13" t="str">
        <f t="shared" ca="1" si="6"/>
        <v/>
      </c>
      <c r="V15" s="32">
        <f ca="1">IFERROR(__xludf.DUMMYFUNCTION("""COMPUTED_VALUE"""),0)</f>
        <v>0</v>
      </c>
      <c r="W15" s="13" t="str">
        <f t="shared" ca="1" si="7"/>
        <v/>
      </c>
      <c r="X15" s="32">
        <f ca="1">IFERROR(__xludf.DUMMYFUNCTION("""COMPUTED_VALUE"""),0)</f>
        <v>0</v>
      </c>
      <c r="Y15" s="13" t="str">
        <f t="shared" ca="1" si="8"/>
        <v/>
      </c>
      <c r="Z15" s="2"/>
      <c r="AA15" s="2"/>
      <c r="AB15" s="2"/>
      <c r="AC15" s="2"/>
      <c r="AD15" s="2"/>
      <c r="AE15" s="2"/>
    </row>
    <row r="16" spans="1:31" ht="12.75" x14ac:dyDescent="0.2">
      <c r="A16" s="28">
        <f ca="1">IFERROR(__xludf.DUMMYFUNCTION("""COMPUTED_VALUE"""),10)</f>
        <v>10</v>
      </c>
      <c r="B16" s="29" t="str">
        <f ca="1">IFERROR(__xludf.DUMMYFUNCTION("""COMPUTED_VALUE"""),"MN Bình Chiểu")</f>
        <v>MN Bình Chiểu</v>
      </c>
      <c r="C16" s="33" t="str">
        <f ca="1">IFERROR(__xludf.DUMMYFUNCTION("""COMPUTED_VALUE"""),"MN")</f>
        <v>MN</v>
      </c>
      <c r="D16" s="30" t="str">
        <f ca="1">IFERROR(__xludf.DUMMYFUNCTION("""COMPUTED_VALUE"""),"Tp. Thủ Đức")</f>
        <v>Tp. Thủ Đức</v>
      </c>
      <c r="E16" s="31">
        <f ca="1">IFERROR(__xludf.DUMMYFUNCTION("""COMPUTED_VALUE"""),36)</f>
        <v>36</v>
      </c>
      <c r="F16" s="32">
        <f ca="1">IFERROR(__xludf.DUMMYFUNCTION("""COMPUTED_VALUE"""),36)</f>
        <v>36</v>
      </c>
      <c r="G16" s="13">
        <f t="shared" ca="1" si="0"/>
        <v>1</v>
      </c>
      <c r="H16" s="32">
        <f ca="1">IFERROR(__xludf.DUMMYFUNCTION("""COMPUTED_VALUE"""),36)</f>
        <v>36</v>
      </c>
      <c r="I16" s="13">
        <f t="shared" ca="1" si="1"/>
        <v>1</v>
      </c>
      <c r="J16" s="32">
        <f ca="1">IFERROR(__xludf.DUMMYFUNCTION("""COMPUTED_VALUE"""),34)</f>
        <v>34</v>
      </c>
      <c r="K16" s="13">
        <f t="shared" ca="1" si="2"/>
        <v>0.94444444444444442</v>
      </c>
      <c r="L16" s="32">
        <f ca="1">IFERROR(__xludf.DUMMYFUNCTION("""COMPUTED_VALUE"""),10)</f>
        <v>10</v>
      </c>
      <c r="M16" s="13">
        <f t="shared" ca="1" si="3"/>
        <v>0.27777777777777779</v>
      </c>
      <c r="N16" s="31">
        <f ca="1">IFERROR(__xludf.DUMMYFUNCTION("""COMPUTED_VALUE"""),0)</f>
        <v>0</v>
      </c>
      <c r="O16" s="32">
        <f ca="1">IFERROR(__xludf.DUMMYFUNCTION("""COMPUTED_VALUE"""),0)</f>
        <v>0</v>
      </c>
      <c r="P16" s="13" t="str">
        <f t="shared" ca="1" si="4"/>
        <v/>
      </c>
      <c r="Q16" s="32">
        <f ca="1">IFERROR(__xludf.DUMMYFUNCTION("""COMPUTED_VALUE"""),0)</f>
        <v>0</v>
      </c>
      <c r="R16" s="13" t="str">
        <f t="shared" ca="1" si="5"/>
        <v/>
      </c>
      <c r="S16" s="31">
        <f ca="1">IFERROR(__xludf.DUMMYFUNCTION("""COMPUTED_VALUE"""),0)</f>
        <v>0</v>
      </c>
      <c r="T16" s="32">
        <f ca="1">IFERROR(__xludf.DUMMYFUNCTION("""COMPUTED_VALUE"""),0)</f>
        <v>0</v>
      </c>
      <c r="U16" s="13" t="str">
        <f t="shared" ca="1" si="6"/>
        <v/>
      </c>
      <c r="V16" s="32">
        <f ca="1">IFERROR(__xludf.DUMMYFUNCTION("""COMPUTED_VALUE"""),0)</f>
        <v>0</v>
      </c>
      <c r="W16" s="13" t="str">
        <f t="shared" ca="1" si="7"/>
        <v/>
      </c>
      <c r="X16" s="32">
        <f ca="1">IFERROR(__xludf.DUMMYFUNCTION("""COMPUTED_VALUE"""),0)</f>
        <v>0</v>
      </c>
      <c r="Y16" s="13" t="str">
        <f t="shared" ca="1" si="8"/>
        <v/>
      </c>
      <c r="Z16" s="2"/>
      <c r="AA16" s="2"/>
      <c r="AB16" s="2"/>
      <c r="AC16" s="2"/>
      <c r="AD16" s="2"/>
      <c r="AE16" s="2"/>
    </row>
    <row r="17" spans="1:31" ht="12.75" x14ac:dyDescent="0.2">
      <c r="A17" s="28">
        <f ca="1">IFERROR(__xludf.DUMMYFUNCTION("""COMPUTED_VALUE"""),11)</f>
        <v>11</v>
      </c>
      <c r="B17" s="29" t="str">
        <f ca="1">IFERROR(__xludf.DUMMYFUNCTION("""COMPUTED_VALUE"""),"MN Linh Xuân")</f>
        <v>MN Linh Xuân</v>
      </c>
      <c r="C17" s="33" t="str">
        <f ca="1">IFERROR(__xludf.DUMMYFUNCTION("""COMPUTED_VALUE"""),"MN")</f>
        <v>MN</v>
      </c>
      <c r="D17" s="30" t="str">
        <f ca="1">IFERROR(__xludf.DUMMYFUNCTION("""COMPUTED_VALUE"""),"Tp. Thủ Đức")</f>
        <v>Tp. Thủ Đức</v>
      </c>
      <c r="E17" s="31">
        <f ca="1">IFERROR(__xludf.DUMMYFUNCTION("""COMPUTED_VALUE"""),32)</f>
        <v>32</v>
      </c>
      <c r="F17" s="32">
        <f ca="1">IFERROR(__xludf.DUMMYFUNCTION("""COMPUTED_VALUE"""),32)</f>
        <v>32</v>
      </c>
      <c r="G17" s="13">
        <f t="shared" ca="1" si="0"/>
        <v>1</v>
      </c>
      <c r="H17" s="32">
        <f ca="1">IFERROR(__xludf.DUMMYFUNCTION("""COMPUTED_VALUE"""),32)</f>
        <v>32</v>
      </c>
      <c r="I17" s="13">
        <f t="shared" ca="1" si="1"/>
        <v>1</v>
      </c>
      <c r="J17" s="32">
        <f ca="1">IFERROR(__xludf.DUMMYFUNCTION("""COMPUTED_VALUE"""),32)</f>
        <v>32</v>
      </c>
      <c r="K17" s="13">
        <f t="shared" ca="1" si="2"/>
        <v>1</v>
      </c>
      <c r="L17" s="32">
        <f ca="1">IFERROR(__xludf.DUMMYFUNCTION("""COMPUTED_VALUE"""),28)</f>
        <v>28</v>
      </c>
      <c r="M17" s="13">
        <f t="shared" ca="1" si="3"/>
        <v>0.875</v>
      </c>
      <c r="N17" s="31">
        <f ca="1">IFERROR(__xludf.DUMMYFUNCTION("""COMPUTED_VALUE"""),0)</f>
        <v>0</v>
      </c>
      <c r="O17" s="32">
        <f ca="1">IFERROR(__xludf.DUMMYFUNCTION("""COMPUTED_VALUE"""),0)</f>
        <v>0</v>
      </c>
      <c r="P17" s="13" t="str">
        <f t="shared" ca="1" si="4"/>
        <v/>
      </c>
      <c r="Q17" s="32">
        <f ca="1">IFERROR(__xludf.DUMMYFUNCTION("""COMPUTED_VALUE"""),0)</f>
        <v>0</v>
      </c>
      <c r="R17" s="13" t="str">
        <f t="shared" ca="1" si="5"/>
        <v/>
      </c>
      <c r="S17" s="31">
        <f ca="1">IFERROR(__xludf.DUMMYFUNCTION("""COMPUTED_VALUE"""),0)</f>
        <v>0</v>
      </c>
      <c r="T17" s="32">
        <f ca="1">IFERROR(__xludf.DUMMYFUNCTION("""COMPUTED_VALUE"""),0)</f>
        <v>0</v>
      </c>
      <c r="U17" s="13" t="str">
        <f t="shared" ca="1" si="6"/>
        <v/>
      </c>
      <c r="V17" s="32">
        <f ca="1">IFERROR(__xludf.DUMMYFUNCTION("""COMPUTED_VALUE"""),0)</f>
        <v>0</v>
      </c>
      <c r="W17" s="13" t="str">
        <f t="shared" ca="1" si="7"/>
        <v/>
      </c>
      <c r="X17" s="32">
        <f ca="1">IFERROR(__xludf.DUMMYFUNCTION("""COMPUTED_VALUE"""),0)</f>
        <v>0</v>
      </c>
      <c r="Y17" s="13" t="str">
        <f t="shared" ca="1" si="8"/>
        <v/>
      </c>
      <c r="Z17" s="2"/>
      <c r="AA17" s="2"/>
      <c r="AB17" s="2"/>
      <c r="AC17" s="2"/>
      <c r="AD17" s="2"/>
      <c r="AE17" s="2"/>
    </row>
    <row r="18" spans="1:31" ht="12.75" x14ac:dyDescent="0.2">
      <c r="A18" s="28">
        <f ca="1">IFERROR(__xludf.DUMMYFUNCTION("""COMPUTED_VALUE"""),12)</f>
        <v>12</v>
      </c>
      <c r="B18" s="29" t="str">
        <f ca="1">IFERROR(__xludf.DUMMYFUNCTION("""COMPUTED_VALUE"""),"MN Trường Thọ")</f>
        <v>MN Trường Thọ</v>
      </c>
      <c r="C18" s="33" t="str">
        <f ca="1">IFERROR(__xludf.DUMMYFUNCTION("""COMPUTED_VALUE"""),"MN")</f>
        <v>MN</v>
      </c>
      <c r="D18" s="30" t="str">
        <f ca="1">IFERROR(__xludf.DUMMYFUNCTION("""COMPUTED_VALUE"""),"Tp. Thủ Đức")</f>
        <v>Tp. Thủ Đức</v>
      </c>
      <c r="E18" s="31">
        <f ca="1">IFERROR(__xludf.DUMMYFUNCTION("""COMPUTED_VALUE"""),21)</f>
        <v>21</v>
      </c>
      <c r="F18" s="32">
        <f ca="1">IFERROR(__xludf.DUMMYFUNCTION("""COMPUTED_VALUE"""),21)</f>
        <v>21</v>
      </c>
      <c r="G18" s="13">
        <f t="shared" ca="1" si="0"/>
        <v>1</v>
      </c>
      <c r="H18" s="32">
        <f ca="1">IFERROR(__xludf.DUMMYFUNCTION("""COMPUTED_VALUE"""),21)</f>
        <v>21</v>
      </c>
      <c r="I18" s="13">
        <f t="shared" ca="1" si="1"/>
        <v>1</v>
      </c>
      <c r="J18" s="32">
        <f ca="1">IFERROR(__xludf.DUMMYFUNCTION("""COMPUTED_VALUE"""),20)</f>
        <v>20</v>
      </c>
      <c r="K18" s="13">
        <f t="shared" ca="1" si="2"/>
        <v>0.95238095238095233</v>
      </c>
      <c r="L18" s="32">
        <f ca="1">IFERROR(__xludf.DUMMYFUNCTION("""COMPUTED_VALUE"""),10)</f>
        <v>10</v>
      </c>
      <c r="M18" s="13">
        <f t="shared" ca="1" si="3"/>
        <v>0.47619047619047616</v>
      </c>
      <c r="N18" s="31">
        <f ca="1">IFERROR(__xludf.DUMMYFUNCTION("""COMPUTED_VALUE"""),0)</f>
        <v>0</v>
      </c>
      <c r="O18" s="32">
        <f ca="1">IFERROR(__xludf.DUMMYFUNCTION("""COMPUTED_VALUE"""),0)</f>
        <v>0</v>
      </c>
      <c r="P18" s="13" t="str">
        <f t="shared" ca="1" si="4"/>
        <v/>
      </c>
      <c r="Q18" s="32">
        <f ca="1">IFERROR(__xludf.DUMMYFUNCTION("""COMPUTED_VALUE"""),0)</f>
        <v>0</v>
      </c>
      <c r="R18" s="13" t="str">
        <f t="shared" ca="1" si="5"/>
        <v/>
      </c>
      <c r="S18" s="31">
        <f ca="1">IFERROR(__xludf.DUMMYFUNCTION("""COMPUTED_VALUE"""),0)</f>
        <v>0</v>
      </c>
      <c r="T18" s="32">
        <f ca="1">IFERROR(__xludf.DUMMYFUNCTION("""COMPUTED_VALUE"""),0)</f>
        <v>0</v>
      </c>
      <c r="U18" s="13" t="str">
        <f t="shared" ca="1" si="6"/>
        <v/>
      </c>
      <c r="V18" s="32">
        <f ca="1">IFERROR(__xludf.DUMMYFUNCTION("""COMPUTED_VALUE"""),0)</f>
        <v>0</v>
      </c>
      <c r="W18" s="13" t="str">
        <f t="shared" ca="1" si="7"/>
        <v/>
      </c>
      <c r="X18" s="32">
        <f ca="1">IFERROR(__xludf.DUMMYFUNCTION("""COMPUTED_VALUE"""),0)</f>
        <v>0</v>
      </c>
      <c r="Y18" s="13" t="str">
        <f t="shared" ca="1" si="8"/>
        <v/>
      </c>
      <c r="Z18" s="2"/>
      <c r="AA18" s="2"/>
      <c r="AB18" s="2"/>
      <c r="AC18" s="2"/>
      <c r="AD18" s="2"/>
      <c r="AE18" s="2"/>
    </row>
    <row r="19" spans="1:31" ht="12.75" x14ac:dyDescent="0.2">
      <c r="A19" s="28">
        <f ca="1">IFERROR(__xludf.DUMMYFUNCTION("""COMPUTED_VALUE"""),13)</f>
        <v>13</v>
      </c>
      <c r="B19" s="29" t="str">
        <f ca="1">IFERROR(__xludf.DUMMYFUNCTION("""COMPUTED_VALUE"""),"MN Linh Chiểu")</f>
        <v>MN Linh Chiểu</v>
      </c>
      <c r="C19" s="33" t="str">
        <f ca="1">IFERROR(__xludf.DUMMYFUNCTION("""COMPUTED_VALUE"""),"MN")</f>
        <v>MN</v>
      </c>
      <c r="D19" s="30" t="str">
        <f ca="1">IFERROR(__xludf.DUMMYFUNCTION("""COMPUTED_VALUE"""),"Tp. Thủ Đức")</f>
        <v>Tp. Thủ Đức</v>
      </c>
      <c r="E19" s="31">
        <f ca="1">IFERROR(__xludf.DUMMYFUNCTION("""COMPUTED_VALUE"""),35)</f>
        <v>35</v>
      </c>
      <c r="F19" s="32">
        <f ca="1">IFERROR(__xludf.DUMMYFUNCTION("""COMPUTED_VALUE"""),35)</f>
        <v>35</v>
      </c>
      <c r="G19" s="13">
        <f t="shared" ca="1" si="0"/>
        <v>1</v>
      </c>
      <c r="H19" s="32">
        <f ca="1">IFERROR(__xludf.DUMMYFUNCTION("""COMPUTED_VALUE"""),35)</f>
        <v>35</v>
      </c>
      <c r="I19" s="13">
        <f t="shared" ca="1" si="1"/>
        <v>1</v>
      </c>
      <c r="J19" s="32">
        <f ca="1">IFERROR(__xludf.DUMMYFUNCTION("""COMPUTED_VALUE"""),35)</f>
        <v>35</v>
      </c>
      <c r="K19" s="13">
        <f t="shared" ca="1" si="2"/>
        <v>1</v>
      </c>
      <c r="L19" s="32">
        <f ca="1">IFERROR(__xludf.DUMMYFUNCTION("""COMPUTED_VALUE"""),13)</f>
        <v>13</v>
      </c>
      <c r="M19" s="13">
        <f t="shared" ca="1" si="3"/>
        <v>0.37142857142857144</v>
      </c>
      <c r="N19" s="31">
        <f ca="1">IFERROR(__xludf.DUMMYFUNCTION("""COMPUTED_VALUE"""),0)</f>
        <v>0</v>
      </c>
      <c r="O19" s="32">
        <f ca="1">IFERROR(__xludf.DUMMYFUNCTION("""COMPUTED_VALUE"""),0)</f>
        <v>0</v>
      </c>
      <c r="P19" s="13" t="str">
        <f t="shared" ca="1" si="4"/>
        <v/>
      </c>
      <c r="Q19" s="32">
        <f ca="1">IFERROR(__xludf.DUMMYFUNCTION("""COMPUTED_VALUE"""),0)</f>
        <v>0</v>
      </c>
      <c r="R19" s="13" t="str">
        <f t="shared" ca="1" si="5"/>
        <v/>
      </c>
      <c r="S19" s="31">
        <f ca="1">IFERROR(__xludf.DUMMYFUNCTION("""COMPUTED_VALUE"""),0)</f>
        <v>0</v>
      </c>
      <c r="T19" s="32">
        <f ca="1">IFERROR(__xludf.DUMMYFUNCTION("""COMPUTED_VALUE"""),0)</f>
        <v>0</v>
      </c>
      <c r="U19" s="13" t="str">
        <f t="shared" ca="1" si="6"/>
        <v/>
      </c>
      <c r="V19" s="32">
        <f ca="1">IFERROR(__xludf.DUMMYFUNCTION("""COMPUTED_VALUE"""),0)</f>
        <v>0</v>
      </c>
      <c r="W19" s="13" t="str">
        <f t="shared" ca="1" si="7"/>
        <v/>
      </c>
      <c r="X19" s="32">
        <f ca="1">IFERROR(__xludf.DUMMYFUNCTION("""COMPUTED_VALUE"""),0)</f>
        <v>0</v>
      </c>
      <c r="Y19" s="13" t="str">
        <f t="shared" ca="1" si="8"/>
        <v/>
      </c>
      <c r="Z19" s="2"/>
      <c r="AA19" s="2"/>
      <c r="AB19" s="2"/>
      <c r="AC19" s="2"/>
      <c r="AD19" s="2"/>
      <c r="AE19" s="2"/>
    </row>
    <row r="20" spans="1:31" ht="12.75" x14ac:dyDescent="0.2">
      <c r="A20" s="28">
        <f ca="1">IFERROR(__xludf.DUMMYFUNCTION("""COMPUTED_VALUE"""),14)</f>
        <v>14</v>
      </c>
      <c r="B20" s="29" t="str">
        <f ca="1">IFERROR(__xludf.DUMMYFUNCTION("""COMPUTED_VALUE"""),"MN Tam Bình")</f>
        <v>MN Tam Bình</v>
      </c>
      <c r="C20" s="33" t="str">
        <f ca="1">IFERROR(__xludf.DUMMYFUNCTION("""COMPUTED_VALUE"""),"MN")</f>
        <v>MN</v>
      </c>
      <c r="D20" s="30" t="str">
        <f ca="1">IFERROR(__xludf.DUMMYFUNCTION("""COMPUTED_VALUE"""),"Tp. Thủ Đức")</f>
        <v>Tp. Thủ Đức</v>
      </c>
      <c r="E20" s="31">
        <f ca="1">IFERROR(__xludf.DUMMYFUNCTION("""COMPUTED_VALUE"""),36)</f>
        <v>36</v>
      </c>
      <c r="F20" s="32">
        <f ca="1">IFERROR(__xludf.DUMMYFUNCTION("""COMPUTED_VALUE"""),36)</f>
        <v>36</v>
      </c>
      <c r="G20" s="13">
        <f t="shared" ca="1" si="0"/>
        <v>1</v>
      </c>
      <c r="H20" s="32">
        <f ca="1">IFERROR(__xludf.DUMMYFUNCTION("""COMPUTED_VALUE"""),36)</f>
        <v>36</v>
      </c>
      <c r="I20" s="13">
        <f t="shared" ca="1" si="1"/>
        <v>1</v>
      </c>
      <c r="J20" s="32">
        <f ca="1">IFERROR(__xludf.DUMMYFUNCTION("""COMPUTED_VALUE"""),36)</f>
        <v>36</v>
      </c>
      <c r="K20" s="13">
        <f t="shared" ca="1" si="2"/>
        <v>1</v>
      </c>
      <c r="L20" s="32">
        <f ca="1">IFERROR(__xludf.DUMMYFUNCTION("""COMPUTED_VALUE"""),5)</f>
        <v>5</v>
      </c>
      <c r="M20" s="13">
        <f t="shared" ca="1" si="3"/>
        <v>0.1388888888888889</v>
      </c>
      <c r="N20" s="31">
        <f ca="1">IFERROR(__xludf.DUMMYFUNCTION("""COMPUTED_VALUE"""),0)</f>
        <v>0</v>
      </c>
      <c r="O20" s="32">
        <f ca="1">IFERROR(__xludf.DUMMYFUNCTION("""COMPUTED_VALUE"""),0)</f>
        <v>0</v>
      </c>
      <c r="P20" s="13" t="str">
        <f t="shared" ca="1" si="4"/>
        <v/>
      </c>
      <c r="Q20" s="32">
        <f ca="1">IFERROR(__xludf.DUMMYFUNCTION("""COMPUTED_VALUE"""),0)</f>
        <v>0</v>
      </c>
      <c r="R20" s="13" t="str">
        <f t="shared" ca="1" si="5"/>
        <v/>
      </c>
      <c r="S20" s="31">
        <f ca="1">IFERROR(__xludf.DUMMYFUNCTION("""COMPUTED_VALUE"""),0)</f>
        <v>0</v>
      </c>
      <c r="T20" s="32">
        <f ca="1">IFERROR(__xludf.DUMMYFUNCTION("""COMPUTED_VALUE"""),0)</f>
        <v>0</v>
      </c>
      <c r="U20" s="13" t="str">
        <f t="shared" ca="1" si="6"/>
        <v/>
      </c>
      <c r="V20" s="32">
        <f ca="1">IFERROR(__xludf.DUMMYFUNCTION("""COMPUTED_VALUE"""),0)</f>
        <v>0</v>
      </c>
      <c r="W20" s="13" t="str">
        <f t="shared" ca="1" si="7"/>
        <v/>
      </c>
      <c r="X20" s="32">
        <f ca="1">IFERROR(__xludf.DUMMYFUNCTION("""COMPUTED_VALUE"""),0)</f>
        <v>0</v>
      </c>
      <c r="Y20" s="13" t="str">
        <f t="shared" ca="1" si="8"/>
        <v/>
      </c>
      <c r="Z20" s="2"/>
      <c r="AA20" s="2"/>
      <c r="AB20" s="2"/>
      <c r="AC20" s="2"/>
      <c r="AD20" s="2"/>
      <c r="AE20" s="2"/>
    </row>
    <row r="21" spans="1:31" ht="12.75" x14ac:dyDescent="0.2">
      <c r="A21" s="28">
        <f ca="1">IFERROR(__xludf.DUMMYFUNCTION("""COMPUTED_VALUE"""),15)</f>
        <v>15</v>
      </c>
      <c r="B21" s="29" t="str">
        <f ca="1">IFERROR(__xludf.DUMMYFUNCTION("""COMPUTED_VALUE"""),"MN Hương Sen")</f>
        <v>MN Hương Sen</v>
      </c>
      <c r="C21" s="33" t="str">
        <f ca="1">IFERROR(__xludf.DUMMYFUNCTION("""COMPUTED_VALUE"""),"MN")</f>
        <v>MN</v>
      </c>
      <c r="D21" s="30" t="str">
        <f ca="1">IFERROR(__xludf.DUMMYFUNCTION("""COMPUTED_VALUE"""),"Tp. Thủ Đức")</f>
        <v>Tp. Thủ Đức</v>
      </c>
      <c r="E21" s="31">
        <f ca="1">IFERROR(__xludf.DUMMYFUNCTION("""COMPUTED_VALUE"""),43)</f>
        <v>43</v>
      </c>
      <c r="F21" s="32">
        <f ca="1">IFERROR(__xludf.DUMMYFUNCTION("""COMPUTED_VALUE"""),43)</f>
        <v>43</v>
      </c>
      <c r="G21" s="13">
        <f t="shared" ca="1" si="0"/>
        <v>1</v>
      </c>
      <c r="H21" s="32">
        <f ca="1">IFERROR(__xludf.DUMMYFUNCTION("""COMPUTED_VALUE"""),43)</f>
        <v>43</v>
      </c>
      <c r="I21" s="13">
        <f t="shared" ca="1" si="1"/>
        <v>1</v>
      </c>
      <c r="J21" s="32">
        <f ca="1">IFERROR(__xludf.DUMMYFUNCTION("""COMPUTED_VALUE"""),42)</f>
        <v>42</v>
      </c>
      <c r="K21" s="13">
        <f t="shared" ca="1" si="2"/>
        <v>0.97674418604651159</v>
      </c>
      <c r="L21" s="32">
        <f ca="1">IFERROR(__xludf.DUMMYFUNCTION("""COMPUTED_VALUE"""),35)</f>
        <v>35</v>
      </c>
      <c r="M21" s="13">
        <f t="shared" ca="1" si="3"/>
        <v>0.81395348837209303</v>
      </c>
      <c r="N21" s="31">
        <f ca="1">IFERROR(__xludf.DUMMYFUNCTION("""COMPUTED_VALUE"""),0)</f>
        <v>0</v>
      </c>
      <c r="O21" s="32">
        <f ca="1">IFERROR(__xludf.DUMMYFUNCTION("""COMPUTED_VALUE"""),0)</f>
        <v>0</v>
      </c>
      <c r="P21" s="13" t="str">
        <f t="shared" ca="1" si="4"/>
        <v/>
      </c>
      <c r="Q21" s="32">
        <f ca="1">IFERROR(__xludf.DUMMYFUNCTION("""COMPUTED_VALUE"""),0)</f>
        <v>0</v>
      </c>
      <c r="R21" s="13" t="str">
        <f t="shared" ca="1" si="5"/>
        <v/>
      </c>
      <c r="S21" s="31">
        <f ca="1">IFERROR(__xludf.DUMMYFUNCTION("""COMPUTED_VALUE"""),0)</f>
        <v>0</v>
      </c>
      <c r="T21" s="32">
        <f ca="1">IFERROR(__xludf.DUMMYFUNCTION("""COMPUTED_VALUE"""),0)</f>
        <v>0</v>
      </c>
      <c r="U21" s="13" t="str">
        <f t="shared" ca="1" si="6"/>
        <v/>
      </c>
      <c r="V21" s="32">
        <f ca="1">IFERROR(__xludf.DUMMYFUNCTION("""COMPUTED_VALUE"""),0)</f>
        <v>0</v>
      </c>
      <c r="W21" s="13" t="str">
        <f t="shared" ca="1" si="7"/>
        <v/>
      </c>
      <c r="X21" s="32">
        <f ca="1">IFERROR(__xludf.DUMMYFUNCTION("""COMPUTED_VALUE"""),0)</f>
        <v>0</v>
      </c>
      <c r="Y21" s="13" t="str">
        <f t="shared" ca="1" si="8"/>
        <v/>
      </c>
      <c r="Z21" s="2"/>
      <c r="AA21" s="2"/>
      <c r="AB21" s="2"/>
      <c r="AC21" s="2"/>
      <c r="AD21" s="2"/>
      <c r="AE21" s="2"/>
    </row>
    <row r="22" spans="1:31" ht="12.75" x14ac:dyDescent="0.2">
      <c r="A22" s="28">
        <f ca="1">IFERROR(__xludf.DUMMYFUNCTION("""COMPUTED_VALUE"""),16)</f>
        <v>16</v>
      </c>
      <c r="B22" s="29" t="str">
        <f ca="1">IFERROR(__xludf.DUMMYFUNCTION("""COMPUTED_VALUE"""),"MN Linh Trung")</f>
        <v>MN Linh Trung</v>
      </c>
      <c r="C22" s="33" t="str">
        <f ca="1">IFERROR(__xludf.DUMMYFUNCTION("""COMPUTED_VALUE"""),"MN")</f>
        <v>MN</v>
      </c>
      <c r="D22" s="30" t="str">
        <f ca="1">IFERROR(__xludf.DUMMYFUNCTION("""COMPUTED_VALUE"""),"Tp. Thủ Đức")</f>
        <v>Tp. Thủ Đức</v>
      </c>
      <c r="E22" s="31">
        <f ca="1">IFERROR(__xludf.DUMMYFUNCTION("""COMPUTED_VALUE"""),22)</f>
        <v>22</v>
      </c>
      <c r="F22" s="32">
        <f ca="1">IFERROR(__xludf.DUMMYFUNCTION("""COMPUTED_VALUE"""),22)</f>
        <v>22</v>
      </c>
      <c r="G22" s="13">
        <f t="shared" ca="1" si="0"/>
        <v>1</v>
      </c>
      <c r="H22" s="32">
        <f ca="1">IFERROR(__xludf.DUMMYFUNCTION("""COMPUTED_VALUE"""),22)</f>
        <v>22</v>
      </c>
      <c r="I22" s="13">
        <f t="shared" ca="1" si="1"/>
        <v>1</v>
      </c>
      <c r="J22" s="32">
        <f ca="1">IFERROR(__xludf.DUMMYFUNCTION("""COMPUTED_VALUE"""),21)</f>
        <v>21</v>
      </c>
      <c r="K22" s="13">
        <f t="shared" ca="1" si="2"/>
        <v>0.95454545454545459</v>
      </c>
      <c r="L22" s="32">
        <f ca="1">IFERROR(__xludf.DUMMYFUNCTION("""COMPUTED_VALUE"""),8)</f>
        <v>8</v>
      </c>
      <c r="M22" s="13">
        <f t="shared" ca="1" si="3"/>
        <v>0.36363636363636365</v>
      </c>
      <c r="N22" s="31">
        <f ca="1">IFERROR(__xludf.DUMMYFUNCTION("""COMPUTED_VALUE"""),0)</f>
        <v>0</v>
      </c>
      <c r="O22" s="32">
        <f ca="1">IFERROR(__xludf.DUMMYFUNCTION("""COMPUTED_VALUE"""),0)</f>
        <v>0</v>
      </c>
      <c r="P22" s="13" t="str">
        <f t="shared" ca="1" si="4"/>
        <v/>
      </c>
      <c r="Q22" s="32">
        <f ca="1">IFERROR(__xludf.DUMMYFUNCTION("""COMPUTED_VALUE"""),0)</f>
        <v>0</v>
      </c>
      <c r="R22" s="13" t="str">
        <f t="shared" ca="1" si="5"/>
        <v/>
      </c>
      <c r="S22" s="31">
        <f ca="1">IFERROR(__xludf.DUMMYFUNCTION("""COMPUTED_VALUE"""),0)</f>
        <v>0</v>
      </c>
      <c r="T22" s="32">
        <f ca="1">IFERROR(__xludf.DUMMYFUNCTION("""COMPUTED_VALUE"""),0)</f>
        <v>0</v>
      </c>
      <c r="U22" s="13" t="str">
        <f t="shared" ca="1" si="6"/>
        <v/>
      </c>
      <c r="V22" s="32">
        <f ca="1">IFERROR(__xludf.DUMMYFUNCTION("""COMPUTED_VALUE"""),0)</f>
        <v>0</v>
      </c>
      <c r="W22" s="13" t="str">
        <f t="shared" ca="1" si="7"/>
        <v/>
      </c>
      <c r="X22" s="32">
        <f ca="1">IFERROR(__xludf.DUMMYFUNCTION("""COMPUTED_VALUE"""),0)</f>
        <v>0</v>
      </c>
      <c r="Y22" s="13" t="str">
        <f t="shared" ca="1" si="8"/>
        <v/>
      </c>
      <c r="Z22" s="2"/>
      <c r="AA22" s="2"/>
      <c r="AB22" s="2"/>
      <c r="AC22" s="2"/>
      <c r="AD22" s="2"/>
      <c r="AE22" s="2"/>
    </row>
    <row r="23" spans="1:31" ht="12.75" x14ac:dyDescent="0.2">
      <c r="A23" s="28">
        <f ca="1">IFERROR(__xludf.DUMMYFUNCTION("""COMPUTED_VALUE"""),17)</f>
        <v>17</v>
      </c>
      <c r="B23" s="29" t="str">
        <f ca="1">IFERROR(__xludf.DUMMYFUNCTION("""COMPUTED_VALUE"""),"MN Tam Phú")</f>
        <v>MN Tam Phú</v>
      </c>
      <c r="C23" s="29"/>
      <c r="D23" s="30" t="str">
        <f ca="1">IFERROR(__xludf.DUMMYFUNCTION("""COMPUTED_VALUE"""),"Tp. Thủ Đức")</f>
        <v>Tp. Thủ Đức</v>
      </c>
      <c r="E23" s="31">
        <f ca="1">IFERROR(__xludf.DUMMYFUNCTION("""COMPUTED_VALUE"""),43)</f>
        <v>43</v>
      </c>
      <c r="F23" s="32">
        <f ca="1">IFERROR(__xludf.DUMMYFUNCTION("""COMPUTED_VALUE"""),43)</f>
        <v>43</v>
      </c>
      <c r="G23" s="13">
        <f t="shared" ca="1" si="0"/>
        <v>1</v>
      </c>
      <c r="H23" s="32">
        <f ca="1">IFERROR(__xludf.DUMMYFUNCTION("""COMPUTED_VALUE"""),43)</f>
        <v>43</v>
      </c>
      <c r="I23" s="13">
        <f t="shared" ca="1" si="1"/>
        <v>1</v>
      </c>
      <c r="J23" s="32">
        <f ca="1">IFERROR(__xludf.DUMMYFUNCTION("""COMPUTED_VALUE"""),43)</f>
        <v>43</v>
      </c>
      <c r="K23" s="13">
        <f t="shared" ca="1" si="2"/>
        <v>1</v>
      </c>
      <c r="L23" s="32">
        <f ca="1">IFERROR(__xludf.DUMMYFUNCTION("""COMPUTED_VALUE"""),37)</f>
        <v>37</v>
      </c>
      <c r="M23" s="13">
        <f t="shared" ca="1" si="3"/>
        <v>0.86046511627906974</v>
      </c>
      <c r="N23" s="31">
        <f ca="1">IFERROR(__xludf.DUMMYFUNCTION("""COMPUTED_VALUE"""),0)</f>
        <v>0</v>
      </c>
      <c r="O23" s="32">
        <f ca="1">IFERROR(__xludf.DUMMYFUNCTION("""COMPUTED_VALUE"""),0)</f>
        <v>0</v>
      </c>
      <c r="P23" s="13" t="str">
        <f t="shared" ca="1" si="4"/>
        <v/>
      </c>
      <c r="Q23" s="32">
        <f ca="1">IFERROR(__xludf.DUMMYFUNCTION("""COMPUTED_VALUE"""),0)</f>
        <v>0</v>
      </c>
      <c r="R23" s="13" t="str">
        <f t="shared" ca="1" si="5"/>
        <v/>
      </c>
      <c r="S23" s="31">
        <f ca="1">IFERROR(__xludf.DUMMYFUNCTION("""COMPUTED_VALUE"""),0)</f>
        <v>0</v>
      </c>
      <c r="T23" s="32">
        <f ca="1">IFERROR(__xludf.DUMMYFUNCTION("""COMPUTED_VALUE"""),0)</f>
        <v>0</v>
      </c>
      <c r="U23" s="13" t="str">
        <f t="shared" ca="1" si="6"/>
        <v/>
      </c>
      <c r="V23" s="32">
        <f ca="1">IFERROR(__xludf.DUMMYFUNCTION("""COMPUTED_VALUE"""),0)</f>
        <v>0</v>
      </c>
      <c r="W23" s="13" t="str">
        <f t="shared" ca="1" si="7"/>
        <v/>
      </c>
      <c r="X23" s="32">
        <f ca="1">IFERROR(__xludf.DUMMYFUNCTION("""COMPUTED_VALUE"""),0)</f>
        <v>0</v>
      </c>
      <c r="Y23" s="13" t="str">
        <f t="shared" ca="1" si="8"/>
        <v/>
      </c>
      <c r="Z23" s="2"/>
      <c r="AA23" s="2"/>
      <c r="AB23" s="2"/>
      <c r="AC23" s="2"/>
      <c r="AD23" s="2"/>
      <c r="AE23" s="2"/>
    </row>
    <row r="24" spans="1:31" ht="12.75" x14ac:dyDescent="0.2">
      <c r="A24" s="28">
        <f ca="1">IFERROR(__xludf.DUMMYFUNCTION("""COMPUTED_VALUE"""),18)</f>
        <v>18</v>
      </c>
      <c r="B24" s="29" t="str">
        <f ca="1">IFERROR(__xludf.DUMMYFUNCTION("""COMPUTED_VALUE"""),"MN Linh Tây")</f>
        <v>MN Linh Tây</v>
      </c>
      <c r="C24" s="33" t="str">
        <f ca="1">IFERROR(__xludf.DUMMYFUNCTION("""COMPUTED_VALUE"""),"MN")</f>
        <v>MN</v>
      </c>
      <c r="D24" s="30" t="str">
        <f ca="1">IFERROR(__xludf.DUMMYFUNCTION("""COMPUTED_VALUE"""),"Tp. Thủ Đức")</f>
        <v>Tp. Thủ Đức</v>
      </c>
      <c r="E24" s="31">
        <f ca="1">IFERROR(__xludf.DUMMYFUNCTION("""COMPUTED_VALUE"""),40)</f>
        <v>40</v>
      </c>
      <c r="F24" s="32">
        <f ca="1">IFERROR(__xludf.DUMMYFUNCTION("""COMPUTED_VALUE"""),40)</f>
        <v>40</v>
      </c>
      <c r="G24" s="13">
        <f t="shared" ca="1" si="0"/>
        <v>1</v>
      </c>
      <c r="H24" s="32">
        <f ca="1">IFERROR(__xludf.DUMMYFUNCTION("""COMPUTED_VALUE"""),40)</f>
        <v>40</v>
      </c>
      <c r="I24" s="13">
        <f t="shared" ca="1" si="1"/>
        <v>1</v>
      </c>
      <c r="J24" s="32">
        <f ca="1">IFERROR(__xludf.DUMMYFUNCTION("""COMPUTED_VALUE"""),40)</f>
        <v>40</v>
      </c>
      <c r="K24" s="13">
        <f t="shared" ca="1" si="2"/>
        <v>1</v>
      </c>
      <c r="L24" s="32">
        <f ca="1">IFERROR(__xludf.DUMMYFUNCTION("""COMPUTED_VALUE"""),13)</f>
        <v>13</v>
      </c>
      <c r="M24" s="13">
        <f t="shared" ca="1" si="3"/>
        <v>0.32500000000000001</v>
      </c>
      <c r="N24" s="31">
        <f ca="1">IFERROR(__xludf.DUMMYFUNCTION("""COMPUTED_VALUE"""),0)</f>
        <v>0</v>
      </c>
      <c r="O24" s="32">
        <f ca="1">IFERROR(__xludf.DUMMYFUNCTION("""COMPUTED_VALUE"""),0)</f>
        <v>0</v>
      </c>
      <c r="P24" s="13" t="str">
        <f t="shared" ca="1" si="4"/>
        <v/>
      </c>
      <c r="Q24" s="32">
        <f ca="1">IFERROR(__xludf.DUMMYFUNCTION("""COMPUTED_VALUE"""),0)</f>
        <v>0</v>
      </c>
      <c r="R24" s="13" t="str">
        <f t="shared" ca="1" si="5"/>
        <v/>
      </c>
      <c r="S24" s="31">
        <f ca="1">IFERROR(__xludf.DUMMYFUNCTION("""COMPUTED_VALUE"""),0)</f>
        <v>0</v>
      </c>
      <c r="T24" s="32">
        <f ca="1">IFERROR(__xludf.DUMMYFUNCTION("""COMPUTED_VALUE"""),0)</f>
        <v>0</v>
      </c>
      <c r="U24" s="13" t="str">
        <f t="shared" ca="1" si="6"/>
        <v/>
      </c>
      <c r="V24" s="32">
        <f ca="1">IFERROR(__xludf.DUMMYFUNCTION("""COMPUTED_VALUE"""),0)</f>
        <v>0</v>
      </c>
      <c r="W24" s="13" t="str">
        <f t="shared" ca="1" si="7"/>
        <v/>
      </c>
      <c r="X24" s="32">
        <f ca="1">IFERROR(__xludf.DUMMYFUNCTION("""COMPUTED_VALUE"""),0)</f>
        <v>0</v>
      </c>
      <c r="Y24" s="13" t="str">
        <f t="shared" ca="1" si="8"/>
        <v/>
      </c>
      <c r="Z24" s="2"/>
      <c r="AA24" s="2"/>
      <c r="AB24" s="2"/>
      <c r="AC24" s="2"/>
      <c r="AD24" s="2"/>
      <c r="AE24" s="2"/>
    </row>
    <row r="25" spans="1:31" ht="12.75" x14ac:dyDescent="0.2">
      <c r="A25" s="28">
        <f ca="1">IFERROR(__xludf.DUMMYFUNCTION("""COMPUTED_VALUE"""),19)</f>
        <v>19</v>
      </c>
      <c r="B25" s="29" t="str">
        <f ca="1">IFERROR(__xludf.DUMMYFUNCTION("""COMPUTED_VALUE"""),"MN Hoa Mai")</f>
        <v>MN Hoa Mai</v>
      </c>
      <c r="C25" s="33" t="str">
        <f ca="1">IFERROR(__xludf.DUMMYFUNCTION("""COMPUTED_VALUE"""),"MN")</f>
        <v>MN</v>
      </c>
      <c r="D25" s="30" t="str">
        <f ca="1">IFERROR(__xludf.DUMMYFUNCTION("""COMPUTED_VALUE"""),"Tp. Thủ Đức")</f>
        <v>Tp. Thủ Đức</v>
      </c>
      <c r="E25" s="31">
        <f ca="1">IFERROR(__xludf.DUMMYFUNCTION("""COMPUTED_VALUE"""),40)</f>
        <v>40</v>
      </c>
      <c r="F25" s="32">
        <f ca="1">IFERROR(__xludf.DUMMYFUNCTION("""COMPUTED_VALUE"""),40)</f>
        <v>40</v>
      </c>
      <c r="G25" s="13">
        <f t="shared" ca="1" si="0"/>
        <v>1</v>
      </c>
      <c r="H25" s="32">
        <f ca="1">IFERROR(__xludf.DUMMYFUNCTION("""COMPUTED_VALUE"""),40)</f>
        <v>40</v>
      </c>
      <c r="I25" s="13">
        <f t="shared" ca="1" si="1"/>
        <v>1</v>
      </c>
      <c r="J25" s="32">
        <f ca="1">IFERROR(__xludf.DUMMYFUNCTION("""COMPUTED_VALUE"""),39)</f>
        <v>39</v>
      </c>
      <c r="K25" s="13">
        <f t="shared" ca="1" si="2"/>
        <v>0.97499999999999998</v>
      </c>
      <c r="L25" s="32">
        <f ca="1">IFERROR(__xludf.DUMMYFUNCTION("""COMPUTED_VALUE"""),12)</f>
        <v>12</v>
      </c>
      <c r="M25" s="13">
        <f t="shared" ca="1" si="3"/>
        <v>0.3</v>
      </c>
      <c r="N25" s="31">
        <f ca="1">IFERROR(__xludf.DUMMYFUNCTION("""COMPUTED_VALUE"""),0)</f>
        <v>0</v>
      </c>
      <c r="O25" s="32">
        <f ca="1">IFERROR(__xludf.DUMMYFUNCTION("""COMPUTED_VALUE"""),0)</f>
        <v>0</v>
      </c>
      <c r="P25" s="13" t="str">
        <f t="shared" ca="1" si="4"/>
        <v/>
      </c>
      <c r="Q25" s="32">
        <f ca="1">IFERROR(__xludf.DUMMYFUNCTION("""COMPUTED_VALUE"""),0)</f>
        <v>0</v>
      </c>
      <c r="R25" s="13" t="str">
        <f t="shared" ca="1" si="5"/>
        <v/>
      </c>
      <c r="S25" s="31">
        <f ca="1">IFERROR(__xludf.DUMMYFUNCTION("""COMPUTED_VALUE"""),0)</f>
        <v>0</v>
      </c>
      <c r="T25" s="32">
        <f ca="1">IFERROR(__xludf.DUMMYFUNCTION("""COMPUTED_VALUE"""),0)</f>
        <v>0</v>
      </c>
      <c r="U25" s="13" t="str">
        <f t="shared" ca="1" si="6"/>
        <v/>
      </c>
      <c r="V25" s="32">
        <f ca="1">IFERROR(__xludf.DUMMYFUNCTION("""COMPUTED_VALUE"""),0)</f>
        <v>0</v>
      </c>
      <c r="W25" s="13" t="str">
        <f t="shared" ca="1" si="7"/>
        <v/>
      </c>
      <c r="X25" s="32">
        <f ca="1">IFERROR(__xludf.DUMMYFUNCTION("""COMPUTED_VALUE"""),0)</f>
        <v>0</v>
      </c>
      <c r="Y25" s="13" t="str">
        <f t="shared" ca="1" si="8"/>
        <v/>
      </c>
      <c r="Z25" s="2"/>
      <c r="AA25" s="2"/>
      <c r="AB25" s="2"/>
      <c r="AC25" s="2"/>
      <c r="AD25" s="2"/>
      <c r="AE25" s="2"/>
    </row>
    <row r="26" spans="1:31" ht="12.75" x14ac:dyDescent="0.2">
      <c r="A26" s="28">
        <f ca="1">IFERROR(__xludf.DUMMYFUNCTION("""COMPUTED_VALUE"""),20)</f>
        <v>20</v>
      </c>
      <c r="B26" s="29" t="str">
        <f ca="1">IFERROR(__xludf.DUMMYFUNCTION("""COMPUTED_VALUE"""),"MN Sơn Ca 3")</f>
        <v>MN Sơn Ca 3</v>
      </c>
      <c r="C26" s="33" t="str">
        <f ca="1">IFERROR(__xludf.DUMMYFUNCTION("""COMPUTED_VALUE"""),"MN")</f>
        <v>MN</v>
      </c>
      <c r="D26" s="30" t="str">
        <f ca="1">IFERROR(__xludf.DUMMYFUNCTION("""COMPUTED_VALUE"""),"Tp. Thủ Đức")</f>
        <v>Tp. Thủ Đức</v>
      </c>
      <c r="E26" s="31">
        <f ca="1">IFERROR(__xludf.DUMMYFUNCTION("""COMPUTED_VALUE"""),41)</f>
        <v>41</v>
      </c>
      <c r="F26" s="32">
        <f ca="1">IFERROR(__xludf.DUMMYFUNCTION("""COMPUTED_VALUE"""),41)</f>
        <v>41</v>
      </c>
      <c r="G26" s="13">
        <f t="shared" ca="1" si="0"/>
        <v>1</v>
      </c>
      <c r="H26" s="32">
        <f ca="1">IFERROR(__xludf.DUMMYFUNCTION("""COMPUTED_VALUE"""),41)</f>
        <v>41</v>
      </c>
      <c r="I26" s="13">
        <f t="shared" ca="1" si="1"/>
        <v>1</v>
      </c>
      <c r="J26" s="32">
        <f ca="1">IFERROR(__xludf.DUMMYFUNCTION("""COMPUTED_VALUE"""),40)</f>
        <v>40</v>
      </c>
      <c r="K26" s="13">
        <f t="shared" ca="1" si="2"/>
        <v>0.97560975609756095</v>
      </c>
      <c r="L26" s="32">
        <f ca="1">IFERROR(__xludf.DUMMYFUNCTION("""COMPUTED_VALUE"""),9)</f>
        <v>9</v>
      </c>
      <c r="M26" s="13">
        <f t="shared" ca="1" si="3"/>
        <v>0.21951219512195122</v>
      </c>
      <c r="N26" s="31">
        <f ca="1">IFERROR(__xludf.DUMMYFUNCTION("""COMPUTED_VALUE"""),0)</f>
        <v>0</v>
      </c>
      <c r="O26" s="32">
        <f ca="1">IFERROR(__xludf.DUMMYFUNCTION("""COMPUTED_VALUE"""),0)</f>
        <v>0</v>
      </c>
      <c r="P26" s="13" t="str">
        <f t="shared" ca="1" si="4"/>
        <v/>
      </c>
      <c r="Q26" s="32">
        <f ca="1">IFERROR(__xludf.DUMMYFUNCTION("""COMPUTED_VALUE"""),0)</f>
        <v>0</v>
      </c>
      <c r="R26" s="13" t="str">
        <f t="shared" ca="1" si="5"/>
        <v/>
      </c>
      <c r="S26" s="31">
        <f ca="1">IFERROR(__xludf.DUMMYFUNCTION("""COMPUTED_VALUE"""),0)</f>
        <v>0</v>
      </c>
      <c r="T26" s="32">
        <f ca="1">IFERROR(__xludf.DUMMYFUNCTION("""COMPUTED_VALUE"""),0)</f>
        <v>0</v>
      </c>
      <c r="U26" s="13" t="str">
        <f t="shared" ca="1" si="6"/>
        <v/>
      </c>
      <c r="V26" s="32">
        <f ca="1">IFERROR(__xludf.DUMMYFUNCTION("""COMPUTED_VALUE"""),0)</f>
        <v>0</v>
      </c>
      <c r="W26" s="13" t="str">
        <f t="shared" ca="1" si="7"/>
        <v/>
      </c>
      <c r="X26" s="32">
        <f ca="1">IFERROR(__xludf.DUMMYFUNCTION("""COMPUTED_VALUE"""),0)</f>
        <v>0</v>
      </c>
      <c r="Y26" s="13" t="str">
        <f t="shared" ca="1" si="8"/>
        <v/>
      </c>
      <c r="Z26" s="2"/>
      <c r="AA26" s="2"/>
      <c r="AB26" s="2"/>
      <c r="AC26" s="2"/>
      <c r="AD26" s="2"/>
      <c r="AE26" s="2"/>
    </row>
    <row r="27" spans="1:31" ht="12.75" x14ac:dyDescent="0.2">
      <c r="A27" s="28">
        <f ca="1">IFERROR(__xludf.DUMMYFUNCTION("""COMPUTED_VALUE"""),21)</f>
        <v>21</v>
      </c>
      <c r="B27" s="29" t="str">
        <f ca="1">IFERROR(__xludf.DUMMYFUNCTION("""COMPUTED_VALUE"""),"MN Sao Vàng")</f>
        <v>MN Sao Vàng</v>
      </c>
      <c r="C27" s="33" t="str">
        <f ca="1">IFERROR(__xludf.DUMMYFUNCTION("""COMPUTED_VALUE"""),"MN")</f>
        <v>MN</v>
      </c>
      <c r="D27" s="30" t="str">
        <f ca="1">IFERROR(__xludf.DUMMYFUNCTION("""COMPUTED_VALUE"""),"Tp. Thủ Đức")</f>
        <v>Tp. Thủ Đức</v>
      </c>
      <c r="E27" s="31">
        <f ca="1">IFERROR(__xludf.DUMMYFUNCTION("""COMPUTED_VALUE"""),27)</f>
        <v>27</v>
      </c>
      <c r="F27" s="32">
        <f ca="1">IFERROR(__xludf.DUMMYFUNCTION("""COMPUTED_VALUE"""),27)</f>
        <v>27</v>
      </c>
      <c r="G27" s="13">
        <f t="shared" ca="1" si="0"/>
        <v>1</v>
      </c>
      <c r="H27" s="32">
        <f ca="1">IFERROR(__xludf.DUMMYFUNCTION("""COMPUTED_VALUE"""),27)</f>
        <v>27</v>
      </c>
      <c r="I27" s="13">
        <f t="shared" ca="1" si="1"/>
        <v>1</v>
      </c>
      <c r="J27" s="32">
        <f ca="1">IFERROR(__xludf.DUMMYFUNCTION("""COMPUTED_VALUE"""),26)</f>
        <v>26</v>
      </c>
      <c r="K27" s="13">
        <f t="shared" ca="1" si="2"/>
        <v>0.96296296296296291</v>
      </c>
      <c r="L27" s="32">
        <f ca="1">IFERROR(__xludf.DUMMYFUNCTION("""COMPUTED_VALUE"""),5)</f>
        <v>5</v>
      </c>
      <c r="M27" s="13">
        <f t="shared" ca="1" si="3"/>
        <v>0.18518518518518517</v>
      </c>
      <c r="N27" s="31">
        <f ca="1">IFERROR(__xludf.DUMMYFUNCTION("""COMPUTED_VALUE"""),0)</f>
        <v>0</v>
      </c>
      <c r="O27" s="32">
        <f ca="1">IFERROR(__xludf.DUMMYFUNCTION("""COMPUTED_VALUE"""),0)</f>
        <v>0</v>
      </c>
      <c r="P27" s="13" t="str">
        <f t="shared" ca="1" si="4"/>
        <v/>
      </c>
      <c r="Q27" s="32">
        <f ca="1">IFERROR(__xludf.DUMMYFUNCTION("""COMPUTED_VALUE"""),0)</f>
        <v>0</v>
      </c>
      <c r="R27" s="13" t="str">
        <f t="shared" ca="1" si="5"/>
        <v/>
      </c>
      <c r="S27" s="31">
        <f ca="1">IFERROR(__xludf.DUMMYFUNCTION("""COMPUTED_VALUE"""),0)</f>
        <v>0</v>
      </c>
      <c r="T27" s="32">
        <f ca="1">IFERROR(__xludf.DUMMYFUNCTION("""COMPUTED_VALUE"""),0)</f>
        <v>0</v>
      </c>
      <c r="U27" s="13" t="str">
        <f t="shared" ca="1" si="6"/>
        <v/>
      </c>
      <c r="V27" s="32">
        <f ca="1">IFERROR(__xludf.DUMMYFUNCTION("""COMPUTED_VALUE"""),0)</f>
        <v>0</v>
      </c>
      <c r="W27" s="13" t="str">
        <f t="shared" ca="1" si="7"/>
        <v/>
      </c>
      <c r="X27" s="32">
        <f ca="1">IFERROR(__xludf.DUMMYFUNCTION("""COMPUTED_VALUE"""),0)</f>
        <v>0</v>
      </c>
      <c r="Y27" s="13" t="str">
        <f t="shared" ca="1" si="8"/>
        <v/>
      </c>
      <c r="Z27" s="2"/>
      <c r="AA27" s="2"/>
      <c r="AB27" s="2"/>
      <c r="AC27" s="2"/>
      <c r="AD27" s="2"/>
      <c r="AE27" s="2"/>
    </row>
    <row r="28" spans="1:31" ht="12.75" x14ac:dyDescent="0.2">
      <c r="A28" s="28">
        <f ca="1">IFERROR(__xludf.DUMMYFUNCTION("""COMPUTED_VALUE"""),22)</f>
        <v>22</v>
      </c>
      <c r="B28" s="29" t="str">
        <f ca="1">IFERROR(__xludf.DUMMYFUNCTION("""COMPUTED_VALUE"""),"MN Hoa Đào")</f>
        <v>MN Hoa Đào</v>
      </c>
      <c r="C28" s="33" t="str">
        <f ca="1">IFERROR(__xludf.DUMMYFUNCTION("""COMPUTED_VALUE"""),"MN")</f>
        <v>MN</v>
      </c>
      <c r="D28" s="30" t="str">
        <f ca="1">IFERROR(__xludf.DUMMYFUNCTION("""COMPUTED_VALUE"""),"Tp. Thủ Đức")</f>
        <v>Tp. Thủ Đức</v>
      </c>
      <c r="E28" s="31">
        <f ca="1">IFERROR(__xludf.DUMMYFUNCTION("""COMPUTED_VALUE"""),39)</f>
        <v>39</v>
      </c>
      <c r="F28" s="32">
        <f ca="1">IFERROR(__xludf.DUMMYFUNCTION("""COMPUTED_VALUE"""),39)</f>
        <v>39</v>
      </c>
      <c r="G28" s="13">
        <f t="shared" ca="1" si="0"/>
        <v>1</v>
      </c>
      <c r="H28" s="32">
        <f ca="1">IFERROR(__xludf.DUMMYFUNCTION("""COMPUTED_VALUE"""),39)</f>
        <v>39</v>
      </c>
      <c r="I28" s="13">
        <f t="shared" ca="1" si="1"/>
        <v>1</v>
      </c>
      <c r="J28" s="32">
        <f ca="1">IFERROR(__xludf.DUMMYFUNCTION("""COMPUTED_VALUE"""),39)</f>
        <v>39</v>
      </c>
      <c r="K28" s="13">
        <f t="shared" ca="1" si="2"/>
        <v>1</v>
      </c>
      <c r="L28" s="32">
        <f ca="1">IFERROR(__xludf.DUMMYFUNCTION("""COMPUTED_VALUE"""),1)</f>
        <v>1</v>
      </c>
      <c r="M28" s="13">
        <f t="shared" ca="1" si="3"/>
        <v>2.564102564102564E-2</v>
      </c>
      <c r="N28" s="31">
        <f ca="1">IFERROR(__xludf.DUMMYFUNCTION("""COMPUTED_VALUE"""),0)</f>
        <v>0</v>
      </c>
      <c r="O28" s="32">
        <f ca="1">IFERROR(__xludf.DUMMYFUNCTION("""COMPUTED_VALUE"""),0)</f>
        <v>0</v>
      </c>
      <c r="P28" s="13" t="str">
        <f t="shared" ca="1" si="4"/>
        <v/>
      </c>
      <c r="Q28" s="32">
        <f ca="1">IFERROR(__xludf.DUMMYFUNCTION("""COMPUTED_VALUE"""),0)</f>
        <v>0</v>
      </c>
      <c r="R28" s="13" t="str">
        <f t="shared" ca="1" si="5"/>
        <v/>
      </c>
      <c r="S28" s="31">
        <f ca="1">IFERROR(__xludf.DUMMYFUNCTION("""COMPUTED_VALUE"""),0)</f>
        <v>0</v>
      </c>
      <c r="T28" s="32">
        <f ca="1">IFERROR(__xludf.DUMMYFUNCTION("""COMPUTED_VALUE"""),0)</f>
        <v>0</v>
      </c>
      <c r="U28" s="13" t="str">
        <f t="shared" ca="1" si="6"/>
        <v/>
      </c>
      <c r="V28" s="32">
        <f ca="1">IFERROR(__xludf.DUMMYFUNCTION("""COMPUTED_VALUE"""),0)</f>
        <v>0</v>
      </c>
      <c r="W28" s="13" t="str">
        <f t="shared" ca="1" si="7"/>
        <v/>
      </c>
      <c r="X28" s="32">
        <f ca="1">IFERROR(__xludf.DUMMYFUNCTION("""COMPUTED_VALUE"""),0)</f>
        <v>0</v>
      </c>
      <c r="Y28" s="13" t="str">
        <f t="shared" ca="1" si="8"/>
        <v/>
      </c>
      <c r="Z28" s="2"/>
      <c r="AA28" s="2"/>
      <c r="AB28" s="2"/>
      <c r="AC28" s="2"/>
      <c r="AD28" s="2"/>
      <c r="AE28" s="2"/>
    </row>
    <row r="29" spans="1:31" ht="12.75" x14ac:dyDescent="0.2">
      <c r="A29" s="28">
        <f ca="1">IFERROR(__xludf.DUMMYFUNCTION("""COMPUTED_VALUE"""),23)</f>
        <v>23</v>
      </c>
      <c r="B29" s="29" t="str">
        <f ca="1">IFERROR(__xludf.DUMMYFUNCTION("""COMPUTED_VALUE"""),"MN Hoàng Yến 3")</f>
        <v>MN Hoàng Yến 3</v>
      </c>
      <c r="C29" s="33" t="str">
        <f ca="1">IFERROR(__xludf.DUMMYFUNCTION("""COMPUTED_VALUE"""),"MN")</f>
        <v>MN</v>
      </c>
      <c r="D29" s="30" t="str">
        <f ca="1">IFERROR(__xludf.DUMMYFUNCTION("""COMPUTED_VALUE"""),"Tp. Thủ Đức")</f>
        <v>Tp. Thủ Đức</v>
      </c>
      <c r="E29" s="31">
        <f ca="1">IFERROR(__xludf.DUMMYFUNCTION("""COMPUTED_VALUE"""),45)</f>
        <v>45</v>
      </c>
      <c r="F29" s="32">
        <f ca="1">IFERROR(__xludf.DUMMYFUNCTION("""COMPUTED_VALUE"""),45)</f>
        <v>45</v>
      </c>
      <c r="G29" s="13">
        <f t="shared" ca="1" si="0"/>
        <v>1</v>
      </c>
      <c r="H29" s="32">
        <f ca="1">IFERROR(__xludf.DUMMYFUNCTION("""COMPUTED_VALUE"""),45)</f>
        <v>45</v>
      </c>
      <c r="I29" s="13">
        <f t="shared" ca="1" si="1"/>
        <v>1</v>
      </c>
      <c r="J29" s="32">
        <f ca="1">IFERROR(__xludf.DUMMYFUNCTION("""COMPUTED_VALUE"""),43)</f>
        <v>43</v>
      </c>
      <c r="K29" s="13">
        <f t="shared" ca="1" si="2"/>
        <v>0.9555555555555556</v>
      </c>
      <c r="L29" s="32">
        <f ca="1">IFERROR(__xludf.DUMMYFUNCTION("""COMPUTED_VALUE"""),19)</f>
        <v>19</v>
      </c>
      <c r="M29" s="13">
        <f t="shared" ca="1" si="3"/>
        <v>0.42222222222222222</v>
      </c>
      <c r="N29" s="31">
        <f ca="1">IFERROR(__xludf.DUMMYFUNCTION("""COMPUTED_VALUE"""),0)</f>
        <v>0</v>
      </c>
      <c r="O29" s="32">
        <f ca="1">IFERROR(__xludf.DUMMYFUNCTION("""COMPUTED_VALUE"""),0)</f>
        <v>0</v>
      </c>
      <c r="P29" s="13" t="str">
        <f t="shared" ca="1" si="4"/>
        <v/>
      </c>
      <c r="Q29" s="32">
        <f ca="1">IFERROR(__xludf.DUMMYFUNCTION("""COMPUTED_VALUE"""),0)</f>
        <v>0</v>
      </c>
      <c r="R29" s="13" t="str">
        <f t="shared" ca="1" si="5"/>
        <v/>
      </c>
      <c r="S29" s="31">
        <f ca="1">IFERROR(__xludf.DUMMYFUNCTION("""COMPUTED_VALUE"""),0)</f>
        <v>0</v>
      </c>
      <c r="T29" s="32">
        <f ca="1">IFERROR(__xludf.DUMMYFUNCTION("""COMPUTED_VALUE"""),0)</f>
        <v>0</v>
      </c>
      <c r="U29" s="13" t="str">
        <f t="shared" ca="1" si="6"/>
        <v/>
      </c>
      <c r="V29" s="32">
        <f ca="1">IFERROR(__xludf.DUMMYFUNCTION("""COMPUTED_VALUE"""),0)</f>
        <v>0</v>
      </c>
      <c r="W29" s="13" t="str">
        <f t="shared" ca="1" si="7"/>
        <v/>
      </c>
      <c r="X29" s="32">
        <f ca="1">IFERROR(__xludf.DUMMYFUNCTION("""COMPUTED_VALUE"""),0)</f>
        <v>0</v>
      </c>
      <c r="Y29" s="13" t="str">
        <f t="shared" ca="1" si="8"/>
        <v/>
      </c>
      <c r="Z29" s="2"/>
      <c r="AA29" s="2"/>
      <c r="AB29" s="2"/>
      <c r="AC29" s="2"/>
      <c r="AD29" s="2"/>
      <c r="AE29" s="2"/>
    </row>
    <row r="30" spans="1:31" ht="12.75" x14ac:dyDescent="0.2">
      <c r="A30" s="28">
        <f ca="1">IFERROR(__xludf.DUMMYFUNCTION("""COMPUTED_VALUE"""),24)</f>
        <v>24</v>
      </c>
      <c r="B30" s="29" t="str">
        <f ca="1">IFERROR(__xludf.DUMMYFUNCTION("""COMPUTED_VALUE"""),"MN Họa Mi 3")</f>
        <v>MN Họa Mi 3</v>
      </c>
      <c r="C30" s="33" t="str">
        <f ca="1">IFERROR(__xludf.DUMMYFUNCTION("""COMPUTED_VALUE"""),"MN")</f>
        <v>MN</v>
      </c>
      <c r="D30" s="30" t="str">
        <f ca="1">IFERROR(__xludf.DUMMYFUNCTION("""COMPUTED_VALUE"""),"Tp. Thủ Đức")</f>
        <v>Tp. Thủ Đức</v>
      </c>
      <c r="E30" s="31">
        <f ca="1">IFERROR(__xludf.DUMMYFUNCTION("""COMPUTED_VALUE"""),31)</f>
        <v>31</v>
      </c>
      <c r="F30" s="32">
        <f ca="1">IFERROR(__xludf.DUMMYFUNCTION("""COMPUTED_VALUE"""),31)</f>
        <v>31</v>
      </c>
      <c r="G30" s="13">
        <f t="shared" ca="1" si="0"/>
        <v>1</v>
      </c>
      <c r="H30" s="32">
        <f ca="1">IFERROR(__xludf.DUMMYFUNCTION("""COMPUTED_VALUE"""),31)</f>
        <v>31</v>
      </c>
      <c r="I30" s="13">
        <f t="shared" ca="1" si="1"/>
        <v>1</v>
      </c>
      <c r="J30" s="32">
        <f ca="1">IFERROR(__xludf.DUMMYFUNCTION("""COMPUTED_VALUE"""),30)</f>
        <v>30</v>
      </c>
      <c r="K30" s="13">
        <f t="shared" ca="1" si="2"/>
        <v>0.967741935483871</v>
      </c>
      <c r="L30" s="32">
        <f ca="1">IFERROR(__xludf.DUMMYFUNCTION("""COMPUTED_VALUE"""),10)</f>
        <v>10</v>
      </c>
      <c r="M30" s="13">
        <f t="shared" ca="1" si="3"/>
        <v>0.32258064516129031</v>
      </c>
      <c r="N30" s="31">
        <f ca="1">IFERROR(__xludf.DUMMYFUNCTION("""COMPUTED_VALUE"""),0)</f>
        <v>0</v>
      </c>
      <c r="O30" s="32">
        <f ca="1">IFERROR(__xludf.DUMMYFUNCTION("""COMPUTED_VALUE"""),0)</f>
        <v>0</v>
      </c>
      <c r="P30" s="13" t="str">
        <f t="shared" ca="1" si="4"/>
        <v/>
      </c>
      <c r="Q30" s="32">
        <f ca="1">IFERROR(__xludf.DUMMYFUNCTION("""COMPUTED_VALUE"""),0)</f>
        <v>0</v>
      </c>
      <c r="R30" s="13" t="str">
        <f t="shared" ca="1" si="5"/>
        <v/>
      </c>
      <c r="S30" s="31">
        <f ca="1">IFERROR(__xludf.DUMMYFUNCTION("""COMPUTED_VALUE"""),0)</f>
        <v>0</v>
      </c>
      <c r="T30" s="32">
        <f ca="1">IFERROR(__xludf.DUMMYFUNCTION("""COMPUTED_VALUE"""),0)</f>
        <v>0</v>
      </c>
      <c r="U30" s="13" t="str">
        <f t="shared" ca="1" si="6"/>
        <v/>
      </c>
      <c r="V30" s="32">
        <f ca="1">IFERROR(__xludf.DUMMYFUNCTION("""COMPUTED_VALUE"""),0)</f>
        <v>0</v>
      </c>
      <c r="W30" s="13" t="str">
        <f t="shared" ca="1" si="7"/>
        <v/>
      </c>
      <c r="X30" s="32">
        <f ca="1">IFERROR(__xludf.DUMMYFUNCTION("""COMPUTED_VALUE"""),0)</f>
        <v>0</v>
      </c>
      <c r="Y30" s="13" t="str">
        <f t="shared" ca="1" si="8"/>
        <v/>
      </c>
      <c r="Z30" s="2"/>
      <c r="AA30" s="2"/>
      <c r="AB30" s="2"/>
      <c r="AC30" s="2"/>
      <c r="AD30" s="2"/>
      <c r="AE30" s="2"/>
    </row>
    <row r="31" spans="1:31" ht="12.75" x14ac:dyDescent="0.2">
      <c r="A31" s="28">
        <f ca="1">IFERROR(__xludf.DUMMYFUNCTION("""COMPUTED_VALUE"""),25)</f>
        <v>25</v>
      </c>
      <c r="B31" s="29" t="str">
        <f ca="1">IFERROR(__xludf.DUMMYFUNCTION("""COMPUTED_VALUE"""),"MN Hoa Hồng 3")</f>
        <v>MN Hoa Hồng 3</v>
      </c>
      <c r="C31" s="33" t="str">
        <f ca="1">IFERROR(__xludf.DUMMYFUNCTION("""COMPUTED_VALUE"""),"MN")</f>
        <v>MN</v>
      </c>
      <c r="D31" s="30" t="str">
        <f ca="1">IFERROR(__xludf.DUMMYFUNCTION("""COMPUTED_VALUE"""),"Tp. Thủ Đức")</f>
        <v>Tp. Thủ Đức</v>
      </c>
      <c r="E31" s="31">
        <f ca="1">IFERROR(__xludf.DUMMYFUNCTION("""COMPUTED_VALUE"""),36)</f>
        <v>36</v>
      </c>
      <c r="F31" s="32">
        <f ca="1">IFERROR(__xludf.DUMMYFUNCTION("""COMPUTED_VALUE"""),36)</f>
        <v>36</v>
      </c>
      <c r="G31" s="13">
        <f t="shared" ca="1" si="0"/>
        <v>1</v>
      </c>
      <c r="H31" s="32">
        <f ca="1">IFERROR(__xludf.DUMMYFUNCTION("""COMPUTED_VALUE"""),36)</f>
        <v>36</v>
      </c>
      <c r="I31" s="13">
        <f t="shared" ca="1" si="1"/>
        <v>1</v>
      </c>
      <c r="J31" s="32">
        <f ca="1">IFERROR(__xludf.DUMMYFUNCTION("""COMPUTED_VALUE"""),36)</f>
        <v>36</v>
      </c>
      <c r="K31" s="13">
        <f t="shared" ca="1" si="2"/>
        <v>1</v>
      </c>
      <c r="L31" s="32">
        <f ca="1">IFERROR(__xludf.DUMMYFUNCTION("""COMPUTED_VALUE"""),5)</f>
        <v>5</v>
      </c>
      <c r="M31" s="13">
        <f t="shared" ca="1" si="3"/>
        <v>0.1388888888888889</v>
      </c>
      <c r="N31" s="31">
        <f ca="1">IFERROR(__xludf.DUMMYFUNCTION("""COMPUTED_VALUE"""),0)</f>
        <v>0</v>
      </c>
      <c r="O31" s="32">
        <f ca="1">IFERROR(__xludf.DUMMYFUNCTION("""COMPUTED_VALUE"""),0)</f>
        <v>0</v>
      </c>
      <c r="P31" s="13" t="str">
        <f t="shared" ca="1" si="4"/>
        <v/>
      </c>
      <c r="Q31" s="32">
        <f ca="1">IFERROR(__xludf.DUMMYFUNCTION("""COMPUTED_VALUE"""),0)</f>
        <v>0</v>
      </c>
      <c r="R31" s="13" t="str">
        <f t="shared" ca="1" si="5"/>
        <v/>
      </c>
      <c r="S31" s="31">
        <f ca="1">IFERROR(__xludf.DUMMYFUNCTION("""COMPUTED_VALUE"""),0)</f>
        <v>0</v>
      </c>
      <c r="T31" s="32">
        <f ca="1">IFERROR(__xludf.DUMMYFUNCTION("""COMPUTED_VALUE"""),0)</f>
        <v>0</v>
      </c>
      <c r="U31" s="13" t="str">
        <f t="shared" ca="1" si="6"/>
        <v/>
      </c>
      <c r="V31" s="32">
        <f ca="1">IFERROR(__xludf.DUMMYFUNCTION("""COMPUTED_VALUE"""),0)</f>
        <v>0</v>
      </c>
      <c r="W31" s="13" t="str">
        <f t="shared" ca="1" si="7"/>
        <v/>
      </c>
      <c r="X31" s="32">
        <f ca="1">IFERROR(__xludf.DUMMYFUNCTION("""COMPUTED_VALUE"""),0)</f>
        <v>0</v>
      </c>
      <c r="Y31" s="13" t="str">
        <f t="shared" ca="1" si="8"/>
        <v/>
      </c>
      <c r="Z31" s="2"/>
      <c r="AA31" s="2"/>
      <c r="AB31" s="2"/>
      <c r="AC31" s="2"/>
      <c r="AD31" s="2"/>
      <c r="AE31" s="2"/>
    </row>
    <row r="32" spans="1:31" ht="12.75" x14ac:dyDescent="0.2">
      <c r="A32" s="28">
        <f ca="1">IFERROR(__xludf.DUMMYFUNCTION("""COMPUTED_VALUE"""),26)</f>
        <v>26</v>
      </c>
      <c r="B32" s="29" t="str">
        <f ca="1">IFERROR(__xludf.DUMMYFUNCTION("""COMPUTED_VALUE"""),"MN Long Phước")</f>
        <v>MN Long Phước</v>
      </c>
      <c r="C32" s="33" t="str">
        <f ca="1">IFERROR(__xludf.DUMMYFUNCTION("""COMPUTED_VALUE"""),"MN")</f>
        <v>MN</v>
      </c>
      <c r="D32" s="30" t="str">
        <f ca="1">IFERROR(__xludf.DUMMYFUNCTION("""COMPUTED_VALUE"""),"Tp. Thủ Đức")</f>
        <v>Tp. Thủ Đức</v>
      </c>
      <c r="E32" s="31">
        <f ca="1">IFERROR(__xludf.DUMMYFUNCTION("""COMPUTED_VALUE"""),31)</f>
        <v>31</v>
      </c>
      <c r="F32" s="32">
        <f ca="1">IFERROR(__xludf.DUMMYFUNCTION("""COMPUTED_VALUE"""),31)</f>
        <v>31</v>
      </c>
      <c r="G32" s="13">
        <f t="shared" ca="1" si="0"/>
        <v>1</v>
      </c>
      <c r="H32" s="32">
        <f ca="1">IFERROR(__xludf.DUMMYFUNCTION("""COMPUTED_VALUE"""),31)</f>
        <v>31</v>
      </c>
      <c r="I32" s="13">
        <f t="shared" ca="1" si="1"/>
        <v>1</v>
      </c>
      <c r="J32" s="32">
        <f ca="1">IFERROR(__xludf.DUMMYFUNCTION("""COMPUTED_VALUE"""),23)</f>
        <v>23</v>
      </c>
      <c r="K32" s="13">
        <f t="shared" ca="1" si="2"/>
        <v>0.74193548387096775</v>
      </c>
      <c r="L32" s="32">
        <f ca="1">IFERROR(__xludf.DUMMYFUNCTION("""COMPUTED_VALUE"""),2)</f>
        <v>2</v>
      </c>
      <c r="M32" s="13">
        <f t="shared" ca="1" si="3"/>
        <v>6.4516129032258063E-2</v>
      </c>
      <c r="N32" s="31">
        <f ca="1">IFERROR(__xludf.DUMMYFUNCTION("""COMPUTED_VALUE"""),0)</f>
        <v>0</v>
      </c>
      <c r="O32" s="32">
        <f ca="1">IFERROR(__xludf.DUMMYFUNCTION("""COMPUTED_VALUE"""),0)</f>
        <v>0</v>
      </c>
      <c r="P32" s="13" t="str">
        <f t="shared" ca="1" si="4"/>
        <v/>
      </c>
      <c r="Q32" s="32">
        <f ca="1">IFERROR(__xludf.DUMMYFUNCTION("""COMPUTED_VALUE"""),0)</f>
        <v>0</v>
      </c>
      <c r="R32" s="13" t="str">
        <f t="shared" ca="1" si="5"/>
        <v/>
      </c>
      <c r="S32" s="31">
        <f ca="1">IFERROR(__xludf.DUMMYFUNCTION("""COMPUTED_VALUE"""),0)</f>
        <v>0</v>
      </c>
      <c r="T32" s="32">
        <f ca="1">IFERROR(__xludf.DUMMYFUNCTION("""COMPUTED_VALUE"""),0)</f>
        <v>0</v>
      </c>
      <c r="U32" s="13" t="str">
        <f t="shared" ca="1" si="6"/>
        <v/>
      </c>
      <c r="V32" s="32">
        <f ca="1">IFERROR(__xludf.DUMMYFUNCTION("""COMPUTED_VALUE"""),0)</f>
        <v>0</v>
      </c>
      <c r="W32" s="13" t="str">
        <f t="shared" ca="1" si="7"/>
        <v/>
      </c>
      <c r="X32" s="32">
        <f ca="1">IFERROR(__xludf.DUMMYFUNCTION("""COMPUTED_VALUE"""),0)</f>
        <v>0</v>
      </c>
      <c r="Y32" s="13" t="str">
        <f t="shared" ca="1" si="8"/>
        <v/>
      </c>
      <c r="Z32" s="2"/>
      <c r="AA32" s="2"/>
      <c r="AB32" s="2"/>
      <c r="AC32" s="2"/>
      <c r="AD32" s="2"/>
      <c r="AE32" s="2"/>
    </row>
    <row r="33" spans="1:31" ht="12.75" x14ac:dyDescent="0.2">
      <c r="A33" s="28">
        <f ca="1">IFERROR(__xludf.DUMMYFUNCTION("""COMPUTED_VALUE"""),27)</f>
        <v>27</v>
      </c>
      <c r="B33" s="29" t="str">
        <f ca="1">IFERROR(__xludf.DUMMYFUNCTION("""COMPUTED_VALUE"""),"MN Tuổi Thơ KV2")</f>
        <v>MN Tuổi Thơ KV2</v>
      </c>
      <c r="C33" s="33" t="str">
        <f ca="1">IFERROR(__xludf.DUMMYFUNCTION("""COMPUTED_VALUE"""),"MN")</f>
        <v>MN</v>
      </c>
      <c r="D33" s="30" t="str">
        <f ca="1">IFERROR(__xludf.DUMMYFUNCTION("""COMPUTED_VALUE"""),"Tp. Thủ Đức")</f>
        <v>Tp. Thủ Đức</v>
      </c>
      <c r="E33" s="31">
        <f ca="1">IFERROR(__xludf.DUMMYFUNCTION("""COMPUTED_VALUE"""),38)</f>
        <v>38</v>
      </c>
      <c r="F33" s="32">
        <f ca="1">IFERROR(__xludf.DUMMYFUNCTION("""COMPUTED_VALUE"""),38)</f>
        <v>38</v>
      </c>
      <c r="G33" s="13">
        <f t="shared" ca="1" si="0"/>
        <v>1</v>
      </c>
      <c r="H33" s="32">
        <f ca="1">IFERROR(__xludf.DUMMYFUNCTION("""COMPUTED_VALUE"""),38)</f>
        <v>38</v>
      </c>
      <c r="I33" s="13">
        <f t="shared" ca="1" si="1"/>
        <v>1</v>
      </c>
      <c r="J33" s="32">
        <f ca="1">IFERROR(__xludf.DUMMYFUNCTION("""COMPUTED_VALUE"""),37)</f>
        <v>37</v>
      </c>
      <c r="K33" s="13">
        <f t="shared" ca="1" si="2"/>
        <v>0.97368421052631582</v>
      </c>
      <c r="L33" s="32">
        <f ca="1">IFERROR(__xludf.DUMMYFUNCTION("""COMPUTED_VALUE"""),14)</f>
        <v>14</v>
      </c>
      <c r="M33" s="13">
        <f t="shared" ca="1" si="3"/>
        <v>0.36842105263157893</v>
      </c>
      <c r="N33" s="31">
        <f ca="1">IFERROR(__xludf.DUMMYFUNCTION("""COMPUTED_VALUE"""),145)</f>
        <v>145</v>
      </c>
      <c r="O33" s="32">
        <f ca="1">IFERROR(__xludf.DUMMYFUNCTION("""COMPUTED_VALUE"""),4)</f>
        <v>4</v>
      </c>
      <c r="P33" s="13">
        <f t="shared" ca="1" si="4"/>
        <v>2.7586206896551724E-2</v>
      </c>
      <c r="Q33" s="32">
        <f ca="1">IFERROR(__xludf.DUMMYFUNCTION("""COMPUTED_VALUE"""),0)</f>
        <v>0</v>
      </c>
      <c r="R33" s="13">
        <f t="shared" ca="1" si="5"/>
        <v>0</v>
      </c>
      <c r="S33" s="31">
        <f ca="1">IFERROR(__xludf.DUMMYFUNCTION("""COMPUTED_VALUE"""),0)</f>
        <v>0</v>
      </c>
      <c r="T33" s="32">
        <f ca="1">IFERROR(__xludf.DUMMYFUNCTION("""COMPUTED_VALUE"""),0)</f>
        <v>0</v>
      </c>
      <c r="U33" s="13" t="str">
        <f t="shared" ca="1" si="6"/>
        <v/>
      </c>
      <c r="V33" s="32">
        <f ca="1">IFERROR(__xludf.DUMMYFUNCTION("""COMPUTED_VALUE"""),0)</f>
        <v>0</v>
      </c>
      <c r="W33" s="13" t="str">
        <f t="shared" ca="1" si="7"/>
        <v/>
      </c>
      <c r="X33" s="32">
        <f ca="1">IFERROR(__xludf.DUMMYFUNCTION("""COMPUTED_VALUE"""),0)</f>
        <v>0</v>
      </c>
      <c r="Y33" s="13" t="str">
        <f t="shared" ca="1" si="8"/>
        <v/>
      </c>
      <c r="Z33" s="2"/>
      <c r="AA33" s="2"/>
      <c r="AB33" s="2"/>
      <c r="AC33" s="2"/>
      <c r="AD33" s="2"/>
      <c r="AE33" s="2"/>
    </row>
    <row r="34" spans="1:31" ht="12.75" x14ac:dyDescent="0.2">
      <c r="A34" s="28">
        <f ca="1">IFERROR(__xludf.DUMMYFUNCTION("""COMPUTED_VALUE"""),28)</f>
        <v>28</v>
      </c>
      <c r="B34" s="29" t="str">
        <f ca="1">IFERROR(__xludf.DUMMYFUNCTION("""COMPUTED_VALUE"""),"MN Long Bình")</f>
        <v>MN Long Bình</v>
      </c>
      <c r="C34" s="33" t="str">
        <f ca="1">IFERROR(__xludf.DUMMYFUNCTION("""COMPUTED_VALUE"""),"MN")</f>
        <v>MN</v>
      </c>
      <c r="D34" s="30" t="str">
        <f ca="1">IFERROR(__xludf.DUMMYFUNCTION("""COMPUTED_VALUE"""),"Tp. Thủ Đức")</f>
        <v>Tp. Thủ Đức</v>
      </c>
      <c r="E34" s="31">
        <f ca="1">IFERROR(__xludf.DUMMYFUNCTION("""COMPUTED_VALUE"""),52)</f>
        <v>52</v>
      </c>
      <c r="F34" s="32">
        <f ca="1">IFERROR(__xludf.DUMMYFUNCTION("""COMPUTED_VALUE"""),52)</f>
        <v>52</v>
      </c>
      <c r="G34" s="13">
        <f t="shared" ca="1" si="0"/>
        <v>1</v>
      </c>
      <c r="H34" s="32">
        <f ca="1">IFERROR(__xludf.DUMMYFUNCTION("""COMPUTED_VALUE"""),52)</f>
        <v>52</v>
      </c>
      <c r="I34" s="13">
        <f t="shared" ca="1" si="1"/>
        <v>1</v>
      </c>
      <c r="J34" s="32">
        <f ca="1">IFERROR(__xludf.DUMMYFUNCTION("""COMPUTED_VALUE"""),52)</f>
        <v>52</v>
      </c>
      <c r="K34" s="13">
        <f t="shared" ca="1" si="2"/>
        <v>1</v>
      </c>
      <c r="L34" s="32">
        <f ca="1">IFERROR(__xludf.DUMMYFUNCTION("""COMPUTED_VALUE"""),24)</f>
        <v>24</v>
      </c>
      <c r="M34" s="13">
        <f t="shared" ca="1" si="3"/>
        <v>0.46153846153846156</v>
      </c>
      <c r="N34" s="31">
        <f ca="1">IFERROR(__xludf.DUMMYFUNCTION("""COMPUTED_VALUE"""),0)</f>
        <v>0</v>
      </c>
      <c r="O34" s="32">
        <f ca="1">IFERROR(__xludf.DUMMYFUNCTION("""COMPUTED_VALUE"""),0)</f>
        <v>0</v>
      </c>
      <c r="P34" s="13" t="str">
        <f t="shared" ca="1" si="4"/>
        <v/>
      </c>
      <c r="Q34" s="32">
        <f ca="1">IFERROR(__xludf.DUMMYFUNCTION("""COMPUTED_VALUE"""),0)</f>
        <v>0</v>
      </c>
      <c r="R34" s="13" t="str">
        <f t="shared" ca="1" si="5"/>
        <v/>
      </c>
      <c r="S34" s="31">
        <f ca="1">IFERROR(__xludf.DUMMYFUNCTION("""COMPUTED_VALUE"""),0)</f>
        <v>0</v>
      </c>
      <c r="T34" s="32">
        <f ca="1">IFERROR(__xludf.DUMMYFUNCTION("""COMPUTED_VALUE"""),0)</f>
        <v>0</v>
      </c>
      <c r="U34" s="13" t="str">
        <f t="shared" ca="1" si="6"/>
        <v/>
      </c>
      <c r="V34" s="32">
        <f ca="1">IFERROR(__xludf.DUMMYFUNCTION("""COMPUTED_VALUE"""),0)</f>
        <v>0</v>
      </c>
      <c r="W34" s="13" t="str">
        <f t="shared" ca="1" si="7"/>
        <v/>
      </c>
      <c r="X34" s="32">
        <f ca="1">IFERROR(__xludf.DUMMYFUNCTION("""COMPUTED_VALUE"""),0)</f>
        <v>0</v>
      </c>
      <c r="Y34" s="13" t="str">
        <f t="shared" ca="1" si="8"/>
        <v/>
      </c>
      <c r="Z34" s="2"/>
      <c r="AA34" s="2"/>
      <c r="AB34" s="2"/>
      <c r="AC34" s="2"/>
      <c r="AD34" s="2"/>
      <c r="AE34" s="2"/>
    </row>
    <row r="35" spans="1:31" ht="12.75" x14ac:dyDescent="0.2">
      <c r="A35" s="28">
        <f ca="1">IFERROR(__xludf.DUMMYFUNCTION("""COMPUTED_VALUE"""),29)</f>
        <v>29</v>
      </c>
      <c r="B35" s="29" t="str">
        <f ca="1">IFERROR(__xludf.DUMMYFUNCTION("""COMPUTED_VALUE"""),"MN Tân Phú")</f>
        <v>MN Tân Phú</v>
      </c>
      <c r="C35" s="33" t="str">
        <f ca="1">IFERROR(__xludf.DUMMYFUNCTION("""COMPUTED_VALUE"""),"MN")</f>
        <v>MN</v>
      </c>
      <c r="D35" s="30" t="str">
        <f ca="1">IFERROR(__xludf.DUMMYFUNCTION("""COMPUTED_VALUE"""),"Tp. Thủ Đức")</f>
        <v>Tp. Thủ Đức</v>
      </c>
      <c r="E35" s="31">
        <f ca="1">IFERROR(__xludf.DUMMYFUNCTION("""COMPUTED_VALUE"""),28)</f>
        <v>28</v>
      </c>
      <c r="F35" s="32">
        <f ca="1">IFERROR(__xludf.DUMMYFUNCTION("""COMPUTED_VALUE"""),28)</f>
        <v>28</v>
      </c>
      <c r="G35" s="13">
        <f t="shared" ca="1" si="0"/>
        <v>1</v>
      </c>
      <c r="H35" s="32">
        <f ca="1">IFERROR(__xludf.DUMMYFUNCTION("""COMPUTED_VALUE"""),28)</f>
        <v>28</v>
      </c>
      <c r="I35" s="13">
        <f t="shared" ca="1" si="1"/>
        <v>1</v>
      </c>
      <c r="J35" s="32">
        <f ca="1">IFERROR(__xludf.DUMMYFUNCTION("""COMPUTED_VALUE"""),28)</f>
        <v>28</v>
      </c>
      <c r="K35" s="13">
        <f t="shared" ca="1" si="2"/>
        <v>1</v>
      </c>
      <c r="L35" s="32">
        <f ca="1">IFERROR(__xludf.DUMMYFUNCTION("""COMPUTED_VALUE"""),5)</f>
        <v>5</v>
      </c>
      <c r="M35" s="13">
        <f t="shared" ca="1" si="3"/>
        <v>0.17857142857142858</v>
      </c>
      <c r="N35" s="31">
        <f ca="1">IFERROR(__xludf.DUMMYFUNCTION("""COMPUTED_VALUE"""),0)</f>
        <v>0</v>
      </c>
      <c r="O35" s="32">
        <f ca="1">IFERROR(__xludf.DUMMYFUNCTION("""COMPUTED_VALUE"""),0)</f>
        <v>0</v>
      </c>
      <c r="P35" s="13" t="str">
        <f t="shared" ca="1" si="4"/>
        <v/>
      </c>
      <c r="Q35" s="32">
        <f ca="1">IFERROR(__xludf.DUMMYFUNCTION("""COMPUTED_VALUE"""),0)</f>
        <v>0</v>
      </c>
      <c r="R35" s="13" t="str">
        <f t="shared" ca="1" si="5"/>
        <v/>
      </c>
      <c r="S35" s="31">
        <f ca="1">IFERROR(__xludf.DUMMYFUNCTION("""COMPUTED_VALUE"""),0)</f>
        <v>0</v>
      </c>
      <c r="T35" s="32">
        <f ca="1">IFERROR(__xludf.DUMMYFUNCTION("""COMPUTED_VALUE"""),0)</f>
        <v>0</v>
      </c>
      <c r="U35" s="13" t="str">
        <f t="shared" ca="1" si="6"/>
        <v/>
      </c>
      <c r="V35" s="32">
        <f ca="1">IFERROR(__xludf.DUMMYFUNCTION("""COMPUTED_VALUE"""),0)</f>
        <v>0</v>
      </c>
      <c r="W35" s="13" t="str">
        <f t="shared" ca="1" si="7"/>
        <v/>
      </c>
      <c r="X35" s="32">
        <f ca="1">IFERROR(__xludf.DUMMYFUNCTION("""COMPUTED_VALUE"""),0)</f>
        <v>0</v>
      </c>
      <c r="Y35" s="13" t="str">
        <f t="shared" ca="1" si="8"/>
        <v/>
      </c>
      <c r="Z35" s="2"/>
      <c r="AA35" s="2"/>
      <c r="AB35" s="2"/>
      <c r="AC35" s="2"/>
      <c r="AD35" s="2"/>
      <c r="AE35" s="2"/>
    </row>
    <row r="36" spans="1:31" ht="12.75" x14ac:dyDescent="0.2">
      <c r="A36" s="28">
        <f ca="1">IFERROR(__xludf.DUMMYFUNCTION("""COMPUTED_VALUE"""),30)</f>
        <v>30</v>
      </c>
      <c r="B36" s="29"/>
      <c r="C36" s="29"/>
      <c r="D36" s="30" t="str">
        <f ca="1">IFERROR(__xludf.DUMMYFUNCTION("""COMPUTED_VALUE"""),"Tp. Thủ Đức")</f>
        <v>Tp. Thủ Đức</v>
      </c>
      <c r="E36" s="31">
        <f ca="1">IFERROR(__xludf.DUMMYFUNCTION("""COMPUTED_VALUE"""),28)</f>
        <v>28</v>
      </c>
      <c r="F36" s="32">
        <f ca="1">IFERROR(__xludf.DUMMYFUNCTION("""COMPUTED_VALUE"""),28)</f>
        <v>28</v>
      </c>
      <c r="G36" s="13">
        <f t="shared" ca="1" si="0"/>
        <v>1</v>
      </c>
      <c r="H36" s="32">
        <f ca="1">IFERROR(__xludf.DUMMYFUNCTION("""COMPUTED_VALUE"""),28)</f>
        <v>28</v>
      </c>
      <c r="I36" s="13">
        <f t="shared" ca="1" si="1"/>
        <v>1</v>
      </c>
      <c r="J36" s="32">
        <f ca="1">IFERROR(__xludf.DUMMYFUNCTION("""COMPUTED_VALUE"""),26)</f>
        <v>26</v>
      </c>
      <c r="K36" s="13">
        <f t="shared" ca="1" si="2"/>
        <v>0.9285714285714286</v>
      </c>
      <c r="L36" s="32">
        <f ca="1">IFERROR(__xludf.DUMMYFUNCTION("""COMPUTED_VALUE"""),2)</f>
        <v>2</v>
      </c>
      <c r="M36" s="13">
        <f t="shared" ca="1" si="3"/>
        <v>7.1428571428571425E-2</v>
      </c>
      <c r="N36" s="31">
        <f ca="1">IFERROR(__xludf.DUMMYFUNCTION("""COMPUTED_VALUE"""),0)</f>
        <v>0</v>
      </c>
      <c r="O36" s="32">
        <f ca="1">IFERROR(__xludf.DUMMYFUNCTION("""COMPUTED_VALUE"""),0)</f>
        <v>0</v>
      </c>
      <c r="P36" s="13" t="str">
        <f t="shared" ca="1" si="4"/>
        <v/>
      </c>
      <c r="Q36" s="32">
        <f ca="1">IFERROR(__xludf.DUMMYFUNCTION("""COMPUTED_VALUE"""),0)</f>
        <v>0</v>
      </c>
      <c r="R36" s="13" t="str">
        <f t="shared" ca="1" si="5"/>
        <v/>
      </c>
      <c r="S36" s="31">
        <f ca="1">IFERROR(__xludf.DUMMYFUNCTION("""COMPUTED_VALUE"""),0)</f>
        <v>0</v>
      </c>
      <c r="T36" s="32">
        <f ca="1">IFERROR(__xludf.DUMMYFUNCTION("""COMPUTED_VALUE"""),0)</f>
        <v>0</v>
      </c>
      <c r="U36" s="13" t="str">
        <f t="shared" ca="1" si="6"/>
        <v/>
      </c>
      <c r="V36" s="32">
        <f ca="1">IFERROR(__xludf.DUMMYFUNCTION("""COMPUTED_VALUE"""),0)</f>
        <v>0</v>
      </c>
      <c r="W36" s="13" t="str">
        <f t="shared" ca="1" si="7"/>
        <v/>
      </c>
      <c r="X36" s="32">
        <f ca="1">IFERROR(__xludf.DUMMYFUNCTION("""COMPUTED_VALUE"""),0)</f>
        <v>0</v>
      </c>
      <c r="Y36" s="13" t="str">
        <f t="shared" ca="1" si="8"/>
        <v/>
      </c>
      <c r="Z36" s="2"/>
      <c r="AA36" s="2"/>
      <c r="AB36" s="2"/>
      <c r="AC36" s="2"/>
      <c r="AD36" s="2"/>
      <c r="AE36" s="2"/>
    </row>
    <row r="37" spans="1:31" ht="12.75" x14ac:dyDescent="0.2">
      <c r="A37" s="28">
        <f ca="1">IFERROR(__xludf.DUMMYFUNCTION("""COMPUTED_VALUE"""),31)</f>
        <v>31</v>
      </c>
      <c r="B37" s="29" t="str">
        <f ca="1">IFERROR(__xludf.DUMMYFUNCTION("""COMPUTED_VALUE"""),"MN Phước Bình")</f>
        <v>MN Phước Bình</v>
      </c>
      <c r="C37" s="33" t="str">
        <f ca="1">IFERROR(__xludf.DUMMYFUNCTION("""COMPUTED_VALUE"""),"MN")</f>
        <v>MN</v>
      </c>
      <c r="D37" s="30" t="str">
        <f ca="1">IFERROR(__xludf.DUMMYFUNCTION("""COMPUTED_VALUE"""),"Tp. Thủ Đức")</f>
        <v>Tp. Thủ Đức</v>
      </c>
      <c r="E37" s="31">
        <f ca="1">IFERROR(__xludf.DUMMYFUNCTION("""COMPUTED_VALUE"""),47)</f>
        <v>47</v>
      </c>
      <c r="F37" s="32">
        <f ca="1">IFERROR(__xludf.DUMMYFUNCTION("""COMPUTED_VALUE"""),47)</f>
        <v>47</v>
      </c>
      <c r="G37" s="13">
        <f t="shared" ca="1" si="0"/>
        <v>1</v>
      </c>
      <c r="H37" s="32">
        <f ca="1">IFERROR(__xludf.DUMMYFUNCTION("""COMPUTED_VALUE"""),47)</f>
        <v>47</v>
      </c>
      <c r="I37" s="13">
        <f t="shared" ca="1" si="1"/>
        <v>1</v>
      </c>
      <c r="J37" s="32">
        <f ca="1">IFERROR(__xludf.DUMMYFUNCTION("""COMPUTED_VALUE"""),45)</f>
        <v>45</v>
      </c>
      <c r="K37" s="13">
        <f t="shared" ca="1" si="2"/>
        <v>0.95744680851063835</v>
      </c>
      <c r="L37" s="32">
        <f ca="1">IFERROR(__xludf.DUMMYFUNCTION("""COMPUTED_VALUE"""),5)</f>
        <v>5</v>
      </c>
      <c r="M37" s="13">
        <f t="shared" ca="1" si="3"/>
        <v>0.10638297872340426</v>
      </c>
      <c r="N37" s="31">
        <f ca="1">IFERROR(__xludf.DUMMYFUNCTION("""COMPUTED_VALUE"""),0)</f>
        <v>0</v>
      </c>
      <c r="O37" s="32">
        <f ca="1">IFERROR(__xludf.DUMMYFUNCTION("""COMPUTED_VALUE"""),0)</f>
        <v>0</v>
      </c>
      <c r="P37" s="13" t="str">
        <f t="shared" ca="1" si="4"/>
        <v/>
      </c>
      <c r="Q37" s="32">
        <f ca="1">IFERROR(__xludf.DUMMYFUNCTION("""COMPUTED_VALUE"""),0)</f>
        <v>0</v>
      </c>
      <c r="R37" s="13" t="str">
        <f t="shared" ca="1" si="5"/>
        <v/>
      </c>
      <c r="S37" s="31">
        <f ca="1">IFERROR(__xludf.DUMMYFUNCTION("""COMPUTED_VALUE"""),0)</f>
        <v>0</v>
      </c>
      <c r="T37" s="32">
        <f ca="1">IFERROR(__xludf.DUMMYFUNCTION("""COMPUTED_VALUE"""),0)</f>
        <v>0</v>
      </c>
      <c r="U37" s="13" t="str">
        <f t="shared" ca="1" si="6"/>
        <v/>
      </c>
      <c r="V37" s="32">
        <f ca="1">IFERROR(__xludf.DUMMYFUNCTION("""COMPUTED_VALUE"""),0)</f>
        <v>0</v>
      </c>
      <c r="W37" s="13" t="str">
        <f t="shared" ca="1" si="7"/>
        <v/>
      </c>
      <c r="X37" s="32">
        <f ca="1">IFERROR(__xludf.DUMMYFUNCTION("""COMPUTED_VALUE"""),0)</f>
        <v>0</v>
      </c>
      <c r="Y37" s="13" t="str">
        <f t="shared" ca="1" si="8"/>
        <v/>
      </c>
      <c r="Z37" s="2"/>
      <c r="AA37" s="2"/>
      <c r="AB37" s="2"/>
      <c r="AC37" s="2"/>
      <c r="AD37" s="2"/>
      <c r="AE37" s="2"/>
    </row>
    <row r="38" spans="1:31" ht="12.75" x14ac:dyDescent="0.2">
      <c r="A38" s="28">
        <f ca="1">IFERROR(__xludf.DUMMYFUNCTION("""COMPUTED_VALUE"""),32)</f>
        <v>32</v>
      </c>
      <c r="B38" s="29" t="str">
        <f ca="1">IFERROR(__xludf.DUMMYFUNCTION("""COMPUTED_VALUE"""),"MN Hoa Sen")</f>
        <v>MN Hoa Sen</v>
      </c>
      <c r="C38" s="33" t="str">
        <f ca="1">IFERROR(__xludf.DUMMYFUNCTION("""COMPUTED_VALUE"""),"MN")</f>
        <v>MN</v>
      </c>
      <c r="D38" s="30" t="str">
        <f ca="1">IFERROR(__xludf.DUMMYFUNCTION("""COMPUTED_VALUE"""),"Tp. Thủ Đức")</f>
        <v>Tp. Thủ Đức</v>
      </c>
      <c r="E38" s="31">
        <f ca="1">IFERROR(__xludf.DUMMYFUNCTION("""COMPUTED_VALUE"""),31)</f>
        <v>31</v>
      </c>
      <c r="F38" s="32">
        <f ca="1">IFERROR(__xludf.DUMMYFUNCTION("""COMPUTED_VALUE"""),31)</f>
        <v>31</v>
      </c>
      <c r="G38" s="13">
        <f t="shared" ca="1" si="0"/>
        <v>1</v>
      </c>
      <c r="H38" s="32">
        <f ca="1">IFERROR(__xludf.DUMMYFUNCTION("""COMPUTED_VALUE"""),31)</f>
        <v>31</v>
      </c>
      <c r="I38" s="13">
        <f t="shared" ca="1" si="1"/>
        <v>1</v>
      </c>
      <c r="J38" s="32">
        <f ca="1">IFERROR(__xludf.DUMMYFUNCTION("""COMPUTED_VALUE"""),31)</f>
        <v>31</v>
      </c>
      <c r="K38" s="13">
        <f t="shared" ca="1" si="2"/>
        <v>1</v>
      </c>
      <c r="L38" s="32">
        <f ca="1">IFERROR(__xludf.DUMMYFUNCTION("""COMPUTED_VALUE"""),27)</f>
        <v>27</v>
      </c>
      <c r="M38" s="13">
        <f t="shared" ca="1" si="3"/>
        <v>0.87096774193548387</v>
      </c>
      <c r="N38" s="31">
        <f ca="1">IFERROR(__xludf.DUMMYFUNCTION("""COMPUTED_VALUE"""),0)</f>
        <v>0</v>
      </c>
      <c r="O38" s="32">
        <f ca="1">IFERROR(__xludf.DUMMYFUNCTION("""COMPUTED_VALUE"""),0)</f>
        <v>0</v>
      </c>
      <c r="P38" s="13" t="str">
        <f t="shared" ca="1" si="4"/>
        <v/>
      </c>
      <c r="Q38" s="32">
        <f ca="1">IFERROR(__xludf.DUMMYFUNCTION("""COMPUTED_VALUE"""),0)</f>
        <v>0</v>
      </c>
      <c r="R38" s="13" t="str">
        <f t="shared" ca="1" si="5"/>
        <v/>
      </c>
      <c r="S38" s="31">
        <f ca="1">IFERROR(__xludf.DUMMYFUNCTION("""COMPUTED_VALUE"""),0)</f>
        <v>0</v>
      </c>
      <c r="T38" s="32">
        <f ca="1">IFERROR(__xludf.DUMMYFUNCTION("""COMPUTED_VALUE"""),0)</f>
        <v>0</v>
      </c>
      <c r="U38" s="13" t="str">
        <f t="shared" ca="1" si="6"/>
        <v/>
      </c>
      <c r="V38" s="32">
        <f ca="1">IFERROR(__xludf.DUMMYFUNCTION("""COMPUTED_VALUE"""),0)</f>
        <v>0</v>
      </c>
      <c r="W38" s="13" t="str">
        <f t="shared" ca="1" si="7"/>
        <v/>
      </c>
      <c r="X38" s="32">
        <f ca="1">IFERROR(__xludf.DUMMYFUNCTION("""COMPUTED_VALUE"""),0)</f>
        <v>0</v>
      </c>
      <c r="Y38" s="13" t="str">
        <f t="shared" ca="1" si="8"/>
        <v/>
      </c>
      <c r="Z38" s="2"/>
      <c r="AA38" s="2"/>
      <c r="AB38" s="2"/>
      <c r="AC38" s="2"/>
      <c r="AD38" s="2"/>
      <c r="AE38" s="2"/>
    </row>
    <row r="39" spans="1:31" ht="12.75" x14ac:dyDescent="0.2">
      <c r="A39" s="28">
        <f ca="1">IFERROR(__xludf.DUMMYFUNCTION("""COMPUTED_VALUE"""),33)</f>
        <v>33</v>
      </c>
      <c r="B39" s="29" t="str">
        <f ca="1">IFERROR(__xludf.DUMMYFUNCTION("""COMPUTED_VALUE"""),"MN Vàng Anh")</f>
        <v>MN Vàng Anh</v>
      </c>
      <c r="C39" s="33" t="str">
        <f ca="1">IFERROR(__xludf.DUMMYFUNCTION("""COMPUTED_VALUE"""),"MN")</f>
        <v>MN</v>
      </c>
      <c r="D39" s="30" t="str">
        <f ca="1">IFERROR(__xludf.DUMMYFUNCTION("""COMPUTED_VALUE"""),"Tp. Thủ Đức")</f>
        <v>Tp. Thủ Đức</v>
      </c>
      <c r="E39" s="31">
        <f ca="1">IFERROR(__xludf.DUMMYFUNCTION("""COMPUTED_VALUE"""),26)</f>
        <v>26</v>
      </c>
      <c r="F39" s="32">
        <f ca="1">IFERROR(__xludf.DUMMYFUNCTION("""COMPUTED_VALUE"""),26)</f>
        <v>26</v>
      </c>
      <c r="G39" s="13">
        <f t="shared" ca="1" si="0"/>
        <v>1</v>
      </c>
      <c r="H39" s="32">
        <f ca="1">IFERROR(__xludf.DUMMYFUNCTION("""COMPUTED_VALUE"""),26)</f>
        <v>26</v>
      </c>
      <c r="I39" s="13">
        <f t="shared" ca="1" si="1"/>
        <v>1</v>
      </c>
      <c r="J39" s="32">
        <f ca="1">IFERROR(__xludf.DUMMYFUNCTION("""COMPUTED_VALUE"""),23)</f>
        <v>23</v>
      </c>
      <c r="K39" s="13">
        <f t="shared" ca="1" si="2"/>
        <v>0.88461538461538458</v>
      </c>
      <c r="L39" s="32">
        <f ca="1">IFERROR(__xludf.DUMMYFUNCTION("""COMPUTED_VALUE"""),23)</f>
        <v>23</v>
      </c>
      <c r="M39" s="13">
        <f t="shared" ca="1" si="3"/>
        <v>0.88461538461538458</v>
      </c>
      <c r="N39" s="31">
        <f ca="1">IFERROR(__xludf.DUMMYFUNCTION("""COMPUTED_VALUE"""),0)</f>
        <v>0</v>
      </c>
      <c r="O39" s="32">
        <f ca="1">IFERROR(__xludf.DUMMYFUNCTION("""COMPUTED_VALUE"""),0)</f>
        <v>0</v>
      </c>
      <c r="P39" s="13" t="str">
        <f t="shared" ca="1" si="4"/>
        <v/>
      </c>
      <c r="Q39" s="32">
        <f ca="1">IFERROR(__xludf.DUMMYFUNCTION("""COMPUTED_VALUE"""),0)</f>
        <v>0</v>
      </c>
      <c r="R39" s="13" t="str">
        <f t="shared" ca="1" si="5"/>
        <v/>
      </c>
      <c r="S39" s="31">
        <f ca="1">IFERROR(__xludf.DUMMYFUNCTION("""COMPUTED_VALUE"""),0)</f>
        <v>0</v>
      </c>
      <c r="T39" s="32">
        <f ca="1">IFERROR(__xludf.DUMMYFUNCTION("""COMPUTED_VALUE"""),0)</f>
        <v>0</v>
      </c>
      <c r="U39" s="13" t="str">
        <f t="shared" ca="1" si="6"/>
        <v/>
      </c>
      <c r="V39" s="32">
        <f ca="1">IFERROR(__xludf.DUMMYFUNCTION("""COMPUTED_VALUE"""),0)</f>
        <v>0</v>
      </c>
      <c r="W39" s="13" t="str">
        <f t="shared" ca="1" si="7"/>
        <v/>
      </c>
      <c r="X39" s="32">
        <f ca="1">IFERROR(__xludf.DUMMYFUNCTION("""COMPUTED_VALUE"""),0)</f>
        <v>0</v>
      </c>
      <c r="Y39" s="13" t="str">
        <f t="shared" ca="1" si="8"/>
        <v/>
      </c>
      <c r="Z39" s="2"/>
      <c r="AA39" s="2"/>
      <c r="AB39" s="2"/>
      <c r="AC39" s="2"/>
      <c r="AD39" s="2"/>
      <c r="AE39" s="2"/>
    </row>
    <row r="40" spans="1:31" ht="12.75" x14ac:dyDescent="0.2">
      <c r="A40" s="28">
        <f ca="1">IFERROR(__xludf.DUMMYFUNCTION("""COMPUTED_VALUE"""),34)</f>
        <v>34</v>
      </c>
      <c r="B40" s="29" t="str">
        <f ca="1">IFERROR(__xludf.DUMMYFUNCTION("""COMPUTED_VALUE"""),"MN Sơn Ca 2")</f>
        <v>MN Sơn Ca 2</v>
      </c>
      <c r="C40" s="33" t="str">
        <f ca="1">IFERROR(__xludf.DUMMYFUNCTION("""COMPUTED_VALUE"""),"MN")</f>
        <v>MN</v>
      </c>
      <c r="D40" s="30" t="str">
        <f ca="1">IFERROR(__xludf.DUMMYFUNCTION("""COMPUTED_VALUE"""),"Tp. Thủ Đức")</f>
        <v>Tp. Thủ Đức</v>
      </c>
      <c r="E40" s="31">
        <f ca="1">IFERROR(__xludf.DUMMYFUNCTION("""COMPUTED_VALUE"""),33)</f>
        <v>33</v>
      </c>
      <c r="F40" s="32">
        <f ca="1">IFERROR(__xludf.DUMMYFUNCTION("""COMPUTED_VALUE"""),33)</f>
        <v>33</v>
      </c>
      <c r="G40" s="13">
        <f t="shared" ca="1" si="0"/>
        <v>1</v>
      </c>
      <c r="H40" s="32">
        <f ca="1">IFERROR(__xludf.DUMMYFUNCTION("""COMPUTED_VALUE"""),33)</f>
        <v>33</v>
      </c>
      <c r="I40" s="13">
        <f t="shared" ca="1" si="1"/>
        <v>1</v>
      </c>
      <c r="J40" s="32">
        <f ca="1">IFERROR(__xludf.DUMMYFUNCTION("""COMPUTED_VALUE"""),30)</f>
        <v>30</v>
      </c>
      <c r="K40" s="13">
        <f t="shared" ca="1" si="2"/>
        <v>0.90909090909090906</v>
      </c>
      <c r="L40" s="32">
        <f ca="1">IFERROR(__xludf.DUMMYFUNCTION("""COMPUTED_VALUE"""),3)</f>
        <v>3</v>
      </c>
      <c r="M40" s="13">
        <f t="shared" ca="1" si="3"/>
        <v>9.0909090909090912E-2</v>
      </c>
      <c r="N40" s="31">
        <f ca="1">IFERROR(__xludf.DUMMYFUNCTION("""COMPUTED_VALUE"""),0)</f>
        <v>0</v>
      </c>
      <c r="O40" s="32">
        <f ca="1">IFERROR(__xludf.DUMMYFUNCTION("""COMPUTED_VALUE"""),0)</f>
        <v>0</v>
      </c>
      <c r="P40" s="13" t="str">
        <f t="shared" ca="1" si="4"/>
        <v/>
      </c>
      <c r="Q40" s="32">
        <f ca="1">IFERROR(__xludf.DUMMYFUNCTION("""COMPUTED_VALUE"""),0)</f>
        <v>0</v>
      </c>
      <c r="R40" s="13" t="str">
        <f t="shared" ca="1" si="5"/>
        <v/>
      </c>
      <c r="S40" s="31">
        <f ca="1">IFERROR(__xludf.DUMMYFUNCTION("""COMPUTED_VALUE"""),0)</f>
        <v>0</v>
      </c>
      <c r="T40" s="32">
        <f ca="1">IFERROR(__xludf.DUMMYFUNCTION("""COMPUTED_VALUE"""),0)</f>
        <v>0</v>
      </c>
      <c r="U40" s="13" t="str">
        <f t="shared" ca="1" si="6"/>
        <v/>
      </c>
      <c r="V40" s="32">
        <f ca="1">IFERROR(__xludf.DUMMYFUNCTION("""COMPUTED_VALUE"""),0)</f>
        <v>0</v>
      </c>
      <c r="W40" s="13" t="str">
        <f t="shared" ca="1" si="7"/>
        <v/>
      </c>
      <c r="X40" s="32">
        <f ca="1">IFERROR(__xludf.DUMMYFUNCTION("""COMPUTED_VALUE"""),0)</f>
        <v>0</v>
      </c>
      <c r="Y40" s="13" t="str">
        <f t="shared" ca="1" si="8"/>
        <v/>
      </c>
      <c r="Z40" s="2"/>
      <c r="AA40" s="2"/>
      <c r="AB40" s="2"/>
      <c r="AC40" s="2"/>
      <c r="AD40" s="2"/>
      <c r="AE40" s="2"/>
    </row>
    <row r="41" spans="1:31" ht="12.75" x14ac:dyDescent="0.2">
      <c r="A41" s="28">
        <f ca="1">IFERROR(__xludf.DUMMYFUNCTION("""COMPUTED_VALUE"""),35)</f>
        <v>35</v>
      </c>
      <c r="B41" s="29" t="str">
        <f ca="1">IFERROR(__xludf.DUMMYFUNCTION("""COMPUTED_VALUE"""),"MN Hoàng Yến 2")</f>
        <v>MN Hoàng Yến 2</v>
      </c>
      <c r="C41" s="33" t="str">
        <f ca="1">IFERROR(__xludf.DUMMYFUNCTION("""COMPUTED_VALUE"""),"MN")</f>
        <v>MN</v>
      </c>
      <c r="D41" s="30" t="str">
        <f ca="1">IFERROR(__xludf.DUMMYFUNCTION("""COMPUTED_VALUE"""),"Tp. Thủ Đức")</f>
        <v>Tp. Thủ Đức</v>
      </c>
      <c r="E41" s="31">
        <f ca="1">IFERROR(__xludf.DUMMYFUNCTION("""COMPUTED_VALUE"""),31)</f>
        <v>31</v>
      </c>
      <c r="F41" s="32">
        <f ca="1">IFERROR(__xludf.DUMMYFUNCTION("""COMPUTED_VALUE"""),31)</f>
        <v>31</v>
      </c>
      <c r="G41" s="13">
        <f t="shared" ca="1" si="0"/>
        <v>1</v>
      </c>
      <c r="H41" s="32">
        <f ca="1">IFERROR(__xludf.DUMMYFUNCTION("""COMPUTED_VALUE"""),31)</f>
        <v>31</v>
      </c>
      <c r="I41" s="13">
        <f t="shared" ca="1" si="1"/>
        <v>1</v>
      </c>
      <c r="J41" s="32">
        <f ca="1">IFERROR(__xludf.DUMMYFUNCTION("""COMPUTED_VALUE"""),30)</f>
        <v>30</v>
      </c>
      <c r="K41" s="13">
        <f t="shared" ca="1" si="2"/>
        <v>0.967741935483871</v>
      </c>
      <c r="L41" s="32">
        <f ca="1">IFERROR(__xludf.DUMMYFUNCTION("""COMPUTED_VALUE"""),16)</f>
        <v>16</v>
      </c>
      <c r="M41" s="13">
        <f t="shared" ca="1" si="3"/>
        <v>0.5161290322580645</v>
      </c>
      <c r="N41" s="31">
        <f ca="1">IFERROR(__xludf.DUMMYFUNCTION("""COMPUTED_VALUE"""),0)</f>
        <v>0</v>
      </c>
      <c r="O41" s="32">
        <f ca="1">IFERROR(__xludf.DUMMYFUNCTION("""COMPUTED_VALUE"""),0)</f>
        <v>0</v>
      </c>
      <c r="P41" s="13" t="str">
        <f t="shared" ca="1" si="4"/>
        <v/>
      </c>
      <c r="Q41" s="32">
        <f ca="1">IFERROR(__xludf.DUMMYFUNCTION("""COMPUTED_VALUE"""),0)</f>
        <v>0</v>
      </c>
      <c r="R41" s="13" t="str">
        <f t="shared" ca="1" si="5"/>
        <v/>
      </c>
      <c r="S41" s="31">
        <f ca="1">IFERROR(__xludf.DUMMYFUNCTION("""COMPUTED_VALUE"""),0)</f>
        <v>0</v>
      </c>
      <c r="T41" s="32">
        <f ca="1">IFERROR(__xludf.DUMMYFUNCTION("""COMPUTED_VALUE"""),0)</f>
        <v>0</v>
      </c>
      <c r="U41" s="13" t="str">
        <f t="shared" ca="1" si="6"/>
        <v/>
      </c>
      <c r="V41" s="32">
        <f ca="1">IFERROR(__xludf.DUMMYFUNCTION("""COMPUTED_VALUE"""),0)</f>
        <v>0</v>
      </c>
      <c r="W41" s="13" t="str">
        <f t="shared" ca="1" si="7"/>
        <v/>
      </c>
      <c r="X41" s="32">
        <f ca="1">IFERROR(__xludf.DUMMYFUNCTION("""COMPUTED_VALUE"""),0)</f>
        <v>0</v>
      </c>
      <c r="Y41" s="13" t="str">
        <f t="shared" ca="1" si="8"/>
        <v/>
      </c>
      <c r="Z41" s="2"/>
      <c r="AA41" s="2"/>
      <c r="AB41" s="2"/>
      <c r="AC41" s="2"/>
      <c r="AD41" s="2"/>
      <c r="AE41" s="2"/>
    </row>
    <row r="42" spans="1:31" ht="12.75" x14ac:dyDescent="0.2">
      <c r="A42" s="28">
        <f ca="1">IFERROR(__xludf.DUMMYFUNCTION("""COMPUTED_VALUE"""),36)</f>
        <v>36</v>
      </c>
      <c r="B42" s="29" t="str">
        <f ca="1">IFERROR(__xludf.DUMMYFUNCTION("""COMPUTED_VALUE"""),"MN Phong Phú")</f>
        <v>MN Phong Phú</v>
      </c>
      <c r="C42" s="33" t="str">
        <f ca="1">IFERROR(__xludf.DUMMYFUNCTION("""COMPUTED_VALUE"""),"MN")</f>
        <v>MN</v>
      </c>
      <c r="D42" s="30" t="str">
        <f ca="1">IFERROR(__xludf.DUMMYFUNCTION("""COMPUTED_VALUE"""),"Tp. Thủ Đức")</f>
        <v>Tp. Thủ Đức</v>
      </c>
      <c r="E42" s="31">
        <f ca="1">IFERROR(__xludf.DUMMYFUNCTION("""COMPUTED_VALUE"""),37)</f>
        <v>37</v>
      </c>
      <c r="F42" s="32">
        <f ca="1">IFERROR(__xludf.DUMMYFUNCTION("""COMPUTED_VALUE"""),37)</f>
        <v>37</v>
      </c>
      <c r="G42" s="13">
        <f t="shared" ca="1" si="0"/>
        <v>1</v>
      </c>
      <c r="H42" s="32">
        <f ca="1">IFERROR(__xludf.DUMMYFUNCTION("""COMPUTED_VALUE"""),37)</f>
        <v>37</v>
      </c>
      <c r="I42" s="13">
        <f t="shared" ca="1" si="1"/>
        <v>1</v>
      </c>
      <c r="J42" s="32">
        <f ca="1">IFERROR(__xludf.DUMMYFUNCTION("""COMPUTED_VALUE"""),37)</f>
        <v>37</v>
      </c>
      <c r="K42" s="13">
        <f t="shared" ca="1" si="2"/>
        <v>1</v>
      </c>
      <c r="L42" s="32">
        <f ca="1">IFERROR(__xludf.DUMMYFUNCTION("""COMPUTED_VALUE"""),36)</f>
        <v>36</v>
      </c>
      <c r="M42" s="13">
        <f t="shared" ca="1" si="3"/>
        <v>0.97297297297297303</v>
      </c>
      <c r="N42" s="31">
        <f ca="1">IFERROR(__xludf.DUMMYFUNCTION("""COMPUTED_VALUE"""),0)</f>
        <v>0</v>
      </c>
      <c r="O42" s="32">
        <f ca="1">IFERROR(__xludf.DUMMYFUNCTION("""COMPUTED_VALUE"""),0)</f>
        <v>0</v>
      </c>
      <c r="P42" s="13" t="str">
        <f t="shared" ca="1" si="4"/>
        <v/>
      </c>
      <c r="Q42" s="32">
        <f ca="1">IFERROR(__xludf.DUMMYFUNCTION("""COMPUTED_VALUE"""),0)</f>
        <v>0</v>
      </c>
      <c r="R42" s="13" t="str">
        <f t="shared" ca="1" si="5"/>
        <v/>
      </c>
      <c r="S42" s="31">
        <f ca="1">IFERROR(__xludf.DUMMYFUNCTION("""COMPUTED_VALUE"""),0)</f>
        <v>0</v>
      </c>
      <c r="T42" s="32">
        <f ca="1">IFERROR(__xludf.DUMMYFUNCTION("""COMPUTED_VALUE"""),0)</f>
        <v>0</v>
      </c>
      <c r="U42" s="13" t="str">
        <f t="shared" ca="1" si="6"/>
        <v/>
      </c>
      <c r="V42" s="32">
        <f ca="1">IFERROR(__xludf.DUMMYFUNCTION("""COMPUTED_VALUE"""),0)</f>
        <v>0</v>
      </c>
      <c r="W42" s="13" t="str">
        <f t="shared" ca="1" si="7"/>
        <v/>
      </c>
      <c r="X42" s="32">
        <f ca="1">IFERROR(__xludf.DUMMYFUNCTION("""COMPUTED_VALUE"""),0)</f>
        <v>0</v>
      </c>
      <c r="Y42" s="13" t="str">
        <f t="shared" ca="1" si="8"/>
        <v/>
      </c>
      <c r="Z42" s="2"/>
      <c r="AA42" s="2"/>
      <c r="AB42" s="2"/>
      <c r="AC42" s="2"/>
      <c r="AD42" s="2"/>
      <c r="AE42" s="2"/>
    </row>
    <row r="43" spans="1:31" ht="12.75" x14ac:dyDescent="0.2">
      <c r="A43" s="28">
        <f ca="1">IFERROR(__xludf.DUMMYFUNCTION("""COMPUTED_VALUE"""),37)</f>
        <v>37</v>
      </c>
      <c r="B43" s="29" t="str">
        <f ca="1">IFERROR(__xludf.DUMMYFUNCTION("""COMPUTED_VALUE"""),"MN Hoa Lan")</f>
        <v>MN Hoa Lan</v>
      </c>
      <c r="C43" s="33" t="str">
        <f ca="1">IFERROR(__xludf.DUMMYFUNCTION("""COMPUTED_VALUE"""),"MN")</f>
        <v>MN</v>
      </c>
      <c r="D43" s="30" t="str">
        <f ca="1">IFERROR(__xludf.DUMMYFUNCTION("""COMPUTED_VALUE"""),"Tp. Thủ Đức")</f>
        <v>Tp. Thủ Đức</v>
      </c>
      <c r="E43" s="31">
        <f ca="1">IFERROR(__xludf.DUMMYFUNCTION("""COMPUTED_VALUE"""),44)</f>
        <v>44</v>
      </c>
      <c r="F43" s="32">
        <f ca="1">IFERROR(__xludf.DUMMYFUNCTION("""COMPUTED_VALUE"""),44)</f>
        <v>44</v>
      </c>
      <c r="G43" s="13">
        <f t="shared" ca="1" si="0"/>
        <v>1</v>
      </c>
      <c r="H43" s="32">
        <f ca="1">IFERROR(__xludf.DUMMYFUNCTION("""COMPUTED_VALUE"""),44)</f>
        <v>44</v>
      </c>
      <c r="I43" s="13">
        <f t="shared" ca="1" si="1"/>
        <v>1</v>
      </c>
      <c r="J43" s="32">
        <f ca="1">IFERROR(__xludf.DUMMYFUNCTION("""COMPUTED_VALUE"""),40)</f>
        <v>40</v>
      </c>
      <c r="K43" s="13">
        <f t="shared" ca="1" si="2"/>
        <v>0.90909090909090906</v>
      </c>
      <c r="L43" s="32">
        <f ca="1">IFERROR(__xludf.DUMMYFUNCTION("""COMPUTED_VALUE"""),19)</f>
        <v>19</v>
      </c>
      <c r="M43" s="13">
        <f t="shared" ca="1" si="3"/>
        <v>0.43181818181818182</v>
      </c>
      <c r="N43" s="31">
        <f ca="1">IFERROR(__xludf.DUMMYFUNCTION("""COMPUTED_VALUE"""),0)</f>
        <v>0</v>
      </c>
      <c r="O43" s="32">
        <f ca="1">IFERROR(__xludf.DUMMYFUNCTION("""COMPUTED_VALUE"""),0)</f>
        <v>0</v>
      </c>
      <c r="P43" s="13" t="str">
        <f t="shared" ca="1" si="4"/>
        <v/>
      </c>
      <c r="Q43" s="32">
        <f ca="1">IFERROR(__xludf.DUMMYFUNCTION("""COMPUTED_VALUE"""),0)</f>
        <v>0</v>
      </c>
      <c r="R43" s="13" t="str">
        <f t="shared" ca="1" si="5"/>
        <v/>
      </c>
      <c r="S43" s="31">
        <f ca="1">IFERROR(__xludf.DUMMYFUNCTION("""COMPUTED_VALUE"""),0)</f>
        <v>0</v>
      </c>
      <c r="T43" s="32">
        <f ca="1">IFERROR(__xludf.DUMMYFUNCTION("""COMPUTED_VALUE"""),0)</f>
        <v>0</v>
      </c>
      <c r="U43" s="13" t="str">
        <f t="shared" ca="1" si="6"/>
        <v/>
      </c>
      <c r="V43" s="32">
        <f ca="1">IFERROR(__xludf.DUMMYFUNCTION("""COMPUTED_VALUE"""),0)</f>
        <v>0</v>
      </c>
      <c r="W43" s="13" t="str">
        <f t="shared" ca="1" si="7"/>
        <v/>
      </c>
      <c r="X43" s="32">
        <f ca="1">IFERROR(__xludf.DUMMYFUNCTION("""COMPUTED_VALUE"""),0)</f>
        <v>0</v>
      </c>
      <c r="Y43" s="13" t="str">
        <f t="shared" ca="1" si="8"/>
        <v/>
      </c>
      <c r="Z43" s="2"/>
      <c r="AA43" s="2"/>
      <c r="AB43" s="2"/>
      <c r="AC43" s="2"/>
      <c r="AD43" s="2"/>
      <c r="AE43" s="2"/>
    </row>
    <row r="44" spans="1:31" ht="12.75" x14ac:dyDescent="0.2">
      <c r="A44" s="28">
        <f ca="1">IFERROR(__xludf.DUMMYFUNCTION("""COMPUTED_VALUE"""),38)</f>
        <v>38</v>
      </c>
      <c r="B44" s="29" t="str">
        <f ca="1">IFERROR(__xludf.DUMMYFUNCTION("""COMPUTED_VALUE"""),"MN Long Trường")</f>
        <v>MN Long Trường</v>
      </c>
      <c r="C44" s="33" t="str">
        <f ca="1">IFERROR(__xludf.DUMMYFUNCTION("""COMPUTED_VALUE"""),"MN")</f>
        <v>MN</v>
      </c>
      <c r="D44" s="30" t="str">
        <f ca="1">IFERROR(__xludf.DUMMYFUNCTION("""COMPUTED_VALUE"""),"Tp. Thủ Đức")</f>
        <v>Tp. Thủ Đức</v>
      </c>
      <c r="E44" s="31">
        <f ca="1">IFERROR(__xludf.DUMMYFUNCTION("""COMPUTED_VALUE"""),42)</f>
        <v>42</v>
      </c>
      <c r="F44" s="32">
        <f ca="1">IFERROR(__xludf.DUMMYFUNCTION("""COMPUTED_VALUE"""),42)</f>
        <v>42</v>
      </c>
      <c r="G44" s="13">
        <f t="shared" ca="1" si="0"/>
        <v>1</v>
      </c>
      <c r="H44" s="32">
        <f ca="1">IFERROR(__xludf.DUMMYFUNCTION("""COMPUTED_VALUE"""),42)</f>
        <v>42</v>
      </c>
      <c r="I44" s="13">
        <f t="shared" ca="1" si="1"/>
        <v>1</v>
      </c>
      <c r="J44" s="32">
        <f ca="1">IFERROR(__xludf.DUMMYFUNCTION("""COMPUTED_VALUE"""),42)</f>
        <v>42</v>
      </c>
      <c r="K44" s="13">
        <f t="shared" ca="1" si="2"/>
        <v>1</v>
      </c>
      <c r="L44" s="32">
        <f ca="1">IFERROR(__xludf.DUMMYFUNCTION("""COMPUTED_VALUE"""),9)</f>
        <v>9</v>
      </c>
      <c r="M44" s="13">
        <f t="shared" ca="1" si="3"/>
        <v>0.21428571428571427</v>
      </c>
      <c r="N44" s="31">
        <f ca="1">IFERROR(__xludf.DUMMYFUNCTION("""COMPUTED_VALUE"""),0)</f>
        <v>0</v>
      </c>
      <c r="O44" s="32">
        <f ca="1">IFERROR(__xludf.DUMMYFUNCTION("""COMPUTED_VALUE"""),0)</f>
        <v>0</v>
      </c>
      <c r="P44" s="13" t="str">
        <f t="shared" ca="1" si="4"/>
        <v/>
      </c>
      <c r="Q44" s="32">
        <f ca="1">IFERROR(__xludf.DUMMYFUNCTION("""COMPUTED_VALUE"""),0)</f>
        <v>0</v>
      </c>
      <c r="R44" s="13" t="str">
        <f t="shared" ca="1" si="5"/>
        <v/>
      </c>
      <c r="S44" s="31">
        <f ca="1">IFERROR(__xludf.DUMMYFUNCTION("""COMPUTED_VALUE"""),0)</f>
        <v>0</v>
      </c>
      <c r="T44" s="32">
        <f ca="1">IFERROR(__xludf.DUMMYFUNCTION("""COMPUTED_VALUE"""),0)</f>
        <v>0</v>
      </c>
      <c r="U44" s="13" t="str">
        <f t="shared" ca="1" si="6"/>
        <v/>
      </c>
      <c r="V44" s="32">
        <f ca="1">IFERROR(__xludf.DUMMYFUNCTION("""COMPUTED_VALUE"""),0)</f>
        <v>0</v>
      </c>
      <c r="W44" s="13" t="str">
        <f t="shared" ca="1" si="7"/>
        <v/>
      </c>
      <c r="X44" s="32">
        <f ca="1">IFERROR(__xludf.DUMMYFUNCTION("""COMPUTED_VALUE"""),0)</f>
        <v>0</v>
      </c>
      <c r="Y44" s="13" t="str">
        <f t="shared" ca="1" si="8"/>
        <v/>
      </c>
      <c r="Z44" s="2"/>
      <c r="AA44" s="2"/>
      <c r="AB44" s="2"/>
      <c r="AC44" s="2"/>
      <c r="AD44" s="2"/>
      <c r="AE44" s="2"/>
    </row>
    <row r="45" spans="1:31" ht="12.75" x14ac:dyDescent="0.2">
      <c r="A45" s="28">
        <f ca="1">IFERROR(__xludf.DUMMYFUNCTION("""COMPUTED_VALUE"""),39)</f>
        <v>39</v>
      </c>
      <c r="B45" s="29" t="str">
        <f ca="1">IFERROR(__xludf.DUMMYFUNCTION("""COMPUTED_VALUE"""),"MN Trường Thạnh")</f>
        <v>MN Trường Thạnh</v>
      </c>
      <c r="C45" s="33" t="str">
        <f ca="1">IFERROR(__xludf.DUMMYFUNCTION("""COMPUTED_VALUE"""),"MN")</f>
        <v>MN</v>
      </c>
      <c r="D45" s="30" t="str">
        <f ca="1">IFERROR(__xludf.DUMMYFUNCTION("""COMPUTED_VALUE"""),"Tp. Thủ Đức")</f>
        <v>Tp. Thủ Đức</v>
      </c>
      <c r="E45" s="31">
        <f ca="1">IFERROR(__xludf.DUMMYFUNCTION("""COMPUTED_VALUE"""),42)</f>
        <v>42</v>
      </c>
      <c r="F45" s="32">
        <f ca="1">IFERROR(__xludf.DUMMYFUNCTION("""COMPUTED_VALUE"""),44)</f>
        <v>44</v>
      </c>
      <c r="G45" s="13">
        <f t="shared" ca="1" si="0"/>
        <v>1.0476190476190477</v>
      </c>
      <c r="H45" s="32">
        <f ca="1">IFERROR(__xludf.DUMMYFUNCTION("""COMPUTED_VALUE"""),44)</f>
        <v>44</v>
      </c>
      <c r="I45" s="13">
        <f t="shared" ca="1" si="1"/>
        <v>1.0476190476190477</v>
      </c>
      <c r="J45" s="32">
        <f ca="1">IFERROR(__xludf.DUMMYFUNCTION("""COMPUTED_VALUE"""),37)</f>
        <v>37</v>
      </c>
      <c r="K45" s="13">
        <f t="shared" ca="1" si="2"/>
        <v>0.88095238095238093</v>
      </c>
      <c r="L45" s="32">
        <f ca="1">IFERROR(__xludf.DUMMYFUNCTION("""COMPUTED_VALUE"""),5)</f>
        <v>5</v>
      </c>
      <c r="M45" s="13">
        <f t="shared" ca="1" si="3"/>
        <v>0.11904761904761904</v>
      </c>
      <c r="N45" s="31">
        <f ca="1">IFERROR(__xludf.DUMMYFUNCTION("""COMPUTED_VALUE"""),0)</f>
        <v>0</v>
      </c>
      <c r="O45" s="32">
        <f ca="1">IFERROR(__xludf.DUMMYFUNCTION("""COMPUTED_VALUE"""),0)</f>
        <v>0</v>
      </c>
      <c r="P45" s="13" t="str">
        <f t="shared" ca="1" si="4"/>
        <v/>
      </c>
      <c r="Q45" s="32">
        <f ca="1">IFERROR(__xludf.DUMMYFUNCTION("""COMPUTED_VALUE"""),0)</f>
        <v>0</v>
      </c>
      <c r="R45" s="13" t="str">
        <f t="shared" ca="1" si="5"/>
        <v/>
      </c>
      <c r="S45" s="31">
        <f ca="1">IFERROR(__xludf.DUMMYFUNCTION("""COMPUTED_VALUE"""),0)</f>
        <v>0</v>
      </c>
      <c r="T45" s="32">
        <f ca="1">IFERROR(__xludf.DUMMYFUNCTION("""COMPUTED_VALUE"""),0)</f>
        <v>0</v>
      </c>
      <c r="U45" s="13" t="str">
        <f t="shared" ca="1" si="6"/>
        <v/>
      </c>
      <c r="V45" s="32">
        <f ca="1">IFERROR(__xludf.DUMMYFUNCTION("""COMPUTED_VALUE"""),0)</f>
        <v>0</v>
      </c>
      <c r="W45" s="13" t="str">
        <f t="shared" ca="1" si="7"/>
        <v/>
      </c>
      <c r="X45" s="32">
        <f ca="1">IFERROR(__xludf.DUMMYFUNCTION("""COMPUTED_VALUE"""),0)</f>
        <v>0</v>
      </c>
      <c r="Y45" s="13" t="str">
        <f t="shared" ca="1" si="8"/>
        <v/>
      </c>
      <c r="Z45" s="2"/>
      <c r="AA45" s="2"/>
      <c r="AB45" s="2"/>
      <c r="AC45" s="2"/>
      <c r="AD45" s="2"/>
      <c r="AE45" s="2"/>
    </row>
    <row r="46" spans="1:31" ht="12.75" x14ac:dyDescent="0.2">
      <c r="A46" s="28">
        <f ca="1">IFERROR(__xludf.DUMMYFUNCTION("""COMPUTED_VALUE"""),40)</f>
        <v>40</v>
      </c>
      <c r="B46" s="29" t="str">
        <f ca="1">IFERROR(__xludf.DUMMYFUNCTION("""COMPUTED_VALUE"""),"MN Tuổi Hồng")</f>
        <v>MN Tuổi Hồng</v>
      </c>
      <c r="C46" s="33" t="str">
        <f ca="1">IFERROR(__xludf.DUMMYFUNCTION("""COMPUTED_VALUE"""),"MN")</f>
        <v>MN</v>
      </c>
      <c r="D46" s="30" t="str">
        <f ca="1">IFERROR(__xludf.DUMMYFUNCTION("""COMPUTED_VALUE"""),"Tp. Thủ Đức")</f>
        <v>Tp. Thủ Đức</v>
      </c>
      <c r="E46" s="31">
        <f ca="1">IFERROR(__xludf.DUMMYFUNCTION("""COMPUTED_VALUE"""),25)</f>
        <v>25</v>
      </c>
      <c r="F46" s="32">
        <f ca="1">IFERROR(__xludf.DUMMYFUNCTION("""COMPUTED_VALUE"""),25)</f>
        <v>25</v>
      </c>
      <c r="G46" s="13">
        <f t="shared" ca="1" si="0"/>
        <v>1</v>
      </c>
      <c r="H46" s="32">
        <f ca="1">IFERROR(__xludf.DUMMYFUNCTION("""COMPUTED_VALUE"""),25)</f>
        <v>25</v>
      </c>
      <c r="I46" s="13">
        <f t="shared" ca="1" si="1"/>
        <v>1</v>
      </c>
      <c r="J46" s="32">
        <f ca="1">IFERROR(__xludf.DUMMYFUNCTION("""COMPUTED_VALUE"""),25)</f>
        <v>25</v>
      </c>
      <c r="K46" s="13">
        <f t="shared" ca="1" si="2"/>
        <v>1</v>
      </c>
      <c r="L46" s="32">
        <f ca="1">IFERROR(__xludf.DUMMYFUNCTION("""COMPUTED_VALUE"""),7)</f>
        <v>7</v>
      </c>
      <c r="M46" s="13">
        <f t="shared" ca="1" si="3"/>
        <v>0.28000000000000003</v>
      </c>
      <c r="N46" s="31">
        <f ca="1">IFERROR(__xludf.DUMMYFUNCTION("""COMPUTED_VALUE"""),0)</f>
        <v>0</v>
      </c>
      <c r="O46" s="32">
        <f ca="1">IFERROR(__xludf.DUMMYFUNCTION("""COMPUTED_VALUE"""),0)</f>
        <v>0</v>
      </c>
      <c r="P46" s="13" t="str">
        <f t="shared" ca="1" si="4"/>
        <v/>
      </c>
      <c r="Q46" s="32">
        <f ca="1">IFERROR(__xludf.DUMMYFUNCTION("""COMPUTED_VALUE"""),0)</f>
        <v>0</v>
      </c>
      <c r="R46" s="13" t="str">
        <f t="shared" ca="1" si="5"/>
        <v/>
      </c>
      <c r="S46" s="31">
        <f ca="1">IFERROR(__xludf.DUMMYFUNCTION("""COMPUTED_VALUE"""),0)</f>
        <v>0</v>
      </c>
      <c r="T46" s="32">
        <f ca="1">IFERROR(__xludf.DUMMYFUNCTION("""COMPUTED_VALUE"""),0)</f>
        <v>0</v>
      </c>
      <c r="U46" s="13" t="str">
        <f t="shared" ca="1" si="6"/>
        <v/>
      </c>
      <c r="V46" s="32">
        <f ca="1">IFERROR(__xludf.DUMMYFUNCTION("""COMPUTED_VALUE"""),0)</f>
        <v>0</v>
      </c>
      <c r="W46" s="13" t="str">
        <f t="shared" ca="1" si="7"/>
        <v/>
      </c>
      <c r="X46" s="32">
        <f ca="1">IFERROR(__xludf.DUMMYFUNCTION("""COMPUTED_VALUE"""),0)</f>
        <v>0</v>
      </c>
      <c r="Y46" s="13" t="str">
        <f t="shared" ca="1" si="8"/>
        <v/>
      </c>
      <c r="Z46" s="2"/>
      <c r="AA46" s="2"/>
      <c r="AB46" s="2"/>
      <c r="AC46" s="2"/>
      <c r="AD46" s="2"/>
      <c r="AE46" s="2"/>
    </row>
    <row r="47" spans="1:31" ht="12.75" x14ac:dyDescent="0.2">
      <c r="A47" s="28">
        <f ca="1">IFERROR(__xludf.DUMMYFUNCTION("""COMPUTED_VALUE"""),41)</f>
        <v>41</v>
      </c>
      <c r="B47" s="29" t="str">
        <f ca="1">IFERROR(__xludf.DUMMYFUNCTION("""COMPUTED_VALUE"""),"MN Tuổi Ngọc")</f>
        <v>MN Tuổi Ngọc</v>
      </c>
      <c r="C47" s="33" t="str">
        <f ca="1">IFERROR(__xludf.DUMMYFUNCTION("""COMPUTED_VALUE"""),"MN")</f>
        <v>MN</v>
      </c>
      <c r="D47" s="30" t="str">
        <f ca="1">IFERROR(__xludf.DUMMYFUNCTION("""COMPUTED_VALUE"""),"Tp. Thủ Đức")</f>
        <v>Tp. Thủ Đức</v>
      </c>
      <c r="E47" s="31">
        <f ca="1">IFERROR(__xludf.DUMMYFUNCTION("""COMPUTED_VALUE"""),40)</f>
        <v>40</v>
      </c>
      <c r="F47" s="32">
        <f ca="1">IFERROR(__xludf.DUMMYFUNCTION("""COMPUTED_VALUE"""),40)</f>
        <v>40</v>
      </c>
      <c r="G47" s="13">
        <f t="shared" ca="1" si="0"/>
        <v>1</v>
      </c>
      <c r="H47" s="32">
        <f ca="1">IFERROR(__xludf.DUMMYFUNCTION("""COMPUTED_VALUE"""),40)</f>
        <v>40</v>
      </c>
      <c r="I47" s="13">
        <f t="shared" ca="1" si="1"/>
        <v>1</v>
      </c>
      <c r="J47" s="32">
        <f ca="1">IFERROR(__xludf.DUMMYFUNCTION("""COMPUTED_VALUE"""),39)</f>
        <v>39</v>
      </c>
      <c r="K47" s="13">
        <f t="shared" ca="1" si="2"/>
        <v>0.97499999999999998</v>
      </c>
      <c r="L47" s="32">
        <f ca="1">IFERROR(__xludf.DUMMYFUNCTION("""COMPUTED_VALUE"""),27)</f>
        <v>27</v>
      </c>
      <c r="M47" s="13">
        <f t="shared" ca="1" si="3"/>
        <v>0.67500000000000004</v>
      </c>
      <c r="N47" s="31">
        <f ca="1">IFERROR(__xludf.DUMMYFUNCTION("""COMPUTED_VALUE"""),0)</f>
        <v>0</v>
      </c>
      <c r="O47" s="32">
        <f ca="1">IFERROR(__xludf.DUMMYFUNCTION("""COMPUTED_VALUE"""),0)</f>
        <v>0</v>
      </c>
      <c r="P47" s="13" t="str">
        <f t="shared" ca="1" si="4"/>
        <v/>
      </c>
      <c r="Q47" s="32">
        <f ca="1">IFERROR(__xludf.DUMMYFUNCTION("""COMPUTED_VALUE"""),0)</f>
        <v>0</v>
      </c>
      <c r="R47" s="13" t="str">
        <f t="shared" ca="1" si="5"/>
        <v/>
      </c>
      <c r="S47" s="31">
        <f ca="1">IFERROR(__xludf.DUMMYFUNCTION("""COMPUTED_VALUE"""),0)</f>
        <v>0</v>
      </c>
      <c r="T47" s="32">
        <f ca="1">IFERROR(__xludf.DUMMYFUNCTION("""COMPUTED_VALUE"""),0)</f>
        <v>0</v>
      </c>
      <c r="U47" s="13" t="str">
        <f t="shared" ca="1" si="6"/>
        <v/>
      </c>
      <c r="V47" s="32">
        <f ca="1">IFERROR(__xludf.DUMMYFUNCTION("""COMPUTED_VALUE"""),0)</f>
        <v>0</v>
      </c>
      <c r="W47" s="13" t="str">
        <f t="shared" ca="1" si="7"/>
        <v/>
      </c>
      <c r="X47" s="32">
        <f ca="1">IFERROR(__xludf.DUMMYFUNCTION("""COMPUTED_VALUE"""),0)</f>
        <v>0</v>
      </c>
      <c r="Y47" s="13" t="str">
        <f t="shared" ca="1" si="8"/>
        <v/>
      </c>
      <c r="Z47" s="2"/>
      <c r="AA47" s="2"/>
      <c r="AB47" s="2"/>
      <c r="AC47" s="2"/>
      <c r="AD47" s="2"/>
      <c r="AE47" s="2"/>
    </row>
    <row r="48" spans="1:31" ht="12.75" x14ac:dyDescent="0.2">
      <c r="A48" s="28">
        <f ca="1">IFERROR(__xludf.DUMMYFUNCTION("""COMPUTED_VALUE"""),42)</f>
        <v>42</v>
      </c>
      <c r="B48" s="29" t="str">
        <f ca="1">IFERROR(__xludf.DUMMYFUNCTION("""COMPUTED_VALUE"""),"MN Tuổi Hoa")</f>
        <v>MN Tuổi Hoa</v>
      </c>
      <c r="C48" s="33" t="str">
        <f ca="1">IFERROR(__xludf.DUMMYFUNCTION("""COMPUTED_VALUE"""),"MN")</f>
        <v>MN</v>
      </c>
      <c r="D48" s="30" t="str">
        <f ca="1">IFERROR(__xludf.DUMMYFUNCTION("""COMPUTED_VALUE"""),"Tp. Thủ Đức")</f>
        <v>Tp. Thủ Đức</v>
      </c>
      <c r="E48" s="31">
        <f ca="1">IFERROR(__xludf.DUMMYFUNCTION("""COMPUTED_VALUE"""),24)</f>
        <v>24</v>
      </c>
      <c r="F48" s="32">
        <f ca="1">IFERROR(__xludf.DUMMYFUNCTION("""COMPUTED_VALUE"""),24)</f>
        <v>24</v>
      </c>
      <c r="G48" s="13">
        <f t="shared" ca="1" si="0"/>
        <v>1</v>
      </c>
      <c r="H48" s="32">
        <f ca="1">IFERROR(__xludf.DUMMYFUNCTION("""COMPUTED_VALUE"""),24)</f>
        <v>24</v>
      </c>
      <c r="I48" s="13">
        <f t="shared" ca="1" si="1"/>
        <v>1</v>
      </c>
      <c r="J48" s="32">
        <f ca="1">IFERROR(__xludf.DUMMYFUNCTION("""COMPUTED_VALUE"""),24)</f>
        <v>24</v>
      </c>
      <c r="K48" s="13">
        <f t="shared" ca="1" si="2"/>
        <v>1</v>
      </c>
      <c r="L48" s="32">
        <f ca="1">IFERROR(__xludf.DUMMYFUNCTION("""COMPUTED_VALUE"""),15)</f>
        <v>15</v>
      </c>
      <c r="M48" s="13">
        <f t="shared" ca="1" si="3"/>
        <v>0.625</v>
      </c>
      <c r="N48" s="31">
        <f ca="1">IFERROR(__xludf.DUMMYFUNCTION("""COMPUTED_VALUE"""),0)</f>
        <v>0</v>
      </c>
      <c r="O48" s="32">
        <f ca="1">IFERROR(__xludf.DUMMYFUNCTION("""COMPUTED_VALUE"""),0)</f>
        <v>0</v>
      </c>
      <c r="P48" s="13" t="str">
        <f t="shared" ca="1" si="4"/>
        <v/>
      </c>
      <c r="Q48" s="32">
        <f ca="1">IFERROR(__xludf.DUMMYFUNCTION("""COMPUTED_VALUE"""),0)</f>
        <v>0</v>
      </c>
      <c r="R48" s="13" t="str">
        <f t="shared" ca="1" si="5"/>
        <v/>
      </c>
      <c r="S48" s="31">
        <f ca="1">IFERROR(__xludf.DUMMYFUNCTION("""COMPUTED_VALUE"""),0)</f>
        <v>0</v>
      </c>
      <c r="T48" s="32">
        <f ca="1">IFERROR(__xludf.DUMMYFUNCTION("""COMPUTED_VALUE"""),0)</f>
        <v>0</v>
      </c>
      <c r="U48" s="13" t="str">
        <f t="shared" ca="1" si="6"/>
        <v/>
      </c>
      <c r="V48" s="32">
        <f ca="1">IFERROR(__xludf.DUMMYFUNCTION("""COMPUTED_VALUE"""),0)</f>
        <v>0</v>
      </c>
      <c r="W48" s="13" t="str">
        <f t="shared" ca="1" si="7"/>
        <v/>
      </c>
      <c r="X48" s="32">
        <f ca="1">IFERROR(__xludf.DUMMYFUNCTION("""COMPUTED_VALUE"""),0)</f>
        <v>0</v>
      </c>
      <c r="Y48" s="13" t="str">
        <f t="shared" ca="1" si="8"/>
        <v/>
      </c>
      <c r="Z48" s="2"/>
      <c r="AA48" s="2"/>
      <c r="AB48" s="2"/>
      <c r="AC48" s="2"/>
      <c r="AD48" s="2"/>
      <c r="AE48" s="2"/>
    </row>
    <row r="49" spans="1:31" ht="12.75" x14ac:dyDescent="0.2">
      <c r="A49" s="28">
        <f ca="1">IFERROR(__xludf.DUMMYFUNCTION("""COMPUTED_VALUE"""),43)</f>
        <v>43</v>
      </c>
      <c r="B49" s="29" t="str">
        <f ca="1">IFERROR(__xludf.DUMMYFUNCTION("""COMPUTED_VALUE"""),"MN Tạ Uyên")</f>
        <v>MN Tạ Uyên</v>
      </c>
      <c r="C49" s="33" t="str">
        <f ca="1">IFERROR(__xludf.DUMMYFUNCTION("""COMPUTED_VALUE"""),"MN")</f>
        <v>MN</v>
      </c>
      <c r="D49" s="30" t="str">
        <f ca="1">IFERROR(__xludf.DUMMYFUNCTION("""COMPUTED_VALUE"""),"Tp. Thủ Đức")</f>
        <v>Tp. Thủ Đức</v>
      </c>
      <c r="E49" s="31">
        <f ca="1">IFERROR(__xludf.DUMMYFUNCTION("""COMPUTED_VALUE"""),12)</f>
        <v>12</v>
      </c>
      <c r="F49" s="32">
        <f ca="1">IFERROR(__xludf.DUMMYFUNCTION("""COMPUTED_VALUE"""),12)</f>
        <v>12</v>
      </c>
      <c r="G49" s="13">
        <f t="shared" ca="1" si="0"/>
        <v>1</v>
      </c>
      <c r="H49" s="32">
        <f ca="1">IFERROR(__xludf.DUMMYFUNCTION("""COMPUTED_VALUE"""),11)</f>
        <v>11</v>
      </c>
      <c r="I49" s="13">
        <f t="shared" ca="1" si="1"/>
        <v>0.91666666666666663</v>
      </c>
      <c r="J49" s="32">
        <f ca="1">IFERROR(__xludf.DUMMYFUNCTION("""COMPUTED_VALUE"""),11)</f>
        <v>11</v>
      </c>
      <c r="K49" s="13">
        <f t="shared" ca="1" si="2"/>
        <v>0.91666666666666663</v>
      </c>
      <c r="L49" s="32">
        <f ca="1">IFERROR(__xludf.DUMMYFUNCTION("""COMPUTED_VALUE"""),9)</f>
        <v>9</v>
      </c>
      <c r="M49" s="13">
        <f t="shared" ca="1" si="3"/>
        <v>0.75</v>
      </c>
      <c r="N49" s="31">
        <f ca="1">IFERROR(__xludf.DUMMYFUNCTION("""COMPUTED_VALUE"""),0)</f>
        <v>0</v>
      </c>
      <c r="O49" s="32">
        <f ca="1">IFERROR(__xludf.DUMMYFUNCTION("""COMPUTED_VALUE"""),0)</f>
        <v>0</v>
      </c>
      <c r="P49" s="13" t="str">
        <f t="shared" ca="1" si="4"/>
        <v/>
      </c>
      <c r="Q49" s="32">
        <f ca="1">IFERROR(__xludf.DUMMYFUNCTION("""COMPUTED_VALUE"""),0)</f>
        <v>0</v>
      </c>
      <c r="R49" s="13" t="str">
        <f t="shared" ca="1" si="5"/>
        <v/>
      </c>
      <c r="S49" s="31">
        <f ca="1">IFERROR(__xludf.DUMMYFUNCTION("""COMPUTED_VALUE"""),0)</f>
        <v>0</v>
      </c>
      <c r="T49" s="32">
        <f ca="1">IFERROR(__xludf.DUMMYFUNCTION("""COMPUTED_VALUE"""),0)</f>
        <v>0</v>
      </c>
      <c r="U49" s="13" t="str">
        <f t="shared" ca="1" si="6"/>
        <v/>
      </c>
      <c r="V49" s="32">
        <f ca="1">IFERROR(__xludf.DUMMYFUNCTION("""COMPUTED_VALUE"""),0)</f>
        <v>0</v>
      </c>
      <c r="W49" s="13" t="str">
        <f t="shared" ca="1" si="7"/>
        <v/>
      </c>
      <c r="X49" s="32">
        <f ca="1">IFERROR(__xludf.DUMMYFUNCTION("""COMPUTED_VALUE"""),0)</f>
        <v>0</v>
      </c>
      <c r="Y49" s="13" t="str">
        <f t="shared" ca="1" si="8"/>
        <v/>
      </c>
      <c r="Z49" s="2"/>
      <c r="AA49" s="2"/>
      <c r="AB49" s="2"/>
      <c r="AC49" s="2"/>
      <c r="AD49" s="2"/>
      <c r="AE49" s="2"/>
    </row>
    <row r="50" spans="1:31" ht="12.75" x14ac:dyDescent="0.2">
      <c r="A50" s="28">
        <f ca="1">IFERROR(__xludf.DUMMYFUNCTION("""COMPUTED_VALUE"""),44)</f>
        <v>44</v>
      </c>
      <c r="B50" s="29" t="str">
        <f ca="1">IFERROR(__xludf.DUMMYFUNCTION("""COMPUTED_VALUE"""),"MN Long Sơn")</f>
        <v>MN Long Sơn</v>
      </c>
      <c r="C50" s="33" t="str">
        <f ca="1">IFERROR(__xludf.DUMMYFUNCTION("""COMPUTED_VALUE"""),"MN")</f>
        <v>MN</v>
      </c>
      <c r="D50" s="30" t="str">
        <f ca="1">IFERROR(__xludf.DUMMYFUNCTION("""COMPUTED_VALUE"""),"Tp. Thủ Đức")</f>
        <v>Tp. Thủ Đức</v>
      </c>
      <c r="E50" s="31">
        <f ca="1">IFERROR(__xludf.DUMMYFUNCTION("""COMPUTED_VALUE"""),16)</f>
        <v>16</v>
      </c>
      <c r="F50" s="32">
        <f ca="1">IFERROR(__xludf.DUMMYFUNCTION("""COMPUTED_VALUE"""),16)</f>
        <v>16</v>
      </c>
      <c r="G50" s="13">
        <f t="shared" ca="1" si="0"/>
        <v>1</v>
      </c>
      <c r="H50" s="32">
        <f ca="1">IFERROR(__xludf.DUMMYFUNCTION("""COMPUTED_VALUE"""),16)</f>
        <v>16</v>
      </c>
      <c r="I50" s="13">
        <f t="shared" ca="1" si="1"/>
        <v>1</v>
      </c>
      <c r="J50" s="32">
        <f ca="1">IFERROR(__xludf.DUMMYFUNCTION("""COMPUTED_VALUE"""),16)</f>
        <v>16</v>
      </c>
      <c r="K50" s="13">
        <f t="shared" ca="1" si="2"/>
        <v>1</v>
      </c>
      <c r="L50" s="32">
        <f ca="1">IFERROR(__xludf.DUMMYFUNCTION("""COMPUTED_VALUE"""),6)</f>
        <v>6</v>
      </c>
      <c r="M50" s="13">
        <f t="shared" ca="1" si="3"/>
        <v>0.375</v>
      </c>
      <c r="N50" s="31">
        <f ca="1">IFERROR(__xludf.DUMMYFUNCTION("""COMPUTED_VALUE"""),0)</f>
        <v>0</v>
      </c>
      <c r="O50" s="32">
        <f ca="1">IFERROR(__xludf.DUMMYFUNCTION("""COMPUTED_VALUE"""),0)</f>
        <v>0</v>
      </c>
      <c r="P50" s="13" t="str">
        <f t="shared" ca="1" si="4"/>
        <v/>
      </c>
      <c r="Q50" s="32">
        <f ca="1">IFERROR(__xludf.DUMMYFUNCTION("""COMPUTED_VALUE"""),0)</f>
        <v>0</v>
      </c>
      <c r="R50" s="13" t="str">
        <f t="shared" ca="1" si="5"/>
        <v/>
      </c>
      <c r="S50" s="31">
        <f ca="1">IFERROR(__xludf.DUMMYFUNCTION("""COMPUTED_VALUE"""),0)</f>
        <v>0</v>
      </c>
      <c r="T50" s="32">
        <f ca="1">IFERROR(__xludf.DUMMYFUNCTION("""COMPUTED_VALUE"""),0)</f>
        <v>0</v>
      </c>
      <c r="U50" s="13" t="str">
        <f t="shared" ca="1" si="6"/>
        <v/>
      </c>
      <c r="V50" s="32">
        <f ca="1">IFERROR(__xludf.DUMMYFUNCTION("""COMPUTED_VALUE"""),0)</f>
        <v>0</v>
      </c>
      <c r="W50" s="13" t="str">
        <f t="shared" ca="1" si="7"/>
        <v/>
      </c>
      <c r="X50" s="32">
        <f ca="1">IFERROR(__xludf.DUMMYFUNCTION("""COMPUTED_VALUE"""),0)</f>
        <v>0</v>
      </c>
      <c r="Y50" s="13" t="str">
        <f t="shared" ca="1" si="8"/>
        <v/>
      </c>
      <c r="Z50" s="2"/>
      <c r="AA50" s="2"/>
      <c r="AB50" s="2"/>
      <c r="AC50" s="2"/>
      <c r="AD50" s="2"/>
      <c r="AE50" s="2"/>
    </row>
    <row r="51" spans="1:31" ht="12.75" x14ac:dyDescent="0.2">
      <c r="A51" s="28">
        <f ca="1">IFERROR(__xludf.DUMMYFUNCTION("""COMPUTED_VALUE"""),45)</f>
        <v>45</v>
      </c>
      <c r="B51" s="29" t="str">
        <f ca="1">IFERROR(__xludf.DUMMYFUNCTION("""COMPUTED_VALUE"""),"MN Long Thạnh Mỹ")</f>
        <v>MN Long Thạnh Mỹ</v>
      </c>
      <c r="C51" s="33" t="str">
        <f ca="1">IFERROR(__xludf.DUMMYFUNCTION("""COMPUTED_VALUE"""),"MN")</f>
        <v>MN</v>
      </c>
      <c r="D51" s="30" t="str">
        <f ca="1">IFERROR(__xludf.DUMMYFUNCTION("""COMPUTED_VALUE"""),"Tp. Thủ Đức")</f>
        <v>Tp. Thủ Đức</v>
      </c>
      <c r="E51" s="31">
        <f ca="1">IFERROR(__xludf.DUMMYFUNCTION("""COMPUTED_VALUE"""),43)</f>
        <v>43</v>
      </c>
      <c r="F51" s="32">
        <f ca="1">IFERROR(__xludf.DUMMYFUNCTION("""COMPUTED_VALUE"""),43)</f>
        <v>43</v>
      </c>
      <c r="G51" s="13">
        <f t="shared" ca="1" si="0"/>
        <v>1</v>
      </c>
      <c r="H51" s="32">
        <f ca="1">IFERROR(__xludf.DUMMYFUNCTION("""COMPUTED_VALUE"""),43)</f>
        <v>43</v>
      </c>
      <c r="I51" s="13">
        <f t="shared" ca="1" si="1"/>
        <v>1</v>
      </c>
      <c r="J51" s="32">
        <f ca="1">IFERROR(__xludf.DUMMYFUNCTION("""COMPUTED_VALUE"""),36)</f>
        <v>36</v>
      </c>
      <c r="K51" s="13">
        <f t="shared" ca="1" si="2"/>
        <v>0.83720930232558144</v>
      </c>
      <c r="L51" s="32">
        <f ca="1">IFERROR(__xludf.DUMMYFUNCTION("""COMPUTED_VALUE"""),6)</f>
        <v>6</v>
      </c>
      <c r="M51" s="13">
        <f t="shared" ca="1" si="3"/>
        <v>0.13953488372093023</v>
      </c>
      <c r="N51" s="31">
        <f ca="1">IFERROR(__xludf.DUMMYFUNCTION("""COMPUTED_VALUE"""),0)</f>
        <v>0</v>
      </c>
      <c r="O51" s="32">
        <f ca="1">IFERROR(__xludf.DUMMYFUNCTION("""COMPUTED_VALUE"""),0)</f>
        <v>0</v>
      </c>
      <c r="P51" s="13" t="str">
        <f t="shared" ca="1" si="4"/>
        <v/>
      </c>
      <c r="Q51" s="32">
        <f ca="1">IFERROR(__xludf.DUMMYFUNCTION("""COMPUTED_VALUE"""),0)</f>
        <v>0</v>
      </c>
      <c r="R51" s="13" t="str">
        <f t="shared" ca="1" si="5"/>
        <v/>
      </c>
      <c r="S51" s="31">
        <f ca="1">IFERROR(__xludf.DUMMYFUNCTION("""COMPUTED_VALUE"""),0)</f>
        <v>0</v>
      </c>
      <c r="T51" s="32">
        <f ca="1">IFERROR(__xludf.DUMMYFUNCTION("""COMPUTED_VALUE"""),0)</f>
        <v>0</v>
      </c>
      <c r="U51" s="13" t="str">
        <f t="shared" ca="1" si="6"/>
        <v/>
      </c>
      <c r="V51" s="32">
        <f ca="1">IFERROR(__xludf.DUMMYFUNCTION("""COMPUTED_VALUE"""),0)</f>
        <v>0</v>
      </c>
      <c r="W51" s="13" t="str">
        <f t="shared" ca="1" si="7"/>
        <v/>
      </c>
      <c r="X51" s="32">
        <f ca="1">IFERROR(__xludf.DUMMYFUNCTION("""COMPUTED_VALUE"""),0)</f>
        <v>0</v>
      </c>
      <c r="Y51" s="13" t="str">
        <f t="shared" ca="1" si="8"/>
        <v/>
      </c>
      <c r="Z51" s="2"/>
      <c r="AA51" s="2"/>
      <c r="AB51" s="2"/>
      <c r="AC51" s="2"/>
      <c r="AD51" s="2"/>
      <c r="AE51" s="2"/>
    </row>
    <row r="52" spans="1:31" ht="12.75" x14ac:dyDescent="0.2">
      <c r="A52" s="28">
        <f ca="1">IFERROR(__xludf.DUMMYFUNCTION("""COMPUTED_VALUE"""),46)</f>
        <v>46</v>
      </c>
      <c r="B52" s="29" t="str">
        <f ca="1">IFERROR(__xludf.DUMMYFUNCTION("""COMPUTED_VALUE"""),"MN 19/5")</f>
        <v>MN 19/5</v>
      </c>
      <c r="C52" s="33" t="str">
        <f ca="1">IFERROR(__xludf.DUMMYFUNCTION("""COMPUTED_VALUE"""),"MN")</f>
        <v>MN</v>
      </c>
      <c r="D52" s="30" t="str">
        <f ca="1">IFERROR(__xludf.DUMMYFUNCTION("""COMPUTED_VALUE"""),"Tp. Thủ Đức")</f>
        <v>Tp. Thủ Đức</v>
      </c>
      <c r="E52" s="31">
        <f ca="1">IFERROR(__xludf.DUMMYFUNCTION("""COMPUTED_VALUE"""),29)</f>
        <v>29</v>
      </c>
      <c r="F52" s="32">
        <f ca="1">IFERROR(__xludf.DUMMYFUNCTION("""COMPUTED_VALUE"""),29)</f>
        <v>29</v>
      </c>
      <c r="G52" s="13">
        <f t="shared" ca="1" si="0"/>
        <v>1</v>
      </c>
      <c r="H52" s="32">
        <f ca="1">IFERROR(__xludf.DUMMYFUNCTION("""COMPUTED_VALUE"""),29)</f>
        <v>29</v>
      </c>
      <c r="I52" s="13">
        <f t="shared" ca="1" si="1"/>
        <v>1</v>
      </c>
      <c r="J52" s="32">
        <f ca="1">IFERROR(__xludf.DUMMYFUNCTION("""COMPUTED_VALUE"""),29)</f>
        <v>29</v>
      </c>
      <c r="K52" s="13">
        <f t="shared" ca="1" si="2"/>
        <v>1</v>
      </c>
      <c r="L52" s="32">
        <f ca="1">IFERROR(__xludf.DUMMYFUNCTION("""COMPUTED_VALUE"""),2)</f>
        <v>2</v>
      </c>
      <c r="M52" s="13">
        <f t="shared" ca="1" si="3"/>
        <v>6.8965517241379309E-2</v>
      </c>
      <c r="N52" s="31">
        <f ca="1">IFERROR(__xludf.DUMMYFUNCTION("""COMPUTED_VALUE"""),0)</f>
        <v>0</v>
      </c>
      <c r="O52" s="32">
        <f ca="1">IFERROR(__xludf.DUMMYFUNCTION("""COMPUTED_VALUE"""),0)</f>
        <v>0</v>
      </c>
      <c r="P52" s="13" t="str">
        <f t="shared" ca="1" si="4"/>
        <v/>
      </c>
      <c r="Q52" s="32">
        <f ca="1">IFERROR(__xludf.DUMMYFUNCTION("""COMPUTED_VALUE"""),0)</f>
        <v>0</v>
      </c>
      <c r="R52" s="13" t="str">
        <f t="shared" ca="1" si="5"/>
        <v/>
      </c>
      <c r="S52" s="31">
        <f ca="1">IFERROR(__xludf.DUMMYFUNCTION("""COMPUTED_VALUE"""),0)</f>
        <v>0</v>
      </c>
      <c r="T52" s="32">
        <f ca="1">IFERROR(__xludf.DUMMYFUNCTION("""COMPUTED_VALUE"""),0)</f>
        <v>0</v>
      </c>
      <c r="U52" s="13" t="str">
        <f t="shared" ca="1" si="6"/>
        <v/>
      </c>
      <c r="V52" s="32">
        <f ca="1">IFERROR(__xludf.DUMMYFUNCTION("""COMPUTED_VALUE"""),0)</f>
        <v>0</v>
      </c>
      <c r="W52" s="13" t="str">
        <f t="shared" ca="1" si="7"/>
        <v/>
      </c>
      <c r="X52" s="32">
        <f ca="1">IFERROR(__xludf.DUMMYFUNCTION("""COMPUTED_VALUE"""),0)</f>
        <v>0</v>
      </c>
      <c r="Y52" s="13" t="str">
        <f t="shared" ca="1" si="8"/>
        <v/>
      </c>
      <c r="Z52" s="2"/>
      <c r="AA52" s="2"/>
      <c r="AB52" s="2"/>
      <c r="AC52" s="2"/>
      <c r="AD52" s="2"/>
      <c r="AE52" s="2"/>
    </row>
    <row r="53" spans="1:31" ht="12.75" x14ac:dyDescent="0.2">
      <c r="A53" s="28">
        <f ca="1">IFERROR(__xludf.DUMMYFUNCTION("""COMPUTED_VALUE"""),47)</f>
        <v>47</v>
      </c>
      <c r="B53" s="29" t="str">
        <f ca="1">IFERROR(__xludf.DUMMYFUNCTION("""COMPUTED_VALUE"""),"MN Hoa Hồng 1")</f>
        <v>MN Hoa Hồng 1</v>
      </c>
      <c r="C53" s="33" t="str">
        <f ca="1">IFERROR(__xludf.DUMMYFUNCTION("""COMPUTED_VALUE"""),"MN")</f>
        <v>MN</v>
      </c>
      <c r="D53" s="30" t="str">
        <f ca="1">IFERROR(__xludf.DUMMYFUNCTION("""COMPUTED_VALUE"""),"Tp. Thủ Đức")</f>
        <v>Tp. Thủ Đức</v>
      </c>
      <c r="E53" s="31">
        <f ca="1">IFERROR(__xludf.DUMMYFUNCTION("""COMPUTED_VALUE"""),17)</f>
        <v>17</v>
      </c>
      <c r="F53" s="32">
        <f ca="1">IFERROR(__xludf.DUMMYFUNCTION("""COMPUTED_VALUE"""),17)</f>
        <v>17</v>
      </c>
      <c r="G53" s="13">
        <f t="shared" ca="1" si="0"/>
        <v>1</v>
      </c>
      <c r="H53" s="32">
        <f ca="1">IFERROR(__xludf.DUMMYFUNCTION("""COMPUTED_VALUE"""),17)</f>
        <v>17</v>
      </c>
      <c r="I53" s="13">
        <f t="shared" ca="1" si="1"/>
        <v>1</v>
      </c>
      <c r="J53" s="32">
        <f ca="1">IFERROR(__xludf.DUMMYFUNCTION("""COMPUTED_VALUE"""),17)</f>
        <v>17</v>
      </c>
      <c r="K53" s="13">
        <f t="shared" ca="1" si="2"/>
        <v>1</v>
      </c>
      <c r="L53" s="32">
        <f ca="1">IFERROR(__xludf.DUMMYFUNCTION("""COMPUTED_VALUE"""),13)</f>
        <v>13</v>
      </c>
      <c r="M53" s="13">
        <f t="shared" ca="1" si="3"/>
        <v>0.76470588235294112</v>
      </c>
      <c r="N53" s="31">
        <f ca="1">IFERROR(__xludf.DUMMYFUNCTION("""COMPUTED_VALUE"""),0)</f>
        <v>0</v>
      </c>
      <c r="O53" s="32">
        <f ca="1">IFERROR(__xludf.DUMMYFUNCTION("""COMPUTED_VALUE"""),0)</f>
        <v>0</v>
      </c>
      <c r="P53" s="13" t="str">
        <f t="shared" ca="1" si="4"/>
        <v/>
      </c>
      <c r="Q53" s="32">
        <f ca="1">IFERROR(__xludf.DUMMYFUNCTION("""COMPUTED_VALUE"""),0)</f>
        <v>0</v>
      </c>
      <c r="R53" s="13" t="str">
        <f t="shared" ca="1" si="5"/>
        <v/>
      </c>
      <c r="S53" s="31">
        <f ca="1">IFERROR(__xludf.DUMMYFUNCTION("""COMPUTED_VALUE"""),0)</f>
        <v>0</v>
      </c>
      <c r="T53" s="32">
        <f ca="1">IFERROR(__xludf.DUMMYFUNCTION("""COMPUTED_VALUE"""),0)</f>
        <v>0</v>
      </c>
      <c r="U53" s="13" t="str">
        <f t="shared" ca="1" si="6"/>
        <v/>
      </c>
      <c r="V53" s="32">
        <f ca="1">IFERROR(__xludf.DUMMYFUNCTION("""COMPUTED_VALUE"""),0)</f>
        <v>0</v>
      </c>
      <c r="W53" s="13" t="str">
        <f t="shared" ca="1" si="7"/>
        <v/>
      </c>
      <c r="X53" s="32">
        <f ca="1">IFERROR(__xludf.DUMMYFUNCTION("""COMPUTED_VALUE"""),0)</f>
        <v>0</v>
      </c>
      <c r="Y53" s="13" t="str">
        <f t="shared" ca="1" si="8"/>
        <v/>
      </c>
      <c r="Z53" s="2"/>
      <c r="AA53" s="2"/>
      <c r="AB53" s="2"/>
      <c r="AC53" s="2"/>
      <c r="AD53" s="2"/>
      <c r="AE53" s="2"/>
    </row>
    <row r="54" spans="1:31" ht="12.75" x14ac:dyDescent="0.2">
      <c r="A54" s="28">
        <f ca="1">IFERROR(__xludf.DUMMYFUNCTION("""COMPUTED_VALUE"""),48)</f>
        <v>48</v>
      </c>
      <c r="B54" s="29"/>
      <c r="C54" s="29"/>
      <c r="D54" s="30" t="str">
        <f ca="1">IFERROR(__xludf.DUMMYFUNCTION("""COMPUTED_VALUE"""),"Tp. Thủ Đức")</f>
        <v>Tp. Thủ Đức</v>
      </c>
      <c r="E54" s="31">
        <f ca="1">IFERROR(__xludf.DUMMYFUNCTION("""COMPUTED_VALUE"""),32)</f>
        <v>32</v>
      </c>
      <c r="F54" s="32">
        <f ca="1">IFERROR(__xludf.DUMMYFUNCTION("""COMPUTED_VALUE"""),32)</f>
        <v>32</v>
      </c>
      <c r="G54" s="13">
        <f t="shared" ca="1" si="0"/>
        <v>1</v>
      </c>
      <c r="H54" s="32">
        <f ca="1">IFERROR(__xludf.DUMMYFUNCTION("""COMPUTED_VALUE"""),32)</f>
        <v>32</v>
      </c>
      <c r="I54" s="13">
        <f t="shared" ca="1" si="1"/>
        <v>1</v>
      </c>
      <c r="J54" s="32">
        <f ca="1">IFERROR(__xludf.DUMMYFUNCTION("""COMPUTED_VALUE"""),32)</f>
        <v>32</v>
      </c>
      <c r="K54" s="13">
        <f t="shared" ca="1" si="2"/>
        <v>1</v>
      </c>
      <c r="L54" s="32">
        <f ca="1">IFERROR(__xludf.DUMMYFUNCTION("""COMPUTED_VALUE"""),14)</f>
        <v>14</v>
      </c>
      <c r="M54" s="13">
        <f t="shared" ca="1" si="3"/>
        <v>0.4375</v>
      </c>
      <c r="N54" s="31">
        <f ca="1">IFERROR(__xludf.DUMMYFUNCTION("""COMPUTED_VALUE"""),0)</f>
        <v>0</v>
      </c>
      <c r="O54" s="32">
        <f ca="1">IFERROR(__xludf.DUMMYFUNCTION("""COMPUTED_VALUE"""),0)</f>
        <v>0</v>
      </c>
      <c r="P54" s="13" t="str">
        <f t="shared" ca="1" si="4"/>
        <v/>
      </c>
      <c r="Q54" s="32">
        <f ca="1">IFERROR(__xludf.DUMMYFUNCTION("""COMPUTED_VALUE"""),0)</f>
        <v>0</v>
      </c>
      <c r="R54" s="13" t="str">
        <f t="shared" ca="1" si="5"/>
        <v/>
      </c>
      <c r="S54" s="31">
        <f ca="1">IFERROR(__xludf.DUMMYFUNCTION("""COMPUTED_VALUE"""),0)</f>
        <v>0</v>
      </c>
      <c r="T54" s="32">
        <f ca="1">IFERROR(__xludf.DUMMYFUNCTION("""COMPUTED_VALUE"""),0)</f>
        <v>0</v>
      </c>
      <c r="U54" s="13" t="str">
        <f t="shared" ca="1" si="6"/>
        <v/>
      </c>
      <c r="V54" s="32">
        <f ca="1">IFERROR(__xludf.DUMMYFUNCTION("""COMPUTED_VALUE"""),0)</f>
        <v>0</v>
      </c>
      <c r="W54" s="13" t="str">
        <f t="shared" ca="1" si="7"/>
        <v/>
      </c>
      <c r="X54" s="32">
        <f ca="1">IFERROR(__xludf.DUMMYFUNCTION("""COMPUTED_VALUE"""),0)</f>
        <v>0</v>
      </c>
      <c r="Y54" s="13" t="str">
        <f t="shared" ca="1" si="8"/>
        <v/>
      </c>
      <c r="Z54" s="2"/>
      <c r="AA54" s="2"/>
      <c r="AB54" s="2"/>
      <c r="AC54" s="2"/>
      <c r="AD54" s="2"/>
      <c r="AE54" s="2"/>
    </row>
    <row r="55" spans="1:31" ht="12.75" x14ac:dyDescent="0.2">
      <c r="A55" s="28">
        <f ca="1">IFERROR(__xludf.DUMMYFUNCTION("""COMPUTED_VALUE"""),49)</f>
        <v>49</v>
      </c>
      <c r="B55" s="29" t="str">
        <f ca="1">IFERROR(__xludf.DUMMYFUNCTION("""COMPUTED_VALUE"""),"MN Bình Trưng Đông")</f>
        <v>MN Bình Trưng Đông</v>
      </c>
      <c r="C55" s="33" t="str">
        <f ca="1">IFERROR(__xludf.DUMMYFUNCTION("""COMPUTED_VALUE"""),"MN")</f>
        <v>MN</v>
      </c>
      <c r="D55" s="30" t="str">
        <f ca="1">IFERROR(__xludf.DUMMYFUNCTION("""COMPUTED_VALUE"""),"Tp. Thủ Đức")</f>
        <v>Tp. Thủ Đức</v>
      </c>
      <c r="E55" s="31">
        <f ca="1">IFERROR(__xludf.DUMMYFUNCTION("""COMPUTED_VALUE"""),30)</f>
        <v>30</v>
      </c>
      <c r="F55" s="32">
        <f ca="1">IFERROR(__xludf.DUMMYFUNCTION("""COMPUTED_VALUE"""),30)</f>
        <v>30</v>
      </c>
      <c r="G55" s="13">
        <f t="shared" ca="1" si="0"/>
        <v>1</v>
      </c>
      <c r="H55" s="32">
        <f ca="1">IFERROR(__xludf.DUMMYFUNCTION("""COMPUTED_VALUE"""),30)</f>
        <v>30</v>
      </c>
      <c r="I55" s="13">
        <f t="shared" ca="1" si="1"/>
        <v>1</v>
      </c>
      <c r="J55" s="32">
        <f ca="1">IFERROR(__xludf.DUMMYFUNCTION("""COMPUTED_VALUE"""),28)</f>
        <v>28</v>
      </c>
      <c r="K55" s="13">
        <f t="shared" ca="1" si="2"/>
        <v>0.93333333333333335</v>
      </c>
      <c r="L55" s="32">
        <f ca="1">IFERROR(__xludf.DUMMYFUNCTION("""COMPUTED_VALUE"""),6)</f>
        <v>6</v>
      </c>
      <c r="M55" s="13">
        <f t="shared" ca="1" si="3"/>
        <v>0.2</v>
      </c>
      <c r="N55" s="31">
        <f ca="1">IFERROR(__xludf.DUMMYFUNCTION("""COMPUTED_VALUE"""),81)</f>
        <v>81</v>
      </c>
      <c r="O55" s="32">
        <f ca="1">IFERROR(__xludf.DUMMYFUNCTION("""COMPUTED_VALUE"""),6)</f>
        <v>6</v>
      </c>
      <c r="P55" s="13">
        <f t="shared" ca="1" si="4"/>
        <v>7.407407407407407E-2</v>
      </c>
      <c r="Q55" s="32">
        <f ca="1">IFERROR(__xludf.DUMMYFUNCTION("""COMPUTED_VALUE"""),1)</f>
        <v>1</v>
      </c>
      <c r="R55" s="13">
        <f t="shared" ca="1" si="5"/>
        <v>1.2345679012345678E-2</v>
      </c>
      <c r="S55" s="31">
        <f ca="1">IFERROR(__xludf.DUMMYFUNCTION("""COMPUTED_VALUE"""),0)</f>
        <v>0</v>
      </c>
      <c r="T55" s="32">
        <f ca="1">IFERROR(__xludf.DUMMYFUNCTION("""COMPUTED_VALUE"""),0)</f>
        <v>0</v>
      </c>
      <c r="U55" s="13" t="str">
        <f t="shared" ca="1" si="6"/>
        <v/>
      </c>
      <c r="V55" s="32">
        <f ca="1">IFERROR(__xludf.DUMMYFUNCTION("""COMPUTED_VALUE"""),0)</f>
        <v>0</v>
      </c>
      <c r="W55" s="13" t="str">
        <f t="shared" ca="1" si="7"/>
        <v/>
      </c>
      <c r="X55" s="32">
        <f ca="1">IFERROR(__xludf.DUMMYFUNCTION("""COMPUTED_VALUE"""),0)</f>
        <v>0</v>
      </c>
      <c r="Y55" s="13" t="str">
        <f t="shared" ca="1" si="8"/>
        <v/>
      </c>
      <c r="Z55" s="2"/>
      <c r="AA55" s="2"/>
      <c r="AB55" s="2"/>
      <c r="AC55" s="2"/>
      <c r="AD55" s="2"/>
      <c r="AE55" s="2"/>
    </row>
    <row r="56" spans="1:31" ht="12.75" x14ac:dyDescent="0.2">
      <c r="A56" s="28">
        <f ca="1">IFERROR(__xludf.DUMMYFUNCTION("""COMPUTED_VALUE"""),50)</f>
        <v>50</v>
      </c>
      <c r="B56" s="29" t="str">
        <f ca="1">IFERROR(__xludf.DUMMYFUNCTION("""COMPUTED_VALUE"""),"MN Cát Lái")</f>
        <v>MN Cát Lái</v>
      </c>
      <c r="C56" s="33" t="str">
        <f ca="1">IFERROR(__xludf.DUMMYFUNCTION("""COMPUTED_VALUE"""),"MN")</f>
        <v>MN</v>
      </c>
      <c r="D56" s="30" t="str">
        <f ca="1">IFERROR(__xludf.DUMMYFUNCTION("""COMPUTED_VALUE"""),"Tp. Thủ Đức")</f>
        <v>Tp. Thủ Đức</v>
      </c>
      <c r="E56" s="31">
        <f ca="1">IFERROR(__xludf.DUMMYFUNCTION("""COMPUTED_VALUE"""),32)</f>
        <v>32</v>
      </c>
      <c r="F56" s="32">
        <f ca="1">IFERROR(__xludf.DUMMYFUNCTION("""COMPUTED_VALUE"""),32)</f>
        <v>32</v>
      </c>
      <c r="G56" s="13">
        <f t="shared" ca="1" si="0"/>
        <v>1</v>
      </c>
      <c r="H56" s="32">
        <f ca="1">IFERROR(__xludf.DUMMYFUNCTION("""COMPUTED_VALUE"""),32)</f>
        <v>32</v>
      </c>
      <c r="I56" s="13">
        <f t="shared" ca="1" si="1"/>
        <v>1</v>
      </c>
      <c r="J56" s="32">
        <f ca="1">IFERROR(__xludf.DUMMYFUNCTION("""COMPUTED_VALUE"""),32)</f>
        <v>32</v>
      </c>
      <c r="K56" s="13">
        <f t="shared" ca="1" si="2"/>
        <v>1</v>
      </c>
      <c r="L56" s="32">
        <f ca="1">IFERROR(__xludf.DUMMYFUNCTION("""COMPUTED_VALUE"""),4)</f>
        <v>4</v>
      </c>
      <c r="M56" s="13">
        <f t="shared" ca="1" si="3"/>
        <v>0.125</v>
      </c>
      <c r="N56" s="31">
        <f ca="1">IFERROR(__xludf.DUMMYFUNCTION("""COMPUTED_VALUE"""),0)</f>
        <v>0</v>
      </c>
      <c r="O56" s="32">
        <f ca="1">IFERROR(__xludf.DUMMYFUNCTION("""COMPUTED_VALUE"""),0)</f>
        <v>0</v>
      </c>
      <c r="P56" s="13" t="str">
        <f t="shared" ca="1" si="4"/>
        <v/>
      </c>
      <c r="Q56" s="32">
        <f ca="1">IFERROR(__xludf.DUMMYFUNCTION("""COMPUTED_VALUE"""),0)</f>
        <v>0</v>
      </c>
      <c r="R56" s="13" t="str">
        <f t="shared" ca="1" si="5"/>
        <v/>
      </c>
      <c r="S56" s="31">
        <f ca="1">IFERROR(__xludf.DUMMYFUNCTION("""COMPUTED_VALUE"""),0)</f>
        <v>0</v>
      </c>
      <c r="T56" s="32">
        <f ca="1">IFERROR(__xludf.DUMMYFUNCTION("""COMPUTED_VALUE"""),0)</f>
        <v>0</v>
      </c>
      <c r="U56" s="13" t="str">
        <f t="shared" ca="1" si="6"/>
        <v/>
      </c>
      <c r="V56" s="32">
        <f ca="1">IFERROR(__xludf.DUMMYFUNCTION("""COMPUTED_VALUE"""),0)</f>
        <v>0</v>
      </c>
      <c r="W56" s="13" t="str">
        <f t="shared" ca="1" si="7"/>
        <v/>
      </c>
      <c r="X56" s="32">
        <f ca="1">IFERROR(__xludf.DUMMYFUNCTION("""COMPUTED_VALUE"""),0)</f>
        <v>0</v>
      </c>
      <c r="Y56" s="13" t="str">
        <f t="shared" ca="1" si="8"/>
        <v/>
      </c>
      <c r="Z56" s="2"/>
      <c r="AA56" s="2"/>
      <c r="AB56" s="2"/>
      <c r="AC56" s="2"/>
      <c r="AD56" s="2"/>
      <c r="AE56" s="2"/>
    </row>
    <row r="57" spans="1:31" ht="12.75" x14ac:dyDescent="0.2">
      <c r="A57" s="28">
        <f ca="1">IFERROR(__xludf.DUMMYFUNCTION("""COMPUTED_VALUE"""),51)</f>
        <v>51</v>
      </c>
      <c r="B57" s="29" t="str">
        <f ca="1">IFERROR(__xludf.DUMMYFUNCTION("""COMPUTED_VALUE"""),"MN Hoạ Mi")</f>
        <v>MN Hoạ Mi</v>
      </c>
      <c r="C57" s="33" t="str">
        <f ca="1">IFERROR(__xludf.DUMMYFUNCTION("""COMPUTED_VALUE"""),"MN")</f>
        <v>MN</v>
      </c>
      <c r="D57" s="30" t="str">
        <f ca="1">IFERROR(__xludf.DUMMYFUNCTION("""COMPUTED_VALUE"""),"Tp. Thủ Đức")</f>
        <v>Tp. Thủ Đức</v>
      </c>
      <c r="E57" s="31">
        <f ca="1">IFERROR(__xludf.DUMMYFUNCTION("""COMPUTED_VALUE"""),27)</f>
        <v>27</v>
      </c>
      <c r="F57" s="32">
        <f ca="1">IFERROR(__xludf.DUMMYFUNCTION("""COMPUTED_VALUE"""),27)</f>
        <v>27</v>
      </c>
      <c r="G57" s="13">
        <f t="shared" ca="1" si="0"/>
        <v>1</v>
      </c>
      <c r="H57" s="32">
        <f ca="1">IFERROR(__xludf.DUMMYFUNCTION("""COMPUTED_VALUE"""),27)</f>
        <v>27</v>
      </c>
      <c r="I57" s="13">
        <f t="shared" ca="1" si="1"/>
        <v>1</v>
      </c>
      <c r="J57" s="32">
        <f ca="1">IFERROR(__xludf.DUMMYFUNCTION("""COMPUTED_VALUE"""),27)</f>
        <v>27</v>
      </c>
      <c r="K57" s="13">
        <f t="shared" ca="1" si="2"/>
        <v>1</v>
      </c>
      <c r="L57" s="32">
        <f ca="1">IFERROR(__xludf.DUMMYFUNCTION("""COMPUTED_VALUE"""),11)</f>
        <v>11</v>
      </c>
      <c r="M57" s="13">
        <f t="shared" ca="1" si="3"/>
        <v>0.40740740740740738</v>
      </c>
      <c r="N57" s="31">
        <f ca="1">IFERROR(__xludf.DUMMYFUNCTION("""COMPUTED_VALUE"""),0)</f>
        <v>0</v>
      </c>
      <c r="O57" s="32">
        <f ca="1">IFERROR(__xludf.DUMMYFUNCTION("""COMPUTED_VALUE"""),0)</f>
        <v>0</v>
      </c>
      <c r="P57" s="13" t="str">
        <f t="shared" ca="1" si="4"/>
        <v/>
      </c>
      <c r="Q57" s="32">
        <f ca="1">IFERROR(__xludf.DUMMYFUNCTION("""COMPUTED_VALUE"""),0)</f>
        <v>0</v>
      </c>
      <c r="R57" s="13" t="str">
        <f t="shared" ca="1" si="5"/>
        <v/>
      </c>
      <c r="S57" s="31">
        <f ca="1">IFERROR(__xludf.DUMMYFUNCTION("""COMPUTED_VALUE"""),0)</f>
        <v>0</v>
      </c>
      <c r="T57" s="32">
        <f ca="1">IFERROR(__xludf.DUMMYFUNCTION("""COMPUTED_VALUE"""),0)</f>
        <v>0</v>
      </c>
      <c r="U57" s="13" t="str">
        <f t="shared" ca="1" si="6"/>
        <v/>
      </c>
      <c r="V57" s="32">
        <f ca="1">IFERROR(__xludf.DUMMYFUNCTION("""COMPUTED_VALUE"""),0)</f>
        <v>0</v>
      </c>
      <c r="W57" s="13" t="str">
        <f t="shared" ca="1" si="7"/>
        <v/>
      </c>
      <c r="X57" s="32">
        <f ca="1">IFERROR(__xludf.DUMMYFUNCTION("""COMPUTED_VALUE"""),0)</f>
        <v>0</v>
      </c>
      <c r="Y57" s="13" t="str">
        <f t="shared" ca="1" si="8"/>
        <v/>
      </c>
      <c r="Z57" s="2"/>
      <c r="AA57" s="2"/>
      <c r="AB57" s="2"/>
      <c r="AC57" s="2"/>
      <c r="AD57" s="2"/>
      <c r="AE57" s="2"/>
    </row>
    <row r="58" spans="1:31" ht="12.75" x14ac:dyDescent="0.2">
      <c r="A58" s="28">
        <f ca="1">IFERROR(__xludf.DUMMYFUNCTION("""COMPUTED_VALUE"""),52)</f>
        <v>52</v>
      </c>
      <c r="B58" s="29" t="str">
        <f ca="1">IFERROR(__xludf.DUMMYFUNCTION("""COMPUTED_VALUE"""),"MN Măng Non")</f>
        <v>MN Măng Non</v>
      </c>
      <c r="C58" s="33" t="str">
        <f ca="1">IFERROR(__xludf.DUMMYFUNCTION("""COMPUTED_VALUE"""),"MN")</f>
        <v>MN</v>
      </c>
      <c r="D58" s="30" t="str">
        <f ca="1">IFERROR(__xludf.DUMMYFUNCTION("""COMPUTED_VALUE"""),"Tp. Thủ Đức")</f>
        <v>Tp. Thủ Đức</v>
      </c>
      <c r="E58" s="31">
        <f ca="1">IFERROR(__xludf.DUMMYFUNCTION("""COMPUTED_VALUE"""),27)</f>
        <v>27</v>
      </c>
      <c r="F58" s="32">
        <f ca="1">IFERROR(__xludf.DUMMYFUNCTION("""COMPUTED_VALUE"""),27)</f>
        <v>27</v>
      </c>
      <c r="G58" s="13">
        <f t="shared" ca="1" si="0"/>
        <v>1</v>
      </c>
      <c r="H58" s="32">
        <f ca="1">IFERROR(__xludf.DUMMYFUNCTION("""COMPUTED_VALUE"""),27)</f>
        <v>27</v>
      </c>
      <c r="I58" s="13">
        <f t="shared" ca="1" si="1"/>
        <v>1</v>
      </c>
      <c r="J58" s="32">
        <f ca="1">IFERROR(__xludf.DUMMYFUNCTION("""COMPUTED_VALUE"""),27)</f>
        <v>27</v>
      </c>
      <c r="K58" s="13">
        <f t="shared" ca="1" si="2"/>
        <v>1</v>
      </c>
      <c r="L58" s="32">
        <f ca="1">IFERROR(__xludf.DUMMYFUNCTION("""COMPUTED_VALUE"""),8)</f>
        <v>8</v>
      </c>
      <c r="M58" s="13">
        <f t="shared" ca="1" si="3"/>
        <v>0.29629629629629628</v>
      </c>
      <c r="N58" s="31">
        <f ca="1">IFERROR(__xludf.DUMMYFUNCTION("""COMPUTED_VALUE"""),0)</f>
        <v>0</v>
      </c>
      <c r="O58" s="32">
        <f ca="1">IFERROR(__xludf.DUMMYFUNCTION("""COMPUTED_VALUE"""),0)</f>
        <v>0</v>
      </c>
      <c r="P58" s="13" t="str">
        <f t="shared" ca="1" si="4"/>
        <v/>
      </c>
      <c r="Q58" s="32">
        <f ca="1">IFERROR(__xludf.DUMMYFUNCTION("""COMPUTED_VALUE"""),0)</f>
        <v>0</v>
      </c>
      <c r="R58" s="13" t="str">
        <f t="shared" ca="1" si="5"/>
        <v/>
      </c>
      <c r="S58" s="31">
        <f ca="1">IFERROR(__xludf.DUMMYFUNCTION("""COMPUTED_VALUE"""),0)</f>
        <v>0</v>
      </c>
      <c r="T58" s="32">
        <f ca="1">IFERROR(__xludf.DUMMYFUNCTION("""COMPUTED_VALUE"""),0)</f>
        <v>0</v>
      </c>
      <c r="U58" s="13" t="str">
        <f t="shared" ca="1" si="6"/>
        <v/>
      </c>
      <c r="V58" s="32">
        <f ca="1">IFERROR(__xludf.DUMMYFUNCTION("""COMPUTED_VALUE"""),0)</f>
        <v>0</v>
      </c>
      <c r="W58" s="13" t="str">
        <f t="shared" ca="1" si="7"/>
        <v/>
      </c>
      <c r="X58" s="32">
        <f ca="1">IFERROR(__xludf.DUMMYFUNCTION("""COMPUTED_VALUE"""),0)</f>
        <v>0</v>
      </c>
      <c r="Y58" s="13" t="str">
        <f t="shared" ca="1" si="8"/>
        <v/>
      </c>
      <c r="Z58" s="2"/>
      <c r="AA58" s="2"/>
      <c r="AB58" s="2"/>
      <c r="AC58" s="2"/>
      <c r="AD58" s="2"/>
      <c r="AE58" s="2"/>
    </row>
    <row r="59" spans="1:31" ht="12.75" x14ac:dyDescent="0.2">
      <c r="A59" s="28">
        <f ca="1">IFERROR(__xludf.DUMMYFUNCTION("""COMPUTED_VALUE"""),53)</f>
        <v>53</v>
      </c>
      <c r="B59" s="29" t="str">
        <f ca="1">IFERROR(__xludf.DUMMYFUNCTION("""COMPUTED_VALUE"""),"MN Thảo Điền")</f>
        <v>MN Thảo Điền</v>
      </c>
      <c r="C59" s="33" t="str">
        <f ca="1">IFERROR(__xludf.DUMMYFUNCTION("""COMPUTED_VALUE"""),"MN")</f>
        <v>MN</v>
      </c>
      <c r="D59" s="30" t="str">
        <f ca="1">IFERROR(__xludf.DUMMYFUNCTION("""COMPUTED_VALUE"""),"Tp. Thủ Đức")</f>
        <v>Tp. Thủ Đức</v>
      </c>
      <c r="E59" s="31">
        <f ca="1">IFERROR(__xludf.DUMMYFUNCTION("""COMPUTED_VALUE"""),28)</f>
        <v>28</v>
      </c>
      <c r="F59" s="32">
        <f ca="1">IFERROR(__xludf.DUMMYFUNCTION("""COMPUTED_VALUE"""),28)</f>
        <v>28</v>
      </c>
      <c r="G59" s="13">
        <f t="shared" ca="1" si="0"/>
        <v>1</v>
      </c>
      <c r="H59" s="32">
        <f ca="1">IFERROR(__xludf.DUMMYFUNCTION("""COMPUTED_VALUE"""),28)</f>
        <v>28</v>
      </c>
      <c r="I59" s="13">
        <f t="shared" ca="1" si="1"/>
        <v>1</v>
      </c>
      <c r="J59" s="32">
        <f ca="1">IFERROR(__xludf.DUMMYFUNCTION("""COMPUTED_VALUE"""),28)</f>
        <v>28</v>
      </c>
      <c r="K59" s="13">
        <f t="shared" ca="1" si="2"/>
        <v>1</v>
      </c>
      <c r="L59" s="32">
        <f ca="1">IFERROR(__xludf.DUMMYFUNCTION("""COMPUTED_VALUE"""),16)</f>
        <v>16</v>
      </c>
      <c r="M59" s="13">
        <f t="shared" ca="1" si="3"/>
        <v>0.5714285714285714</v>
      </c>
      <c r="N59" s="31">
        <f ca="1">IFERROR(__xludf.DUMMYFUNCTION("""COMPUTED_VALUE"""),0)</f>
        <v>0</v>
      </c>
      <c r="O59" s="32">
        <f ca="1">IFERROR(__xludf.DUMMYFUNCTION("""COMPUTED_VALUE"""),0)</f>
        <v>0</v>
      </c>
      <c r="P59" s="13" t="str">
        <f t="shared" ca="1" si="4"/>
        <v/>
      </c>
      <c r="Q59" s="32">
        <f ca="1">IFERROR(__xludf.DUMMYFUNCTION("""COMPUTED_VALUE"""),0)</f>
        <v>0</v>
      </c>
      <c r="R59" s="13" t="str">
        <f t="shared" ca="1" si="5"/>
        <v/>
      </c>
      <c r="S59" s="31">
        <f ca="1">IFERROR(__xludf.DUMMYFUNCTION("""COMPUTED_VALUE"""),0)</f>
        <v>0</v>
      </c>
      <c r="T59" s="32">
        <f ca="1">IFERROR(__xludf.DUMMYFUNCTION("""COMPUTED_VALUE"""),0)</f>
        <v>0</v>
      </c>
      <c r="U59" s="13" t="str">
        <f t="shared" ca="1" si="6"/>
        <v/>
      </c>
      <c r="V59" s="32">
        <f ca="1">IFERROR(__xludf.DUMMYFUNCTION("""COMPUTED_VALUE"""),0)</f>
        <v>0</v>
      </c>
      <c r="W59" s="13" t="str">
        <f t="shared" ca="1" si="7"/>
        <v/>
      </c>
      <c r="X59" s="32">
        <f ca="1">IFERROR(__xludf.DUMMYFUNCTION("""COMPUTED_VALUE"""),0)</f>
        <v>0</v>
      </c>
      <c r="Y59" s="13" t="str">
        <f t="shared" ca="1" si="8"/>
        <v/>
      </c>
      <c r="Z59" s="2"/>
      <c r="AA59" s="2"/>
      <c r="AB59" s="2"/>
      <c r="AC59" s="2"/>
      <c r="AD59" s="2"/>
      <c r="AE59" s="2"/>
    </row>
    <row r="60" spans="1:31" ht="12.75" x14ac:dyDescent="0.2">
      <c r="A60" s="28">
        <f ca="1">IFERROR(__xludf.DUMMYFUNCTION("""COMPUTED_VALUE"""),54)</f>
        <v>54</v>
      </c>
      <c r="B60" s="29" t="str">
        <f ca="1">IFERROR(__xludf.DUMMYFUNCTION("""COMPUTED_VALUE"""),"MN Vườn Hồng")</f>
        <v>MN Vườn Hồng</v>
      </c>
      <c r="C60" s="33" t="str">
        <f ca="1">IFERROR(__xludf.DUMMYFUNCTION("""COMPUTED_VALUE"""),"MN")</f>
        <v>MN</v>
      </c>
      <c r="D60" s="30" t="str">
        <f ca="1">IFERROR(__xludf.DUMMYFUNCTION("""COMPUTED_VALUE"""),"Tp. Thủ Đức")</f>
        <v>Tp. Thủ Đức</v>
      </c>
      <c r="E60" s="31">
        <f ca="1">IFERROR(__xludf.DUMMYFUNCTION("""COMPUTED_VALUE"""),48)</f>
        <v>48</v>
      </c>
      <c r="F60" s="32">
        <f ca="1">IFERROR(__xludf.DUMMYFUNCTION("""COMPUTED_VALUE"""),48)</f>
        <v>48</v>
      </c>
      <c r="G60" s="13">
        <f t="shared" ca="1" si="0"/>
        <v>1</v>
      </c>
      <c r="H60" s="32">
        <f ca="1">IFERROR(__xludf.DUMMYFUNCTION("""COMPUTED_VALUE"""),48)</f>
        <v>48</v>
      </c>
      <c r="I60" s="13">
        <f t="shared" ca="1" si="1"/>
        <v>1</v>
      </c>
      <c r="J60" s="32">
        <f ca="1">IFERROR(__xludf.DUMMYFUNCTION("""COMPUTED_VALUE"""),48)</f>
        <v>48</v>
      </c>
      <c r="K60" s="13">
        <f t="shared" ca="1" si="2"/>
        <v>1</v>
      </c>
      <c r="L60" s="32">
        <f ca="1">IFERROR(__xludf.DUMMYFUNCTION("""COMPUTED_VALUE"""),43)</f>
        <v>43</v>
      </c>
      <c r="M60" s="13">
        <f t="shared" ca="1" si="3"/>
        <v>0.89583333333333337</v>
      </c>
      <c r="N60" s="31">
        <f ca="1">IFERROR(__xludf.DUMMYFUNCTION("""COMPUTED_VALUE"""),0)</f>
        <v>0</v>
      </c>
      <c r="O60" s="32">
        <f ca="1">IFERROR(__xludf.DUMMYFUNCTION("""COMPUTED_VALUE"""),0)</f>
        <v>0</v>
      </c>
      <c r="P60" s="13" t="str">
        <f t="shared" ca="1" si="4"/>
        <v/>
      </c>
      <c r="Q60" s="32">
        <f ca="1">IFERROR(__xludf.DUMMYFUNCTION("""COMPUTED_VALUE"""),0)</f>
        <v>0</v>
      </c>
      <c r="R60" s="13" t="str">
        <f t="shared" ca="1" si="5"/>
        <v/>
      </c>
      <c r="S60" s="31">
        <f ca="1">IFERROR(__xludf.DUMMYFUNCTION("""COMPUTED_VALUE"""),0)</f>
        <v>0</v>
      </c>
      <c r="T60" s="32">
        <f ca="1">IFERROR(__xludf.DUMMYFUNCTION("""COMPUTED_VALUE"""),0)</f>
        <v>0</v>
      </c>
      <c r="U60" s="13" t="str">
        <f t="shared" ca="1" si="6"/>
        <v/>
      </c>
      <c r="V60" s="32">
        <f ca="1">IFERROR(__xludf.DUMMYFUNCTION("""COMPUTED_VALUE"""),0)</f>
        <v>0</v>
      </c>
      <c r="W60" s="13" t="str">
        <f t="shared" ca="1" si="7"/>
        <v/>
      </c>
      <c r="X60" s="32">
        <f ca="1">IFERROR(__xludf.DUMMYFUNCTION("""COMPUTED_VALUE"""),0)</f>
        <v>0</v>
      </c>
      <c r="Y60" s="13" t="str">
        <f t="shared" ca="1" si="8"/>
        <v/>
      </c>
      <c r="Z60" s="2"/>
      <c r="AA60" s="2"/>
      <c r="AB60" s="2"/>
      <c r="AC60" s="2"/>
      <c r="AD60" s="2"/>
      <c r="AE60" s="2"/>
    </row>
    <row r="61" spans="1:31" ht="12.75" x14ac:dyDescent="0.2">
      <c r="A61" s="28">
        <f ca="1">IFERROR(__xludf.DUMMYFUNCTION("""COMPUTED_VALUE"""),55)</f>
        <v>55</v>
      </c>
      <c r="B61" s="29" t="str">
        <f ca="1">IFERROR(__xludf.DUMMYFUNCTION("""COMPUTED_VALUE"""),"MN Sen Hồng")</f>
        <v>MN Sen Hồng</v>
      </c>
      <c r="C61" s="33" t="str">
        <f ca="1">IFERROR(__xludf.DUMMYFUNCTION("""COMPUTED_VALUE"""),"MN")</f>
        <v>MN</v>
      </c>
      <c r="D61" s="30" t="str">
        <f ca="1">IFERROR(__xludf.DUMMYFUNCTION("""COMPUTED_VALUE"""),"Tp. Thủ Đức")</f>
        <v>Tp. Thủ Đức</v>
      </c>
      <c r="E61" s="31">
        <f ca="1">IFERROR(__xludf.DUMMYFUNCTION("""COMPUTED_VALUE"""),31)</f>
        <v>31</v>
      </c>
      <c r="F61" s="32">
        <f ca="1">IFERROR(__xludf.DUMMYFUNCTION("""COMPUTED_VALUE"""),31)</f>
        <v>31</v>
      </c>
      <c r="G61" s="13">
        <f t="shared" ca="1" si="0"/>
        <v>1</v>
      </c>
      <c r="H61" s="32">
        <f ca="1">IFERROR(__xludf.DUMMYFUNCTION("""COMPUTED_VALUE"""),31)</f>
        <v>31</v>
      </c>
      <c r="I61" s="13">
        <f t="shared" ca="1" si="1"/>
        <v>1</v>
      </c>
      <c r="J61" s="32">
        <f ca="1">IFERROR(__xludf.DUMMYFUNCTION("""COMPUTED_VALUE"""),31)</f>
        <v>31</v>
      </c>
      <c r="K61" s="13">
        <f t="shared" ca="1" si="2"/>
        <v>1</v>
      </c>
      <c r="L61" s="32">
        <f ca="1">IFERROR(__xludf.DUMMYFUNCTION("""COMPUTED_VALUE"""),3)</f>
        <v>3</v>
      </c>
      <c r="M61" s="13">
        <f t="shared" ca="1" si="3"/>
        <v>9.6774193548387094E-2</v>
      </c>
      <c r="N61" s="31">
        <f ca="1">IFERROR(__xludf.DUMMYFUNCTION("""COMPUTED_VALUE"""),0)</f>
        <v>0</v>
      </c>
      <c r="O61" s="32">
        <f ca="1">IFERROR(__xludf.DUMMYFUNCTION("""COMPUTED_VALUE"""),0)</f>
        <v>0</v>
      </c>
      <c r="P61" s="13" t="str">
        <f t="shared" ca="1" si="4"/>
        <v/>
      </c>
      <c r="Q61" s="32">
        <f ca="1">IFERROR(__xludf.DUMMYFUNCTION("""COMPUTED_VALUE"""),0)</f>
        <v>0</v>
      </c>
      <c r="R61" s="13" t="str">
        <f t="shared" ca="1" si="5"/>
        <v/>
      </c>
      <c r="S61" s="31">
        <f ca="1">IFERROR(__xludf.DUMMYFUNCTION("""COMPUTED_VALUE"""),0)</f>
        <v>0</v>
      </c>
      <c r="T61" s="32">
        <f ca="1">IFERROR(__xludf.DUMMYFUNCTION("""COMPUTED_VALUE"""),0)</f>
        <v>0</v>
      </c>
      <c r="U61" s="13" t="str">
        <f t="shared" ca="1" si="6"/>
        <v/>
      </c>
      <c r="V61" s="32">
        <f ca="1">IFERROR(__xludf.DUMMYFUNCTION("""COMPUTED_VALUE"""),0)</f>
        <v>0</v>
      </c>
      <c r="W61" s="13" t="str">
        <f t="shared" ca="1" si="7"/>
        <v/>
      </c>
      <c r="X61" s="32">
        <f ca="1">IFERROR(__xludf.DUMMYFUNCTION("""COMPUTED_VALUE"""),0)</f>
        <v>0</v>
      </c>
      <c r="Y61" s="13" t="str">
        <f t="shared" ca="1" si="8"/>
        <v/>
      </c>
      <c r="Z61" s="2"/>
      <c r="AA61" s="2"/>
      <c r="AB61" s="2"/>
      <c r="AC61" s="2"/>
      <c r="AD61" s="2"/>
      <c r="AE61" s="2"/>
    </row>
    <row r="62" spans="1:31" ht="12.75" x14ac:dyDescent="0.2">
      <c r="A62" s="28">
        <f ca="1">IFERROR(__xludf.DUMMYFUNCTION("""COMPUTED_VALUE"""),56)</f>
        <v>56</v>
      </c>
      <c r="B62" s="29" t="str">
        <f ca="1">IFERROR(__xludf.DUMMYFUNCTION("""COMPUTED_VALUE"""),"MN An Phú")</f>
        <v>MN An Phú</v>
      </c>
      <c r="C62" s="33" t="str">
        <f ca="1">IFERROR(__xludf.DUMMYFUNCTION("""COMPUTED_VALUE"""),"MN")</f>
        <v>MN</v>
      </c>
      <c r="D62" s="30" t="str">
        <f ca="1">IFERROR(__xludf.DUMMYFUNCTION("""COMPUTED_VALUE"""),"Tp. Thủ Đức")</f>
        <v>Tp. Thủ Đức</v>
      </c>
      <c r="E62" s="31">
        <f ca="1">IFERROR(__xludf.DUMMYFUNCTION("""COMPUTED_VALUE"""),31)</f>
        <v>31</v>
      </c>
      <c r="F62" s="32">
        <f ca="1">IFERROR(__xludf.DUMMYFUNCTION("""COMPUTED_VALUE"""),31)</f>
        <v>31</v>
      </c>
      <c r="G62" s="13">
        <f t="shared" ca="1" si="0"/>
        <v>1</v>
      </c>
      <c r="H62" s="32">
        <f ca="1">IFERROR(__xludf.DUMMYFUNCTION("""COMPUTED_VALUE"""),31)</f>
        <v>31</v>
      </c>
      <c r="I62" s="13">
        <f t="shared" ca="1" si="1"/>
        <v>1</v>
      </c>
      <c r="J62" s="32">
        <f ca="1">IFERROR(__xludf.DUMMYFUNCTION("""COMPUTED_VALUE"""),30)</f>
        <v>30</v>
      </c>
      <c r="K62" s="13">
        <f t="shared" ca="1" si="2"/>
        <v>0.967741935483871</v>
      </c>
      <c r="L62" s="32">
        <f ca="1">IFERROR(__xludf.DUMMYFUNCTION("""COMPUTED_VALUE"""),6)</f>
        <v>6</v>
      </c>
      <c r="M62" s="13">
        <f t="shared" ca="1" si="3"/>
        <v>0.19354838709677419</v>
      </c>
      <c r="N62" s="31">
        <f ca="1">IFERROR(__xludf.DUMMYFUNCTION("""COMPUTED_VALUE"""),0)</f>
        <v>0</v>
      </c>
      <c r="O62" s="32">
        <f ca="1">IFERROR(__xludf.DUMMYFUNCTION("""COMPUTED_VALUE"""),0)</f>
        <v>0</v>
      </c>
      <c r="P62" s="13" t="str">
        <f t="shared" ca="1" si="4"/>
        <v/>
      </c>
      <c r="Q62" s="32">
        <f ca="1">IFERROR(__xludf.DUMMYFUNCTION("""COMPUTED_VALUE"""),0)</f>
        <v>0</v>
      </c>
      <c r="R62" s="13" t="str">
        <f t="shared" ca="1" si="5"/>
        <v/>
      </c>
      <c r="S62" s="31">
        <f ca="1">IFERROR(__xludf.DUMMYFUNCTION("""COMPUTED_VALUE"""),0)</f>
        <v>0</v>
      </c>
      <c r="T62" s="32">
        <f ca="1">IFERROR(__xludf.DUMMYFUNCTION("""COMPUTED_VALUE"""),0)</f>
        <v>0</v>
      </c>
      <c r="U62" s="13" t="str">
        <f t="shared" ca="1" si="6"/>
        <v/>
      </c>
      <c r="V62" s="32">
        <f ca="1">IFERROR(__xludf.DUMMYFUNCTION("""COMPUTED_VALUE"""),0)</f>
        <v>0</v>
      </c>
      <c r="W62" s="13" t="str">
        <f t="shared" ca="1" si="7"/>
        <v/>
      </c>
      <c r="X62" s="32">
        <f ca="1">IFERROR(__xludf.DUMMYFUNCTION("""COMPUTED_VALUE"""),0)</f>
        <v>0</v>
      </c>
      <c r="Y62" s="13" t="str">
        <f t="shared" ca="1" si="8"/>
        <v/>
      </c>
      <c r="Z62" s="2"/>
      <c r="AA62" s="2"/>
      <c r="AB62" s="2"/>
      <c r="AC62" s="2"/>
      <c r="AD62" s="2"/>
      <c r="AE62" s="2"/>
    </row>
    <row r="63" spans="1:31" ht="12.75" x14ac:dyDescent="0.2">
      <c r="A63" s="28">
        <f ca="1">IFERROR(__xludf.DUMMYFUNCTION("""COMPUTED_VALUE"""),57)</f>
        <v>57</v>
      </c>
      <c r="B63" s="29" t="str">
        <f ca="1">IFERROR(__xludf.DUMMYFUNCTION("""COMPUTED_VALUE"""),"MN Thạnh Mỹ Lợi")</f>
        <v>MN Thạnh Mỹ Lợi</v>
      </c>
      <c r="C63" s="33" t="str">
        <f ca="1">IFERROR(__xludf.DUMMYFUNCTION("""COMPUTED_VALUE"""),"MN")</f>
        <v>MN</v>
      </c>
      <c r="D63" s="30" t="str">
        <f ca="1">IFERROR(__xludf.DUMMYFUNCTION("""COMPUTED_VALUE"""),"Tp. Thủ Đức")</f>
        <v>Tp. Thủ Đức</v>
      </c>
      <c r="E63" s="31">
        <f ca="1">IFERROR(__xludf.DUMMYFUNCTION("""COMPUTED_VALUE"""),28)</f>
        <v>28</v>
      </c>
      <c r="F63" s="32">
        <f ca="1">IFERROR(__xludf.DUMMYFUNCTION("""COMPUTED_VALUE"""),28)</f>
        <v>28</v>
      </c>
      <c r="G63" s="13">
        <f t="shared" ca="1" si="0"/>
        <v>1</v>
      </c>
      <c r="H63" s="32">
        <f ca="1">IFERROR(__xludf.DUMMYFUNCTION("""COMPUTED_VALUE"""),28)</f>
        <v>28</v>
      </c>
      <c r="I63" s="13">
        <f t="shared" ca="1" si="1"/>
        <v>1</v>
      </c>
      <c r="J63" s="32">
        <f ca="1">IFERROR(__xludf.DUMMYFUNCTION("""COMPUTED_VALUE"""),28)</f>
        <v>28</v>
      </c>
      <c r="K63" s="13">
        <f t="shared" ca="1" si="2"/>
        <v>1</v>
      </c>
      <c r="L63" s="32">
        <f ca="1">IFERROR(__xludf.DUMMYFUNCTION("""COMPUTED_VALUE"""),25)</f>
        <v>25</v>
      </c>
      <c r="M63" s="13">
        <f t="shared" ca="1" si="3"/>
        <v>0.8928571428571429</v>
      </c>
      <c r="N63" s="31">
        <f ca="1">IFERROR(__xludf.DUMMYFUNCTION("""COMPUTED_VALUE"""),0)</f>
        <v>0</v>
      </c>
      <c r="O63" s="32">
        <f ca="1">IFERROR(__xludf.DUMMYFUNCTION("""COMPUTED_VALUE"""),0)</f>
        <v>0</v>
      </c>
      <c r="P63" s="13" t="str">
        <f t="shared" ca="1" si="4"/>
        <v/>
      </c>
      <c r="Q63" s="32">
        <f ca="1">IFERROR(__xludf.DUMMYFUNCTION("""COMPUTED_VALUE"""),0)</f>
        <v>0</v>
      </c>
      <c r="R63" s="13" t="str">
        <f t="shared" ca="1" si="5"/>
        <v/>
      </c>
      <c r="S63" s="31">
        <f ca="1">IFERROR(__xludf.DUMMYFUNCTION("""COMPUTED_VALUE"""),0)</f>
        <v>0</v>
      </c>
      <c r="T63" s="32">
        <f ca="1">IFERROR(__xludf.DUMMYFUNCTION("""COMPUTED_VALUE"""),0)</f>
        <v>0</v>
      </c>
      <c r="U63" s="13" t="str">
        <f t="shared" ca="1" si="6"/>
        <v/>
      </c>
      <c r="V63" s="32">
        <f ca="1">IFERROR(__xludf.DUMMYFUNCTION("""COMPUTED_VALUE"""),0)</f>
        <v>0</v>
      </c>
      <c r="W63" s="13" t="str">
        <f t="shared" ca="1" si="7"/>
        <v/>
      </c>
      <c r="X63" s="32">
        <f ca="1">IFERROR(__xludf.DUMMYFUNCTION("""COMPUTED_VALUE"""),0)</f>
        <v>0</v>
      </c>
      <c r="Y63" s="13" t="str">
        <f t="shared" ca="1" si="8"/>
        <v/>
      </c>
      <c r="Z63" s="2"/>
      <c r="AA63" s="2"/>
      <c r="AB63" s="2"/>
      <c r="AC63" s="2"/>
      <c r="AD63" s="2"/>
      <c r="AE63" s="2"/>
    </row>
    <row r="64" spans="1:31" ht="12.75" x14ac:dyDescent="0.2">
      <c r="A64" s="28">
        <f ca="1">IFERROR(__xludf.DUMMYFUNCTION("""COMPUTED_VALUE"""),58)</f>
        <v>58</v>
      </c>
      <c r="B64" s="29" t="str">
        <f ca="1">IFERROR(__xludf.DUMMYFUNCTION("""COMPUTED_VALUE"""),"MN Sơn Ca")</f>
        <v>MN Sơn Ca</v>
      </c>
      <c r="C64" s="33" t="str">
        <f ca="1">IFERROR(__xludf.DUMMYFUNCTION("""COMPUTED_VALUE"""),"MN")</f>
        <v>MN</v>
      </c>
      <c r="D64" s="30" t="str">
        <f ca="1">IFERROR(__xludf.DUMMYFUNCTION("""COMPUTED_VALUE"""),"Tp. Thủ Đức")</f>
        <v>Tp. Thủ Đức</v>
      </c>
      <c r="E64" s="31">
        <f ca="1">IFERROR(__xludf.DUMMYFUNCTION("""COMPUTED_VALUE"""),36)</f>
        <v>36</v>
      </c>
      <c r="F64" s="32">
        <f ca="1">IFERROR(__xludf.DUMMYFUNCTION("""COMPUTED_VALUE"""),36)</f>
        <v>36</v>
      </c>
      <c r="G64" s="13">
        <f t="shared" ca="1" si="0"/>
        <v>1</v>
      </c>
      <c r="H64" s="32">
        <f ca="1">IFERROR(__xludf.DUMMYFUNCTION("""COMPUTED_VALUE"""),36)</f>
        <v>36</v>
      </c>
      <c r="I64" s="13">
        <f t="shared" ca="1" si="1"/>
        <v>1</v>
      </c>
      <c r="J64" s="32">
        <f ca="1">IFERROR(__xludf.DUMMYFUNCTION("""COMPUTED_VALUE"""),36)</f>
        <v>36</v>
      </c>
      <c r="K64" s="13">
        <f t="shared" ca="1" si="2"/>
        <v>1</v>
      </c>
      <c r="L64" s="32">
        <f ca="1">IFERROR(__xludf.DUMMYFUNCTION("""COMPUTED_VALUE"""),15)</f>
        <v>15</v>
      </c>
      <c r="M64" s="13">
        <f t="shared" ca="1" si="3"/>
        <v>0.41666666666666669</v>
      </c>
      <c r="N64" s="31">
        <f ca="1">IFERROR(__xludf.DUMMYFUNCTION("""COMPUTED_VALUE"""),0)</f>
        <v>0</v>
      </c>
      <c r="O64" s="32">
        <f ca="1">IFERROR(__xludf.DUMMYFUNCTION("""COMPUTED_VALUE"""),0)</f>
        <v>0</v>
      </c>
      <c r="P64" s="13" t="str">
        <f t="shared" ca="1" si="4"/>
        <v/>
      </c>
      <c r="Q64" s="32">
        <f ca="1">IFERROR(__xludf.DUMMYFUNCTION("""COMPUTED_VALUE"""),0)</f>
        <v>0</v>
      </c>
      <c r="R64" s="13" t="str">
        <f t="shared" ca="1" si="5"/>
        <v/>
      </c>
      <c r="S64" s="31">
        <f ca="1">IFERROR(__xludf.DUMMYFUNCTION("""COMPUTED_VALUE"""),0)</f>
        <v>0</v>
      </c>
      <c r="T64" s="32">
        <f ca="1">IFERROR(__xludf.DUMMYFUNCTION("""COMPUTED_VALUE"""),0)</f>
        <v>0</v>
      </c>
      <c r="U64" s="13" t="str">
        <f t="shared" ca="1" si="6"/>
        <v/>
      </c>
      <c r="V64" s="32">
        <f ca="1">IFERROR(__xludf.DUMMYFUNCTION("""COMPUTED_VALUE"""),0)</f>
        <v>0</v>
      </c>
      <c r="W64" s="13" t="str">
        <f t="shared" ca="1" si="7"/>
        <v/>
      </c>
      <c r="X64" s="32">
        <f ca="1">IFERROR(__xludf.DUMMYFUNCTION("""COMPUTED_VALUE"""),0)</f>
        <v>0</v>
      </c>
      <c r="Y64" s="13" t="str">
        <f t="shared" ca="1" si="8"/>
        <v/>
      </c>
      <c r="Z64" s="2"/>
      <c r="AA64" s="2"/>
      <c r="AB64" s="2"/>
      <c r="AC64" s="2"/>
      <c r="AD64" s="2"/>
      <c r="AE64" s="2"/>
    </row>
    <row r="65" spans="1:31" ht="12.75" x14ac:dyDescent="0.2">
      <c r="A65" s="28">
        <f ca="1">IFERROR(__xludf.DUMMYFUNCTION("""COMPUTED_VALUE"""),59)</f>
        <v>59</v>
      </c>
      <c r="B65" s="29" t="str">
        <f ca="1">IFERROR(__xludf.DUMMYFUNCTION("""COMPUTED_VALUE"""),"MN Vành Khuyên 1")</f>
        <v>MN Vành Khuyên 1</v>
      </c>
      <c r="C65" s="33" t="str">
        <f ca="1">IFERROR(__xludf.DUMMYFUNCTION("""COMPUTED_VALUE"""),"MN")</f>
        <v>MN</v>
      </c>
      <c r="D65" s="30" t="str">
        <f ca="1">IFERROR(__xludf.DUMMYFUNCTION("""COMPUTED_VALUE"""),"Tp. Thủ Đức")</f>
        <v>Tp. Thủ Đức</v>
      </c>
      <c r="E65" s="31">
        <f ca="1">IFERROR(__xludf.DUMMYFUNCTION("""COMPUTED_VALUE"""),35)</f>
        <v>35</v>
      </c>
      <c r="F65" s="32">
        <f ca="1">IFERROR(__xludf.DUMMYFUNCTION("""COMPUTED_VALUE"""),35)</f>
        <v>35</v>
      </c>
      <c r="G65" s="13">
        <f t="shared" ca="1" si="0"/>
        <v>1</v>
      </c>
      <c r="H65" s="32">
        <f ca="1">IFERROR(__xludf.DUMMYFUNCTION("""COMPUTED_VALUE"""),35)</f>
        <v>35</v>
      </c>
      <c r="I65" s="13">
        <f t="shared" ca="1" si="1"/>
        <v>1</v>
      </c>
      <c r="J65" s="32">
        <f ca="1">IFERROR(__xludf.DUMMYFUNCTION("""COMPUTED_VALUE"""),34)</f>
        <v>34</v>
      </c>
      <c r="K65" s="13">
        <f t="shared" ca="1" si="2"/>
        <v>0.97142857142857142</v>
      </c>
      <c r="L65" s="32">
        <f ca="1">IFERROR(__xludf.DUMMYFUNCTION("""COMPUTED_VALUE"""),3)</f>
        <v>3</v>
      </c>
      <c r="M65" s="13">
        <f t="shared" ca="1" si="3"/>
        <v>8.5714285714285715E-2</v>
      </c>
      <c r="N65" s="31">
        <f ca="1">IFERROR(__xludf.DUMMYFUNCTION("""COMPUTED_VALUE"""),0)</f>
        <v>0</v>
      </c>
      <c r="O65" s="32">
        <f ca="1">IFERROR(__xludf.DUMMYFUNCTION("""COMPUTED_VALUE"""),0)</f>
        <v>0</v>
      </c>
      <c r="P65" s="13" t="str">
        <f t="shared" ca="1" si="4"/>
        <v/>
      </c>
      <c r="Q65" s="32">
        <f ca="1">IFERROR(__xludf.DUMMYFUNCTION("""COMPUTED_VALUE"""),0)</f>
        <v>0</v>
      </c>
      <c r="R65" s="13" t="str">
        <f t="shared" ca="1" si="5"/>
        <v/>
      </c>
      <c r="S65" s="31">
        <f ca="1">IFERROR(__xludf.DUMMYFUNCTION("""COMPUTED_VALUE"""),0)</f>
        <v>0</v>
      </c>
      <c r="T65" s="32">
        <f ca="1">IFERROR(__xludf.DUMMYFUNCTION("""COMPUTED_VALUE"""),0)</f>
        <v>0</v>
      </c>
      <c r="U65" s="13" t="str">
        <f t="shared" ca="1" si="6"/>
        <v/>
      </c>
      <c r="V65" s="32">
        <f ca="1">IFERROR(__xludf.DUMMYFUNCTION("""COMPUTED_VALUE"""),0)</f>
        <v>0</v>
      </c>
      <c r="W65" s="13" t="str">
        <f t="shared" ca="1" si="7"/>
        <v/>
      </c>
      <c r="X65" s="32">
        <f ca="1">IFERROR(__xludf.DUMMYFUNCTION("""COMPUTED_VALUE"""),0)</f>
        <v>0</v>
      </c>
      <c r="Y65" s="13" t="str">
        <f t="shared" ca="1" si="8"/>
        <v/>
      </c>
      <c r="Z65" s="2"/>
      <c r="AA65" s="2"/>
      <c r="AB65" s="2"/>
      <c r="AC65" s="2"/>
      <c r="AD65" s="2"/>
      <c r="AE65" s="2"/>
    </row>
    <row r="66" spans="1:31" ht="12.75" x14ac:dyDescent="0.2">
      <c r="A66" s="28">
        <f ca="1">IFERROR(__xludf.DUMMYFUNCTION("""COMPUTED_VALUE"""),60)</f>
        <v>60</v>
      </c>
      <c r="B66" s="29"/>
      <c r="C66" s="29"/>
      <c r="D66" s="30" t="str">
        <f ca="1">IFERROR(__xludf.DUMMYFUNCTION("""COMPUTED_VALUE"""),"Tp. Thủ Đức")</f>
        <v>Tp. Thủ Đức</v>
      </c>
      <c r="E66" s="31">
        <f ca="1">IFERROR(__xludf.DUMMYFUNCTION("""COMPUTED_VALUE"""),16)</f>
        <v>16</v>
      </c>
      <c r="F66" s="32">
        <f ca="1">IFERROR(__xludf.DUMMYFUNCTION("""COMPUTED_VALUE"""),16)</f>
        <v>16</v>
      </c>
      <c r="G66" s="13">
        <f t="shared" ca="1" si="0"/>
        <v>1</v>
      </c>
      <c r="H66" s="32">
        <f ca="1">IFERROR(__xludf.DUMMYFUNCTION("""COMPUTED_VALUE"""),16)</f>
        <v>16</v>
      </c>
      <c r="I66" s="13">
        <f t="shared" ca="1" si="1"/>
        <v>1</v>
      </c>
      <c r="J66" s="32">
        <f ca="1">IFERROR(__xludf.DUMMYFUNCTION("""COMPUTED_VALUE"""),16)</f>
        <v>16</v>
      </c>
      <c r="K66" s="13">
        <f t="shared" ca="1" si="2"/>
        <v>1</v>
      </c>
      <c r="L66" s="32">
        <f ca="1">IFERROR(__xludf.DUMMYFUNCTION("""COMPUTED_VALUE"""),5)</f>
        <v>5</v>
      </c>
      <c r="M66" s="13">
        <f t="shared" ca="1" si="3"/>
        <v>0.3125</v>
      </c>
      <c r="N66" s="31">
        <f ca="1">IFERROR(__xludf.DUMMYFUNCTION("""COMPUTED_VALUE"""),0)</f>
        <v>0</v>
      </c>
      <c r="O66" s="32">
        <f ca="1">IFERROR(__xludf.DUMMYFUNCTION("""COMPUTED_VALUE"""),0)</f>
        <v>0</v>
      </c>
      <c r="P66" s="13" t="str">
        <f t="shared" ca="1" si="4"/>
        <v/>
      </c>
      <c r="Q66" s="32">
        <f ca="1">IFERROR(__xludf.DUMMYFUNCTION("""COMPUTED_VALUE"""),0)</f>
        <v>0</v>
      </c>
      <c r="R66" s="13" t="str">
        <f t="shared" ca="1" si="5"/>
        <v/>
      </c>
      <c r="S66" s="31">
        <f ca="1">IFERROR(__xludf.DUMMYFUNCTION("""COMPUTED_VALUE"""),0)</f>
        <v>0</v>
      </c>
      <c r="T66" s="32">
        <f ca="1">IFERROR(__xludf.DUMMYFUNCTION("""COMPUTED_VALUE"""),0)</f>
        <v>0</v>
      </c>
      <c r="U66" s="13" t="str">
        <f t="shared" ca="1" si="6"/>
        <v/>
      </c>
      <c r="V66" s="32">
        <f ca="1">IFERROR(__xludf.DUMMYFUNCTION("""COMPUTED_VALUE"""),0)</f>
        <v>0</v>
      </c>
      <c r="W66" s="13" t="str">
        <f t="shared" ca="1" si="7"/>
        <v/>
      </c>
      <c r="X66" s="32">
        <f ca="1">IFERROR(__xludf.DUMMYFUNCTION("""COMPUTED_VALUE"""),0)</f>
        <v>0</v>
      </c>
      <c r="Y66" s="13" t="str">
        <f t="shared" ca="1" si="8"/>
        <v/>
      </c>
      <c r="Z66" s="2"/>
      <c r="AA66" s="2"/>
      <c r="AB66" s="2"/>
      <c r="AC66" s="2"/>
      <c r="AD66" s="2"/>
      <c r="AE66" s="2"/>
    </row>
    <row r="67" spans="1:31" ht="12.75" x14ac:dyDescent="0.2">
      <c r="A67" s="28">
        <f ca="1">IFERROR(__xludf.DUMMYFUNCTION("""COMPUTED_VALUE"""),61)</f>
        <v>61</v>
      </c>
      <c r="B67" s="29" t="str">
        <f ca="1">IFERROR(__xludf.DUMMYFUNCTION("""COMPUTED_VALUE"""),"MN Hoa Sen 1")</f>
        <v>MN Hoa Sen 1</v>
      </c>
      <c r="C67" s="33" t="str">
        <f ca="1">IFERROR(__xludf.DUMMYFUNCTION("""COMPUTED_VALUE"""),"MN")</f>
        <v>MN</v>
      </c>
      <c r="D67" s="30" t="str">
        <f ca="1">IFERROR(__xludf.DUMMYFUNCTION("""COMPUTED_VALUE"""),"Tp. Thủ Đức")</f>
        <v>Tp. Thủ Đức</v>
      </c>
      <c r="E67" s="31">
        <f ca="1">IFERROR(__xludf.DUMMYFUNCTION("""COMPUTED_VALUE"""),19)</f>
        <v>19</v>
      </c>
      <c r="F67" s="32">
        <f ca="1">IFERROR(__xludf.DUMMYFUNCTION("""COMPUTED_VALUE"""),19)</f>
        <v>19</v>
      </c>
      <c r="G67" s="13">
        <f t="shared" ca="1" si="0"/>
        <v>1</v>
      </c>
      <c r="H67" s="32">
        <f ca="1">IFERROR(__xludf.DUMMYFUNCTION("""COMPUTED_VALUE"""),19)</f>
        <v>19</v>
      </c>
      <c r="I67" s="13">
        <f t="shared" ca="1" si="1"/>
        <v>1</v>
      </c>
      <c r="J67" s="32">
        <f ca="1">IFERROR(__xludf.DUMMYFUNCTION("""COMPUTED_VALUE"""),19)</f>
        <v>19</v>
      </c>
      <c r="K67" s="13">
        <f t="shared" ca="1" si="2"/>
        <v>1</v>
      </c>
      <c r="L67" s="32">
        <f ca="1">IFERROR(__xludf.DUMMYFUNCTION("""COMPUTED_VALUE"""),19)</f>
        <v>19</v>
      </c>
      <c r="M67" s="13">
        <f t="shared" ca="1" si="3"/>
        <v>1</v>
      </c>
      <c r="N67" s="31">
        <f ca="1">IFERROR(__xludf.DUMMYFUNCTION("""COMPUTED_VALUE"""),0)</f>
        <v>0</v>
      </c>
      <c r="O67" s="32">
        <f ca="1">IFERROR(__xludf.DUMMYFUNCTION("""COMPUTED_VALUE"""),0)</f>
        <v>0</v>
      </c>
      <c r="P67" s="13" t="str">
        <f t="shared" ca="1" si="4"/>
        <v/>
      </c>
      <c r="Q67" s="32">
        <f ca="1">IFERROR(__xludf.DUMMYFUNCTION("""COMPUTED_VALUE"""),0)</f>
        <v>0</v>
      </c>
      <c r="R67" s="13" t="str">
        <f t="shared" ca="1" si="5"/>
        <v/>
      </c>
      <c r="S67" s="31">
        <f ca="1">IFERROR(__xludf.DUMMYFUNCTION("""COMPUTED_VALUE"""),0)</f>
        <v>0</v>
      </c>
      <c r="T67" s="32">
        <f ca="1">IFERROR(__xludf.DUMMYFUNCTION("""COMPUTED_VALUE"""),0)</f>
        <v>0</v>
      </c>
      <c r="U67" s="13" t="str">
        <f t="shared" ca="1" si="6"/>
        <v/>
      </c>
      <c r="V67" s="32">
        <f ca="1">IFERROR(__xludf.DUMMYFUNCTION("""COMPUTED_VALUE"""),0)</f>
        <v>0</v>
      </c>
      <c r="W67" s="13" t="str">
        <f t="shared" ca="1" si="7"/>
        <v/>
      </c>
      <c r="X67" s="32">
        <f ca="1">IFERROR(__xludf.DUMMYFUNCTION("""COMPUTED_VALUE"""),0)</f>
        <v>0</v>
      </c>
      <c r="Y67" s="13" t="str">
        <f t="shared" ca="1" si="8"/>
        <v/>
      </c>
      <c r="Z67" s="2"/>
      <c r="AA67" s="2"/>
      <c r="AB67" s="2"/>
      <c r="AC67" s="2"/>
      <c r="AD67" s="2"/>
      <c r="AE67" s="2"/>
    </row>
    <row r="68" spans="1:31" ht="12.75" x14ac:dyDescent="0.2">
      <c r="A68" s="34"/>
      <c r="B68" s="35" t="str">
        <f ca="1">IFERROR(__xludf.DUMMYFUNCTION("""COMPUTED_VALUE"""),"MẦM NON NGOÀI CÔNG LẬP - KHU VỰC 1")</f>
        <v>MẦM NON NGOÀI CÔNG LẬP - KHU VỰC 1</v>
      </c>
      <c r="C68" s="35"/>
      <c r="D68" s="36"/>
      <c r="E68" s="37"/>
      <c r="F68" s="38"/>
      <c r="G68" s="13" t="str">
        <f t="shared" si="0"/>
        <v/>
      </c>
      <c r="H68" s="38"/>
      <c r="I68" s="13" t="str">
        <f t="shared" si="1"/>
        <v/>
      </c>
      <c r="J68" s="38"/>
      <c r="K68" s="13" t="str">
        <f t="shared" si="2"/>
        <v/>
      </c>
      <c r="L68" s="38"/>
      <c r="M68" s="13" t="str">
        <f t="shared" si="3"/>
        <v/>
      </c>
      <c r="N68" s="37"/>
      <c r="O68" s="38"/>
      <c r="P68" s="13" t="str">
        <f t="shared" si="4"/>
        <v/>
      </c>
      <c r="Q68" s="38"/>
      <c r="R68" s="13" t="str">
        <f t="shared" si="5"/>
        <v/>
      </c>
      <c r="S68" s="37"/>
      <c r="T68" s="38"/>
      <c r="U68" s="13" t="str">
        <f t="shared" si="6"/>
        <v/>
      </c>
      <c r="V68" s="38"/>
      <c r="W68" s="13" t="str">
        <f t="shared" si="7"/>
        <v/>
      </c>
      <c r="X68" s="38"/>
      <c r="Y68" s="13" t="str">
        <f t="shared" si="8"/>
        <v/>
      </c>
      <c r="Z68" s="2"/>
      <c r="AA68" s="2"/>
      <c r="AB68" s="2"/>
      <c r="AC68" s="2"/>
      <c r="AD68" s="2"/>
      <c r="AE68" s="2"/>
    </row>
    <row r="69" spans="1:31" ht="12.75" x14ac:dyDescent="0.2">
      <c r="A69" s="28">
        <f ca="1">IFERROR(__xludf.DUMMYFUNCTION("""COMPUTED_VALUE"""),1)</f>
        <v>1</v>
      </c>
      <c r="B69" s="29" t="str">
        <f ca="1">IFERROR(__xludf.DUMMYFUNCTION("""COMPUTED_VALUE"""),"MN Bình Minh")</f>
        <v>MN Bình Minh</v>
      </c>
      <c r="C69" s="33" t="str">
        <f ca="1">IFERROR(__xludf.DUMMYFUNCTION("""COMPUTED_VALUE"""),"MN")</f>
        <v>MN</v>
      </c>
      <c r="D69" s="30" t="str">
        <f ca="1">IFERROR(__xludf.DUMMYFUNCTION("""COMPUTED_VALUE"""),"Tp. Thủ Đức")</f>
        <v>Tp. Thủ Đức</v>
      </c>
      <c r="E69" s="31">
        <f ca="1">IFERROR(__xludf.DUMMYFUNCTION("""COMPUTED_VALUE"""),65)</f>
        <v>65</v>
      </c>
      <c r="F69" s="32">
        <f ca="1">IFERROR(__xludf.DUMMYFUNCTION("""COMPUTED_VALUE"""),65)</f>
        <v>65</v>
      </c>
      <c r="G69" s="13">
        <f t="shared" ca="1" si="0"/>
        <v>1</v>
      </c>
      <c r="H69" s="32">
        <f ca="1">IFERROR(__xludf.DUMMYFUNCTION("""COMPUTED_VALUE"""),65)</f>
        <v>65</v>
      </c>
      <c r="I69" s="13">
        <f t="shared" ca="1" si="1"/>
        <v>1</v>
      </c>
      <c r="J69" s="32">
        <f ca="1">IFERROR(__xludf.DUMMYFUNCTION("""COMPUTED_VALUE"""),65)</f>
        <v>65</v>
      </c>
      <c r="K69" s="13">
        <f t="shared" ca="1" si="2"/>
        <v>1</v>
      </c>
      <c r="L69" s="32">
        <f ca="1">IFERROR(__xludf.DUMMYFUNCTION("""COMPUTED_VALUE"""),4)</f>
        <v>4</v>
      </c>
      <c r="M69" s="13">
        <f t="shared" ca="1" si="3"/>
        <v>6.1538461538461542E-2</v>
      </c>
      <c r="N69" s="31">
        <f ca="1">IFERROR(__xludf.DUMMYFUNCTION("""COMPUTED_VALUE"""),0)</f>
        <v>0</v>
      </c>
      <c r="O69" s="32">
        <f ca="1">IFERROR(__xludf.DUMMYFUNCTION("""COMPUTED_VALUE"""),0)</f>
        <v>0</v>
      </c>
      <c r="P69" s="13" t="str">
        <f t="shared" ca="1" si="4"/>
        <v/>
      </c>
      <c r="Q69" s="32">
        <f ca="1">IFERROR(__xludf.DUMMYFUNCTION("""COMPUTED_VALUE"""),0)</f>
        <v>0</v>
      </c>
      <c r="R69" s="13" t="str">
        <f t="shared" ca="1" si="5"/>
        <v/>
      </c>
      <c r="S69" s="31">
        <f ca="1">IFERROR(__xludf.DUMMYFUNCTION("""COMPUTED_VALUE"""),0)</f>
        <v>0</v>
      </c>
      <c r="T69" s="32">
        <f ca="1">IFERROR(__xludf.DUMMYFUNCTION("""COMPUTED_VALUE"""),0)</f>
        <v>0</v>
      </c>
      <c r="U69" s="13" t="str">
        <f t="shared" ca="1" si="6"/>
        <v/>
      </c>
      <c r="V69" s="32">
        <f ca="1">IFERROR(__xludf.DUMMYFUNCTION("""COMPUTED_VALUE"""),0)</f>
        <v>0</v>
      </c>
      <c r="W69" s="13" t="str">
        <f t="shared" ca="1" si="7"/>
        <v/>
      </c>
      <c r="X69" s="32">
        <f ca="1">IFERROR(__xludf.DUMMYFUNCTION("""COMPUTED_VALUE"""),0)</f>
        <v>0</v>
      </c>
      <c r="Y69" s="13" t="str">
        <f t="shared" ca="1" si="8"/>
        <v/>
      </c>
      <c r="Z69" s="2"/>
      <c r="AA69" s="2"/>
      <c r="AB69" s="2"/>
      <c r="AC69" s="2"/>
      <c r="AD69" s="2"/>
      <c r="AE69" s="2"/>
    </row>
    <row r="70" spans="1:31" ht="12.75" x14ac:dyDescent="0.2">
      <c r="A70" s="28">
        <f ca="1">IFERROR(__xludf.DUMMYFUNCTION("""COMPUTED_VALUE"""),2)</f>
        <v>2</v>
      </c>
      <c r="B70" s="29" t="str">
        <f ca="1">IFERROR(__xludf.DUMMYFUNCTION("""COMPUTED_VALUE"""),"MN Tân Đông")</f>
        <v>MN Tân Đông</v>
      </c>
      <c r="C70" s="33" t="str">
        <f ca="1">IFERROR(__xludf.DUMMYFUNCTION("""COMPUTED_VALUE"""),"MN")</f>
        <v>MN</v>
      </c>
      <c r="D70" s="30" t="str">
        <f ca="1">IFERROR(__xludf.DUMMYFUNCTION("""COMPUTED_VALUE"""),"Tp. Thủ Đức")</f>
        <v>Tp. Thủ Đức</v>
      </c>
      <c r="E70" s="31">
        <f ca="1">IFERROR(__xludf.DUMMYFUNCTION("""COMPUTED_VALUE"""),18)</f>
        <v>18</v>
      </c>
      <c r="F70" s="32">
        <f ca="1">IFERROR(__xludf.DUMMYFUNCTION("""COMPUTED_VALUE"""),18)</f>
        <v>18</v>
      </c>
      <c r="G70" s="13">
        <f t="shared" ref="G70:G78" ca="1" si="9">IFERROR(F70/E70,"")</f>
        <v>1</v>
      </c>
      <c r="H70" s="32">
        <f ca="1">IFERROR(__xludf.DUMMYFUNCTION("""COMPUTED_VALUE"""),18)</f>
        <v>18</v>
      </c>
      <c r="I70" s="13">
        <f t="shared" ref="I70:I78" ca="1" si="10">IFERROR(H70/E70,"")</f>
        <v>1</v>
      </c>
      <c r="J70" s="32">
        <f ca="1">IFERROR(__xludf.DUMMYFUNCTION("""COMPUTED_VALUE"""),14)</f>
        <v>14</v>
      </c>
      <c r="K70" s="13">
        <f t="shared" ref="K70:K78" ca="1" si="11">IFERROR(J70/E70,"")</f>
        <v>0.77777777777777779</v>
      </c>
      <c r="L70" s="32">
        <f ca="1">IFERROR(__xludf.DUMMYFUNCTION("""COMPUTED_VALUE"""),1)</f>
        <v>1</v>
      </c>
      <c r="M70" s="13">
        <f t="shared" ref="M70:M78" ca="1" si="12">IFERROR(L70/E70,"")</f>
        <v>5.5555555555555552E-2</v>
      </c>
      <c r="N70" s="31">
        <f ca="1">IFERROR(__xludf.DUMMYFUNCTION("""COMPUTED_VALUE"""),0)</f>
        <v>0</v>
      </c>
      <c r="O70" s="32">
        <f ca="1">IFERROR(__xludf.DUMMYFUNCTION("""COMPUTED_VALUE"""),0)</f>
        <v>0</v>
      </c>
      <c r="P70" s="13" t="str">
        <f t="shared" ref="P70:P78" ca="1" si="13">IFERROR(O70/N70,"")</f>
        <v/>
      </c>
      <c r="Q70" s="32">
        <f ca="1">IFERROR(__xludf.DUMMYFUNCTION("""COMPUTED_VALUE"""),0)</f>
        <v>0</v>
      </c>
      <c r="R70" s="13" t="str">
        <f t="shared" ref="R70:R78" ca="1" si="14">IFERROR(Q70/N70,"")</f>
        <v/>
      </c>
      <c r="S70" s="31">
        <f ca="1">IFERROR(__xludf.DUMMYFUNCTION("""COMPUTED_VALUE"""),0)</f>
        <v>0</v>
      </c>
      <c r="T70" s="32">
        <f ca="1">IFERROR(__xludf.DUMMYFUNCTION("""COMPUTED_VALUE"""),0)</f>
        <v>0</v>
      </c>
      <c r="U70" s="13" t="str">
        <f t="shared" ref="U70:U78" ca="1" si="15">IFERROR(T70/S70,"")</f>
        <v/>
      </c>
      <c r="V70" s="32">
        <f ca="1">IFERROR(__xludf.DUMMYFUNCTION("""COMPUTED_VALUE"""),0)</f>
        <v>0</v>
      </c>
      <c r="W70" s="13" t="str">
        <f t="shared" ref="W70:W78" ca="1" si="16">IFERROR(V70/S70,"")</f>
        <v/>
      </c>
      <c r="X70" s="32">
        <f ca="1">IFERROR(__xludf.DUMMYFUNCTION("""COMPUTED_VALUE"""),0)</f>
        <v>0</v>
      </c>
      <c r="Y70" s="13" t="str">
        <f t="shared" ref="Y70:Y78" ca="1" si="17">IFERROR(X70/S70,"")</f>
        <v/>
      </c>
      <c r="Z70" s="2"/>
      <c r="AA70" s="2"/>
      <c r="AB70" s="2"/>
      <c r="AC70" s="2"/>
      <c r="AD70" s="2"/>
      <c r="AE70" s="2"/>
    </row>
    <row r="71" spans="1:31" ht="12.75" x14ac:dyDescent="0.2">
      <c r="A71" s="28">
        <f ca="1">IFERROR(__xludf.DUMMYFUNCTION("""COMPUTED_VALUE"""),3)</f>
        <v>3</v>
      </c>
      <c r="B71" s="29" t="str">
        <f ca="1">IFERROR(__xludf.DUMMYFUNCTION("""COMPUTED_VALUE"""),"MN Ánh Cầu Vồng")</f>
        <v>MN Ánh Cầu Vồng</v>
      </c>
      <c r="C71" s="33" t="str">
        <f ca="1">IFERROR(__xludf.DUMMYFUNCTION("""COMPUTED_VALUE"""),"MN")</f>
        <v>MN</v>
      </c>
      <c r="D71" s="30" t="str">
        <f ca="1">IFERROR(__xludf.DUMMYFUNCTION("""COMPUTED_VALUE"""),"Tp. Thủ Đức")</f>
        <v>Tp. Thủ Đức</v>
      </c>
      <c r="E71" s="31">
        <f ca="1">IFERROR(__xludf.DUMMYFUNCTION("""COMPUTED_VALUE"""),17)</f>
        <v>17</v>
      </c>
      <c r="F71" s="32">
        <f ca="1">IFERROR(__xludf.DUMMYFUNCTION("""COMPUTED_VALUE"""),17)</f>
        <v>17</v>
      </c>
      <c r="G71" s="13">
        <f t="shared" ca="1" si="9"/>
        <v>1</v>
      </c>
      <c r="H71" s="32">
        <f ca="1">IFERROR(__xludf.DUMMYFUNCTION("""COMPUTED_VALUE"""),17)</f>
        <v>17</v>
      </c>
      <c r="I71" s="13">
        <f t="shared" ca="1" si="10"/>
        <v>1</v>
      </c>
      <c r="J71" s="32">
        <f ca="1">IFERROR(__xludf.DUMMYFUNCTION("""COMPUTED_VALUE"""),17)</f>
        <v>17</v>
      </c>
      <c r="K71" s="13">
        <f t="shared" ca="1" si="11"/>
        <v>1</v>
      </c>
      <c r="L71" s="32">
        <f ca="1">IFERROR(__xludf.DUMMYFUNCTION("""COMPUTED_VALUE"""),0)</f>
        <v>0</v>
      </c>
      <c r="M71" s="13">
        <f t="shared" ca="1" si="12"/>
        <v>0</v>
      </c>
      <c r="N71" s="31">
        <f ca="1">IFERROR(__xludf.DUMMYFUNCTION("""COMPUTED_VALUE"""),0)</f>
        <v>0</v>
      </c>
      <c r="O71" s="32">
        <f ca="1">IFERROR(__xludf.DUMMYFUNCTION("""COMPUTED_VALUE"""),0)</f>
        <v>0</v>
      </c>
      <c r="P71" s="13" t="str">
        <f t="shared" ca="1" si="13"/>
        <v/>
      </c>
      <c r="Q71" s="32">
        <f ca="1">IFERROR(__xludf.DUMMYFUNCTION("""COMPUTED_VALUE"""),0)</f>
        <v>0</v>
      </c>
      <c r="R71" s="13" t="str">
        <f t="shared" ca="1" si="14"/>
        <v/>
      </c>
      <c r="S71" s="31">
        <f ca="1">IFERROR(__xludf.DUMMYFUNCTION("""COMPUTED_VALUE"""),0)</f>
        <v>0</v>
      </c>
      <c r="T71" s="32">
        <f ca="1">IFERROR(__xludf.DUMMYFUNCTION("""COMPUTED_VALUE"""),0)</f>
        <v>0</v>
      </c>
      <c r="U71" s="13" t="str">
        <f t="shared" ca="1" si="15"/>
        <v/>
      </c>
      <c r="V71" s="32">
        <f ca="1">IFERROR(__xludf.DUMMYFUNCTION("""COMPUTED_VALUE"""),0)</f>
        <v>0</v>
      </c>
      <c r="W71" s="13" t="str">
        <f t="shared" ca="1" si="16"/>
        <v/>
      </c>
      <c r="X71" s="32">
        <f ca="1">IFERROR(__xludf.DUMMYFUNCTION("""COMPUTED_VALUE"""),0)</f>
        <v>0</v>
      </c>
      <c r="Y71" s="13" t="str">
        <f t="shared" ca="1" si="17"/>
        <v/>
      </c>
      <c r="Z71" s="2"/>
      <c r="AA71" s="2"/>
      <c r="AB71" s="2"/>
      <c r="AC71" s="2"/>
      <c r="AD71" s="2"/>
      <c r="AE71" s="2"/>
    </row>
    <row r="72" spans="1:31" ht="12.75" x14ac:dyDescent="0.2">
      <c r="A72" s="28">
        <f ca="1">IFERROR(__xludf.DUMMYFUNCTION("""COMPUTED_VALUE"""),4)</f>
        <v>4</v>
      </c>
      <c r="B72" s="29" t="str">
        <f ca="1">IFERROR(__xludf.DUMMYFUNCTION("""COMPUTED_VALUE"""),"MN Cỏ Non")</f>
        <v>MN Cỏ Non</v>
      </c>
      <c r="C72" s="33" t="str">
        <f ca="1">IFERROR(__xludf.DUMMYFUNCTION("""COMPUTED_VALUE"""),"MN")</f>
        <v>MN</v>
      </c>
      <c r="D72" s="30" t="str">
        <f ca="1">IFERROR(__xludf.DUMMYFUNCTION("""COMPUTED_VALUE"""),"Tp. Thủ Đức")</f>
        <v>Tp. Thủ Đức</v>
      </c>
      <c r="E72" s="31">
        <f ca="1">IFERROR(__xludf.DUMMYFUNCTION("""COMPUTED_VALUE"""),15)</f>
        <v>15</v>
      </c>
      <c r="F72" s="32">
        <f ca="1">IFERROR(__xludf.DUMMYFUNCTION("""COMPUTED_VALUE"""),15)</f>
        <v>15</v>
      </c>
      <c r="G72" s="13">
        <f t="shared" ca="1" si="9"/>
        <v>1</v>
      </c>
      <c r="H72" s="32">
        <f ca="1">IFERROR(__xludf.DUMMYFUNCTION("""COMPUTED_VALUE"""),15)</f>
        <v>15</v>
      </c>
      <c r="I72" s="13">
        <f t="shared" ca="1" si="10"/>
        <v>1</v>
      </c>
      <c r="J72" s="32">
        <f ca="1">IFERROR(__xludf.DUMMYFUNCTION("""COMPUTED_VALUE"""),15)</f>
        <v>15</v>
      </c>
      <c r="K72" s="13">
        <f t="shared" ca="1" si="11"/>
        <v>1</v>
      </c>
      <c r="L72" s="32">
        <f ca="1">IFERROR(__xludf.DUMMYFUNCTION("""COMPUTED_VALUE"""),0)</f>
        <v>0</v>
      </c>
      <c r="M72" s="13">
        <f t="shared" ca="1" si="12"/>
        <v>0</v>
      </c>
      <c r="N72" s="31">
        <f ca="1">IFERROR(__xludf.DUMMYFUNCTION("""COMPUTED_VALUE"""),0)</f>
        <v>0</v>
      </c>
      <c r="O72" s="32">
        <f ca="1">IFERROR(__xludf.DUMMYFUNCTION("""COMPUTED_VALUE"""),0)</f>
        <v>0</v>
      </c>
      <c r="P72" s="13" t="str">
        <f t="shared" ca="1" si="13"/>
        <v/>
      </c>
      <c r="Q72" s="32">
        <f ca="1">IFERROR(__xludf.DUMMYFUNCTION("""COMPUTED_VALUE"""),0)</f>
        <v>0</v>
      </c>
      <c r="R72" s="13" t="str">
        <f t="shared" ca="1" si="14"/>
        <v/>
      </c>
      <c r="S72" s="31">
        <f ca="1">IFERROR(__xludf.DUMMYFUNCTION("""COMPUTED_VALUE"""),0)</f>
        <v>0</v>
      </c>
      <c r="T72" s="32">
        <f ca="1">IFERROR(__xludf.DUMMYFUNCTION("""COMPUTED_VALUE"""),0)</f>
        <v>0</v>
      </c>
      <c r="U72" s="13" t="str">
        <f t="shared" ca="1" si="15"/>
        <v/>
      </c>
      <c r="V72" s="32">
        <f ca="1">IFERROR(__xludf.DUMMYFUNCTION("""COMPUTED_VALUE"""),0)</f>
        <v>0</v>
      </c>
      <c r="W72" s="13" t="str">
        <f t="shared" ca="1" si="16"/>
        <v/>
      </c>
      <c r="X72" s="32">
        <f ca="1">IFERROR(__xludf.DUMMYFUNCTION("""COMPUTED_VALUE"""),0)</f>
        <v>0</v>
      </c>
      <c r="Y72" s="13" t="str">
        <f t="shared" ca="1" si="17"/>
        <v/>
      </c>
      <c r="Z72" s="2"/>
      <c r="AA72" s="2"/>
      <c r="AB72" s="2"/>
      <c r="AC72" s="2"/>
      <c r="AD72" s="2"/>
      <c r="AE72" s="2"/>
    </row>
    <row r="73" spans="1:31" ht="12.75" x14ac:dyDescent="0.2">
      <c r="A73" s="28">
        <f ca="1">IFERROR(__xludf.DUMMYFUNCTION("""COMPUTED_VALUE"""),5)</f>
        <v>5</v>
      </c>
      <c r="B73" s="29" t="str">
        <f ca="1">IFERROR(__xludf.DUMMYFUNCTION("""COMPUTED_VALUE"""),"MN Montessori")</f>
        <v>MN Montessori</v>
      </c>
      <c r="C73" s="33" t="str">
        <f ca="1">IFERROR(__xludf.DUMMYFUNCTION("""COMPUTED_VALUE"""),"MN")</f>
        <v>MN</v>
      </c>
      <c r="D73" s="30" t="str">
        <f ca="1">IFERROR(__xludf.DUMMYFUNCTION("""COMPUTED_VALUE"""),"Tp. Thủ Đức")</f>
        <v>Tp. Thủ Đức</v>
      </c>
      <c r="E73" s="31">
        <f ca="1">IFERROR(__xludf.DUMMYFUNCTION("""COMPUTED_VALUE"""),6)</f>
        <v>6</v>
      </c>
      <c r="F73" s="32">
        <f ca="1">IFERROR(__xludf.DUMMYFUNCTION("""COMPUTED_VALUE"""),6)</f>
        <v>6</v>
      </c>
      <c r="G73" s="13">
        <f t="shared" ca="1" si="9"/>
        <v>1</v>
      </c>
      <c r="H73" s="32">
        <f ca="1">IFERROR(__xludf.DUMMYFUNCTION("""COMPUTED_VALUE"""),6)</f>
        <v>6</v>
      </c>
      <c r="I73" s="13">
        <f t="shared" ca="1" si="10"/>
        <v>1</v>
      </c>
      <c r="J73" s="32">
        <f ca="1">IFERROR(__xludf.DUMMYFUNCTION("""COMPUTED_VALUE"""),6)</f>
        <v>6</v>
      </c>
      <c r="K73" s="13">
        <f t="shared" ca="1" si="11"/>
        <v>1</v>
      </c>
      <c r="L73" s="32">
        <f ca="1">IFERROR(__xludf.DUMMYFUNCTION("""COMPUTED_VALUE"""),2)</f>
        <v>2</v>
      </c>
      <c r="M73" s="13">
        <f t="shared" ca="1" si="12"/>
        <v>0.33333333333333331</v>
      </c>
      <c r="N73" s="31">
        <f ca="1">IFERROR(__xludf.DUMMYFUNCTION("""COMPUTED_VALUE"""),0)</f>
        <v>0</v>
      </c>
      <c r="O73" s="32">
        <f ca="1">IFERROR(__xludf.DUMMYFUNCTION("""COMPUTED_VALUE"""),0)</f>
        <v>0</v>
      </c>
      <c r="P73" s="13" t="str">
        <f t="shared" ca="1" si="13"/>
        <v/>
      </c>
      <c r="Q73" s="32">
        <f ca="1">IFERROR(__xludf.DUMMYFUNCTION("""COMPUTED_VALUE"""),0)</f>
        <v>0</v>
      </c>
      <c r="R73" s="13" t="str">
        <f t="shared" ca="1" si="14"/>
        <v/>
      </c>
      <c r="S73" s="31">
        <f ca="1">IFERROR(__xludf.DUMMYFUNCTION("""COMPUTED_VALUE"""),0)</f>
        <v>0</v>
      </c>
      <c r="T73" s="32">
        <f ca="1">IFERROR(__xludf.DUMMYFUNCTION("""COMPUTED_VALUE"""),0)</f>
        <v>0</v>
      </c>
      <c r="U73" s="13" t="str">
        <f t="shared" ca="1" si="15"/>
        <v/>
      </c>
      <c r="V73" s="32">
        <f ca="1">IFERROR(__xludf.DUMMYFUNCTION("""COMPUTED_VALUE"""),0)</f>
        <v>0</v>
      </c>
      <c r="W73" s="13" t="str">
        <f t="shared" ca="1" si="16"/>
        <v/>
      </c>
      <c r="X73" s="32">
        <f ca="1">IFERROR(__xludf.DUMMYFUNCTION("""COMPUTED_VALUE"""),0)</f>
        <v>0</v>
      </c>
      <c r="Y73" s="13" t="str">
        <f t="shared" ca="1" si="17"/>
        <v/>
      </c>
      <c r="Z73" s="2"/>
      <c r="AA73" s="2"/>
      <c r="AB73" s="2"/>
      <c r="AC73" s="2"/>
      <c r="AD73" s="2"/>
      <c r="AE73" s="2"/>
    </row>
    <row r="74" spans="1:31" ht="12.75" x14ac:dyDescent="0.2">
      <c r="A74" s="28">
        <f ca="1">IFERROR(__xludf.DUMMYFUNCTION("""COMPUTED_VALUE"""),6)</f>
        <v>6</v>
      </c>
      <c r="B74" s="29"/>
      <c r="C74" s="29"/>
      <c r="D74" s="30" t="str">
        <f ca="1">IFERROR(__xludf.DUMMYFUNCTION("""COMPUTED_VALUE"""),"Tp. Thủ Đức")</f>
        <v>Tp. Thủ Đức</v>
      </c>
      <c r="E74" s="31">
        <f ca="1">IFERROR(__xludf.DUMMYFUNCTION("""COMPUTED_VALUE"""),41)</f>
        <v>41</v>
      </c>
      <c r="F74" s="32">
        <f ca="1">IFERROR(__xludf.DUMMYFUNCTION("""COMPUTED_VALUE"""),41)</f>
        <v>41</v>
      </c>
      <c r="G74" s="13">
        <f t="shared" ca="1" si="9"/>
        <v>1</v>
      </c>
      <c r="H74" s="32">
        <f ca="1">IFERROR(__xludf.DUMMYFUNCTION("""COMPUTED_VALUE"""),41)</f>
        <v>41</v>
      </c>
      <c r="I74" s="13">
        <f t="shared" ca="1" si="10"/>
        <v>1</v>
      </c>
      <c r="J74" s="32">
        <f ca="1">IFERROR(__xludf.DUMMYFUNCTION("""COMPUTED_VALUE"""),41)</f>
        <v>41</v>
      </c>
      <c r="K74" s="13">
        <f t="shared" ca="1" si="11"/>
        <v>1</v>
      </c>
      <c r="L74" s="32">
        <f ca="1">IFERROR(__xludf.DUMMYFUNCTION("""COMPUTED_VALUE"""),0)</f>
        <v>0</v>
      </c>
      <c r="M74" s="13">
        <f t="shared" ca="1" si="12"/>
        <v>0</v>
      </c>
      <c r="N74" s="31">
        <f ca="1">IFERROR(__xludf.DUMMYFUNCTION("""COMPUTED_VALUE"""),0)</f>
        <v>0</v>
      </c>
      <c r="O74" s="32">
        <f ca="1">IFERROR(__xludf.DUMMYFUNCTION("""COMPUTED_VALUE"""),0)</f>
        <v>0</v>
      </c>
      <c r="P74" s="13" t="str">
        <f t="shared" ca="1" si="13"/>
        <v/>
      </c>
      <c r="Q74" s="32">
        <f ca="1">IFERROR(__xludf.DUMMYFUNCTION("""COMPUTED_VALUE"""),0)</f>
        <v>0</v>
      </c>
      <c r="R74" s="13" t="str">
        <f t="shared" ca="1" si="14"/>
        <v/>
      </c>
      <c r="S74" s="31">
        <f ca="1">IFERROR(__xludf.DUMMYFUNCTION("""COMPUTED_VALUE"""),0)</f>
        <v>0</v>
      </c>
      <c r="T74" s="32">
        <f ca="1">IFERROR(__xludf.DUMMYFUNCTION("""COMPUTED_VALUE"""),0)</f>
        <v>0</v>
      </c>
      <c r="U74" s="13" t="str">
        <f t="shared" ca="1" si="15"/>
        <v/>
      </c>
      <c r="V74" s="32">
        <f ca="1">IFERROR(__xludf.DUMMYFUNCTION("""COMPUTED_VALUE"""),0)</f>
        <v>0</v>
      </c>
      <c r="W74" s="13" t="str">
        <f t="shared" ca="1" si="16"/>
        <v/>
      </c>
      <c r="X74" s="32">
        <f ca="1">IFERROR(__xludf.DUMMYFUNCTION("""COMPUTED_VALUE"""),0)</f>
        <v>0</v>
      </c>
      <c r="Y74" s="13" t="str">
        <f t="shared" ca="1" si="17"/>
        <v/>
      </c>
      <c r="Z74" s="2"/>
      <c r="AA74" s="2"/>
      <c r="AB74" s="2"/>
      <c r="AC74" s="2"/>
      <c r="AD74" s="2"/>
      <c r="AE74" s="2"/>
    </row>
    <row r="75" spans="1:31" ht="12.75" x14ac:dyDescent="0.2">
      <c r="A75" s="28">
        <f ca="1">IFERROR(__xludf.DUMMYFUNCTION("""COMPUTED_VALUE"""),7)</f>
        <v>7</v>
      </c>
      <c r="B75" s="29" t="str">
        <f ca="1">IFERROR(__xludf.DUMMYFUNCTION("""COMPUTED_VALUE"""),"MN Tuổi Thơ 1")</f>
        <v>MN Tuổi Thơ 1</v>
      </c>
      <c r="C75" s="33" t="str">
        <f ca="1">IFERROR(__xludf.DUMMYFUNCTION("""COMPUTED_VALUE"""),"MN")</f>
        <v>MN</v>
      </c>
      <c r="D75" s="30" t="str">
        <f ca="1">IFERROR(__xludf.DUMMYFUNCTION("""COMPUTED_VALUE"""),"Tp. Thủ Đức")</f>
        <v>Tp. Thủ Đức</v>
      </c>
      <c r="E75" s="31">
        <f ca="1">IFERROR(__xludf.DUMMYFUNCTION("""COMPUTED_VALUE"""),23)</f>
        <v>23</v>
      </c>
      <c r="F75" s="32">
        <f ca="1">IFERROR(__xludf.DUMMYFUNCTION("""COMPUTED_VALUE"""),23)</f>
        <v>23</v>
      </c>
      <c r="G75" s="13">
        <f t="shared" ca="1" si="9"/>
        <v>1</v>
      </c>
      <c r="H75" s="32">
        <f ca="1">IFERROR(__xludf.DUMMYFUNCTION("""COMPUTED_VALUE"""),23)</f>
        <v>23</v>
      </c>
      <c r="I75" s="13">
        <f t="shared" ca="1" si="10"/>
        <v>1</v>
      </c>
      <c r="J75" s="32">
        <f ca="1">IFERROR(__xludf.DUMMYFUNCTION("""COMPUTED_VALUE"""),23)</f>
        <v>23</v>
      </c>
      <c r="K75" s="13">
        <f t="shared" ca="1" si="11"/>
        <v>1</v>
      </c>
      <c r="L75" s="32">
        <f ca="1">IFERROR(__xludf.DUMMYFUNCTION("""COMPUTED_VALUE"""),3)</f>
        <v>3</v>
      </c>
      <c r="M75" s="13">
        <f t="shared" ca="1" si="12"/>
        <v>0.13043478260869565</v>
      </c>
      <c r="N75" s="31">
        <f ca="1">IFERROR(__xludf.DUMMYFUNCTION("""COMPUTED_VALUE"""),0)</f>
        <v>0</v>
      </c>
      <c r="O75" s="32">
        <f ca="1">IFERROR(__xludf.DUMMYFUNCTION("""COMPUTED_VALUE"""),0)</f>
        <v>0</v>
      </c>
      <c r="P75" s="13" t="str">
        <f t="shared" ca="1" si="13"/>
        <v/>
      </c>
      <c r="Q75" s="32">
        <f ca="1">IFERROR(__xludf.DUMMYFUNCTION("""COMPUTED_VALUE"""),0)</f>
        <v>0</v>
      </c>
      <c r="R75" s="13" t="str">
        <f t="shared" ca="1" si="14"/>
        <v/>
      </c>
      <c r="S75" s="31">
        <f ca="1">IFERROR(__xludf.DUMMYFUNCTION("""COMPUTED_VALUE"""),0)</f>
        <v>0</v>
      </c>
      <c r="T75" s="32">
        <f ca="1">IFERROR(__xludf.DUMMYFUNCTION("""COMPUTED_VALUE"""),0)</f>
        <v>0</v>
      </c>
      <c r="U75" s="13" t="str">
        <f t="shared" ca="1" si="15"/>
        <v/>
      </c>
      <c r="V75" s="32">
        <f ca="1">IFERROR(__xludf.DUMMYFUNCTION("""COMPUTED_VALUE"""),0)</f>
        <v>0</v>
      </c>
      <c r="W75" s="13" t="str">
        <f t="shared" ca="1" si="16"/>
        <v/>
      </c>
      <c r="X75" s="32">
        <f ca="1">IFERROR(__xludf.DUMMYFUNCTION("""COMPUTED_VALUE"""),0)</f>
        <v>0</v>
      </c>
      <c r="Y75" s="13" t="str">
        <f t="shared" ca="1" si="17"/>
        <v/>
      </c>
      <c r="Z75" s="2"/>
      <c r="AA75" s="2"/>
      <c r="AB75" s="2"/>
      <c r="AC75" s="2"/>
      <c r="AD75" s="2"/>
      <c r="AE75" s="2"/>
    </row>
    <row r="76" spans="1:31" ht="12.75" x14ac:dyDescent="0.2">
      <c r="A76" s="28">
        <f ca="1">IFERROR(__xludf.DUMMYFUNCTION("""COMPUTED_VALUE"""),8)</f>
        <v>8</v>
      </c>
      <c r="B76" s="29"/>
      <c r="C76" s="29"/>
      <c r="D76" s="30" t="str">
        <f ca="1">IFERROR(__xludf.DUMMYFUNCTION("""COMPUTED_VALUE"""),"Tp. Thủ Đức")</f>
        <v>Tp. Thủ Đức</v>
      </c>
      <c r="E76" s="31">
        <f ca="1">IFERROR(__xludf.DUMMYFUNCTION("""COMPUTED_VALUE"""),19)</f>
        <v>19</v>
      </c>
      <c r="F76" s="32">
        <f ca="1">IFERROR(__xludf.DUMMYFUNCTION("""COMPUTED_VALUE"""),19)</f>
        <v>19</v>
      </c>
      <c r="G76" s="13">
        <f t="shared" ca="1" si="9"/>
        <v>1</v>
      </c>
      <c r="H76" s="32">
        <f ca="1">IFERROR(__xludf.DUMMYFUNCTION("""COMPUTED_VALUE"""),19)</f>
        <v>19</v>
      </c>
      <c r="I76" s="13">
        <f t="shared" ca="1" si="10"/>
        <v>1</v>
      </c>
      <c r="J76" s="32">
        <f ca="1">IFERROR(__xludf.DUMMYFUNCTION("""COMPUTED_VALUE"""),12)</f>
        <v>12</v>
      </c>
      <c r="K76" s="13">
        <f t="shared" ca="1" si="11"/>
        <v>0.63157894736842102</v>
      </c>
      <c r="L76" s="32">
        <f ca="1">IFERROR(__xludf.DUMMYFUNCTION("""COMPUTED_VALUE"""),1)</f>
        <v>1</v>
      </c>
      <c r="M76" s="13">
        <f t="shared" ca="1" si="12"/>
        <v>5.2631578947368418E-2</v>
      </c>
      <c r="N76" s="31">
        <f ca="1">IFERROR(__xludf.DUMMYFUNCTION("""COMPUTED_VALUE"""),0)</f>
        <v>0</v>
      </c>
      <c r="O76" s="32">
        <f ca="1">IFERROR(__xludf.DUMMYFUNCTION("""COMPUTED_VALUE"""),0)</f>
        <v>0</v>
      </c>
      <c r="P76" s="13" t="str">
        <f t="shared" ca="1" si="13"/>
        <v/>
      </c>
      <c r="Q76" s="32">
        <f ca="1">IFERROR(__xludf.DUMMYFUNCTION("""COMPUTED_VALUE"""),0)</f>
        <v>0</v>
      </c>
      <c r="R76" s="13" t="str">
        <f t="shared" ca="1" si="14"/>
        <v/>
      </c>
      <c r="S76" s="31">
        <f ca="1">IFERROR(__xludf.DUMMYFUNCTION("""COMPUTED_VALUE"""),0)</f>
        <v>0</v>
      </c>
      <c r="T76" s="32">
        <f ca="1">IFERROR(__xludf.DUMMYFUNCTION("""COMPUTED_VALUE"""),0)</f>
        <v>0</v>
      </c>
      <c r="U76" s="13" t="str">
        <f t="shared" ca="1" si="15"/>
        <v/>
      </c>
      <c r="V76" s="32">
        <f ca="1">IFERROR(__xludf.DUMMYFUNCTION("""COMPUTED_VALUE"""),0)</f>
        <v>0</v>
      </c>
      <c r="W76" s="13" t="str">
        <f t="shared" ca="1" si="16"/>
        <v/>
      </c>
      <c r="X76" s="32">
        <f ca="1">IFERROR(__xludf.DUMMYFUNCTION("""COMPUTED_VALUE"""),0)</f>
        <v>0</v>
      </c>
      <c r="Y76" s="13" t="str">
        <f t="shared" ca="1" si="17"/>
        <v/>
      </c>
      <c r="Z76" s="2"/>
      <c r="AA76" s="2"/>
      <c r="AB76" s="2"/>
      <c r="AC76" s="2"/>
      <c r="AD76" s="2"/>
      <c r="AE76" s="2"/>
    </row>
    <row r="77" spans="1:31" ht="12.75" x14ac:dyDescent="0.2">
      <c r="A77" s="28">
        <f ca="1">IFERROR(__xludf.DUMMYFUNCTION("""COMPUTED_VALUE"""),9)</f>
        <v>9</v>
      </c>
      <c r="B77" s="29" t="str">
        <f ca="1">IFERROR(__xludf.DUMMYFUNCTION("""COMPUTED_VALUE"""),"MN Khôi Nguyên")</f>
        <v>MN Khôi Nguyên</v>
      </c>
      <c r="C77" s="33" t="str">
        <f ca="1">IFERROR(__xludf.DUMMYFUNCTION("""COMPUTED_VALUE"""),"MN")</f>
        <v>MN</v>
      </c>
      <c r="D77" s="30" t="str">
        <f ca="1">IFERROR(__xludf.DUMMYFUNCTION("""COMPUTED_VALUE"""),"Tp. Thủ Đức")</f>
        <v>Tp. Thủ Đức</v>
      </c>
      <c r="E77" s="31">
        <f ca="1">IFERROR(__xludf.DUMMYFUNCTION("""COMPUTED_VALUE"""),60)</f>
        <v>60</v>
      </c>
      <c r="F77" s="32">
        <f ca="1">IFERROR(__xludf.DUMMYFUNCTION("""COMPUTED_VALUE"""),60)</f>
        <v>60</v>
      </c>
      <c r="G77" s="13">
        <f t="shared" ca="1" si="9"/>
        <v>1</v>
      </c>
      <c r="H77" s="32">
        <f ca="1">IFERROR(__xludf.DUMMYFUNCTION("""COMPUTED_VALUE"""),60)</f>
        <v>60</v>
      </c>
      <c r="I77" s="13">
        <f t="shared" ca="1" si="10"/>
        <v>1</v>
      </c>
      <c r="J77" s="32">
        <f ca="1">IFERROR(__xludf.DUMMYFUNCTION("""COMPUTED_VALUE"""),43)</f>
        <v>43</v>
      </c>
      <c r="K77" s="13">
        <f t="shared" ca="1" si="11"/>
        <v>0.71666666666666667</v>
      </c>
      <c r="L77" s="32">
        <f ca="1">IFERROR(__xludf.DUMMYFUNCTION("""COMPUTED_VALUE"""),2)</f>
        <v>2</v>
      </c>
      <c r="M77" s="13">
        <f t="shared" ca="1" si="12"/>
        <v>3.3333333333333333E-2</v>
      </c>
      <c r="N77" s="31">
        <f ca="1">IFERROR(__xludf.DUMMYFUNCTION("""COMPUTED_VALUE"""),0)</f>
        <v>0</v>
      </c>
      <c r="O77" s="32">
        <f ca="1">IFERROR(__xludf.DUMMYFUNCTION("""COMPUTED_VALUE"""),0)</f>
        <v>0</v>
      </c>
      <c r="P77" s="13" t="str">
        <f t="shared" ca="1" si="13"/>
        <v/>
      </c>
      <c r="Q77" s="32">
        <f ca="1">IFERROR(__xludf.DUMMYFUNCTION("""COMPUTED_VALUE"""),0)</f>
        <v>0</v>
      </c>
      <c r="R77" s="13" t="str">
        <f t="shared" ca="1" si="14"/>
        <v/>
      </c>
      <c r="S77" s="31">
        <f ca="1">IFERROR(__xludf.DUMMYFUNCTION("""COMPUTED_VALUE"""),0)</f>
        <v>0</v>
      </c>
      <c r="T77" s="32">
        <f ca="1">IFERROR(__xludf.DUMMYFUNCTION("""COMPUTED_VALUE"""),0)</f>
        <v>0</v>
      </c>
      <c r="U77" s="13" t="str">
        <f t="shared" ca="1" si="15"/>
        <v/>
      </c>
      <c r="V77" s="32">
        <f ca="1">IFERROR(__xludf.DUMMYFUNCTION("""COMPUTED_VALUE"""),0)</f>
        <v>0</v>
      </c>
      <c r="W77" s="13" t="str">
        <f t="shared" ca="1" si="16"/>
        <v/>
      </c>
      <c r="X77" s="32">
        <f ca="1">IFERROR(__xludf.DUMMYFUNCTION("""COMPUTED_VALUE"""),0)</f>
        <v>0</v>
      </c>
      <c r="Y77" s="13" t="str">
        <f t="shared" ca="1" si="17"/>
        <v/>
      </c>
      <c r="Z77" s="2"/>
      <c r="AA77" s="2"/>
      <c r="AB77" s="2"/>
      <c r="AC77" s="2"/>
      <c r="AD77" s="2"/>
      <c r="AE77" s="2"/>
    </row>
    <row r="78" spans="1:31" ht="12.75" x14ac:dyDescent="0.2">
      <c r="A78" s="28">
        <f ca="1">IFERROR(__xludf.DUMMYFUNCTION("""COMPUTED_VALUE"""),45)</f>
        <v>45</v>
      </c>
      <c r="B78" s="29" t="str">
        <f ca="1">IFERROR(__xludf.DUMMYFUNCTION("""COMPUTED_VALUE"""),"MN Thần Đồng")</f>
        <v>MN Thần Đồng</v>
      </c>
      <c r="C78" s="33" t="str">
        <f ca="1">IFERROR(__xludf.DUMMYFUNCTION("""COMPUTED_VALUE"""),"MN")</f>
        <v>MN</v>
      </c>
      <c r="D78" s="30" t="str">
        <f ca="1">IFERROR(__xludf.DUMMYFUNCTION("""COMPUTED_VALUE"""),"Tp. Thủ Đức")</f>
        <v>Tp. Thủ Đức</v>
      </c>
      <c r="E78" s="31">
        <f ca="1">IFERROR(__xludf.DUMMYFUNCTION("""COMPUTED_VALUE"""),24)</f>
        <v>24</v>
      </c>
      <c r="F78" s="32">
        <f ca="1">IFERROR(__xludf.DUMMYFUNCTION("""COMPUTED_VALUE"""),24)</f>
        <v>24</v>
      </c>
      <c r="G78" s="13">
        <f t="shared" ca="1" si="9"/>
        <v>1</v>
      </c>
      <c r="H78" s="32">
        <f ca="1">IFERROR(__xludf.DUMMYFUNCTION("""COMPUTED_VALUE"""),24)</f>
        <v>24</v>
      </c>
      <c r="I78" s="13">
        <f t="shared" ca="1" si="10"/>
        <v>1</v>
      </c>
      <c r="J78" s="32">
        <f ca="1">IFERROR(__xludf.DUMMYFUNCTION("""COMPUTED_VALUE"""),24)</f>
        <v>24</v>
      </c>
      <c r="K78" s="13">
        <f t="shared" ca="1" si="11"/>
        <v>1</v>
      </c>
      <c r="L78" s="32">
        <f ca="1">IFERROR(__xludf.DUMMYFUNCTION("""COMPUTED_VALUE"""),0)</f>
        <v>0</v>
      </c>
      <c r="M78" s="13">
        <f t="shared" ca="1" si="12"/>
        <v>0</v>
      </c>
      <c r="N78" s="31">
        <f ca="1">IFERROR(__xludf.DUMMYFUNCTION("""COMPUTED_VALUE"""),0)</f>
        <v>0</v>
      </c>
      <c r="O78" s="32">
        <f ca="1">IFERROR(__xludf.DUMMYFUNCTION("""COMPUTED_VALUE"""),0)</f>
        <v>0</v>
      </c>
      <c r="P78" s="13" t="str">
        <f t="shared" ca="1" si="13"/>
        <v/>
      </c>
      <c r="Q78" s="32">
        <f ca="1">IFERROR(__xludf.DUMMYFUNCTION("""COMPUTED_VALUE"""),0)</f>
        <v>0</v>
      </c>
      <c r="R78" s="13" t="str">
        <f t="shared" ca="1" si="14"/>
        <v/>
      </c>
      <c r="S78" s="31">
        <f ca="1">IFERROR(__xludf.DUMMYFUNCTION("""COMPUTED_VALUE"""),0)</f>
        <v>0</v>
      </c>
      <c r="T78" s="32">
        <f ca="1">IFERROR(__xludf.DUMMYFUNCTION("""COMPUTED_VALUE"""),0)</f>
        <v>0</v>
      </c>
      <c r="U78" s="13" t="str">
        <f t="shared" ca="1" si="15"/>
        <v/>
      </c>
      <c r="V78" s="32">
        <f ca="1">IFERROR(__xludf.DUMMYFUNCTION("""COMPUTED_VALUE"""),0)</f>
        <v>0</v>
      </c>
      <c r="W78" s="13" t="str">
        <f t="shared" ca="1" si="16"/>
        <v/>
      </c>
      <c r="X78" s="32">
        <f ca="1">IFERROR(__xludf.DUMMYFUNCTION("""COMPUTED_VALUE"""),0)</f>
        <v>0</v>
      </c>
      <c r="Y78" s="13" t="str">
        <f t="shared" ca="1" si="17"/>
        <v/>
      </c>
      <c r="Z78" s="2"/>
      <c r="AA78" s="2"/>
      <c r="AB78" s="2"/>
      <c r="AC78" s="2"/>
      <c r="AD78" s="2"/>
      <c r="AE78" s="2"/>
    </row>
    <row r="79" spans="1:31" ht="12.75" x14ac:dyDescent="0.2">
      <c r="A79" s="28">
        <f ca="1">IFERROR(__xludf.DUMMYFUNCTION("""COMPUTED_VALUE"""),11)</f>
        <v>11</v>
      </c>
      <c r="B79" s="29" t="str">
        <f ca="1">IFERROR(__xludf.DUMMYFUNCTION("""COMPUTED_VALUE"""),"MN Đông Sài Gòn")</f>
        <v>MN Đông Sài Gòn</v>
      </c>
      <c r="C79" s="33" t="str">
        <f ca="1">IFERROR(__xludf.DUMMYFUNCTION("""COMPUTED_VALUE"""),"MN")</f>
        <v>MN</v>
      </c>
      <c r="D79" s="30" t="str">
        <f ca="1">IFERROR(__xludf.DUMMYFUNCTION("""COMPUTED_VALUE"""),"Tp. Thủ Đức")</f>
        <v>Tp. Thủ Đức</v>
      </c>
      <c r="E79" s="31">
        <f ca="1">IFERROR(__xludf.DUMMYFUNCTION("""COMPUTED_VALUE"""),13)</f>
        <v>13</v>
      </c>
      <c r="F79" s="32">
        <f ca="1">IFERROR(__xludf.DUMMYFUNCTION("""COMPUTED_VALUE"""),13)</f>
        <v>13</v>
      </c>
      <c r="G79" s="32"/>
      <c r="H79" s="32">
        <f ca="1">IFERROR(__xludf.DUMMYFUNCTION("""COMPUTED_VALUE"""),13)</f>
        <v>13</v>
      </c>
      <c r="I79" s="32"/>
      <c r="J79" s="32">
        <f ca="1">IFERROR(__xludf.DUMMYFUNCTION("""COMPUTED_VALUE"""),11)</f>
        <v>11</v>
      </c>
      <c r="K79" s="32"/>
      <c r="L79" s="32">
        <f ca="1">IFERROR(__xludf.DUMMYFUNCTION("""COMPUTED_VALUE"""),7)</f>
        <v>7</v>
      </c>
      <c r="M79" s="32"/>
      <c r="N79" s="31">
        <f ca="1">IFERROR(__xludf.DUMMYFUNCTION("""COMPUTED_VALUE"""),0)</f>
        <v>0</v>
      </c>
      <c r="O79" s="32">
        <f ca="1">IFERROR(__xludf.DUMMYFUNCTION("""COMPUTED_VALUE"""),0)</f>
        <v>0</v>
      </c>
      <c r="P79" s="32"/>
      <c r="Q79" s="32">
        <f ca="1">IFERROR(__xludf.DUMMYFUNCTION("""COMPUTED_VALUE"""),0)</f>
        <v>0</v>
      </c>
      <c r="R79" s="32"/>
      <c r="S79" s="31">
        <f ca="1">IFERROR(__xludf.DUMMYFUNCTION("""COMPUTED_VALUE"""),0)</f>
        <v>0</v>
      </c>
      <c r="T79" s="32">
        <f ca="1">IFERROR(__xludf.DUMMYFUNCTION("""COMPUTED_VALUE"""),0)</f>
        <v>0</v>
      </c>
      <c r="U79" s="32"/>
      <c r="V79" s="32">
        <f ca="1">IFERROR(__xludf.DUMMYFUNCTION("""COMPUTED_VALUE"""),0)</f>
        <v>0</v>
      </c>
      <c r="W79" s="32"/>
      <c r="X79" s="32">
        <f ca="1">IFERROR(__xludf.DUMMYFUNCTION("""COMPUTED_VALUE"""),0)</f>
        <v>0</v>
      </c>
      <c r="Y79" s="32"/>
      <c r="Z79" s="2"/>
      <c r="AA79" s="2"/>
      <c r="AB79" s="2"/>
      <c r="AC79" s="2"/>
      <c r="AD79" s="2"/>
      <c r="AE79" s="2"/>
    </row>
    <row r="80" spans="1:31" ht="12.75" x14ac:dyDescent="0.2">
      <c r="A80" s="28">
        <f ca="1">IFERROR(__xludf.DUMMYFUNCTION("""COMPUTED_VALUE"""),12)</f>
        <v>12</v>
      </c>
      <c r="B80" s="29" t="str">
        <f ca="1">IFERROR(__xludf.DUMMYFUNCTION("""COMPUTED_VALUE"""),"MN Miền Trẻ Thơ")</f>
        <v>MN Miền Trẻ Thơ</v>
      </c>
      <c r="C80" s="33" t="str">
        <f ca="1">IFERROR(__xludf.DUMMYFUNCTION("""COMPUTED_VALUE"""),"MN")</f>
        <v>MN</v>
      </c>
      <c r="D80" s="30" t="str">
        <f ca="1">IFERROR(__xludf.DUMMYFUNCTION("""COMPUTED_VALUE"""),"Tp. Thủ Đức")</f>
        <v>Tp. Thủ Đức</v>
      </c>
      <c r="E80" s="31">
        <f ca="1">IFERROR(__xludf.DUMMYFUNCTION("""COMPUTED_VALUE"""),44)</f>
        <v>44</v>
      </c>
      <c r="F80" s="32">
        <f ca="1">IFERROR(__xludf.DUMMYFUNCTION("""COMPUTED_VALUE"""),44)</f>
        <v>44</v>
      </c>
      <c r="G80" s="32"/>
      <c r="H80" s="32">
        <f ca="1">IFERROR(__xludf.DUMMYFUNCTION("""COMPUTED_VALUE"""),44)</f>
        <v>44</v>
      </c>
      <c r="I80" s="32"/>
      <c r="J80" s="32">
        <f ca="1">IFERROR(__xludf.DUMMYFUNCTION("""COMPUTED_VALUE"""),38)</f>
        <v>38</v>
      </c>
      <c r="K80" s="32"/>
      <c r="L80" s="32">
        <f ca="1">IFERROR(__xludf.DUMMYFUNCTION("""COMPUTED_VALUE"""),2)</f>
        <v>2</v>
      </c>
      <c r="M80" s="32"/>
      <c r="N80" s="31">
        <f ca="1">IFERROR(__xludf.DUMMYFUNCTION("""COMPUTED_VALUE"""),0)</f>
        <v>0</v>
      </c>
      <c r="O80" s="32">
        <f ca="1">IFERROR(__xludf.DUMMYFUNCTION("""COMPUTED_VALUE"""),0)</f>
        <v>0</v>
      </c>
      <c r="P80" s="32"/>
      <c r="Q80" s="32">
        <f ca="1">IFERROR(__xludf.DUMMYFUNCTION("""COMPUTED_VALUE"""),0)</f>
        <v>0</v>
      </c>
      <c r="R80" s="32"/>
      <c r="S80" s="31">
        <f ca="1">IFERROR(__xludf.DUMMYFUNCTION("""COMPUTED_VALUE"""),0)</f>
        <v>0</v>
      </c>
      <c r="T80" s="32">
        <f ca="1">IFERROR(__xludf.DUMMYFUNCTION("""COMPUTED_VALUE"""),0)</f>
        <v>0</v>
      </c>
      <c r="U80" s="32"/>
      <c r="V80" s="32">
        <f ca="1">IFERROR(__xludf.DUMMYFUNCTION("""COMPUTED_VALUE"""),0)</f>
        <v>0</v>
      </c>
      <c r="W80" s="32"/>
      <c r="X80" s="32">
        <f ca="1">IFERROR(__xludf.DUMMYFUNCTION("""COMPUTED_VALUE"""),0)</f>
        <v>0</v>
      </c>
      <c r="Y80" s="32"/>
      <c r="Z80" s="2"/>
      <c r="AA80" s="2"/>
      <c r="AB80" s="2"/>
      <c r="AC80" s="2"/>
      <c r="AD80" s="2"/>
      <c r="AE80" s="2"/>
    </row>
    <row r="81" spans="1:31" ht="12.75" x14ac:dyDescent="0.2">
      <c r="A81" s="28">
        <f ca="1">IFERROR(__xludf.DUMMYFUNCTION("""COMPUTED_VALUE"""),13)</f>
        <v>13</v>
      </c>
      <c r="B81" s="29" t="str">
        <f ca="1">IFERROR(__xludf.DUMMYFUNCTION("""COMPUTED_VALUE"""),"MN Tuệ Đức")</f>
        <v>MN Tuệ Đức</v>
      </c>
      <c r="C81" s="33" t="str">
        <f ca="1">IFERROR(__xludf.DUMMYFUNCTION("""COMPUTED_VALUE"""),"MN")</f>
        <v>MN</v>
      </c>
      <c r="D81" s="30" t="str">
        <f ca="1">IFERROR(__xludf.DUMMYFUNCTION("""COMPUTED_VALUE"""),"Tp. Thủ Đức")</f>
        <v>Tp. Thủ Đức</v>
      </c>
      <c r="E81" s="31">
        <f ca="1">IFERROR(__xludf.DUMMYFUNCTION("""COMPUTED_VALUE"""),66)</f>
        <v>66</v>
      </c>
      <c r="F81" s="32">
        <f ca="1">IFERROR(__xludf.DUMMYFUNCTION("""COMPUTED_VALUE"""),66)</f>
        <v>66</v>
      </c>
      <c r="G81" s="32"/>
      <c r="H81" s="32">
        <f ca="1">IFERROR(__xludf.DUMMYFUNCTION("""COMPUTED_VALUE"""),66)</f>
        <v>66</v>
      </c>
      <c r="I81" s="32"/>
      <c r="J81" s="32">
        <f ca="1">IFERROR(__xludf.DUMMYFUNCTION("""COMPUTED_VALUE"""),66)</f>
        <v>66</v>
      </c>
      <c r="K81" s="32"/>
      <c r="L81" s="32">
        <f ca="1">IFERROR(__xludf.DUMMYFUNCTION("""COMPUTED_VALUE"""),4)</f>
        <v>4</v>
      </c>
      <c r="M81" s="32"/>
      <c r="N81" s="31">
        <f ca="1">IFERROR(__xludf.DUMMYFUNCTION("""COMPUTED_VALUE"""),0)</f>
        <v>0</v>
      </c>
      <c r="O81" s="32">
        <f ca="1">IFERROR(__xludf.DUMMYFUNCTION("""COMPUTED_VALUE"""),0)</f>
        <v>0</v>
      </c>
      <c r="P81" s="32"/>
      <c r="Q81" s="32">
        <f ca="1">IFERROR(__xludf.DUMMYFUNCTION("""COMPUTED_VALUE"""),0)</f>
        <v>0</v>
      </c>
      <c r="R81" s="32"/>
      <c r="S81" s="31">
        <f ca="1">IFERROR(__xludf.DUMMYFUNCTION("""COMPUTED_VALUE"""),0)</f>
        <v>0</v>
      </c>
      <c r="T81" s="32">
        <f ca="1">IFERROR(__xludf.DUMMYFUNCTION("""COMPUTED_VALUE"""),0)</f>
        <v>0</v>
      </c>
      <c r="U81" s="32"/>
      <c r="V81" s="32">
        <f ca="1">IFERROR(__xludf.DUMMYFUNCTION("""COMPUTED_VALUE"""),0)</f>
        <v>0</v>
      </c>
      <c r="W81" s="32"/>
      <c r="X81" s="32">
        <f ca="1">IFERROR(__xludf.DUMMYFUNCTION("""COMPUTED_VALUE"""),0)</f>
        <v>0</v>
      </c>
      <c r="Y81" s="32"/>
      <c r="Z81" s="2"/>
      <c r="AA81" s="2"/>
      <c r="AB81" s="2"/>
      <c r="AC81" s="2"/>
      <c r="AD81" s="2"/>
      <c r="AE81" s="2"/>
    </row>
    <row r="82" spans="1:31" ht="12.75" x14ac:dyDescent="0.2">
      <c r="A82" s="28">
        <f ca="1">IFERROR(__xludf.DUMMYFUNCTION("""COMPUTED_VALUE"""),14)</f>
        <v>14</v>
      </c>
      <c r="B82" s="29" t="str">
        <f ca="1">IFERROR(__xludf.DUMMYFUNCTION("""COMPUTED_VALUE"""),"MN Chân Xinh")</f>
        <v>MN Chân Xinh</v>
      </c>
      <c r="C82" s="33" t="str">
        <f ca="1">IFERROR(__xludf.DUMMYFUNCTION("""COMPUTED_VALUE"""),"MN")</f>
        <v>MN</v>
      </c>
      <c r="D82" s="30" t="str">
        <f ca="1">IFERROR(__xludf.DUMMYFUNCTION("""COMPUTED_VALUE"""),"Tp. Thủ Đức")</f>
        <v>Tp. Thủ Đức</v>
      </c>
      <c r="E82" s="31">
        <f ca="1">IFERROR(__xludf.DUMMYFUNCTION("""COMPUTED_VALUE"""),10)</f>
        <v>10</v>
      </c>
      <c r="F82" s="32">
        <f ca="1">IFERROR(__xludf.DUMMYFUNCTION("""COMPUTED_VALUE"""),10)</f>
        <v>10</v>
      </c>
      <c r="G82" s="32"/>
      <c r="H82" s="32">
        <f ca="1">IFERROR(__xludf.DUMMYFUNCTION("""COMPUTED_VALUE"""),10)</f>
        <v>10</v>
      </c>
      <c r="I82" s="32"/>
      <c r="J82" s="32">
        <f ca="1">IFERROR(__xludf.DUMMYFUNCTION("""COMPUTED_VALUE"""),10)</f>
        <v>10</v>
      </c>
      <c r="K82" s="32"/>
      <c r="L82" s="32">
        <f ca="1">IFERROR(__xludf.DUMMYFUNCTION("""COMPUTED_VALUE"""),6)</f>
        <v>6</v>
      </c>
      <c r="M82" s="32"/>
      <c r="N82" s="31">
        <f ca="1">IFERROR(__xludf.DUMMYFUNCTION("""COMPUTED_VALUE"""),0)</f>
        <v>0</v>
      </c>
      <c r="O82" s="32">
        <f ca="1">IFERROR(__xludf.DUMMYFUNCTION("""COMPUTED_VALUE"""),0)</f>
        <v>0</v>
      </c>
      <c r="P82" s="32"/>
      <c r="Q82" s="32">
        <f ca="1">IFERROR(__xludf.DUMMYFUNCTION("""COMPUTED_VALUE"""),0)</f>
        <v>0</v>
      </c>
      <c r="R82" s="32"/>
      <c r="S82" s="31">
        <f ca="1">IFERROR(__xludf.DUMMYFUNCTION("""COMPUTED_VALUE"""),0)</f>
        <v>0</v>
      </c>
      <c r="T82" s="32">
        <f ca="1">IFERROR(__xludf.DUMMYFUNCTION("""COMPUTED_VALUE"""),0)</f>
        <v>0</v>
      </c>
      <c r="U82" s="32"/>
      <c r="V82" s="32">
        <f ca="1">IFERROR(__xludf.DUMMYFUNCTION("""COMPUTED_VALUE"""),0)</f>
        <v>0</v>
      </c>
      <c r="W82" s="32"/>
      <c r="X82" s="32">
        <f ca="1">IFERROR(__xludf.DUMMYFUNCTION("""COMPUTED_VALUE"""),0)</f>
        <v>0</v>
      </c>
      <c r="Y82" s="32"/>
      <c r="Z82" s="2"/>
      <c r="AA82" s="2"/>
      <c r="AB82" s="2"/>
      <c r="AC82" s="2"/>
      <c r="AD82" s="2"/>
      <c r="AE82" s="2"/>
    </row>
    <row r="83" spans="1:31" ht="12.75" x14ac:dyDescent="0.2">
      <c r="A83" s="28">
        <f ca="1">IFERROR(__xludf.DUMMYFUNCTION("""COMPUTED_VALUE"""),15)</f>
        <v>15</v>
      </c>
      <c r="B83" s="29" t="str">
        <f ca="1">IFERROR(__xludf.DUMMYFUNCTION("""COMPUTED_VALUE"""),"MN Chuột Túi Thông Minh")</f>
        <v>MN Chuột Túi Thông Minh</v>
      </c>
      <c r="C83" s="33" t="str">
        <f ca="1">IFERROR(__xludf.DUMMYFUNCTION("""COMPUTED_VALUE"""),"MN")</f>
        <v>MN</v>
      </c>
      <c r="D83" s="30" t="str">
        <f ca="1">IFERROR(__xludf.DUMMYFUNCTION("""COMPUTED_VALUE"""),"Tp. Thủ Đức")</f>
        <v>Tp. Thủ Đức</v>
      </c>
      <c r="E83" s="31">
        <f ca="1">IFERROR(__xludf.DUMMYFUNCTION("""COMPUTED_VALUE"""),16)</f>
        <v>16</v>
      </c>
      <c r="F83" s="32">
        <f ca="1">IFERROR(__xludf.DUMMYFUNCTION("""COMPUTED_VALUE"""),16)</f>
        <v>16</v>
      </c>
      <c r="G83" s="32"/>
      <c r="H83" s="32">
        <f ca="1">IFERROR(__xludf.DUMMYFUNCTION("""COMPUTED_VALUE"""),16)</f>
        <v>16</v>
      </c>
      <c r="I83" s="32"/>
      <c r="J83" s="32">
        <f ca="1">IFERROR(__xludf.DUMMYFUNCTION("""COMPUTED_VALUE"""),16)</f>
        <v>16</v>
      </c>
      <c r="K83" s="32"/>
      <c r="L83" s="32">
        <f ca="1">IFERROR(__xludf.DUMMYFUNCTION("""COMPUTED_VALUE"""),0)</f>
        <v>0</v>
      </c>
      <c r="M83" s="32"/>
      <c r="N83" s="31">
        <f ca="1">IFERROR(__xludf.DUMMYFUNCTION("""COMPUTED_VALUE"""),0)</f>
        <v>0</v>
      </c>
      <c r="O83" s="32">
        <f ca="1">IFERROR(__xludf.DUMMYFUNCTION("""COMPUTED_VALUE"""),0)</f>
        <v>0</v>
      </c>
      <c r="P83" s="32"/>
      <c r="Q83" s="32">
        <f ca="1">IFERROR(__xludf.DUMMYFUNCTION("""COMPUTED_VALUE"""),0)</f>
        <v>0</v>
      </c>
      <c r="R83" s="32"/>
      <c r="S83" s="31">
        <f ca="1">IFERROR(__xludf.DUMMYFUNCTION("""COMPUTED_VALUE"""),0)</f>
        <v>0</v>
      </c>
      <c r="T83" s="32">
        <f ca="1">IFERROR(__xludf.DUMMYFUNCTION("""COMPUTED_VALUE"""),0)</f>
        <v>0</v>
      </c>
      <c r="U83" s="32"/>
      <c r="V83" s="32">
        <f ca="1">IFERROR(__xludf.DUMMYFUNCTION("""COMPUTED_VALUE"""),0)</f>
        <v>0</v>
      </c>
      <c r="W83" s="32"/>
      <c r="X83" s="32">
        <f ca="1">IFERROR(__xludf.DUMMYFUNCTION("""COMPUTED_VALUE"""),0)</f>
        <v>0</v>
      </c>
      <c r="Y83" s="32"/>
      <c r="Z83" s="2"/>
      <c r="AA83" s="2"/>
      <c r="AB83" s="2"/>
      <c r="AC83" s="2"/>
      <c r="AD83" s="2"/>
      <c r="AE83" s="2"/>
    </row>
    <row r="84" spans="1:31" ht="12.75" x14ac:dyDescent="0.2">
      <c r="A84" s="28">
        <f ca="1">IFERROR(__xludf.DUMMYFUNCTION("""COMPUTED_VALUE"""),16)</f>
        <v>16</v>
      </c>
      <c r="B84" s="29" t="str">
        <f ca="1">IFERROR(__xludf.DUMMYFUNCTION("""COMPUTED_VALUE"""),"MN Nụ Cười Hồng")</f>
        <v>MN Nụ Cười Hồng</v>
      </c>
      <c r="C84" s="33" t="str">
        <f ca="1">IFERROR(__xludf.DUMMYFUNCTION("""COMPUTED_VALUE"""),"MN")</f>
        <v>MN</v>
      </c>
      <c r="D84" s="30" t="str">
        <f ca="1">IFERROR(__xludf.DUMMYFUNCTION("""COMPUTED_VALUE"""),"Tp. Thủ Đức")</f>
        <v>Tp. Thủ Đức</v>
      </c>
      <c r="E84" s="31">
        <f ca="1">IFERROR(__xludf.DUMMYFUNCTION("""COMPUTED_VALUE"""),14)</f>
        <v>14</v>
      </c>
      <c r="F84" s="32">
        <f ca="1">IFERROR(__xludf.DUMMYFUNCTION("""COMPUTED_VALUE"""),14)</f>
        <v>14</v>
      </c>
      <c r="G84" s="32"/>
      <c r="H84" s="32">
        <f ca="1">IFERROR(__xludf.DUMMYFUNCTION("""COMPUTED_VALUE"""),14)</f>
        <v>14</v>
      </c>
      <c r="I84" s="32"/>
      <c r="J84" s="32">
        <f ca="1">IFERROR(__xludf.DUMMYFUNCTION("""COMPUTED_VALUE"""),13)</f>
        <v>13</v>
      </c>
      <c r="K84" s="32"/>
      <c r="L84" s="32">
        <f ca="1">IFERROR(__xludf.DUMMYFUNCTION("""COMPUTED_VALUE"""),1)</f>
        <v>1</v>
      </c>
      <c r="M84" s="32"/>
      <c r="N84" s="31">
        <f ca="1">IFERROR(__xludf.DUMMYFUNCTION("""COMPUTED_VALUE"""),0)</f>
        <v>0</v>
      </c>
      <c r="O84" s="32">
        <f ca="1">IFERROR(__xludf.DUMMYFUNCTION("""COMPUTED_VALUE"""),0)</f>
        <v>0</v>
      </c>
      <c r="P84" s="32"/>
      <c r="Q84" s="32">
        <f ca="1">IFERROR(__xludf.DUMMYFUNCTION("""COMPUTED_VALUE"""),0)</f>
        <v>0</v>
      </c>
      <c r="R84" s="32"/>
      <c r="S84" s="31">
        <f ca="1">IFERROR(__xludf.DUMMYFUNCTION("""COMPUTED_VALUE"""),0)</f>
        <v>0</v>
      </c>
      <c r="T84" s="32">
        <f ca="1">IFERROR(__xludf.DUMMYFUNCTION("""COMPUTED_VALUE"""),0)</f>
        <v>0</v>
      </c>
      <c r="U84" s="32"/>
      <c r="V84" s="32">
        <f ca="1">IFERROR(__xludf.DUMMYFUNCTION("""COMPUTED_VALUE"""),0)</f>
        <v>0</v>
      </c>
      <c r="W84" s="32"/>
      <c r="X84" s="32">
        <f ca="1">IFERROR(__xludf.DUMMYFUNCTION("""COMPUTED_VALUE"""),0)</f>
        <v>0</v>
      </c>
      <c r="Y84" s="32"/>
      <c r="Z84" s="2"/>
      <c r="AA84" s="2"/>
      <c r="AB84" s="2"/>
      <c r="AC84" s="2"/>
      <c r="AD84" s="2"/>
      <c r="AE84" s="2"/>
    </row>
    <row r="85" spans="1:31" ht="12.75" x14ac:dyDescent="0.2">
      <c r="A85" s="28">
        <f ca="1">IFERROR(__xludf.DUMMYFUNCTION("""COMPUTED_VALUE"""),17)</f>
        <v>17</v>
      </c>
      <c r="B85" s="29" t="str">
        <f ca="1">IFERROR(__xludf.DUMMYFUNCTION("""COMPUTED_VALUE"""),"MN Thái Bình")</f>
        <v>MN Thái Bình</v>
      </c>
      <c r="C85" s="33" t="str">
        <f ca="1">IFERROR(__xludf.DUMMYFUNCTION("""COMPUTED_VALUE"""),"MN")</f>
        <v>MN</v>
      </c>
      <c r="D85" s="30" t="str">
        <f ca="1">IFERROR(__xludf.DUMMYFUNCTION("""COMPUTED_VALUE"""),"Tp. Thủ Đức")</f>
        <v>Tp. Thủ Đức</v>
      </c>
      <c r="E85" s="31">
        <f ca="1">IFERROR(__xludf.DUMMYFUNCTION("""COMPUTED_VALUE"""),17)</f>
        <v>17</v>
      </c>
      <c r="F85" s="32">
        <f ca="1">IFERROR(__xludf.DUMMYFUNCTION("""COMPUTED_VALUE"""),17)</f>
        <v>17</v>
      </c>
      <c r="G85" s="32"/>
      <c r="H85" s="32">
        <f ca="1">IFERROR(__xludf.DUMMYFUNCTION("""COMPUTED_VALUE"""),17)</f>
        <v>17</v>
      </c>
      <c r="I85" s="32"/>
      <c r="J85" s="32">
        <f ca="1">IFERROR(__xludf.DUMMYFUNCTION("""COMPUTED_VALUE"""),17)</f>
        <v>17</v>
      </c>
      <c r="K85" s="32"/>
      <c r="L85" s="32">
        <f ca="1">IFERROR(__xludf.DUMMYFUNCTION("""COMPUTED_VALUE"""),7)</f>
        <v>7</v>
      </c>
      <c r="M85" s="32"/>
      <c r="N85" s="31">
        <f ca="1">IFERROR(__xludf.DUMMYFUNCTION("""COMPUTED_VALUE"""),0)</f>
        <v>0</v>
      </c>
      <c r="O85" s="32">
        <f ca="1">IFERROR(__xludf.DUMMYFUNCTION("""COMPUTED_VALUE"""),0)</f>
        <v>0</v>
      </c>
      <c r="P85" s="32"/>
      <c r="Q85" s="32">
        <f ca="1">IFERROR(__xludf.DUMMYFUNCTION("""COMPUTED_VALUE"""),0)</f>
        <v>0</v>
      </c>
      <c r="R85" s="32"/>
      <c r="S85" s="31">
        <f ca="1">IFERROR(__xludf.DUMMYFUNCTION("""COMPUTED_VALUE"""),0)</f>
        <v>0</v>
      </c>
      <c r="T85" s="32">
        <f ca="1">IFERROR(__xludf.DUMMYFUNCTION("""COMPUTED_VALUE"""),0)</f>
        <v>0</v>
      </c>
      <c r="U85" s="32"/>
      <c r="V85" s="32">
        <f ca="1">IFERROR(__xludf.DUMMYFUNCTION("""COMPUTED_VALUE"""),0)</f>
        <v>0</v>
      </c>
      <c r="W85" s="32"/>
      <c r="X85" s="32">
        <f ca="1">IFERROR(__xludf.DUMMYFUNCTION("""COMPUTED_VALUE"""),0)</f>
        <v>0</v>
      </c>
      <c r="Y85" s="32"/>
      <c r="Z85" s="2"/>
      <c r="AA85" s="2"/>
      <c r="AB85" s="2"/>
      <c r="AC85" s="2"/>
      <c r="AD85" s="2"/>
      <c r="AE85" s="2"/>
    </row>
    <row r="86" spans="1:31" ht="12.75" x14ac:dyDescent="0.2">
      <c r="A86" s="28">
        <f ca="1">IFERROR(__xludf.DUMMYFUNCTION("""COMPUTED_VALUE"""),5)</f>
        <v>5</v>
      </c>
      <c r="B86" s="29" t="str">
        <f ca="1">IFERROR(__xludf.DUMMYFUNCTION("""COMPUTED_VALUE"""),"MN Hoa Anh Đào")</f>
        <v>MN Hoa Anh Đào</v>
      </c>
      <c r="C86" s="33" t="str">
        <f ca="1">IFERROR(__xludf.DUMMYFUNCTION("""COMPUTED_VALUE"""),"MN")</f>
        <v>MN</v>
      </c>
      <c r="D86" s="30" t="str">
        <f ca="1">IFERROR(__xludf.DUMMYFUNCTION("""COMPUTED_VALUE"""),"Tp. Thủ Đức")</f>
        <v>Tp. Thủ Đức</v>
      </c>
      <c r="E86" s="31">
        <f ca="1">IFERROR(__xludf.DUMMYFUNCTION("""COMPUTED_VALUE"""),5)</f>
        <v>5</v>
      </c>
      <c r="F86" s="32">
        <f ca="1">IFERROR(__xludf.DUMMYFUNCTION("""COMPUTED_VALUE"""),5)</f>
        <v>5</v>
      </c>
      <c r="G86" s="32"/>
      <c r="H86" s="32">
        <f ca="1">IFERROR(__xludf.DUMMYFUNCTION("""COMPUTED_VALUE"""),5)</f>
        <v>5</v>
      </c>
      <c r="I86" s="32"/>
      <c r="J86" s="32">
        <f ca="1">IFERROR(__xludf.DUMMYFUNCTION("""COMPUTED_VALUE"""),5)</f>
        <v>5</v>
      </c>
      <c r="K86" s="32"/>
      <c r="L86" s="32">
        <f ca="1">IFERROR(__xludf.DUMMYFUNCTION("""COMPUTED_VALUE"""),3)</f>
        <v>3</v>
      </c>
      <c r="M86" s="32"/>
      <c r="N86" s="31">
        <f ca="1">IFERROR(__xludf.DUMMYFUNCTION("""COMPUTED_VALUE"""),0)</f>
        <v>0</v>
      </c>
      <c r="O86" s="32">
        <f ca="1">IFERROR(__xludf.DUMMYFUNCTION("""COMPUTED_VALUE"""),0)</f>
        <v>0</v>
      </c>
      <c r="P86" s="32"/>
      <c r="Q86" s="32">
        <f ca="1">IFERROR(__xludf.DUMMYFUNCTION("""COMPUTED_VALUE"""),0)</f>
        <v>0</v>
      </c>
      <c r="R86" s="32"/>
      <c r="S86" s="31">
        <f ca="1">IFERROR(__xludf.DUMMYFUNCTION("""COMPUTED_VALUE"""),0)</f>
        <v>0</v>
      </c>
      <c r="T86" s="32">
        <f ca="1">IFERROR(__xludf.DUMMYFUNCTION("""COMPUTED_VALUE"""),0)</f>
        <v>0</v>
      </c>
      <c r="U86" s="32"/>
      <c r="V86" s="32">
        <f ca="1">IFERROR(__xludf.DUMMYFUNCTION("""COMPUTED_VALUE"""),0)</f>
        <v>0</v>
      </c>
      <c r="W86" s="32"/>
      <c r="X86" s="32">
        <f ca="1">IFERROR(__xludf.DUMMYFUNCTION("""COMPUTED_VALUE"""),0)</f>
        <v>0</v>
      </c>
      <c r="Y86" s="32"/>
      <c r="Z86" s="2"/>
      <c r="AA86" s="2"/>
      <c r="AB86" s="2"/>
      <c r="AC86" s="2"/>
      <c r="AD86" s="2"/>
      <c r="AE86" s="2"/>
    </row>
    <row r="87" spans="1:31" ht="12.75" x14ac:dyDescent="0.2">
      <c r="A87" s="28">
        <f ca="1">IFERROR(__xludf.DUMMYFUNCTION("""COMPUTED_VALUE"""),19)</f>
        <v>19</v>
      </c>
      <c r="B87" s="29" t="str">
        <f ca="1">IFERROR(__xludf.DUMMYFUNCTION("""COMPUTED_VALUE"""),"MN Én Nhỏ")</f>
        <v>MN Én Nhỏ</v>
      </c>
      <c r="C87" s="33" t="str">
        <f ca="1">IFERROR(__xludf.DUMMYFUNCTION("""COMPUTED_VALUE"""),"MN")</f>
        <v>MN</v>
      </c>
      <c r="D87" s="30" t="str">
        <f ca="1">IFERROR(__xludf.DUMMYFUNCTION("""COMPUTED_VALUE"""),"Tp. Thủ Đức")</f>
        <v>Tp. Thủ Đức</v>
      </c>
      <c r="E87" s="31">
        <f ca="1">IFERROR(__xludf.DUMMYFUNCTION("""COMPUTED_VALUE"""),12)</f>
        <v>12</v>
      </c>
      <c r="F87" s="32">
        <f ca="1">IFERROR(__xludf.DUMMYFUNCTION("""COMPUTED_VALUE"""),12)</f>
        <v>12</v>
      </c>
      <c r="G87" s="32"/>
      <c r="H87" s="32">
        <f ca="1">IFERROR(__xludf.DUMMYFUNCTION("""COMPUTED_VALUE"""),12)</f>
        <v>12</v>
      </c>
      <c r="I87" s="32"/>
      <c r="J87" s="32">
        <f ca="1">IFERROR(__xludf.DUMMYFUNCTION("""COMPUTED_VALUE"""),3)</f>
        <v>3</v>
      </c>
      <c r="K87" s="32"/>
      <c r="L87" s="32">
        <f ca="1">IFERROR(__xludf.DUMMYFUNCTION("""COMPUTED_VALUE"""),1)</f>
        <v>1</v>
      </c>
      <c r="M87" s="32"/>
      <c r="N87" s="31">
        <f ca="1">IFERROR(__xludf.DUMMYFUNCTION("""COMPUTED_VALUE"""),0)</f>
        <v>0</v>
      </c>
      <c r="O87" s="32">
        <f ca="1">IFERROR(__xludf.DUMMYFUNCTION("""COMPUTED_VALUE"""),0)</f>
        <v>0</v>
      </c>
      <c r="P87" s="32"/>
      <c r="Q87" s="32">
        <f ca="1">IFERROR(__xludf.DUMMYFUNCTION("""COMPUTED_VALUE"""),0)</f>
        <v>0</v>
      </c>
      <c r="R87" s="32"/>
      <c r="S87" s="31">
        <f ca="1">IFERROR(__xludf.DUMMYFUNCTION("""COMPUTED_VALUE"""),0)</f>
        <v>0</v>
      </c>
      <c r="T87" s="32">
        <f ca="1">IFERROR(__xludf.DUMMYFUNCTION("""COMPUTED_VALUE"""),0)</f>
        <v>0</v>
      </c>
      <c r="U87" s="32"/>
      <c r="V87" s="32">
        <f ca="1">IFERROR(__xludf.DUMMYFUNCTION("""COMPUTED_VALUE"""),0)</f>
        <v>0</v>
      </c>
      <c r="W87" s="32"/>
      <c r="X87" s="32">
        <f ca="1">IFERROR(__xludf.DUMMYFUNCTION("""COMPUTED_VALUE"""),0)</f>
        <v>0</v>
      </c>
      <c r="Y87" s="32"/>
      <c r="Z87" s="2"/>
      <c r="AA87" s="2"/>
      <c r="AB87" s="2"/>
      <c r="AC87" s="2"/>
      <c r="AD87" s="2"/>
      <c r="AE87" s="2"/>
    </row>
    <row r="88" spans="1:31" ht="12.75" x14ac:dyDescent="0.2">
      <c r="A88" s="28">
        <f ca="1">IFERROR(__xludf.DUMMYFUNCTION("""COMPUTED_VALUE"""),20)</f>
        <v>20</v>
      </c>
      <c r="B88" s="29" t="str">
        <f ca="1">IFERROR(__xludf.DUMMYFUNCTION("""COMPUTED_VALUE"""),"MN Ngôi Sao")</f>
        <v>MN Ngôi Sao</v>
      </c>
      <c r="C88" s="33" t="str">
        <f ca="1">IFERROR(__xludf.DUMMYFUNCTION("""COMPUTED_VALUE"""),"MN")</f>
        <v>MN</v>
      </c>
      <c r="D88" s="30" t="str">
        <f ca="1">IFERROR(__xludf.DUMMYFUNCTION("""COMPUTED_VALUE"""),"Tp. Thủ Đức")</f>
        <v>Tp. Thủ Đức</v>
      </c>
      <c r="E88" s="31">
        <f ca="1">IFERROR(__xludf.DUMMYFUNCTION("""COMPUTED_VALUE"""),33)</f>
        <v>33</v>
      </c>
      <c r="F88" s="32">
        <f ca="1">IFERROR(__xludf.DUMMYFUNCTION("""COMPUTED_VALUE"""),33)</f>
        <v>33</v>
      </c>
      <c r="G88" s="32"/>
      <c r="H88" s="32">
        <f ca="1">IFERROR(__xludf.DUMMYFUNCTION("""COMPUTED_VALUE"""),33)</f>
        <v>33</v>
      </c>
      <c r="I88" s="32"/>
      <c r="J88" s="32">
        <f ca="1">IFERROR(__xludf.DUMMYFUNCTION("""COMPUTED_VALUE"""),30)</f>
        <v>30</v>
      </c>
      <c r="K88" s="32"/>
      <c r="L88" s="32">
        <f ca="1">IFERROR(__xludf.DUMMYFUNCTION("""COMPUTED_VALUE"""),13)</f>
        <v>13</v>
      </c>
      <c r="M88" s="32"/>
      <c r="N88" s="31">
        <f ca="1">IFERROR(__xludf.DUMMYFUNCTION("""COMPUTED_VALUE"""),0)</f>
        <v>0</v>
      </c>
      <c r="O88" s="32">
        <f ca="1">IFERROR(__xludf.DUMMYFUNCTION("""COMPUTED_VALUE"""),0)</f>
        <v>0</v>
      </c>
      <c r="P88" s="32"/>
      <c r="Q88" s="32">
        <f ca="1">IFERROR(__xludf.DUMMYFUNCTION("""COMPUTED_VALUE"""),0)</f>
        <v>0</v>
      </c>
      <c r="R88" s="32"/>
      <c r="S88" s="31">
        <f ca="1">IFERROR(__xludf.DUMMYFUNCTION("""COMPUTED_VALUE"""),0)</f>
        <v>0</v>
      </c>
      <c r="T88" s="32">
        <f ca="1">IFERROR(__xludf.DUMMYFUNCTION("""COMPUTED_VALUE"""),0)</f>
        <v>0</v>
      </c>
      <c r="U88" s="32"/>
      <c r="V88" s="32">
        <f ca="1">IFERROR(__xludf.DUMMYFUNCTION("""COMPUTED_VALUE"""),0)</f>
        <v>0</v>
      </c>
      <c r="W88" s="32"/>
      <c r="X88" s="32">
        <f ca="1">IFERROR(__xludf.DUMMYFUNCTION("""COMPUTED_VALUE"""),0)</f>
        <v>0</v>
      </c>
      <c r="Y88" s="32"/>
      <c r="Z88" s="2"/>
      <c r="AA88" s="2"/>
      <c r="AB88" s="2"/>
      <c r="AC88" s="2"/>
      <c r="AD88" s="2"/>
      <c r="AE88" s="2"/>
    </row>
    <row r="89" spans="1:31" ht="12.75" x14ac:dyDescent="0.2">
      <c r="A89" s="28">
        <f ca="1">IFERROR(__xludf.DUMMYFUNCTION("""COMPUTED_VALUE"""),21)</f>
        <v>21</v>
      </c>
      <c r="B89" s="29" t="str">
        <f ca="1">IFERROR(__xludf.DUMMYFUNCTION("""COMPUTED_VALUE"""),"MN ABC")</f>
        <v>MN ABC</v>
      </c>
      <c r="C89" s="33" t="str">
        <f ca="1">IFERROR(__xludf.DUMMYFUNCTION("""COMPUTED_VALUE"""),"MN")</f>
        <v>MN</v>
      </c>
      <c r="D89" s="30" t="str">
        <f ca="1">IFERROR(__xludf.DUMMYFUNCTION("""COMPUTED_VALUE"""),"Tp. Thủ Đức")</f>
        <v>Tp. Thủ Đức</v>
      </c>
      <c r="E89" s="31">
        <f ca="1">IFERROR(__xludf.DUMMYFUNCTION("""COMPUTED_VALUE"""),17)</f>
        <v>17</v>
      </c>
      <c r="F89" s="32">
        <f ca="1">IFERROR(__xludf.DUMMYFUNCTION("""COMPUTED_VALUE"""),17)</f>
        <v>17</v>
      </c>
      <c r="G89" s="32"/>
      <c r="H89" s="32">
        <f ca="1">IFERROR(__xludf.DUMMYFUNCTION("""COMPUTED_VALUE"""),17)</f>
        <v>17</v>
      </c>
      <c r="I89" s="32"/>
      <c r="J89" s="32">
        <f ca="1">IFERROR(__xludf.DUMMYFUNCTION("""COMPUTED_VALUE"""),21)</f>
        <v>21</v>
      </c>
      <c r="K89" s="32"/>
      <c r="L89" s="32">
        <f ca="1">IFERROR(__xludf.DUMMYFUNCTION("""COMPUTED_VALUE"""),10)</f>
        <v>10</v>
      </c>
      <c r="M89" s="32"/>
      <c r="N89" s="31">
        <f ca="1">IFERROR(__xludf.DUMMYFUNCTION("""COMPUTED_VALUE"""),0)</f>
        <v>0</v>
      </c>
      <c r="O89" s="32">
        <f ca="1">IFERROR(__xludf.DUMMYFUNCTION("""COMPUTED_VALUE"""),0)</f>
        <v>0</v>
      </c>
      <c r="P89" s="32"/>
      <c r="Q89" s="32">
        <f ca="1">IFERROR(__xludf.DUMMYFUNCTION("""COMPUTED_VALUE"""),0)</f>
        <v>0</v>
      </c>
      <c r="R89" s="32"/>
      <c r="S89" s="31">
        <f ca="1">IFERROR(__xludf.DUMMYFUNCTION("""COMPUTED_VALUE"""),0)</f>
        <v>0</v>
      </c>
      <c r="T89" s="32">
        <f ca="1">IFERROR(__xludf.DUMMYFUNCTION("""COMPUTED_VALUE"""),0)</f>
        <v>0</v>
      </c>
      <c r="U89" s="32"/>
      <c r="V89" s="32">
        <f ca="1">IFERROR(__xludf.DUMMYFUNCTION("""COMPUTED_VALUE"""),0)</f>
        <v>0</v>
      </c>
      <c r="W89" s="32"/>
      <c r="X89" s="32">
        <f ca="1">IFERROR(__xludf.DUMMYFUNCTION("""COMPUTED_VALUE"""),0)</f>
        <v>0</v>
      </c>
      <c r="Y89" s="32"/>
      <c r="Z89" s="2"/>
      <c r="AA89" s="2"/>
      <c r="AB89" s="2"/>
      <c r="AC89" s="2"/>
      <c r="AD89" s="2"/>
      <c r="AE89" s="2"/>
    </row>
    <row r="90" spans="1:31" ht="12.75" x14ac:dyDescent="0.2">
      <c r="A90" s="28">
        <f ca="1">IFERROR(__xludf.DUMMYFUNCTION("""COMPUTED_VALUE"""),22)</f>
        <v>22</v>
      </c>
      <c r="B90" s="29" t="str">
        <f ca="1">IFERROR(__xludf.DUMMYFUNCTION("""COMPUTED_VALUE"""),"MN Chú Ong Vui Vẻ")</f>
        <v>MN Chú Ong Vui Vẻ</v>
      </c>
      <c r="C90" s="33" t="str">
        <f ca="1">IFERROR(__xludf.DUMMYFUNCTION("""COMPUTED_VALUE"""),"MN")</f>
        <v>MN</v>
      </c>
      <c r="D90" s="30" t="str">
        <f ca="1">IFERROR(__xludf.DUMMYFUNCTION("""COMPUTED_VALUE"""),"Tp. Thủ Đức")</f>
        <v>Tp. Thủ Đức</v>
      </c>
      <c r="E90" s="31">
        <f ca="1">IFERROR(__xludf.DUMMYFUNCTION("""COMPUTED_VALUE"""),20)</f>
        <v>20</v>
      </c>
      <c r="F90" s="32">
        <f ca="1">IFERROR(__xludf.DUMMYFUNCTION("""COMPUTED_VALUE"""),20)</f>
        <v>20</v>
      </c>
      <c r="G90" s="32"/>
      <c r="H90" s="32">
        <f ca="1">IFERROR(__xludf.DUMMYFUNCTION("""COMPUTED_VALUE"""),20)</f>
        <v>20</v>
      </c>
      <c r="I90" s="32"/>
      <c r="J90" s="32">
        <f ca="1">IFERROR(__xludf.DUMMYFUNCTION("""COMPUTED_VALUE"""),15)</f>
        <v>15</v>
      </c>
      <c r="K90" s="32"/>
      <c r="L90" s="32">
        <f ca="1">IFERROR(__xludf.DUMMYFUNCTION("""COMPUTED_VALUE"""),0)</f>
        <v>0</v>
      </c>
      <c r="M90" s="32"/>
      <c r="N90" s="31">
        <f ca="1">IFERROR(__xludf.DUMMYFUNCTION("""COMPUTED_VALUE"""),0)</f>
        <v>0</v>
      </c>
      <c r="O90" s="32">
        <f ca="1">IFERROR(__xludf.DUMMYFUNCTION("""COMPUTED_VALUE"""),0)</f>
        <v>0</v>
      </c>
      <c r="P90" s="32"/>
      <c r="Q90" s="32">
        <f ca="1">IFERROR(__xludf.DUMMYFUNCTION("""COMPUTED_VALUE"""),0)</f>
        <v>0</v>
      </c>
      <c r="R90" s="32"/>
      <c r="S90" s="31">
        <f ca="1">IFERROR(__xludf.DUMMYFUNCTION("""COMPUTED_VALUE"""),0)</f>
        <v>0</v>
      </c>
      <c r="T90" s="32">
        <f ca="1">IFERROR(__xludf.DUMMYFUNCTION("""COMPUTED_VALUE"""),0)</f>
        <v>0</v>
      </c>
      <c r="U90" s="32"/>
      <c r="V90" s="32">
        <f ca="1">IFERROR(__xludf.DUMMYFUNCTION("""COMPUTED_VALUE"""),0)</f>
        <v>0</v>
      </c>
      <c r="W90" s="32"/>
      <c r="X90" s="32">
        <f ca="1">IFERROR(__xludf.DUMMYFUNCTION("""COMPUTED_VALUE"""),0)</f>
        <v>0</v>
      </c>
      <c r="Y90" s="32"/>
      <c r="Z90" s="2"/>
      <c r="AA90" s="2"/>
      <c r="AB90" s="2"/>
      <c r="AC90" s="2"/>
      <c r="AD90" s="2"/>
      <c r="AE90" s="2"/>
    </row>
    <row r="91" spans="1:31" ht="12.75" x14ac:dyDescent="0.2">
      <c r="A91" s="28">
        <f ca="1">IFERROR(__xludf.DUMMYFUNCTION("""COMPUTED_VALUE"""),23)</f>
        <v>23</v>
      </c>
      <c r="B91" s="29" t="str">
        <f ca="1">IFERROR(__xludf.DUMMYFUNCTION("""COMPUTED_VALUE"""),"MN Mùa Xuân Auccora (Hừng Đông)")</f>
        <v>MN Mùa Xuân Auccora (Hừng Đông)</v>
      </c>
      <c r="C91" s="33" t="str">
        <f ca="1">IFERROR(__xludf.DUMMYFUNCTION("""COMPUTED_VALUE"""),"MN")</f>
        <v>MN</v>
      </c>
      <c r="D91" s="30" t="str">
        <f ca="1">IFERROR(__xludf.DUMMYFUNCTION("""COMPUTED_VALUE"""),"Tp. Thủ Đức")</f>
        <v>Tp. Thủ Đức</v>
      </c>
      <c r="E91" s="31">
        <f ca="1">IFERROR(__xludf.DUMMYFUNCTION("""COMPUTED_VALUE"""),25)</f>
        <v>25</v>
      </c>
      <c r="F91" s="32">
        <f ca="1">IFERROR(__xludf.DUMMYFUNCTION("""COMPUTED_VALUE"""),25)</f>
        <v>25</v>
      </c>
      <c r="G91" s="32"/>
      <c r="H91" s="32">
        <f ca="1">IFERROR(__xludf.DUMMYFUNCTION("""COMPUTED_VALUE"""),25)</f>
        <v>25</v>
      </c>
      <c r="I91" s="32"/>
      <c r="J91" s="32">
        <f ca="1">IFERROR(__xludf.DUMMYFUNCTION("""COMPUTED_VALUE"""),25)</f>
        <v>25</v>
      </c>
      <c r="K91" s="32"/>
      <c r="L91" s="32">
        <f ca="1">IFERROR(__xludf.DUMMYFUNCTION("""COMPUTED_VALUE"""),15)</f>
        <v>15</v>
      </c>
      <c r="M91" s="32"/>
      <c r="N91" s="31">
        <f ca="1">IFERROR(__xludf.DUMMYFUNCTION("""COMPUTED_VALUE"""),0)</f>
        <v>0</v>
      </c>
      <c r="O91" s="32">
        <f ca="1">IFERROR(__xludf.DUMMYFUNCTION("""COMPUTED_VALUE"""),0)</f>
        <v>0</v>
      </c>
      <c r="P91" s="32"/>
      <c r="Q91" s="32">
        <f ca="1">IFERROR(__xludf.DUMMYFUNCTION("""COMPUTED_VALUE"""),0)</f>
        <v>0</v>
      </c>
      <c r="R91" s="32"/>
      <c r="S91" s="31">
        <f ca="1">IFERROR(__xludf.DUMMYFUNCTION("""COMPUTED_VALUE"""),0)</f>
        <v>0</v>
      </c>
      <c r="T91" s="32">
        <f ca="1">IFERROR(__xludf.DUMMYFUNCTION("""COMPUTED_VALUE"""),0)</f>
        <v>0</v>
      </c>
      <c r="U91" s="32"/>
      <c r="V91" s="32">
        <f ca="1">IFERROR(__xludf.DUMMYFUNCTION("""COMPUTED_VALUE"""),0)</f>
        <v>0</v>
      </c>
      <c r="W91" s="32"/>
      <c r="X91" s="32">
        <f ca="1">IFERROR(__xludf.DUMMYFUNCTION("""COMPUTED_VALUE"""),0)</f>
        <v>0</v>
      </c>
      <c r="Y91" s="32"/>
      <c r="Z91" s="2"/>
      <c r="AA91" s="2"/>
      <c r="AB91" s="2"/>
      <c r="AC91" s="2"/>
      <c r="AD91" s="2"/>
      <c r="AE91" s="2"/>
    </row>
    <row r="92" spans="1:31" ht="12.75" x14ac:dyDescent="0.2">
      <c r="A92" s="28">
        <f ca="1">IFERROR(__xludf.DUMMYFUNCTION("""COMPUTED_VALUE"""),24)</f>
        <v>24</v>
      </c>
      <c r="B92" s="29" t="str">
        <f ca="1">IFERROR(__xludf.DUMMYFUNCTION("""COMPUTED_VALUE"""),"MN Những Viên Ngọc Sáng")</f>
        <v>MN Những Viên Ngọc Sáng</v>
      </c>
      <c r="C92" s="33" t="str">
        <f ca="1">IFERROR(__xludf.DUMMYFUNCTION("""COMPUTED_VALUE"""),"MN")</f>
        <v>MN</v>
      </c>
      <c r="D92" s="30" t="str">
        <f ca="1">IFERROR(__xludf.DUMMYFUNCTION("""COMPUTED_VALUE"""),"Tp. Thủ Đức")</f>
        <v>Tp. Thủ Đức</v>
      </c>
      <c r="E92" s="31">
        <f ca="1">IFERROR(__xludf.DUMMYFUNCTION("""COMPUTED_VALUE"""),5)</f>
        <v>5</v>
      </c>
      <c r="F92" s="32">
        <f ca="1">IFERROR(__xludf.DUMMYFUNCTION("""COMPUTED_VALUE"""),5)</f>
        <v>5</v>
      </c>
      <c r="G92" s="32"/>
      <c r="H92" s="32">
        <f ca="1">IFERROR(__xludf.DUMMYFUNCTION("""COMPUTED_VALUE"""),5)</f>
        <v>5</v>
      </c>
      <c r="I92" s="32"/>
      <c r="J92" s="32">
        <f ca="1">IFERROR(__xludf.DUMMYFUNCTION("""COMPUTED_VALUE"""),5)</f>
        <v>5</v>
      </c>
      <c r="K92" s="32"/>
      <c r="L92" s="32">
        <f ca="1">IFERROR(__xludf.DUMMYFUNCTION("""COMPUTED_VALUE"""),0)</f>
        <v>0</v>
      </c>
      <c r="M92" s="32"/>
      <c r="N92" s="31">
        <f ca="1">IFERROR(__xludf.DUMMYFUNCTION("""COMPUTED_VALUE"""),0)</f>
        <v>0</v>
      </c>
      <c r="O92" s="32">
        <f ca="1">IFERROR(__xludf.DUMMYFUNCTION("""COMPUTED_VALUE"""),0)</f>
        <v>0</v>
      </c>
      <c r="P92" s="32"/>
      <c r="Q92" s="32">
        <f ca="1">IFERROR(__xludf.DUMMYFUNCTION("""COMPUTED_VALUE"""),0)</f>
        <v>0</v>
      </c>
      <c r="R92" s="32"/>
      <c r="S92" s="31">
        <f ca="1">IFERROR(__xludf.DUMMYFUNCTION("""COMPUTED_VALUE"""),0)</f>
        <v>0</v>
      </c>
      <c r="T92" s="32">
        <f ca="1">IFERROR(__xludf.DUMMYFUNCTION("""COMPUTED_VALUE"""),0)</f>
        <v>0</v>
      </c>
      <c r="U92" s="32"/>
      <c r="V92" s="32">
        <f ca="1">IFERROR(__xludf.DUMMYFUNCTION("""COMPUTED_VALUE"""),0)</f>
        <v>0</v>
      </c>
      <c r="W92" s="32"/>
      <c r="X92" s="32">
        <f ca="1">IFERROR(__xludf.DUMMYFUNCTION("""COMPUTED_VALUE"""),0)</f>
        <v>0</v>
      </c>
      <c r="Y92" s="32"/>
      <c r="Z92" s="2"/>
      <c r="AA92" s="2"/>
      <c r="AB92" s="2"/>
      <c r="AC92" s="2"/>
      <c r="AD92" s="2"/>
      <c r="AE92" s="2"/>
    </row>
    <row r="93" spans="1:31" ht="12.75" x14ac:dyDescent="0.2">
      <c r="A93" s="28">
        <f ca="1">IFERROR(__xludf.DUMMYFUNCTION("""COMPUTED_VALUE"""),25)</f>
        <v>25</v>
      </c>
      <c r="B93" s="29" t="str">
        <f ca="1">IFERROR(__xludf.DUMMYFUNCTION("""COMPUTED_VALUE"""),"MN Yêu Con")</f>
        <v>MN Yêu Con</v>
      </c>
      <c r="C93" s="33" t="str">
        <f ca="1">IFERROR(__xludf.DUMMYFUNCTION("""COMPUTED_VALUE"""),"MN")</f>
        <v>MN</v>
      </c>
      <c r="D93" s="30" t="str">
        <f ca="1">IFERROR(__xludf.DUMMYFUNCTION("""COMPUTED_VALUE"""),"Tp. Thủ Đức")</f>
        <v>Tp. Thủ Đức</v>
      </c>
      <c r="E93" s="31">
        <f ca="1">IFERROR(__xludf.DUMMYFUNCTION("""COMPUTED_VALUE"""),15)</f>
        <v>15</v>
      </c>
      <c r="F93" s="32">
        <f ca="1">IFERROR(__xludf.DUMMYFUNCTION("""COMPUTED_VALUE"""),15)</f>
        <v>15</v>
      </c>
      <c r="G93" s="32"/>
      <c r="H93" s="32">
        <f ca="1">IFERROR(__xludf.DUMMYFUNCTION("""COMPUTED_VALUE"""),15)</f>
        <v>15</v>
      </c>
      <c r="I93" s="32"/>
      <c r="J93" s="32">
        <f ca="1">IFERROR(__xludf.DUMMYFUNCTION("""COMPUTED_VALUE"""),10)</f>
        <v>10</v>
      </c>
      <c r="K93" s="32"/>
      <c r="L93" s="32">
        <f ca="1">IFERROR(__xludf.DUMMYFUNCTION("""COMPUTED_VALUE"""),4)</f>
        <v>4</v>
      </c>
      <c r="M93" s="32"/>
      <c r="N93" s="31">
        <f ca="1">IFERROR(__xludf.DUMMYFUNCTION("""COMPUTED_VALUE"""),0)</f>
        <v>0</v>
      </c>
      <c r="O93" s="32">
        <f ca="1">IFERROR(__xludf.DUMMYFUNCTION("""COMPUTED_VALUE"""),0)</f>
        <v>0</v>
      </c>
      <c r="P93" s="32"/>
      <c r="Q93" s="32">
        <f ca="1">IFERROR(__xludf.DUMMYFUNCTION("""COMPUTED_VALUE"""),0)</f>
        <v>0</v>
      </c>
      <c r="R93" s="32"/>
      <c r="S93" s="31">
        <f ca="1">IFERROR(__xludf.DUMMYFUNCTION("""COMPUTED_VALUE"""),0)</f>
        <v>0</v>
      </c>
      <c r="T93" s="32">
        <f ca="1">IFERROR(__xludf.DUMMYFUNCTION("""COMPUTED_VALUE"""),0)</f>
        <v>0</v>
      </c>
      <c r="U93" s="32"/>
      <c r="V93" s="32">
        <f ca="1">IFERROR(__xludf.DUMMYFUNCTION("""COMPUTED_VALUE"""),0)</f>
        <v>0</v>
      </c>
      <c r="W93" s="32"/>
      <c r="X93" s="32">
        <f ca="1">IFERROR(__xludf.DUMMYFUNCTION("""COMPUTED_VALUE"""),0)</f>
        <v>0</v>
      </c>
      <c r="Y93" s="32"/>
      <c r="Z93" s="2"/>
      <c r="AA93" s="2"/>
      <c r="AB93" s="2"/>
      <c r="AC93" s="2"/>
      <c r="AD93" s="2"/>
      <c r="AE93" s="2"/>
    </row>
    <row r="94" spans="1:31" ht="12.75" x14ac:dyDescent="0.2">
      <c r="A94" s="28">
        <f ca="1">IFERROR(__xludf.DUMMYFUNCTION("""COMPUTED_VALUE"""),26)</f>
        <v>26</v>
      </c>
      <c r="B94" s="29" t="str">
        <f ca="1">IFERROR(__xludf.DUMMYFUNCTION("""COMPUTED_VALUE"""),"MN Học Viện Up")</f>
        <v>MN Học Viện Up</v>
      </c>
      <c r="C94" s="33" t="str">
        <f ca="1">IFERROR(__xludf.DUMMYFUNCTION("""COMPUTED_VALUE"""),"MN")</f>
        <v>MN</v>
      </c>
      <c r="D94" s="30" t="str">
        <f ca="1">IFERROR(__xludf.DUMMYFUNCTION("""COMPUTED_VALUE"""),"Tp. Thủ Đức")</f>
        <v>Tp. Thủ Đức</v>
      </c>
      <c r="E94" s="31">
        <f ca="1">IFERROR(__xludf.DUMMYFUNCTION("""COMPUTED_VALUE"""),18)</f>
        <v>18</v>
      </c>
      <c r="F94" s="32">
        <f ca="1">IFERROR(__xludf.DUMMYFUNCTION("""COMPUTED_VALUE"""),18)</f>
        <v>18</v>
      </c>
      <c r="G94" s="32"/>
      <c r="H94" s="32">
        <f ca="1">IFERROR(__xludf.DUMMYFUNCTION("""COMPUTED_VALUE"""),18)</f>
        <v>18</v>
      </c>
      <c r="I94" s="32"/>
      <c r="J94" s="32">
        <f ca="1">IFERROR(__xludf.DUMMYFUNCTION("""COMPUTED_VALUE"""),17)</f>
        <v>17</v>
      </c>
      <c r="K94" s="32"/>
      <c r="L94" s="32">
        <f ca="1">IFERROR(__xludf.DUMMYFUNCTION("""COMPUTED_VALUE"""),0)</f>
        <v>0</v>
      </c>
      <c r="M94" s="32"/>
      <c r="N94" s="31">
        <f ca="1">IFERROR(__xludf.DUMMYFUNCTION("""COMPUTED_VALUE"""),0)</f>
        <v>0</v>
      </c>
      <c r="O94" s="32">
        <f ca="1">IFERROR(__xludf.DUMMYFUNCTION("""COMPUTED_VALUE"""),0)</f>
        <v>0</v>
      </c>
      <c r="P94" s="32"/>
      <c r="Q94" s="32">
        <f ca="1">IFERROR(__xludf.DUMMYFUNCTION("""COMPUTED_VALUE"""),0)</f>
        <v>0</v>
      </c>
      <c r="R94" s="32"/>
      <c r="S94" s="31">
        <f ca="1">IFERROR(__xludf.DUMMYFUNCTION("""COMPUTED_VALUE"""),0)</f>
        <v>0</v>
      </c>
      <c r="T94" s="32">
        <f ca="1">IFERROR(__xludf.DUMMYFUNCTION("""COMPUTED_VALUE"""),0)</f>
        <v>0</v>
      </c>
      <c r="U94" s="32"/>
      <c r="V94" s="32">
        <f ca="1">IFERROR(__xludf.DUMMYFUNCTION("""COMPUTED_VALUE"""),0)</f>
        <v>0</v>
      </c>
      <c r="W94" s="32"/>
      <c r="X94" s="32">
        <f ca="1">IFERROR(__xludf.DUMMYFUNCTION("""COMPUTED_VALUE"""),0)</f>
        <v>0</v>
      </c>
      <c r="Y94" s="32"/>
      <c r="Z94" s="2"/>
      <c r="AA94" s="2"/>
      <c r="AB94" s="2"/>
      <c r="AC94" s="2"/>
      <c r="AD94" s="2"/>
      <c r="AE94" s="2"/>
    </row>
    <row r="95" spans="1:31" ht="12.75" x14ac:dyDescent="0.2">
      <c r="A95" s="28">
        <f ca="1">IFERROR(__xludf.DUMMYFUNCTION("""COMPUTED_VALUE"""),27)</f>
        <v>27</v>
      </c>
      <c r="B95" s="29" t="str">
        <f ca="1">IFERROR(__xludf.DUMMYFUNCTION("""COMPUTED_VALUE"""),"MN Úc Châu")</f>
        <v>MN Úc Châu</v>
      </c>
      <c r="C95" s="33" t="str">
        <f ca="1">IFERROR(__xludf.DUMMYFUNCTION("""COMPUTED_VALUE"""),"MN")</f>
        <v>MN</v>
      </c>
      <c r="D95" s="30" t="str">
        <f ca="1">IFERROR(__xludf.DUMMYFUNCTION("""COMPUTED_VALUE"""),"Tp. Thủ Đức")</f>
        <v>Tp. Thủ Đức</v>
      </c>
      <c r="E95" s="31">
        <f ca="1">IFERROR(__xludf.DUMMYFUNCTION("""COMPUTED_VALUE"""),27)</f>
        <v>27</v>
      </c>
      <c r="F95" s="32">
        <f ca="1">IFERROR(__xludf.DUMMYFUNCTION("""COMPUTED_VALUE"""),27)</f>
        <v>27</v>
      </c>
      <c r="G95" s="32"/>
      <c r="H95" s="32">
        <f ca="1">IFERROR(__xludf.DUMMYFUNCTION("""COMPUTED_VALUE"""),27)</f>
        <v>27</v>
      </c>
      <c r="I95" s="32"/>
      <c r="J95" s="32">
        <f ca="1">IFERROR(__xludf.DUMMYFUNCTION("""COMPUTED_VALUE"""),26)</f>
        <v>26</v>
      </c>
      <c r="K95" s="32"/>
      <c r="L95" s="32">
        <f ca="1">IFERROR(__xludf.DUMMYFUNCTION("""COMPUTED_VALUE"""),1)</f>
        <v>1</v>
      </c>
      <c r="M95" s="32"/>
      <c r="N95" s="31">
        <f ca="1">IFERROR(__xludf.DUMMYFUNCTION("""COMPUTED_VALUE"""),0)</f>
        <v>0</v>
      </c>
      <c r="O95" s="32">
        <f ca="1">IFERROR(__xludf.DUMMYFUNCTION("""COMPUTED_VALUE"""),0)</f>
        <v>0</v>
      </c>
      <c r="P95" s="32"/>
      <c r="Q95" s="32">
        <f ca="1">IFERROR(__xludf.DUMMYFUNCTION("""COMPUTED_VALUE"""),0)</f>
        <v>0</v>
      </c>
      <c r="R95" s="32"/>
      <c r="S95" s="31">
        <f ca="1">IFERROR(__xludf.DUMMYFUNCTION("""COMPUTED_VALUE"""),0)</f>
        <v>0</v>
      </c>
      <c r="T95" s="32">
        <f ca="1">IFERROR(__xludf.DUMMYFUNCTION("""COMPUTED_VALUE"""),0)</f>
        <v>0</v>
      </c>
      <c r="U95" s="32"/>
      <c r="V95" s="32">
        <f ca="1">IFERROR(__xludf.DUMMYFUNCTION("""COMPUTED_VALUE"""),0)</f>
        <v>0</v>
      </c>
      <c r="W95" s="32"/>
      <c r="X95" s="32">
        <f ca="1">IFERROR(__xludf.DUMMYFUNCTION("""COMPUTED_VALUE"""),0)</f>
        <v>0</v>
      </c>
      <c r="Y95" s="32"/>
      <c r="Z95" s="2"/>
      <c r="AA95" s="2"/>
      <c r="AB95" s="2"/>
      <c r="AC95" s="2"/>
      <c r="AD95" s="2"/>
      <c r="AE95" s="2"/>
    </row>
    <row r="96" spans="1:31" ht="12.75" x14ac:dyDescent="0.2">
      <c r="A96" s="28">
        <f ca="1">IFERROR(__xludf.DUMMYFUNCTION("""COMPUTED_VALUE"""),28)</f>
        <v>28</v>
      </c>
      <c r="B96" s="29" t="str">
        <f ca="1">IFERROR(__xludf.DUMMYFUNCTION("""COMPUTED_VALUE"""),"MN Thần Đồng")</f>
        <v>MN Thần Đồng</v>
      </c>
      <c r="C96" s="33" t="str">
        <f ca="1">IFERROR(__xludf.DUMMYFUNCTION("""COMPUTED_VALUE"""),"MN")</f>
        <v>MN</v>
      </c>
      <c r="D96" s="30" t="str">
        <f ca="1">IFERROR(__xludf.DUMMYFUNCTION("""COMPUTED_VALUE"""),"Tp. Thủ Đức")</f>
        <v>Tp. Thủ Đức</v>
      </c>
      <c r="E96" s="31">
        <f ca="1">IFERROR(__xludf.DUMMYFUNCTION("""COMPUTED_VALUE"""),23)</f>
        <v>23</v>
      </c>
      <c r="F96" s="32">
        <f ca="1">IFERROR(__xludf.DUMMYFUNCTION("""COMPUTED_VALUE"""),23)</f>
        <v>23</v>
      </c>
      <c r="G96" s="32"/>
      <c r="H96" s="32">
        <f ca="1">IFERROR(__xludf.DUMMYFUNCTION("""COMPUTED_VALUE"""),23)</f>
        <v>23</v>
      </c>
      <c r="I96" s="32"/>
      <c r="J96" s="32">
        <f ca="1">IFERROR(__xludf.DUMMYFUNCTION("""COMPUTED_VALUE"""),23)</f>
        <v>23</v>
      </c>
      <c r="K96" s="32"/>
      <c r="L96" s="32">
        <f ca="1">IFERROR(__xludf.DUMMYFUNCTION("""COMPUTED_VALUE"""),6)</f>
        <v>6</v>
      </c>
      <c r="M96" s="32"/>
      <c r="N96" s="31">
        <f ca="1">IFERROR(__xludf.DUMMYFUNCTION("""COMPUTED_VALUE"""),0)</f>
        <v>0</v>
      </c>
      <c r="O96" s="32">
        <f ca="1">IFERROR(__xludf.DUMMYFUNCTION("""COMPUTED_VALUE"""),0)</f>
        <v>0</v>
      </c>
      <c r="P96" s="32"/>
      <c r="Q96" s="32">
        <f ca="1">IFERROR(__xludf.DUMMYFUNCTION("""COMPUTED_VALUE"""),0)</f>
        <v>0</v>
      </c>
      <c r="R96" s="32"/>
      <c r="S96" s="31">
        <f ca="1">IFERROR(__xludf.DUMMYFUNCTION("""COMPUTED_VALUE"""),0)</f>
        <v>0</v>
      </c>
      <c r="T96" s="32">
        <f ca="1">IFERROR(__xludf.DUMMYFUNCTION("""COMPUTED_VALUE"""),0)</f>
        <v>0</v>
      </c>
      <c r="U96" s="32"/>
      <c r="V96" s="32">
        <f ca="1">IFERROR(__xludf.DUMMYFUNCTION("""COMPUTED_VALUE"""),0)</f>
        <v>0</v>
      </c>
      <c r="W96" s="32"/>
      <c r="X96" s="32">
        <f ca="1">IFERROR(__xludf.DUMMYFUNCTION("""COMPUTED_VALUE"""),0)</f>
        <v>0</v>
      </c>
      <c r="Y96" s="32"/>
      <c r="Z96" s="2"/>
      <c r="AA96" s="2"/>
      <c r="AB96" s="2"/>
      <c r="AC96" s="2"/>
      <c r="AD96" s="2"/>
      <c r="AE96" s="2"/>
    </row>
    <row r="97" spans="1:31" ht="12.75" x14ac:dyDescent="0.2">
      <c r="A97" s="28">
        <f ca="1">IFERROR(__xludf.DUMMYFUNCTION("""COMPUTED_VALUE"""),29)</f>
        <v>29</v>
      </c>
      <c r="B97" s="29" t="str">
        <f ca="1">IFERROR(__xludf.DUMMYFUNCTION("""COMPUTED_VALUE"""),"MN Ngôi Nhà Trẻ Thơ")</f>
        <v>MN Ngôi Nhà Trẻ Thơ</v>
      </c>
      <c r="C97" s="33" t="str">
        <f ca="1">IFERROR(__xludf.DUMMYFUNCTION("""COMPUTED_VALUE"""),"MN")</f>
        <v>MN</v>
      </c>
      <c r="D97" s="30" t="str">
        <f ca="1">IFERROR(__xludf.DUMMYFUNCTION("""COMPUTED_VALUE"""),"Tp. Thủ Đức")</f>
        <v>Tp. Thủ Đức</v>
      </c>
      <c r="E97" s="31">
        <f ca="1">IFERROR(__xludf.DUMMYFUNCTION("""COMPUTED_VALUE"""),3)</f>
        <v>3</v>
      </c>
      <c r="F97" s="32">
        <f ca="1">IFERROR(__xludf.DUMMYFUNCTION("""COMPUTED_VALUE"""),3)</f>
        <v>3</v>
      </c>
      <c r="G97" s="32"/>
      <c r="H97" s="32">
        <f ca="1">IFERROR(__xludf.DUMMYFUNCTION("""COMPUTED_VALUE"""),3)</f>
        <v>3</v>
      </c>
      <c r="I97" s="32"/>
      <c r="J97" s="32">
        <f ca="1">IFERROR(__xludf.DUMMYFUNCTION("""COMPUTED_VALUE"""),3)</f>
        <v>3</v>
      </c>
      <c r="K97" s="32"/>
      <c r="L97" s="32">
        <f ca="1">IFERROR(__xludf.DUMMYFUNCTION("""COMPUTED_VALUE"""),0)</f>
        <v>0</v>
      </c>
      <c r="M97" s="32"/>
      <c r="N97" s="31">
        <f ca="1">IFERROR(__xludf.DUMMYFUNCTION("""COMPUTED_VALUE"""),0)</f>
        <v>0</v>
      </c>
      <c r="O97" s="32">
        <f ca="1">IFERROR(__xludf.DUMMYFUNCTION("""COMPUTED_VALUE"""),0)</f>
        <v>0</v>
      </c>
      <c r="P97" s="32"/>
      <c r="Q97" s="32">
        <f ca="1">IFERROR(__xludf.DUMMYFUNCTION("""COMPUTED_VALUE"""),0)</f>
        <v>0</v>
      </c>
      <c r="R97" s="32"/>
      <c r="S97" s="31">
        <f ca="1">IFERROR(__xludf.DUMMYFUNCTION("""COMPUTED_VALUE"""),0)</f>
        <v>0</v>
      </c>
      <c r="T97" s="32">
        <f ca="1">IFERROR(__xludf.DUMMYFUNCTION("""COMPUTED_VALUE"""),0)</f>
        <v>0</v>
      </c>
      <c r="U97" s="32"/>
      <c r="V97" s="32">
        <f ca="1">IFERROR(__xludf.DUMMYFUNCTION("""COMPUTED_VALUE"""),0)</f>
        <v>0</v>
      </c>
      <c r="W97" s="32"/>
      <c r="X97" s="32">
        <f ca="1">IFERROR(__xludf.DUMMYFUNCTION("""COMPUTED_VALUE"""),0)</f>
        <v>0</v>
      </c>
      <c r="Y97" s="32"/>
      <c r="Z97" s="2"/>
      <c r="AA97" s="2"/>
      <c r="AB97" s="2"/>
      <c r="AC97" s="2"/>
      <c r="AD97" s="2"/>
      <c r="AE97" s="2"/>
    </row>
    <row r="98" spans="1:31" ht="12.75" x14ac:dyDescent="0.2">
      <c r="A98" s="28">
        <f ca="1">IFERROR(__xludf.DUMMYFUNCTION("""COMPUTED_VALUE"""),30)</f>
        <v>30</v>
      </c>
      <c r="B98" s="29" t="str">
        <f ca="1">IFERROR(__xludf.DUMMYFUNCTION("""COMPUTED_VALUE"""),"MN Sao Việt")</f>
        <v>MN Sao Việt</v>
      </c>
      <c r="C98" s="33" t="str">
        <f ca="1">IFERROR(__xludf.DUMMYFUNCTION("""COMPUTED_VALUE"""),"MN")</f>
        <v>MN</v>
      </c>
      <c r="D98" s="30" t="str">
        <f ca="1">IFERROR(__xludf.DUMMYFUNCTION("""COMPUTED_VALUE"""),"Tp. Thủ Đức")</f>
        <v>Tp. Thủ Đức</v>
      </c>
      <c r="E98" s="31">
        <f ca="1">IFERROR(__xludf.DUMMYFUNCTION("""COMPUTED_VALUE"""),15)</f>
        <v>15</v>
      </c>
      <c r="F98" s="32">
        <f ca="1">IFERROR(__xludf.DUMMYFUNCTION("""COMPUTED_VALUE"""),15)</f>
        <v>15</v>
      </c>
      <c r="G98" s="32"/>
      <c r="H98" s="32">
        <f ca="1">IFERROR(__xludf.DUMMYFUNCTION("""COMPUTED_VALUE"""),15)</f>
        <v>15</v>
      </c>
      <c r="I98" s="32"/>
      <c r="J98" s="32">
        <f ca="1">IFERROR(__xludf.DUMMYFUNCTION("""COMPUTED_VALUE"""),15)</f>
        <v>15</v>
      </c>
      <c r="K98" s="32"/>
      <c r="L98" s="32">
        <f ca="1">IFERROR(__xludf.DUMMYFUNCTION("""COMPUTED_VALUE"""),7)</f>
        <v>7</v>
      </c>
      <c r="M98" s="32"/>
      <c r="N98" s="31">
        <f ca="1">IFERROR(__xludf.DUMMYFUNCTION("""COMPUTED_VALUE"""),0)</f>
        <v>0</v>
      </c>
      <c r="O98" s="32">
        <f ca="1">IFERROR(__xludf.DUMMYFUNCTION("""COMPUTED_VALUE"""),0)</f>
        <v>0</v>
      </c>
      <c r="P98" s="32"/>
      <c r="Q98" s="32">
        <f ca="1">IFERROR(__xludf.DUMMYFUNCTION("""COMPUTED_VALUE"""),0)</f>
        <v>0</v>
      </c>
      <c r="R98" s="32"/>
      <c r="S98" s="31">
        <f ca="1">IFERROR(__xludf.DUMMYFUNCTION("""COMPUTED_VALUE"""),0)</f>
        <v>0</v>
      </c>
      <c r="T98" s="32">
        <f ca="1">IFERROR(__xludf.DUMMYFUNCTION("""COMPUTED_VALUE"""),0)</f>
        <v>0</v>
      </c>
      <c r="U98" s="32"/>
      <c r="V98" s="32">
        <f ca="1">IFERROR(__xludf.DUMMYFUNCTION("""COMPUTED_VALUE"""),0)</f>
        <v>0</v>
      </c>
      <c r="W98" s="32"/>
      <c r="X98" s="32">
        <f ca="1">IFERROR(__xludf.DUMMYFUNCTION("""COMPUTED_VALUE"""),0)</f>
        <v>0</v>
      </c>
      <c r="Y98" s="32"/>
      <c r="Z98" s="2"/>
      <c r="AA98" s="2"/>
      <c r="AB98" s="2"/>
      <c r="AC98" s="2"/>
      <c r="AD98" s="2"/>
      <c r="AE98" s="2"/>
    </row>
    <row r="99" spans="1:31" ht="12.75" x14ac:dyDescent="0.2">
      <c r="A99" s="28">
        <f ca="1">IFERROR(__xludf.DUMMYFUNCTION("""COMPUTED_VALUE"""),31)</f>
        <v>31</v>
      </c>
      <c r="B99" s="29" t="str">
        <f ca="1">IFERROR(__xludf.DUMMYFUNCTION("""COMPUTED_VALUE"""),"MN Mặt Trời Nhỏ 1")</f>
        <v>MN Mặt Trời Nhỏ 1</v>
      </c>
      <c r="C99" s="33" t="str">
        <f ca="1">IFERROR(__xludf.DUMMYFUNCTION("""COMPUTED_VALUE"""),"MN")</f>
        <v>MN</v>
      </c>
      <c r="D99" s="30" t="str">
        <f ca="1">IFERROR(__xludf.DUMMYFUNCTION("""COMPUTED_VALUE"""),"Tp. Thủ Đức")</f>
        <v>Tp. Thủ Đức</v>
      </c>
      <c r="E99" s="31">
        <f ca="1">IFERROR(__xludf.DUMMYFUNCTION("""COMPUTED_VALUE"""),20)</f>
        <v>20</v>
      </c>
      <c r="F99" s="32">
        <f ca="1">IFERROR(__xludf.DUMMYFUNCTION("""COMPUTED_VALUE"""),20)</f>
        <v>20</v>
      </c>
      <c r="G99" s="32"/>
      <c r="H99" s="32">
        <f ca="1">IFERROR(__xludf.DUMMYFUNCTION("""COMPUTED_VALUE"""),20)</f>
        <v>20</v>
      </c>
      <c r="I99" s="32"/>
      <c r="J99" s="32">
        <f ca="1">IFERROR(__xludf.DUMMYFUNCTION("""COMPUTED_VALUE"""),2)</f>
        <v>2</v>
      </c>
      <c r="K99" s="32"/>
      <c r="L99" s="32">
        <f ca="1">IFERROR(__xludf.DUMMYFUNCTION("""COMPUTED_VALUE"""),0)</f>
        <v>0</v>
      </c>
      <c r="M99" s="32"/>
      <c r="N99" s="31">
        <f ca="1">IFERROR(__xludf.DUMMYFUNCTION("""COMPUTED_VALUE"""),0)</f>
        <v>0</v>
      </c>
      <c r="O99" s="32">
        <f ca="1">IFERROR(__xludf.DUMMYFUNCTION("""COMPUTED_VALUE"""),0)</f>
        <v>0</v>
      </c>
      <c r="P99" s="32"/>
      <c r="Q99" s="32">
        <f ca="1">IFERROR(__xludf.DUMMYFUNCTION("""COMPUTED_VALUE"""),0)</f>
        <v>0</v>
      </c>
      <c r="R99" s="32"/>
      <c r="S99" s="31">
        <f ca="1">IFERROR(__xludf.DUMMYFUNCTION("""COMPUTED_VALUE"""),0)</f>
        <v>0</v>
      </c>
      <c r="T99" s="32">
        <f ca="1">IFERROR(__xludf.DUMMYFUNCTION("""COMPUTED_VALUE"""),0)</f>
        <v>0</v>
      </c>
      <c r="U99" s="32"/>
      <c r="V99" s="32">
        <f ca="1">IFERROR(__xludf.DUMMYFUNCTION("""COMPUTED_VALUE"""),0)</f>
        <v>0</v>
      </c>
      <c r="W99" s="32"/>
      <c r="X99" s="32">
        <f ca="1">IFERROR(__xludf.DUMMYFUNCTION("""COMPUTED_VALUE"""),0)</f>
        <v>0</v>
      </c>
      <c r="Y99" s="32"/>
      <c r="Z99" s="2"/>
      <c r="AA99" s="2"/>
      <c r="AB99" s="2"/>
      <c r="AC99" s="2"/>
      <c r="AD99" s="2"/>
      <c r="AE99" s="2"/>
    </row>
    <row r="100" spans="1:31" ht="12.75" x14ac:dyDescent="0.2">
      <c r="A100" s="28">
        <f ca="1">IFERROR(__xludf.DUMMYFUNCTION("""COMPUTED_VALUE"""),32)</f>
        <v>32</v>
      </c>
      <c r="B100" s="29" t="str">
        <f ca="1">IFERROR(__xludf.DUMMYFUNCTION("""COMPUTED_VALUE"""),"MN Bầu Trời Xanh 1")</f>
        <v>MN Bầu Trời Xanh 1</v>
      </c>
      <c r="C100" s="33" t="str">
        <f ca="1">IFERROR(__xludf.DUMMYFUNCTION("""COMPUTED_VALUE"""),"MN")</f>
        <v>MN</v>
      </c>
      <c r="D100" s="30" t="str">
        <f ca="1">IFERROR(__xludf.DUMMYFUNCTION("""COMPUTED_VALUE"""),"Tp. Thủ Đức")</f>
        <v>Tp. Thủ Đức</v>
      </c>
      <c r="E100" s="31">
        <f ca="1">IFERROR(__xludf.DUMMYFUNCTION("""COMPUTED_VALUE"""),48)</f>
        <v>48</v>
      </c>
      <c r="F100" s="32">
        <f ca="1">IFERROR(__xludf.DUMMYFUNCTION("""COMPUTED_VALUE"""),48)</f>
        <v>48</v>
      </c>
      <c r="G100" s="32"/>
      <c r="H100" s="32">
        <f ca="1">IFERROR(__xludf.DUMMYFUNCTION("""COMPUTED_VALUE"""),48)</f>
        <v>48</v>
      </c>
      <c r="I100" s="32"/>
      <c r="J100" s="32">
        <f ca="1">IFERROR(__xludf.DUMMYFUNCTION("""COMPUTED_VALUE"""),48)</f>
        <v>48</v>
      </c>
      <c r="K100" s="32"/>
      <c r="L100" s="32">
        <f ca="1">IFERROR(__xludf.DUMMYFUNCTION("""COMPUTED_VALUE"""),24)</f>
        <v>24</v>
      </c>
      <c r="M100" s="32"/>
      <c r="N100" s="31">
        <f ca="1">IFERROR(__xludf.DUMMYFUNCTION("""COMPUTED_VALUE"""),0)</f>
        <v>0</v>
      </c>
      <c r="O100" s="32">
        <f ca="1">IFERROR(__xludf.DUMMYFUNCTION("""COMPUTED_VALUE"""),0)</f>
        <v>0</v>
      </c>
      <c r="P100" s="32"/>
      <c r="Q100" s="32">
        <f ca="1">IFERROR(__xludf.DUMMYFUNCTION("""COMPUTED_VALUE"""),0)</f>
        <v>0</v>
      </c>
      <c r="R100" s="32"/>
      <c r="S100" s="31">
        <f ca="1">IFERROR(__xludf.DUMMYFUNCTION("""COMPUTED_VALUE"""),0)</f>
        <v>0</v>
      </c>
      <c r="T100" s="32">
        <f ca="1">IFERROR(__xludf.DUMMYFUNCTION("""COMPUTED_VALUE"""),0)</f>
        <v>0</v>
      </c>
      <c r="U100" s="32"/>
      <c r="V100" s="32">
        <f ca="1">IFERROR(__xludf.DUMMYFUNCTION("""COMPUTED_VALUE"""),0)</f>
        <v>0</v>
      </c>
      <c r="W100" s="32"/>
      <c r="X100" s="32">
        <f ca="1">IFERROR(__xludf.DUMMYFUNCTION("""COMPUTED_VALUE"""),0)</f>
        <v>0</v>
      </c>
      <c r="Y100" s="32"/>
      <c r="Z100" s="2"/>
      <c r="AA100" s="2"/>
      <c r="AB100" s="2"/>
      <c r="AC100" s="2"/>
      <c r="AD100" s="2"/>
      <c r="AE100" s="2"/>
    </row>
    <row r="101" spans="1:31" ht="12.75" x14ac:dyDescent="0.2">
      <c r="A101" s="28">
        <f ca="1">IFERROR(__xludf.DUMMYFUNCTION("""COMPUTED_VALUE"""),33)</f>
        <v>33</v>
      </c>
      <c r="B101" s="29" t="str">
        <f ca="1">IFERROR(__xludf.DUMMYFUNCTION("""COMPUTED_VALUE"""),"MN Hoa Diên Vĩ - Thảo Điền")</f>
        <v>MN Hoa Diên Vĩ - Thảo Điền</v>
      </c>
      <c r="C101" s="33" t="str">
        <f ca="1">IFERROR(__xludf.DUMMYFUNCTION("""COMPUTED_VALUE"""),"MN")</f>
        <v>MN</v>
      </c>
      <c r="D101" s="30" t="str">
        <f ca="1">IFERROR(__xludf.DUMMYFUNCTION("""COMPUTED_VALUE"""),"Tp. Thủ Đức")</f>
        <v>Tp. Thủ Đức</v>
      </c>
      <c r="E101" s="31">
        <f ca="1">IFERROR(__xludf.DUMMYFUNCTION("""COMPUTED_VALUE"""),20)</f>
        <v>20</v>
      </c>
      <c r="F101" s="32">
        <f ca="1">IFERROR(__xludf.DUMMYFUNCTION("""COMPUTED_VALUE"""),20)</f>
        <v>20</v>
      </c>
      <c r="G101" s="32"/>
      <c r="H101" s="32">
        <f ca="1">IFERROR(__xludf.DUMMYFUNCTION("""COMPUTED_VALUE"""),20)</f>
        <v>20</v>
      </c>
      <c r="I101" s="32"/>
      <c r="J101" s="32">
        <f ca="1">IFERROR(__xludf.DUMMYFUNCTION("""COMPUTED_VALUE"""),19)</f>
        <v>19</v>
      </c>
      <c r="K101" s="32"/>
      <c r="L101" s="32">
        <f ca="1">IFERROR(__xludf.DUMMYFUNCTION("""COMPUTED_VALUE"""),0)</f>
        <v>0</v>
      </c>
      <c r="M101" s="32"/>
      <c r="N101" s="31">
        <f ca="1">IFERROR(__xludf.DUMMYFUNCTION("""COMPUTED_VALUE"""),0)</f>
        <v>0</v>
      </c>
      <c r="O101" s="32">
        <f ca="1">IFERROR(__xludf.DUMMYFUNCTION("""COMPUTED_VALUE"""),0)</f>
        <v>0</v>
      </c>
      <c r="P101" s="32"/>
      <c r="Q101" s="32">
        <f ca="1">IFERROR(__xludf.DUMMYFUNCTION("""COMPUTED_VALUE"""),0)</f>
        <v>0</v>
      </c>
      <c r="R101" s="32"/>
      <c r="S101" s="31">
        <f ca="1">IFERROR(__xludf.DUMMYFUNCTION("""COMPUTED_VALUE"""),0)</f>
        <v>0</v>
      </c>
      <c r="T101" s="32">
        <f ca="1">IFERROR(__xludf.DUMMYFUNCTION("""COMPUTED_VALUE"""),0)</f>
        <v>0</v>
      </c>
      <c r="U101" s="32"/>
      <c r="V101" s="32">
        <f ca="1">IFERROR(__xludf.DUMMYFUNCTION("""COMPUTED_VALUE"""),0)</f>
        <v>0</v>
      </c>
      <c r="W101" s="32"/>
      <c r="X101" s="32">
        <f ca="1">IFERROR(__xludf.DUMMYFUNCTION("""COMPUTED_VALUE"""),0)</f>
        <v>0</v>
      </c>
      <c r="Y101" s="32"/>
      <c r="Z101" s="2"/>
      <c r="AA101" s="2"/>
      <c r="AB101" s="2"/>
      <c r="AC101" s="2"/>
      <c r="AD101" s="2"/>
      <c r="AE101" s="2"/>
    </row>
    <row r="102" spans="1:31" ht="12.75" x14ac:dyDescent="0.2">
      <c r="A102" s="28">
        <f ca="1">IFERROR(__xludf.DUMMYFUNCTION("""COMPUTED_VALUE"""),34)</f>
        <v>34</v>
      </c>
      <c r="B102" s="29" t="str">
        <f ca="1">IFERROR(__xludf.DUMMYFUNCTION("""COMPUTED_VALUE"""),"MN Hoa Hướng Dương")</f>
        <v>MN Hoa Hướng Dương</v>
      </c>
      <c r="C102" s="33" t="str">
        <f ca="1">IFERROR(__xludf.DUMMYFUNCTION("""COMPUTED_VALUE"""),"MN")</f>
        <v>MN</v>
      </c>
      <c r="D102" s="30" t="str">
        <f ca="1">IFERROR(__xludf.DUMMYFUNCTION("""COMPUTED_VALUE"""),"Tp. Thủ Đức")</f>
        <v>Tp. Thủ Đức</v>
      </c>
      <c r="E102" s="31">
        <f ca="1">IFERROR(__xludf.DUMMYFUNCTION("""COMPUTED_VALUE"""),7)</f>
        <v>7</v>
      </c>
      <c r="F102" s="32">
        <f ca="1">IFERROR(__xludf.DUMMYFUNCTION("""COMPUTED_VALUE"""),7)</f>
        <v>7</v>
      </c>
      <c r="G102" s="32"/>
      <c r="H102" s="32">
        <f ca="1">IFERROR(__xludf.DUMMYFUNCTION("""COMPUTED_VALUE"""),7)</f>
        <v>7</v>
      </c>
      <c r="I102" s="32"/>
      <c r="J102" s="32">
        <f ca="1">IFERROR(__xludf.DUMMYFUNCTION("""COMPUTED_VALUE"""),7)</f>
        <v>7</v>
      </c>
      <c r="K102" s="32"/>
      <c r="L102" s="32">
        <f ca="1">IFERROR(__xludf.DUMMYFUNCTION("""COMPUTED_VALUE"""),5)</f>
        <v>5</v>
      </c>
      <c r="M102" s="32"/>
      <c r="N102" s="31">
        <f ca="1">IFERROR(__xludf.DUMMYFUNCTION("""COMPUTED_VALUE"""),0)</f>
        <v>0</v>
      </c>
      <c r="O102" s="32">
        <f ca="1">IFERROR(__xludf.DUMMYFUNCTION("""COMPUTED_VALUE"""),0)</f>
        <v>0</v>
      </c>
      <c r="P102" s="32"/>
      <c r="Q102" s="32">
        <f ca="1">IFERROR(__xludf.DUMMYFUNCTION("""COMPUTED_VALUE"""),0)</f>
        <v>0</v>
      </c>
      <c r="R102" s="32"/>
      <c r="S102" s="31">
        <f ca="1">IFERROR(__xludf.DUMMYFUNCTION("""COMPUTED_VALUE"""),0)</f>
        <v>0</v>
      </c>
      <c r="T102" s="32">
        <f ca="1">IFERROR(__xludf.DUMMYFUNCTION("""COMPUTED_VALUE"""),0)</f>
        <v>0</v>
      </c>
      <c r="U102" s="32"/>
      <c r="V102" s="32">
        <f ca="1">IFERROR(__xludf.DUMMYFUNCTION("""COMPUTED_VALUE"""),0)</f>
        <v>0</v>
      </c>
      <c r="W102" s="32"/>
      <c r="X102" s="32">
        <f ca="1">IFERROR(__xludf.DUMMYFUNCTION("""COMPUTED_VALUE"""),0)</f>
        <v>0</v>
      </c>
      <c r="Y102" s="32"/>
      <c r="Z102" s="2"/>
      <c r="AA102" s="2"/>
      <c r="AB102" s="2"/>
      <c r="AC102" s="2"/>
      <c r="AD102" s="2"/>
      <c r="AE102" s="2"/>
    </row>
    <row r="103" spans="1:31" ht="12.75" x14ac:dyDescent="0.2">
      <c r="A103" s="28">
        <f ca="1">IFERROR(__xludf.DUMMYFUNCTION("""COMPUTED_VALUE"""),35)</f>
        <v>35</v>
      </c>
      <c r="B103" s="29" t="str">
        <f ca="1">IFERROR(__xludf.DUMMYFUNCTION("""COMPUTED_VALUE"""),"MN Mỹ Đức")</f>
        <v>MN Mỹ Đức</v>
      </c>
      <c r="C103" s="33" t="str">
        <f ca="1">IFERROR(__xludf.DUMMYFUNCTION("""COMPUTED_VALUE"""),"MN")</f>
        <v>MN</v>
      </c>
      <c r="D103" s="30" t="str">
        <f ca="1">IFERROR(__xludf.DUMMYFUNCTION("""COMPUTED_VALUE"""),"Tp. Thủ Đức")</f>
        <v>Tp. Thủ Đức</v>
      </c>
      <c r="E103" s="31">
        <f ca="1">IFERROR(__xludf.DUMMYFUNCTION("""COMPUTED_VALUE"""),16)</f>
        <v>16</v>
      </c>
      <c r="F103" s="32">
        <f ca="1">IFERROR(__xludf.DUMMYFUNCTION("""COMPUTED_VALUE"""),16)</f>
        <v>16</v>
      </c>
      <c r="G103" s="32"/>
      <c r="H103" s="32">
        <f ca="1">IFERROR(__xludf.DUMMYFUNCTION("""COMPUTED_VALUE"""),16)</f>
        <v>16</v>
      </c>
      <c r="I103" s="32"/>
      <c r="J103" s="32">
        <f ca="1">IFERROR(__xludf.DUMMYFUNCTION("""COMPUTED_VALUE"""),16)</f>
        <v>16</v>
      </c>
      <c r="K103" s="32"/>
      <c r="L103" s="32">
        <f ca="1">IFERROR(__xludf.DUMMYFUNCTION("""COMPUTED_VALUE"""),10)</f>
        <v>10</v>
      </c>
      <c r="M103" s="32"/>
      <c r="N103" s="31">
        <f ca="1">IFERROR(__xludf.DUMMYFUNCTION("""COMPUTED_VALUE"""),0)</f>
        <v>0</v>
      </c>
      <c r="O103" s="32">
        <f ca="1">IFERROR(__xludf.DUMMYFUNCTION("""COMPUTED_VALUE"""),0)</f>
        <v>0</v>
      </c>
      <c r="P103" s="32"/>
      <c r="Q103" s="32">
        <f ca="1">IFERROR(__xludf.DUMMYFUNCTION("""COMPUTED_VALUE"""),0)</f>
        <v>0</v>
      </c>
      <c r="R103" s="32"/>
      <c r="S103" s="31">
        <f ca="1">IFERROR(__xludf.DUMMYFUNCTION("""COMPUTED_VALUE"""),0)</f>
        <v>0</v>
      </c>
      <c r="T103" s="32">
        <f ca="1">IFERROR(__xludf.DUMMYFUNCTION("""COMPUTED_VALUE"""),0)</f>
        <v>0</v>
      </c>
      <c r="U103" s="32"/>
      <c r="V103" s="32">
        <f ca="1">IFERROR(__xludf.DUMMYFUNCTION("""COMPUTED_VALUE"""),0)</f>
        <v>0</v>
      </c>
      <c r="W103" s="32"/>
      <c r="X103" s="32">
        <f ca="1">IFERROR(__xludf.DUMMYFUNCTION("""COMPUTED_VALUE"""),0)</f>
        <v>0</v>
      </c>
      <c r="Y103" s="32"/>
      <c r="Z103" s="2"/>
      <c r="AA103" s="2"/>
      <c r="AB103" s="2"/>
      <c r="AC103" s="2"/>
      <c r="AD103" s="2"/>
      <c r="AE103" s="2"/>
    </row>
    <row r="104" spans="1:31" ht="12.75" x14ac:dyDescent="0.2">
      <c r="A104" s="28">
        <f ca="1">IFERROR(__xludf.DUMMYFUNCTION("""COMPUTED_VALUE"""),36)</f>
        <v>36</v>
      </c>
      <c r="B104" s="29" t="str">
        <f ca="1">IFERROR(__xludf.DUMMYFUNCTION("""COMPUTED_VALUE"""),"MN Hoa Bồ Công Anh")</f>
        <v>MN Hoa Bồ Công Anh</v>
      </c>
      <c r="C104" s="33" t="str">
        <f ca="1">IFERROR(__xludf.DUMMYFUNCTION("""COMPUTED_VALUE"""),"MN")</f>
        <v>MN</v>
      </c>
      <c r="D104" s="30" t="str">
        <f ca="1">IFERROR(__xludf.DUMMYFUNCTION("""COMPUTED_VALUE"""),"Tp. Thủ Đức")</f>
        <v>Tp. Thủ Đức</v>
      </c>
      <c r="E104" s="31">
        <f ca="1">IFERROR(__xludf.DUMMYFUNCTION("""COMPUTED_VALUE"""),29)</f>
        <v>29</v>
      </c>
      <c r="F104" s="32">
        <f ca="1">IFERROR(__xludf.DUMMYFUNCTION("""COMPUTED_VALUE"""),29)</f>
        <v>29</v>
      </c>
      <c r="G104" s="32"/>
      <c r="H104" s="32">
        <f ca="1">IFERROR(__xludf.DUMMYFUNCTION("""COMPUTED_VALUE"""),29)</f>
        <v>29</v>
      </c>
      <c r="I104" s="32"/>
      <c r="J104" s="32">
        <f ca="1">IFERROR(__xludf.DUMMYFUNCTION("""COMPUTED_VALUE"""),24)</f>
        <v>24</v>
      </c>
      <c r="K104" s="32"/>
      <c r="L104" s="32">
        <f ca="1">IFERROR(__xludf.DUMMYFUNCTION("""COMPUTED_VALUE"""),3)</f>
        <v>3</v>
      </c>
      <c r="M104" s="32"/>
      <c r="N104" s="31">
        <f ca="1">IFERROR(__xludf.DUMMYFUNCTION("""COMPUTED_VALUE"""),0)</f>
        <v>0</v>
      </c>
      <c r="O104" s="32">
        <f ca="1">IFERROR(__xludf.DUMMYFUNCTION("""COMPUTED_VALUE"""),0)</f>
        <v>0</v>
      </c>
      <c r="P104" s="32"/>
      <c r="Q104" s="32">
        <f ca="1">IFERROR(__xludf.DUMMYFUNCTION("""COMPUTED_VALUE"""),0)</f>
        <v>0</v>
      </c>
      <c r="R104" s="32"/>
      <c r="S104" s="31">
        <f ca="1">IFERROR(__xludf.DUMMYFUNCTION("""COMPUTED_VALUE"""),0)</f>
        <v>0</v>
      </c>
      <c r="T104" s="32">
        <f ca="1">IFERROR(__xludf.DUMMYFUNCTION("""COMPUTED_VALUE"""),0)</f>
        <v>0</v>
      </c>
      <c r="U104" s="32"/>
      <c r="V104" s="32">
        <f ca="1">IFERROR(__xludf.DUMMYFUNCTION("""COMPUTED_VALUE"""),0)</f>
        <v>0</v>
      </c>
      <c r="W104" s="32"/>
      <c r="X104" s="32">
        <f ca="1">IFERROR(__xludf.DUMMYFUNCTION("""COMPUTED_VALUE"""),0)</f>
        <v>0</v>
      </c>
      <c r="Y104" s="32"/>
      <c r="Z104" s="2"/>
      <c r="AA104" s="2"/>
      <c r="AB104" s="2"/>
      <c r="AC104" s="2"/>
      <c r="AD104" s="2"/>
      <c r="AE104" s="2"/>
    </row>
    <row r="105" spans="1:31" ht="12.75" x14ac:dyDescent="0.2">
      <c r="A105" s="28">
        <f ca="1">IFERROR(__xludf.DUMMYFUNCTION("""COMPUTED_VALUE"""),37)</f>
        <v>37</v>
      </c>
      <c r="B105" s="29" t="str">
        <f ca="1">IFERROR(__xludf.DUMMYFUNCTION("""COMPUTED_VALUE"""),"MN Tuổi Thơ Kỳ Diệu")</f>
        <v>MN Tuổi Thơ Kỳ Diệu</v>
      </c>
      <c r="C105" s="33" t="str">
        <f ca="1">IFERROR(__xludf.DUMMYFUNCTION("""COMPUTED_VALUE"""),"MN")</f>
        <v>MN</v>
      </c>
      <c r="D105" s="30" t="str">
        <f ca="1">IFERROR(__xludf.DUMMYFUNCTION("""COMPUTED_VALUE"""),"Tp. Thủ Đức")</f>
        <v>Tp. Thủ Đức</v>
      </c>
      <c r="E105" s="31">
        <f ca="1">IFERROR(__xludf.DUMMYFUNCTION("""COMPUTED_VALUE"""),24)</f>
        <v>24</v>
      </c>
      <c r="F105" s="32">
        <f ca="1">IFERROR(__xludf.DUMMYFUNCTION("""COMPUTED_VALUE"""),24)</f>
        <v>24</v>
      </c>
      <c r="G105" s="32"/>
      <c r="H105" s="32">
        <f ca="1">IFERROR(__xludf.DUMMYFUNCTION("""COMPUTED_VALUE"""),24)</f>
        <v>24</v>
      </c>
      <c r="I105" s="32"/>
      <c r="J105" s="32">
        <f ca="1">IFERROR(__xludf.DUMMYFUNCTION("""COMPUTED_VALUE"""),24)</f>
        <v>24</v>
      </c>
      <c r="K105" s="32"/>
      <c r="L105" s="32">
        <f ca="1">IFERROR(__xludf.DUMMYFUNCTION("""COMPUTED_VALUE"""),1)</f>
        <v>1</v>
      </c>
      <c r="M105" s="32"/>
      <c r="N105" s="31">
        <f ca="1">IFERROR(__xludf.DUMMYFUNCTION("""COMPUTED_VALUE"""),0)</f>
        <v>0</v>
      </c>
      <c r="O105" s="32">
        <f ca="1">IFERROR(__xludf.DUMMYFUNCTION("""COMPUTED_VALUE"""),0)</f>
        <v>0</v>
      </c>
      <c r="P105" s="32"/>
      <c r="Q105" s="32">
        <f ca="1">IFERROR(__xludf.DUMMYFUNCTION("""COMPUTED_VALUE"""),0)</f>
        <v>0</v>
      </c>
      <c r="R105" s="32"/>
      <c r="S105" s="31">
        <f ca="1">IFERROR(__xludf.DUMMYFUNCTION("""COMPUTED_VALUE"""),0)</f>
        <v>0</v>
      </c>
      <c r="T105" s="32">
        <f ca="1">IFERROR(__xludf.DUMMYFUNCTION("""COMPUTED_VALUE"""),0)</f>
        <v>0</v>
      </c>
      <c r="U105" s="32"/>
      <c r="V105" s="32">
        <f ca="1">IFERROR(__xludf.DUMMYFUNCTION("""COMPUTED_VALUE"""),0)</f>
        <v>0</v>
      </c>
      <c r="W105" s="32"/>
      <c r="X105" s="32">
        <f ca="1">IFERROR(__xludf.DUMMYFUNCTION("""COMPUTED_VALUE"""),0)</f>
        <v>0</v>
      </c>
      <c r="Y105" s="32"/>
      <c r="Z105" s="2"/>
      <c r="AA105" s="2"/>
      <c r="AB105" s="2"/>
      <c r="AC105" s="2"/>
      <c r="AD105" s="2"/>
      <c r="AE105" s="2"/>
    </row>
    <row r="106" spans="1:31" ht="12.75" x14ac:dyDescent="0.2">
      <c r="A106" s="28">
        <f ca="1">IFERROR(__xludf.DUMMYFUNCTION("""COMPUTED_VALUE"""),38)</f>
        <v>38</v>
      </c>
      <c r="B106" s="29" t="str">
        <f ca="1">IFERROR(__xludf.DUMMYFUNCTION("""COMPUTED_VALUE"""),"MN Đông Bắc")</f>
        <v>MN Đông Bắc</v>
      </c>
      <c r="C106" s="33" t="str">
        <f ca="1">IFERROR(__xludf.DUMMYFUNCTION("""COMPUTED_VALUE"""),"MN")</f>
        <v>MN</v>
      </c>
      <c r="D106" s="30" t="str">
        <f ca="1">IFERROR(__xludf.DUMMYFUNCTION("""COMPUTED_VALUE"""),"Tp. Thủ Đức")</f>
        <v>Tp. Thủ Đức</v>
      </c>
      <c r="E106" s="31">
        <f ca="1">IFERROR(__xludf.DUMMYFUNCTION("""COMPUTED_VALUE"""),22)</f>
        <v>22</v>
      </c>
      <c r="F106" s="32">
        <f ca="1">IFERROR(__xludf.DUMMYFUNCTION("""COMPUTED_VALUE"""),22)</f>
        <v>22</v>
      </c>
      <c r="G106" s="32"/>
      <c r="H106" s="32">
        <f ca="1">IFERROR(__xludf.DUMMYFUNCTION("""COMPUTED_VALUE"""),22)</f>
        <v>22</v>
      </c>
      <c r="I106" s="32"/>
      <c r="J106" s="32">
        <f ca="1">IFERROR(__xludf.DUMMYFUNCTION("""COMPUTED_VALUE"""),22)</f>
        <v>22</v>
      </c>
      <c r="K106" s="32"/>
      <c r="L106" s="32">
        <f ca="1">IFERROR(__xludf.DUMMYFUNCTION("""COMPUTED_VALUE"""),12)</f>
        <v>12</v>
      </c>
      <c r="M106" s="32"/>
      <c r="N106" s="31">
        <f ca="1">IFERROR(__xludf.DUMMYFUNCTION("""COMPUTED_VALUE"""),0)</f>
        <v>0</v>
      </c>
      <c r="O106" s="32">
        <f ca="1">IFERROR(__xludf.DUMMYFUNCTION("""COMPUTED_VALUE"""),0)</f>
        <v>0</v>
      </c>
      <c r="P106" s="32"/>
      <c r="Q106" s="32">
        <f ca="1">IFERROR(__xludf.DUMMYFUNCTION("""COMPUTED_VALUE"""),0)</f>
        <v>0</v>
      </c>
      <c r="R106" s="32"/>
      <c r="S106" s="31">
        <f ca="1">IFERROR(__xludf.DUMMYFUNCTION("""COMPUTED_VALUE"""),0)</f>
        <v>0</v>
      </c>
      <c r="T106" s="32">
        <f ca="1">IFERROR(__xludf.DUMMYFUNCTION("""COMPUTED_VALUE"""),0)</f>
        <v>0</v>
      </c>
      <c r="U106" s="32"/>
      <c r="V106" s="32">
        <f ca="1">IFERROR(__xludf.DUMMYFUNCTION("""COMPUTED_VALUE"""),0)</f>
        <v>0</v>
      </c>
      <c r="W106" s="32"/>
      <c r="X106" s="32">
        <f ca="1">IFERROR(__xludf.DUMMYFUNCTION("""COMPUTED_VALUE"""),0)</f>
        <v>0</v>
      </c>
      <c r="Y106" s="32"/>
      <c r="Z106" s="2"/>
      <c r="AA106" s="2"/>
      <c r="AB106" s="2"/>
      <c r="AC106" s="2"/>
      <c r="AD106" s="2"/>
      <c r="AE106" s="2"/>
    </row>
    <row r="107" spans="1:31" ht="12.75" x14ac:dyDescent="0.2">
      <c r="A107" s="28">
        <f ca="1">IFERROR(__xludf.DUMMYFUNCTION("""COMPUTED_VALUE"""),39)</f>
        <v>39</v>
      </c>
      <c r="B107" s="29" t="str">
        <f ca="1">IFERROR(__xludf.DUMMYFUNCTION("""COMPUTED_VALUE"""),"MNThành Phố Tuổi Thơ")</f>
        <v>MNThành Phố Tuổi Thơ</v>
      </c>
      <c r="C107" s="33" t="str">
        <f ca="1">IFERROR(__xludf.DUMMYFUNCTION("""COMPUTED_VALUE"""),"MN")</f>
        <v>MN</v>
      </c>
      <c r="D107" s="30" t="str">
        <f ca="1">IFERROR(__xludf.DUMMYFUNCTION("""COMPUTED_VALUE"""),"Tp. Thủ Đức")</f>
        <v>Tp. Thủ Đức</v>
      </c>
      <c r="E107" s="31">
        <f ca="1">IFERROR(__xludf.DUMMYFUNCTION("""COMPUTED_VALUE"""),15)</f>
        <v>15</v>
      </c>
      <c r="F107" s="32">
        <f ca="1">IFERROR(__xludf.DUMMYFUNCTION("""COMPUTED_VALUE"""),15)</f>
        <v>15</v>
      </c>
      <c r="G107" s="32"/>
      <c r="H107" s="32">
        <f ca="1">IFERROR(__xludf.DUMMYFUNCTION("""COMPUTED_VALUE"""),15)</f>
        <v>15</v>
      </c>
      <c r="I107" s="32"/>
      <c r="J107" s="32">
        <f ca="1">IFERROR(__xludf.DUMMYFUNCTION("""COMPUTED_VALUE"""),15)</f>
        <v>15</v>
      </c>
      <c r="K107" s="32"/>
      <c r="L107" s="32">
        <f ca="1">IFERROR(__xludf.DUMMYFUNCTION("""COMPUTED_VALUE"""),2)</f>
        <v>2</v>
      </c>
      <c r="M107" s="32"/>
      <c r="N107" s="31">
        <f ca="1">IFERROR(__xludf.DUMMYFUNCTION("""COMPUTED_VALUE"""),0)</f>
        <v>0</v>
      </c>
      <c r="O107" s="32">
        <f ca="1">IFERROR(__xludf.DUMMYFUNCTION("""COMPUTED_VALUE"""),0)</f>
        <v>0</v>
      </c>
      <c r="P107" s="32"/>
      <c r="Q107" s="32">
        <f ca="1">IFERROR(__xludf.DUMMYFUNCTION("""COMPUTED_VALUE"""),0)</f>
        <v>0</v>
      </c>
      <c r="R107" s="32"/>
      <c r="S107" s="31">
        <f ca="1">IFERROR(__xludf.DUMMYFUNCTION("""COMPUTED_VALUE"""),0)</f>
        <v>0</v>
      </c>
      <c r="T107" s="32">
        <f ca="1">IFERROR(__xludf.DUMMYFUNCTION("""COMPUTED_VALUE"""),0)</f>
        <v>0</v>
      </c>
      <c r="U107" s="32"/>
      <c r="V107" s="32">
        <f ca="1">IFERROR(__xludf.DUMMYFUNCTION("""COMPUTED_VALUE"""),0)</f>
        <v>0</v>
      </c>
      <c r="W107" s="32"/>
      <c r="X107" s="32">
        <f ca="1">IFERROR(__xludf.DUMMYFUNCTION("""COMPUTED_VALUE"""),0)</f>
        <v>0</v>
      </c>
      <c r="Y107" s="32"/>
      <c r="Z107" s="2"/>
      <c r="AA107" s="2"/>
      <c r="AB107" s="2"/>
      <c r="AC107" s="2"/>
      <c r="AD107" s="2"/>
      <c r="AE107" s="2"/>
    </row>
    <row r="108" spans="1:31" ht="12.75" x14ac:dyDescent="0.2">
      <c r="A108" s="28">
        <f ca="1">IFERROR(__xludf.DUMMYFUNCTION("""COMPUTED_VALUE"""),40)</f>
        <v>40</v>
      </c>
      <c r="B108" s="29" t="str">
        <f ca="1">IFERROR(__xludf.DUMMYFUNCTION("""COMPUTED_VALUE"""),"MN Mặt Trời Hồng")</f>
        <v>MN Mặt Trời Hồng</v>
      </c>
      <c r="C108" s="33" t="str">
        <f ca="1">IFERROR(__xludf.DUMMYFUNCTION("""COMPUTED_VALUE"""),"MN")</f>
        <v>MN</v>
      </c>
      <c r="D108" s="30" t="str">
        <f ca="1">IFERROR(__xludf.DUMMYFUNCTION("""COMPUTED_VALUE"""),"Tp. Thủ Đức")</f>
        <v>Tp. Thủ Đức</v>
      </c>
      <c r="E108" s="31">
        <f ca="1">IFERROR(__xludf.DUMMYFUNCTION("""COMPUTED_VALUE"""),11)</f>
        <v>11</v>
      </c>
      <c r="F108" s="32">
        <f ca="1">IFERROR(__xludf.DUMMYFUNCTION("""COMPUTED_VALUE"""),11)</f>
        <v>11</v>
      </c>
      <c r="G108" s="32"/>
      <c r="H108" s="32">
        <f ca="1">IFERROR(__xludf.DUMMYFUNCTION("""COMPUTED_VALUE"""),11)</f>
        <v>11</v>
      </c>
      <c r="I108" s="32"/>
      <c r="J108" s="32">
        <f ca="1">IFERROR(__xludf.DUMMYFUNCTION("""COMPUTED_VALUE"""),11)</f>
        <v>11</v>
      </c>
      <c r="K108" s="32"/>
      <c r="L108" s="32">
        <f ca="1">IFERROR(__xludf.DUMMYFUNCTION("""COMPUTED_VALUE"""),1)</f>
        <v>1</v>
      </c>
      <c r="M108" s="32"/>
      <c r="N108" s="31">
        <f ca="1">IFERROR(__xludf.DUMMYFUNCTION("""COMPUTED_VALUE"""),0)</f>
        <v>0</v>
      </c>
      <c r="O108" s="32">
        <f ca="1">IFERROR(__xludf.DUMMYFUNCTION("""COMPUTED_VALUE"""),0)</f>
        <v>0</v>
      </c>
      <c r="P108" s="32"/>
      <c r="Q108" s="32">
        <f ca="1">IFERROR(__xludf.DUMMYFUNCTION("""COMPUTED_VALUE"""),0)</f>
        <v>0</v>
      </c>
      <c r="R108" s="32"/>
      <c r="S108" s="31">
        <f ca="1">IFERROR(__xludf.DUMMYFUNCTION("""COMPUTED_VALUE"""),0)</f>
        <v>0</v>
      </c>
      <c r="T108" s="32">
        <f ca="1">IFERROR(__xludf.DUMMYFUNCTION("""COMPUTED_VALUE"""),0)</f>
        <v>0</v>
      </c>
      <c r="U108" s="32"/>
      <c r="V108" s="32">
        <f ca="1">IFERROR(__xludf.DUMMYFUNCTION("""COMPUTED_VALUE"""),0)</f>
        <v>0</v>
      </c>
      <c r="W108" s="32"/>
      <c r="X108" s="32">
        <f ca="1">IFERROR(__xludf.DUMMYFUNCTION("""COMPUTED_VALUE"""),0)</f>
        <v>0</v>
      </c>
      <c r="Y108" s="32"/>
      <c r="Z108" s="2"/>
      <c r="AA108" s="2"/>
      <c r="AB108" s="2"/>
      <c r="AC108" s="2"/>
      <c r="AD108" s="2"/>
      <c r="AE108" s="2"/>
    </row>
    <row r="109" spans="1:31" ht="12.75" x14ac:dyDescent="0.2">
      <c r="A109" s="28">
        <f ca="1">IFERROR(__xludf.DUMMYFUNCTION("""COMPUTED_VALUE"""),41)</f>
        <v>41</v>
      </c>
      <c r="B109" s="29" t="str">
        <f ca="1">IFERROR(__xludf.DUMMYFUNCTION("""COMPUTED_VALUE"""),"MN Thiên Nhiên")</f>
        <v>MN Thiên Nhiên</v>
      </c>
      <c r="C109" s="33" t="str">
        <f ca="1">IFERROR(__xludf.DUMMYFUNCTION("""COMPUTED_VALUE"""),"MN")</f>
        <v>MN</v>
      </c>
      <c r="D109" s="30" t="str">
        <f ca="1">IFERROR(__xludf.DUMMYFUNCTION("""COMPUTED_VALUE"""),"Tp. Thủ Đức")</f>
        <v>Tp. Thủ Đức</v>
      </c>
      <c r="E109" s="31">
        <f ca="1">IFERROR(__xludf.DUMMYFUNCTION("""COMPUTED_VALUE"""),16)</f>
        <v>16</v>
      </c>
      <c r="F109" s="32">
        <f ca="1">IFERROR(__xludf.DUMMYFUNCTION("""COMPUTED_VALUE"""),16)</f>
        <v>16</v>
      </c>
      <c r="G109" s="32"/>
      <c r="H109" s="32">
        <f ca="1">IFERROR(__xludf.DUMMYFUNCTION("""COMPUTED_VALUE"""),16)</f>
        <v>16</v>
      </c>
      <c r="I109" s="32"/>
      <c r="J109" s="32">
        <f ca="1">IFERROR(__xludf.DUMMYFUNCTION("""COMPUTED_VALUE"""),16)</f>
        <v>16</v>
      </c>
      <c r="K109" s="32"/>
      <c r="L109" s="32">
        <f ca="1">IFERROR(__xludf.DUMMYFUNCTION("""COMPUTED_VALUE"""),0)</f>
        <v>0</v>
      </c>
      <c r="M109" s="32"/>
      <c r="N109" s="31">
        <f ca="1">IFERROR(__xludf.DUMMYFUNCTION("""COMPUTED_VALUE"""),0)</f>
        <v>0</v>
      </c>
      <c r="O109" s="32">
        <f ca="1">IFERROR(__xludf.DUMMYFUNCTION("""COMPUTED_VALUE"""),0)</f>
        <v>0</v>
      </c>
      <c r="P109" s="32"/>
      <c r="Q109" s="32">
        <f ca="1">IFERROR(__xludf.DUMMYFUNCTION("""COMPUTED_VALUE"""),0)</f>
        <v>0</v>
      </c>
      <c r="R109" s="32"/>
      <c r="S109" s="31">
        <f ca="1">IFERROR(__xludf.DUMMYFUNCTION("""COMPUTED_VALUE"""),0)</f>
        <v>0</v>
      </c>
      <c r="T109" s="32">
        <f ca="1">IFERROR(__xludf.DUMMYFUNCTION("""COMPUTED_VALUE"""),0)</f>
        <v>0</v>
      </c>
      <c r="U109" s="32"/>
      <c r="V109" s="32">
        <f ca="1">IFERROR(__xludf.DUMMYFUNCTION("""COMPUTED_VALUE"""),0)</f>
        <v>0</v>
      </c>
      <c r="W109" s="32"/>
      <c r="X109" s="32">
        <f ca="1">IFERROR(__xludf.DUMMYFUNCTION("""COMPUTED_VALUE"""),0)</f>
        <v>0</v>
      </c>
      <c r="Y109" s="32"/>
      <c r="Z109" s="2"/>
      <c r="AA109" s="2"/>
      <c r="AB109" s="2"/>
      <c r="AC109" s="2"/>
      <c r="AD109" s="2"/>
      <c r="AE109" s="2"/>
    </row>
    <row r="110" spans="1:31" ht="12.75" x14ac:dyDescent="0.2">
      <c r="A110" s="28">
        <f ca="1">IFERROR(__xludf.DUMMYFUNCTION("""COMPUTED_VALUE"""),42)</f>
        <v>42</v>
      </c>
      <c r="B110" s="29" t="str">
        <f ca="1">IFERROR(__xludf.DUMMYFUNCTION("""COMPUTED_VALUE"""),"MN Nhà Của Bé")</f>
        <v>MN Nhà Của Bé</v>
      </c>
      <c r="C110" s="33" t="str">
        <f ca="1">IFERROR(__xludf.DUMMYFUNCTION("""COMPUTED_VALUE"""),"MN")</f>
        <v>MN</v>
      </c>
      <c r="D110" s="30" t="str">
        <f ca="1">IFERROR(__xludf.DUMMYFUNCTION("""COMPUTED_VALUE"""),"Tp. Thủ Đức")</f>
        <v>Tp. Thủ Đức</v>
      </c>
      <c r="E110" s="31">
        <f ca="1">IFERROR(__xludf.DUMMYFUNCTION("""COMPUTED_VALUE"""),12)</f>
        <v>12</v>
      </c>
      <c r="F110" s="32">
        <f ca="1">IFERROR(__xludf.DUMMYFUNCTION("""COMPUTED_VALUE"""),12)</f>
        <v>12</v>
      </c>
      <c r="G110" s="32"/>
      <c r="H110" s="32">
        <f ca="1">IFERROR(__xludf.DUMMYFUNCTION("""COMPUTED_VALUE"""),12)</f>
        <v>12</v>
      </c>
      <c r="I110" s="32"/>
      <c r="J110" s="32">
        <f ca="1">IFERROR(__xludf.DUMMYFUNCTION("""COMPUTED_VALUE"""),12)</f>
        <v>12</v>
      </c>
      <c r="K110" s="32"/>
      <c r="L110" s="32">
        <f ca="1">IFERROR(__xludf.DUMMYFUNCTION("""COMPUTED_VALUE"""),5)</f>
        <v>5</v>
      </c>
      <c r="M110" s="32"/>
      <c r="N110" s="31">
        <f ca="1">IFERROR(__xludf.DUMMYFUNCTION("""COMPUTED_VALUE"""),0)</f>
        <v>0</v>
      </c>
      <c r="O110" s="32">
        <f ca="1">IFERROR(__xludf.DUMMYFUNCTION("""COMPUTED_VALUE"""),0)</f>
        <v>0</v>
      </c>
      <c r="P110" s="32"/>
      <c r="Q110" s="32">
        <f ca="1">IFERROR(__xludf.DUMMYFUNCTION("""COMPUTED_VALUE"""),0)</f>
        <v>0</v>
      </c>
      <c r="R110" s="32"/>
      <c r="S110" s="31">
        <f ca="1">IFERROR(__xludf.DUMMYFUNCTION("""COMPUTED_VALUE"""),0)</f>
        <v>0</v>
      </c>
      <c r="T110" s="32">
        <f ca="1">IFERROR(__xludf.DUMMYFUNCTION("""COMPUTED_VALUE"""),0)</f>
        <v>0</v>
      </c>
      <c r="U110" s="32"/>
      <c r="V110" s="32">
        <f ca="1">IFERROR(__xludf.DUMMYFUNCTION("""COMPUTED_VALUE"""),0)</f>
        <v>0</v>
      </c>
      <c r="W110" s="32"/>
      <c r="X110" s="32">
        <f ca="1">IFERROR(__xludf.DUMMYFUNCTION("""COMPUTED_VALUE"""),0)</f>
        <v>0</v>
      </c>
      <c r="Y110" s="32"/>
      <c r="Z110" s="2"/>
      <c r="AA110" s="2"/>
      <c r="AB110" s="2"/>
      <c r="AC110" s="2"/>
      <c r="AD110" s="2"/>
      <c r="AE110" s="2"/>
    </row>
    <row r="111" spans="1:31" ht="12.75" x14ac:dyDescent="0.2">
      <c r="A111" s="28">
        <f ca="1">IFERROR(__xludf.DUMMYFUNCTION("""COMPUTED_VALUE"""),43)</f>
        <v>43</v>
      </c>
      <c r="B111" s="29" t="str">
        <f ca="1">IFERROR(__xludf.DUMMYFUNCTION("""COMPUTED_VALUE"""),"MN Vịt Con")</f>
        <v>MN Vịt Con</v>
      </c>
      <c r="C111" s="33" t="str">
        <f ca="1">IFERROR(__xludf.DUMMYFUNCTION("""COMPUTED_VALUE"""),"MN")</f>
        <v>MN</v>
      </c>
      <c r="D111" s="30" t="str">
        <f ca="1">IFERROR(__xludf.DUMMYFUNCTION("""COMPUTED_VALUE"""),"Tp. Thủ Đức")</f>
        <v>Tp. Thủ Đức</v>
      </c>
      <c r="E111" s="31">
        <f ca="1">IFERROR(__xludf.DUMMYFUNCTION("""COMPUTED_VALUE"""),13)</f>
        <v>13</v>
      </c>
      <c r="F111" s="32">
        <f ca="1">IFERROR(__xludf.DUMMYFUNCTION("""COMPUTED_VALUE"""),13)</f>
        <v>13</v>
      </c>
      <c r="G111" s="32"/>
      <c r="H111" s="32">
        <f ca="1">IFERROR(__xludf.DUMMYFUNCTION("""COMPUTED_VALUE"""),13)</f>
        <v>13</v>
      </c>
      <c r="I111" s="32"/>
      <c r="J111" s="32">
        <f ca="1">IFERROR(__xludf.DUMMYFUNCTION("""COMPUTED_VALUE"""),8)</f>
        <v>8</v>
      </c>
      <c r="K111" s="32"/>
      <c r="L111" s="32">
        <f ca="1">IFERROR(__xludf.DUMMYFUNCTION("""COMPUTED_VALUE"""),2)</f>
        <v>2</v>
      </c>
      <c r="M111" s="32"/>
      <c r="N111" s="31">
        <f ca="1">IFERROR(__xludf.DUMMYFUNCTION("""COMPUTED_VALUE"""),0)</f>
        <v>0</v>
      </c>
      <c r="O111" s="32">
        <f ca="1">IFERROR(__xludf.DUMMYFUNCTION("""COMPUTED_VALUE"""),0)</f>
        <v>0</v>
      </c>
      <c r="P111" s="32"/>
      <c r="Q111" s="32">
        <f ca="1">IFERROR(__xludf.DUMMYFUNCTION("""COMPUTED_VALUE"""),0)</f>
        <v>0</v>
      </c>
      <c r="R111" s="32"/>
      <c r="S111" s="31">
        <f ca="1">IFERROR(__xludf.DUMMYFUNCTION("""COMPUTED_VALUE"""),0)</f>
        <v>0</v>
      </c>
      <c r="T111" s="32">
        <f ca="1">IFERROR(__xludf.DUMMYFUNCTION("""COMPUTED_VALUE"""),0)</f>
        <v>0</v>
      </c>
      <c r="U111" s="32"/>
      <c r="V111" s="32">
        <f ca="1">IFERROR(__xludf.DUMMYFUNCTION("""COMPUTED_VALUE"""),0)</f>
        <v>0</v>
      </c>
      <c r="W111" s="32"/>
      <c r="X111" s="32">
        <f ca="1">IFERROR(__xludf.DUMMYFUNCTION("""COMPUTED_VALUE"""),0)</f>
        <v>0</v>
      </c>
      <c r="Y111" s="32"/>
      <c r="Z111" s="2"/>
      <c r="AA111" s="2"/>
      <c r="AB111" s="2"/>
      <c r="AC111" s="2"/>
      <c r="AD111" s="2"/>
      <c r="AE111" s="2"/>
    </row>
    <row r="112" spans="1:31" ht="12.75" x14ac:dyDescent="0.2">
      <c r="A112" s="28">
        <f ca="1">IFERROR(__xludf.DUMMYFUNCTION("""COMPUTED_VALUE"""),44)</f>
        <v>44</v>
      </c>
      <c r="B112" s="29" t="str">
        <f ca="1">IFERROR(__xludf.DUMMYFUNCTION("""COMPUTED_VALUE"""),"MN Thành Phố Tuổi Hoa")</f>
        <v>MN Thành Phố Tuổi Hoa</v>
      </c>
      <c r="C112" s="33" t="str">
        <f ca="1">IFERROR(__xludf.DUMMYFUNCTION("""COMPUTED_VALUE"""),"MN")</f>
        <v>MN</v>
      </c>
      <c r="D112" s="30" t="str">
        <f ca="1">IFERROR(__xludf.DUMMYFUNCTION("""COMPUTED_VALUE"""),"Tp. Thủ Đức")</f>
        <v>Tp. Thủ Đức</v>
      </c>
      <c r="E112" s="31">
        <f ca="1">IFERROR(__xludf.DUMMYFUNCTION("""COMPUTED_VALUE"""),12)</f>
        <v>12</v>
      </c>
      <c r="F112" s="32">
        <f ca="1">IFERROR(__xludf.DUMMYFUNCTION("""COMPUTED_VALUE"""),12)</f>
        <v>12</v>
      </c>
      <c r="G112" s="32"/>
      <c r="H112" s="32">
        <f ca="1">IFERROR(__xludf.DUMMYFUNCTION("""COMPUTED_VALUE"""),12)</f>
        <v>12</v>
      </c>
      <c r="I112" s="32"/>
      <c r="J112" s="32">
        <f ca="1">IFERROR(__xludf.DUMMYFUNCTION("""COMPUTED_VALUE"""),12)</f>
        <v>12</v>
      </c>
      <c r="K112" s="32"/>
      <c r="L112" s="32">
        <f ca="1">IFERROR(__xludf.DUMMYFUNCTION("""COMPUTED_VALUE"""),2)</f>
        <v>2</v>
      </c>
      <c r="M112" s="32"/>
      <c r="N112" s="31">
        <f ca="1">IFERROR(__xludf.DUMMYFUNCTION("""COMPUTED_VALUE"""),0)</f>
        <v>0</v>
      </c>
      <c r="O112" s="32">
        <f ca="1">IFERROR(__xludf.DUMMYFUNCTION("""COMPUTED_VALUE"""),0)</f>
        <v>0</v>
      </c>
      <c r="P112" s="32"/>
      <c r="Q112" s="32">
        <f ca="1">IFERROR(__xludf.DUMMYFUNCTION("""COMPUTED_VALUE"""),0)</f>
        <v>0</v>
      </c>
      <c r="R112" s="32"/>
      <c r="S112" s="31">
        <f ca="1">IFERROR(__xludf.DUMMYFUNCTION("""COMPUTED_VALUE"""),0)</f>
        <v>0</v>
      </c>
      <c r="T112" s="32">
        <f ca="1">IFERROR(__xludf.DUMMYFUNCTION("""COMPUTED_VALUE"""),0)</f>
        <v>0</v>
      </c>
      <c r="U112" s="32"/>
      <c r="V112" s="32">
        <f ca="1">IFERROR(__xludf.DUMMYFUNCTION("""COMPUTED_VALUE"""),0)</f>
        <v>0</v>
      </c>
      <c r="W112" s="32"/>
      <c r="X112" s="32">
        <f ca="1">IFERROR(__xludf.DUMMYFUNCTION("""COMPUTED_VALUE"""),0)</f>
        <v>0</v>
      </c>
      <c r="Y112" s="32"/>
      <c r="Z112" s="2"/>
      <c r="AA112" s="2"/>
      <c r="AB112" s="2"/>
      <c r="AC112" s="2"/>
      <c r="AD112" s="2"/>
      <c r="AE112" s="2"/>
    </row>
    <row r="113" spans="1:31" ht="12.75" x14ac:dyDescent="0.2">
      <c r="A113" s="28">
        <f ca="1">IFERROR(__xludf.DUMMYFUNCTION("""COMPUTED_VALUE"""),45)</f>
        <v>45</v>
      </c>
      <c r="B113" s="29" t="str">
        <f ca="1">IFERROR(__xludf.DUMMYFUNCTION("""COMPUTED_VALUE"""),"MN Nhà Bé Vui")</f>
        <v>MN Nhà Bé Vui</v>
      </c>
      <c r="C113" s="33" t="str">
        <f ca="1">IFERROR(__xludf.DUMMYFUNCTION("""COMPUTED_VALUE"""),"MN")</f>
        <v>MN</v>
      </c>
      <c r="D113" s="30" t="str">
        <f ca="1">IFERROR(__xludf.DUMMYFUNCTION("""COMPUTED_VALUE"""),"Tp. Thủ Đức")</f>
        <v>Tp. Thủ Đức</v>
      </c>
      <c r="E113" s="31">
        <f ca="1">IFERROR(__xludf.DUMMYFUNCTION("""COMPUTED_VALUE"""),16)</f>
        <v>16</v>
      </c>
      <c r="F113" s="32">
        <f ca="1">IFERROR(__xludf.DUMMYFUNCTION("""COMPUTED_VALUE"""),16)</f>
        <v>16</v>
      </c>
      <c r="G113" s="32"/>
      <c r="H113" s="32">
        <f ca="1">IFERROR(__xludf.DUMMYFUNCTION("""COMPUTED_VALUE"""),16)</f>
        <v>16</v>
      </c>
      <c r="I113" s="32"/>
      <c r="J113" s="32">
        <f ca="1">IFERROR(__xludf.DUMMYFUNCTION("""COMPUTED_VALUE"""),16)</f>
        <v>16</v>
      </c>
      <c r="K113" s="32"/>
      <c r="L113" s="32">
        <f ca="1">IFERROR(__xludf.DUMMYFUNCTION("""COMPUTED_VALUE"""),5)</f>
        <v>5</v>
      </c>
      <c r="M113" s="32"/>
      <c r="N113" s="31">
        <f ca="1">IFERROR(__xludf.DUMMYFUNCTION("""COMPUTED_VALUE"""),0)</f>
        <v>0</v>
      </c>
      <c r="O113" s="32">
        <f ca="1">IFERROR(__xludf.DUMMYFUNCTION("""COMPUTED_VALUE"""),0)</f>
        <v>0</v>
      </c>
      <c r="P113" s="32"/>
      <c r="Q113" s="32">
        <f ca="1">IFERROR(__xludf.DUMMYFUNCTION("""COMPUTED_VALUE"""),0)</f>
        <v>0</v>
      </c>
      <c r="R113" s="32"/>
      <c r="S113" s="31">
        <f ca="1">IFERROR(__xludf.DUMMYFUNCTION("""COMPUTED_VALUE"""),0)</f>
        <v>0</v>
      </c>
      <c r="T113" s="32">
        <f ca="1">IFERROR(__xludf.DUMMYFUNCTION("""COMPUTED_VALUE"""),0)</f>
        <v>0</v>
      </c>
      <c r="U113" s="32"/>
      <c r="V113" s="32">
        <f ca="1">IFERROR(__xludf.DUMMYFUNCTION("""COMPUTED_VALUE"""),0)</f>
        <v>0</v>
      </c>
      <c r="W113" s="32"/>
      <c r="X113" s="32">
        <f ca="1">IFERROR(__xludf.DUMMYFUNCTION("""COMPUTED_VALUE"""),0)</f>
        <v>0</v>
      </c>
      <c r="Y113" s="32"/>
      <c r="Z113" s="2"/>
      <c r="AA113" s="2"/>
      <c r="AB113" s="2"/>
      <c r="AC113" s="2"/>
      <c r="AD113" s="2"/>
      <c r="AE113" s="2"/>
    </row>
    <row r="114" spans="1:31" ht="12.75" x14ac:dyDescent="0.2">
      <c r="A114" s="28">
        <f ca="1">IFERROR(__xludf.DUMMYFUNCTION("""COMPUTED_VALUE"""),46)</f>
        <v>46</v>
      </c>
      <c r="B114" s="29" t="str">
        <f ca="1">IFERROR(__xludf.DUMMYFUNCTION("""COMPUTED_VALUE"""),"MN Hành Tinh Trẻ")</f>
        <v>MN Hành Tinh Trẻ</v>
      </c>
      <c r="C114" s="33" t="str">
        <f ca="1">IFERROR(__xludf.DUMMYFUNCTION("""COMPUTED_VALUE"""),"MN")</f>
        <v>MN</v>
      </c>
      <c r="D114" s="30" t="str">
        <f ca="1">IFERROR(__xludf.DUMMYFUNCTION("""COMPUTED_VALUE"""),"Tp. Thủ Đức")</f>
        <v>Tp. Thủ Đức</v>
      </c>
      <c r="E114" s="31">
        <f ca="1">IFERROR(__xludf.DUMMYFUNCTION("""COMPUTED_VALUE"""),19)</f>
        <v>19</v>
      </c>
      <c r="F114" s="32">
        <f ca="1">IFERROR(__xludf.DUMMYFUNCTION("""COMPUTED_VALUE"""),19)</f>
        <v>19</v>
      </c>
      <c r="G114" s="32"/>
      <c r="H114" s="32">
        <f ca="1">IFERROR(__xludf.DUMMYFUNCTION("""COMPUTED_VALUE"""),19)</f>
        <v>19</v>
      </c>
      <c r="I114" s="32"/>
      <c r="J114" s="32">
        <f ca="1">IFERROR(__xludf.DUMMYFUNCTION("""COMPUTED_VALUE"""),19)</f>
        <v>19</v>
      </c>
      <c r="K114" s="32"/>
      <c r="L114" s="32">
        <f ca="1">IFERROR(__xludf.DUMMYFUNCTION("""COMPUTED_VALUE"""),7)</f>
        <v>7</v>
      </c>
      <c r="M114" s="32"/>
      <c r="N114" s="31">
        <f ca="1">IFERROR(__xludf.DUMMYFUNCTION("""COMPUTED_VALUE"""),0)</f>
        <v>0</v>
      </c>
      <c r="O114" s="32">
        <f ca="1">IFERROR(__xludf.DUMMYFUNCTION("""COMPUTED_VALUE"""),0)</f>
        <v>0</v>
      </c>
      <c r="P114" s="32"/>
      <c r="Q114" s="32">
        <f ca="1">IFERROR(__xludf.DUMMYFUNCTION("""COMPUTED_VALUE"""),0)</f>
        <v>0</v>
      </c>
      <c r="R114" s="32"/>
      <c r="S114" s="31">
        <f ca="1">IFERROR(__xludf.DUMMYFUNCTION("""COMPUTED_VALUE"""),0)</f>
        <v>0</v>
      </c>
      <c r="T114" s="32">
        <f ca="1">IFERROR(__xludf.DUMMYFUNCTION("""COMPUTED_VALUE"""),0)</f>
        <v>0</v>
      </c>
      <c r="U114" s="32"/>
      <c r="V114" s="32">
        <f ca="1">IFERROR(__xludf.DUMMYFUNCTION("""COMPUTED_VALUE"""),0)</f>
        <v>0</v>
      </c>
      <c r="W114" s="32"/>
      <c r="X114" s="32">
        <f ca="1">IFERROR(__xludf.DUMMYFUNCTION("""COMPUTED_VALUE"""),0)</f>
        <v>0</v>
      </c>
      <c r="Y114" s="32"/>
      <c r="Z114" s="2"/>
      <c r="AA114" s="2"/>
      <c r="AB114" s="2"/>
      <c r="AC114" s="2"/>
      <c r="AD114" s="2"/>
      <c r="AE114" s="2"/>
    </row>
    <row r="115" spans="1:31" ht="12.75" x14ac:dyDescent="0.2">
      <c r="A115" s="28">
        <f ca="1">IFERROR(__xludf.DUMMYFUNCTION("""COMPUTED_VALUE"""),47)</f>
        <v>47</v>
      </c>
      <c r="B115" s="29" t="str">
        <f ca="1">IFERROR(__xludf.DUMMYFUNCTION("""COMPUTED_VALUE"""),"MN Tre Xanh")</f>
        <v>MN Tre Xanh</v>
      </c>
      <c r="C115" s="33" t="str">
        <f ca="1">IFERROR(__xludf.DUMMYFUNCTION("""COMPUTED_VALUE"""),"MN")</f>
        <v>MN</v>
      </c>
      <c r="D115" s="30" t="str">
        <f ca="1">IFERROR(__xludf.DUMMYFUNCTION("""COMPUTED_VALUE"""),"Tp. Thủ Đức")</f>
        <v>Tp. Thủ Đức</v>
      </c>
      <c r="E115" s="31">
        <f ca="1">IFERROR(__xludf.DUMMYFUNCTION("""COMPUTED_VALUE"""),12)</f>
        <v>12</v>
      </c>
      <c r="F115" s="32">
        <f ca="1">IFERROR(__xludf.DUMMYFUNCTION("""COMPUTED_VALUE"""),12)</f>
        <v>12</v>
      </c>
      <c r="G115" s="32"/>
      <c r="H115" s="32">
        <f ca="1">IFERROR(__xludf.DUMMYFUNCTION("""COMPUTED_VALUE"""),12)</f>
        <v>12</v>
      </c>
      <c r="I115" s="32"/>
      <c r="J115" s="32">
        <f ca="1">IFERROR(__xludf.DUMMYFUNCTION("""COMPUTED_VALUE"""),12)</f>
        <v>12</v>
      </c>
      <c r="K115" s="32"/>
      <c r="L115" s="32">
        <f ca="1">IFERROR(__xludf.DUMMYFUNCTION("""COMPUTED_VALUE"""),6)</f>
        <v>6</v>
      </c>
      <c r="M115" s="32"/>
      <c r="N115" s="31">
        <f ca="1">IFERROR(__xludf.DUMMYFUNCTION("""COMPUTED_VALUE"""),0)</f>
        <v>0</v>
      </c>
      <c r="O115" s="32">
        <f ca="1">IFERROR(__xludf.DUMMYFUNCTION("""COMPUTED_VALUE"""),0)</f>
        <v>0</v>
      </c>
      <c r="P115" s="32"/>
      <c r="Q115" s="32">
        <f ca="1">IFERROR(__xludf.DUMMYFUNCTION("""COMPUTED_VALUE"""),0)</f>
        <v>0</v>
      </c>
      <c r="R115" s="32"/>
      <c r="S115" s="31">
        <f ca="1">IFERROR(__xludf.DUMMYFUNCTION("""COMPUTED_VALUE"""),0)</f>
        <v>0</v>
      </c>
      <c r="T115" s="32">
        <f ca="1">IFERROR(__xludf.DUMMYFUNCTION("""COMPUTED_VALUE"""),0)</f>
        <v>0</v>
      </c>
      <c r="U115" s="32"/>
      <c r="V115" s="32">
        <f ca="1">IFERROR(__xludf.DUMMYFUNCTION("""COMPUTED_VALUE"""),0)</f>
        <v>0</v>
      </c>
      <c r="W115" s="32"/>
      <c r="X115" s="32">
        <f ca="1">IFERROR(__xludf.DUMMYFUNCTION("""COMPUTED_VALUE"""),0)</f>
        <v>0</v>
      </c>
      <c r="Y115" s="32"/>
      <c r="Z115" s="2"/>
      <c r="AA115" s="2"/>
      <c r="AB115" s="2"/>
      <c r="AC115" s="2"/>
      <c r="AD115" s="2"/>
      <c r="AE115" s="2"/>
    </row>
    <row r="116" spans="1:31" ht="12.75" x14ac:dyDescent="0.2">
      <c r="A116" s="28">
        <f ca="1">IFERROR(__xludf.DUMMYFUNCTION("""COMPUTED_VALUE"""),48)</f>
        <v>48</v>
      </c>
      <c r="B116" s="29" t="str">
        <f ca="1">IFERROR(__xludf.DUMMYFUNCTION("""COMPUTED_VALUE"""),"MN Cỏ Ba Lá")</f>
        <v>MN Cỏ Ba Lá</v>
      </c>
      <c r="C116" s="33" t="str">
        <f ca="1">IFERROR(__xludf.DUMMYFUNCTION("""COMPUTED_VALUE"""),"MN")</f>
        <v>MN</v>
      </c>
      <c r="D116" s="30" t="str">
        <f ca="1">IFERROR(__xludf.DUMMYFUNCTION("""COMPUTED_VALUE"""),"Tp. Thủ Đức")</f>
        <v>Tp. Thủ Đức</v>
      </c>
      <c r="E116" s="31">
        <f ca="1">IFERROR(__xludf.DUMMYFUNCTION("""COMPUTED_VALUE"""),26)</f>
        <v>26</v>
      </c>
      <c r="F116" s="32">
        <f ca="1">IFERROR(__xludf.DUMMYFUNCTION("""COMPUTED_VALUE"""),26)</f>
        <v>26</v>
      </c>
      <c r="G116" s="32"/>
      <c r="H116" s="32">
        <f ca="1">IFERROR(__xludf.DUMMYFUNCTION("""COMPUTED_VALUE"""),26)</f>
        <v>26</v>
      </c>
      <c r="I116" s="32"/>
      <c r="J116" s="32">
        <f ca="1">IFERROR(__xludf.DUMMYFUNCTION("""COMPUTED_VALUE"""),26)</f>
        <v>26</v>
      </c>
      <c r="K116" s="32"/>
      <c r="L116" s="32">
        <f ca="1">IFERROR(__xludf.DUMMYFUNCTION("""COMPUTED_VALUE"""),26)</f>
        <v>26</v>
      </c>
      <c r="M116" s="32"/>
      <c r="N116" s="31">
        <f ca="1">IFERROR(__xludf.DUMMYFUNCTION("""COMPUTED_VALUE"""),0)</f>
        <v>0</v>
      </c>
      <c r="O116" s="32">
        <f ca="1">IFERROR(__xludf.DUMMYFUNCTION("""COMPUTED_VALUE"""),0)</f>
        <v>0</v>
      </c>
      <c r="P116" s="32"/>
      <c r="Q116" s="32">
        <f ca="1">IFERROR(__xludf.DUMMYFUNCTION("""COMPUTED_VALUE"""),0)</f>
        <v>0</v>
      </c>
      <c r="R116" s="32"/>
      <c r="S116" s="31">
        <f ca="1">IFERROR(__xludf.DUMMYFUNCTION("""COMPUTED_VALUE"""),0)</f>
        <v>0</v>
      </c>
      <c r="T116" s="32">
        <f ca="1">IFERROR(__xludf.DUMMYFUNCTION("""COMPUTED_VALUE"""),0)</f>
        <v>0</v>
      </c>
      <c r="U116" s="32"/>
      <c r="V116" s="32">
        <f ca="1">IFERROR(__xludf.DUMMYFUNCTION("""COMPUTED_VALUE"""),0)</f>
        <v>0</v>
      </c>
      <c r="W116" s="32"/>
      <c r="X116" s="32">
        <f ca="1">IFERROR(__xludf.DUMMYFUNCTION("""COMPUTED_VALUE"""),0)</f>
        <v>0</v>
      </c>
      <c r="Y116" s="32"/>
      <c r="Z116" s="2"/>
      <c r="AA116" s="2"/>
      <c r="AB116" s="2"/>
      <c r="AC116" s="2"/>
      <c r="AD116" s="2"/>
      <c r="AE116" s="2"/>
    </row>
    <row r="117" spans="1:31" ht="12.75" x14ac:dyDescent="0.2">
      <c r="A117" s="28">
        <f ca="1">IFERROR(__xludf.DUMMYFUNCTION("""COMPUTED_VALUE"""),49)</f>
        <v>49</v>
      </c>
      <c r="B117" s="29" t="str">
        <f ca="1">IFERROR(__xludf.DUMMYFUNCTION("""COMPUTED_VALUE"""),"MN Chuồn Chuồn Kim")</f>
        <v>MN Chuồn Chuồn Kim</v>
      </c>
      <c r="C117" s="33" t="str">
        <f ca="1">IFERROR(__xludf.DUMMYFUNCTION("""COMPUTED_VALUE"""),"MN")</f>
        <v>MN</v>
      </c>
      <c r="D117" s="30" t="str">
        <f ca="1">IFERROR(__xludf.DUMMYFUNCTION("""COMPUTED_VALUE"""),"Tp. Thủ Đức")</f>
        <v>Tp. Thủ Đức</v>
      </c>
      <c r="E117" s="31">
        <f ca="1">IFERROR(__xludf.DUMMYFUNCTION("""COMPUTED_VALUE"""),23)</f>
        <v>23</v>
      </c>
      <c r="F117" s="32">
        <f ca="1">IFERROR(__xludf.DUMMYFUNCTION("""COMPUTED_VALUE"""),23)</f>
        <v>23</v>
      </c>
      <c r="G117" s="32"/>
      <c r="H117" s="32">
        <f ca="1">IFERROR(__xludf.DUMMYFUNCTION("""COMPUTED_VALUE"""),23)</f>
        <v>23</v>
      </c>
      <c r="I117" s="32"/>
      <c r="J117" s="32">
        <f ca="1">IFERROR(__xludf.DUMMYFUNCTION("""COMPUTED_VALUE"""),23)</f>
        <v>23</v>
      </c>
      <c r="K117" s="32"/>
      <c r="L117" s="32">
        <f ca="1">IFERROR(__xludf.DUMMYFUNCTION("""COMPUTED_VALUE"""),12)</f>
        <v>12</v>
      </c>
      <c r="M117" s="32"/>
      <c r="N117" s="31">
        <f ca="1">IFERROR(__xludf.DUMMYFUNCTION("""COMPUTED_VALUE"""),0)</f>
        <v>0</v>
      </c>
      <c r="O117" s="32">
        <f ca="1">IFERROR(__xludf.DUMMYFUNCTION("""COMPUTED_VALUE"""),0)</f>
        <v>0</v>
      </c>
      <c r="P117" s="32"/>
      <c r="Q117" s="32">
        <f ca="1">IFERROR(__xludf.DUMMYFUNCTION("""COMPUTED_VALUE"""),0)</f>
        <v>0</v>
      </c>
      <c r="R117" s="32"/>
      <c r="S117" s="31">
        <f ca="1">IFERROR(__xludf.DUMMYFUNCTION("""COMPUTED_VALUE"""),0)</f>
        <v>0</v>
      </c>
      <c r="T117" s="32">
        <f ca="1">IFERROR(__xludf.DUMMYFUNCTION("""COMPUTED_VALUE"""),0)</f>
        <v>0</v>
      </c>
      <c r="U117" s="32"/>
      <c r="V117" s="32">
        <f ca="1">IFERROR(__xludf.DUMMYFUNCTION("""COMPUTED_VALUE"""),0)</f>
        <v>0</v>
      </c>
      <c r="W117" s="32"/>
      <c r="X117" s="32">
        <f ca="1">IFERROR(__xludf.DUMMYFUNCTION("""COMPUTED_VALUE"""),0)</f>
        <v>0</v>
      </c>
      <c r="Y117" s="32"/>
      <c r="Z117" s="2"/>
      <c r="AA117" s="2"/>
      <c r="AB117" s="2"/>
      <c r="AC117" s="2"/>
      <c r="AD117" s="2"/>
      <c r="AE117" s="2"/>
    </row>
    <row r="118" spans="1:31" ht="12.75" x14ac:dyDescent="0.2">
      <c r="A118" s="28">
        <f ca="1">IFERROR(__xludf.DUMMYFUNCTION("""COMPUTED_VALUE"""),50)</f>
        <v>50</v>
      </c>
      <c r="B118" s="29" t="str">
        <f ca="1">IFERROR(__xludf.DUMMYFUNCTION("""COMPUTED_VALUE"""),"MN Nụ Cười Xinh")</f>
        <v>MN Nụ Cười Xinh</v>
      </c>
      <c r="C118" s="33" t="str">
        <f ca="1">IFERROR(__xludf.DUMMYFUNCTION("""COMPUTED_VALUE"""),"MN")</f>
        <v>MN</v>
      </c>
      <c r="D118" s="30" t="str">
        <f ca="1">IFERROR(__xludf.DUMMYFUNCTION("""COMPUTED_VALUE"""),"Tp. Thủ Đức")</f>
        <v>Tp. Thủ Đức</v>
      </c>
      <c r="E118" s="31">
        <f ca="1">IFERROR(__xludf.DUMMYFUNCTION("""COMPUTED_VALUE"""),15)</f>
        <v>15</v>
      </c>
      <c r="F118" s="32">
        <f ca="1">IFERROR(__xludf.DUMMYFUNCTION("""COMPUTED_VALUE"""),15)</f>
        <v>15</v>
      </c>
      <c r="G118" s="32"/>
      <c r="H118" s="32">
        <f ca="1">IFERROR(__xludf.DUMMYFUNCTION("""COMPUTED_VALUE"""),15)</f>
        <v>15</v>
      </c>
      <c r="I118" s="32"/>
      <c r="J118" s="32">
        <f ca="1">IFERROR(__xludf.DUMMYFUNCTION("""COMPUTED_VALUE"""),14)</f>
        <v>14</v>
      </c>
      <c r="K118" s="32"/>
      <c r="L118" s="32">
        <f ca="1">IFERROR(__xludf.DUMMYFUNCTION("""COMPUTED_VALUE"""),1)</f>
        <v>1</v>
      </c>
      <c r="M118" s="32"/>
      <c r="N118" s="31">
        <f ca="1">IFERROR(__xludf.DUMMYFUNCTION("""COMPUTED_VALUE"""),0)</f>
        <v>0</v>
      </c>
      <c r="O118" s="32">
        <f ca="1">IFERROR(__xludf.DUMMYFUNCTION("""COMPUTED_VALUE"""),0)</f>
        <v>0</v>
      </c>
      <c r="P118" s="32"/>
      <c r="Q118" s="32">
        <f ca="1">IFERROR(__xludf.DUMMYFUNCTION("""COMPUTED_VALUE"""),0)</f>
        <v>0</v>
      </c>
      <c r="R118" s="32"/>
      <c r="S118" s="31">
        <f ca="1">IFERROR(__xludf.DUMMYFUNCTION("""COMPUTED_VALUE"""),0)</f>
        <v>0</v>
      </c>
      <c r="T118" s="32">
        <f ca="1">IFERROR(__xludf.DUMMYFUNCTION("""COMPUTED_VALUE"""),0)</f>
        <v>0</v>
      </c>
      <c r="U118" s="32"/>
      <c r="V118" s="32">
        <f ca="1">IFERROR(__xludf.DUMMYFUNCTION("""COMPUTED_VALUE"""),0)</f>
        <v>0</v>
      </c>
      <c r="W118" s="32"/>
      <c r="X118" s="32">
        <f ca="1">IFERROR(__xludf.DUMMYFUNCTION("""COMPUTED_VALUE"""),0)</f>
        <v>0</v>
      </c>
      <c r="Y118" s="32"/>
      <c r="Z118" s="2"/>
      <c r="AA118" s="2"/>
      <c r="AB118" s="2"/>
      <c r="AC118" s="2"/>
      <c r="AD118" s="2"/>
      <c r="AE118" s="2"/>
    </row>
    <row r="119" spans="1:31" ht="12.75" x14ac:dyDescent="0.2">
      <c r="A119" s="28">
        <f ca="1">IFERROR(__xludf.DUMMYFUNCTION("""COMPUTED_VALUE"""),51)</f>
        <v>51</v>
      </c>
      <c r="B119" s="29" t="str">
        <f ca="1">IFERROR(__xludf.DUMMYFUNCTION("""COMPUTED_VALUE"""),"MN Chào Bạn Nhỏ")</f>
        <v>MN Chào Bạn Nhỏ</v>
      </c>
      <c r="C119" s="33" t="str">
        <f ca="1">IFERROR(__xludf.DUMMYFUNCTION("""COMPUTED_VALUE"""),"MN")</f>
        <v>MN</v>
      </c>
      <c r="D119" s="30" t="str">
        <f ca="1">IFERROR(__xludf.DUMMYFUNCTION("""COMPUTED_VALUE"""),"Tp. Thủ Đức")</f>
        <v>Tp. Thủ Đức</v>
      </c>
      <c r="E119" s="31">
        <f ca="1">IFERROR(__xludf.DUMMYFUNCTION("""COMPUTED_VALUE"""),8)</f>
        <v>8</v>
      </c>
      <c r="F119" s="32">
        <f ca="1">IFERROR(__xludf.DUMMYFUNCTION("""COMPUTED_VALUE"""),8)</f>
        <v>8</v>
      </c>
      <c r="G119" s="32"/>
      <c r="H119" s="32">
        <f ca="1">IFERROR(__xludf.DUMMYFUNCTION("""COMPUTED_VALUE"""),8)</f>
        <v>8</v>
      </c>
      <c r="I119" s="32"/>
      <c r="J119" s="32">
        <f ca="1">IFERROR(__xludf.DUMMYFUNCTION("""COMPUTED_VALUE"""),8)</f>
        <v>8</v>
      </c>
      <c r="K119" s="32"/>
      <c r="L119" s="32">
        <f ca="1">IFERROR(__xludf.DUMMYFUNCTION("""COMPUTED_VALUE"""),4)</f>
        <v>4</v>
      </c>
      <c r="M119" s="32"/>
      <c r="N119" s="31">
        <f ca="1">IFERROR(__xludf.DUMMYFUNCTION("""COMPUTED_VALUE"""),0)</f>
        <v>0</v>
      </c>
      <c r="O119" s="32">
        <f ca="1">IFERROR(__xludf.DUMMYFUNCTION("""COMPUTED_VALUE"""),0)</f>
        <v>0</v>
      </c>
      <c r="P119" s="32"/>
      <c r="Q119" s="32">
        <f ca="1">IFERROR(__xludf.DUMMYFUNCTION("""COMPUTED_VALUE"""),0)</f>
        <v>0</v>
      </c>
      <c r="R119" s="32"/>
      <c r="S119" s="31">
        <f ca="1">IFERROR(__xludf.DUMMYFUNCTION("""COMPUTED_VALUE"""),0)</f>
        <v>0</v>
      </c>
      <c r="T119" s="32">
        <f ca="1">IFERROR(__xludf.DUMMYFUNCTION("""COMPUTED_VALUE"""),0)</f>
        <v>0</v>
      </c>
      <c r="U119" s="32"/>
      <c r="V119" s="32">
        <f ca="1">IFERROR(__xludf.DUMMYFUNCTION("""COMPUTED_VALUE"""),0)</f>
        <v>0</v>
      </c>
      <c r="W119" s="32"/>
      <c r="X119" s="32">
        <f ca="1">IFERROR(__xludf.DUMMYFUNCTION("""COMPUTED_VALUE"""),0)</f>
        <v>0</v>
      </c>
      <c r="Y119" s="32"/>
      <c r="Z119" s="2"/>
      <c r="AA119" s="2"/>
      <c r="AB119" s="2"/>
      <c r="AC119" s="2"/>
      <c r="AD119" s="2"/>
      <c r="AE119" s="2"/>
    </row>
    <row r="120" spans="1:31" ht="12.75" x14ac:dyDescent="0.2">
      <c r="A120" s="28">
        <f ca="1">IFERROR(__xludf.DUMMYFUNCTION("""COMPUTED_VALUE"""),52)</f>
        <v>52</v>
      </c>
      <c r="B120" s="29" t="str">
        <f ca="1">IFERROR(__xludf.DUMMYFUNCTION("""COMPUTED_VALUE"""),"MN Bé Ong Sài Gòn")</f>
        <v>MN Bé Ong Sài Gòn</v>
      </c>
      <c r="C120" s="33" t="str">
        <f ca="1">IFERROR(__xludf.DUMMYFUNCTION("""COMPUTED_VALUE"""),"MN")</f>
        <v>MN</v>
      </c>
      <c r="D120" s="30" t="str">
        <f ca="1">IFERROR(__xludf.DUMMYFUNCTION("""COMPUTED_VALUE"""),"Tp. Thủ Đức")</f>
        <v>Tp. Thủ Đức</v>
      </c>
      <c r="E120" s="31">
        <f ca="1">IFERROR(__xludf.DUMMYFUNCTION("""COMPUTED_VALUE"""),16)</f>
        <v>16</v>
      </c>
      <c r="F120" s="32">
        <f ca="1">IFERROR(__xludf.DUMMYFUNCTION("""COMPUTED_VALUE"""),16)</f>
        <v>16</v>
      </c>
      <c r="G120" s="32"/>
      <c r="H120" s="32">
        <f ca="1">IFERROR(__xludf.DUMMYFUNCTION("""COMPUTED_VALUE"""),16)</f>
        <v>16</v>
      </c>
      <c r="I120" s="32"/>
      <c r="J120" s="32">
        <f ca="1">IFERROR(__xludf.DUMMYFUNCTION("""COMPUTED_VALUE"""),16)</f>
        <v>16</v>
      </c>
      <c r="K120" s="32"/>
      <c r="L120" s="32">
        <f ca="1">IFERROR(__xludf.DUMMYFUNCTION("""COMPUTED_VALUE"""),0)</f>
        <v>0</v>
      </c>
      <c r="M120" s="32"/>
      <c r="N120" s="31">
        <f ca="1">IFERROR(__xludf.DUMMYFUNCTION("""COMPUTED_VALUE"""),0)</f>
        <v>0</v>
      </c>
      <c r="O120" s="32">
        <f ca="1">IFERROR(__xludf.DUMMYFUNCTION("""COMPUTED_VALUE"""),0)</f>
        <v>0</v>
      </c>
      <c r="P120" s="32"/>
      <c r="Q120" s="32">
        <f ca="1">IFERROR(__xludf.DUMMYFUNCTION("""COMPUTED_VALUE"""),0)</f>
        <v>0</v>
      </c>
      <c r="R120" s="32"/>
      <c r="S120" s="31">
        <f ca="1">IFERROR(__xludf.DUMMYFUNCTION("""COMPUTED_VALUE"""),0)</f>
        <v>0</v>
      </c>
      <c r="T120" s="32">
        <f ca="1">IFERROR(__xludf.DUMMYFUNCTION("""COMPUTED_VALUE"""),0)</f>
        <v>0</v>
      </c>
      <c r="U120" s="32"/>
      <c r="V120" s="32">
        <f ca="1">IFERROR(__xludf.DUMMYFUNCTION("""COMPUTED_VALUE"""),0)</f>
        <v>0</v>
      </c>
      <c r="W120" s="32"/>
      <c r="X120" s="32">
        <f ca="1">IFERROR(__xludf.DUMMYFUNCTION("""COMPUTED_VALUE"""),0)</f>
        <v>0</v>
      </c>
      <c r="Y120" s="32"/>
      <c r="Z120" s="2"/>
      <c r="AA120" s="2"/>
      <c r="AB120" s="2"/>
      <c r="AC120" s="2"/>
      <c r="AD120" s="2"/>
      <c r="AE120" s="2"/>
    </row>
    <row r="121" spans="1:31" ht="12.75" x14ac:dyDescent="0.2">
      <c r="A121" s="28">
        <f ca="1">IFERROR(__xludf.DUMMYFUNCTION("""COMPUTED_VALUE"""),53)</f>
        <v>53</v>
      </c>
      <c r="B121" s="29" t="str">
        <f ca="1">IFERROR(__xludf.DUMMYFUNCTION("""COMPUTED_VALUE"""),"MN Hướng Dương Sài Gòn")</f>
        <v>MN Hướng Dương Sài Gòn</v>
      </c>
      <c r="C121" s="33" t="str">
        <f ca="1">IFERROR(__xludf.DUMMYFUNCTION("""COMPUTED_VALUE"""),"MN")</f>
        <v>MN</v>
      </c>
      <c r="D121" s="30" t="str">
        <f ca="1">IFERROR(__xludf.DUMMYFUNCTION("""COMPUTED_VALUE"""),"Tp. Thủ Đức")</f>
        <v>Tp. Thủ Đức</v>
      </c>
      <c r="E121" s="31">
        <f ca="1">IFERROR(__xludf.DUMMYFUNCTION("""COMPUTED_VALUE"""),20)</f>
        <v>20</v>
      </c>
      <c r="F121" s="32">
        <f ca="1">IFERROR(__xludf.DUMMYFUNCTION("""COMPUTED_VALUE"""),20)</f>
        <v>20</v>
      </c>
      <c r="G121" s="32"/>
      <c r="H121" s="32">
        <f ca="1">IFERROR(__xludf.DUMMYFUNCTION("""COMPUTED_VALUE"""),20)</f>
        <v>20</v>
      </c>
      <c r="I121" s="32"/>
      <c r="J121" s="32">
        <f ca="1">IFERROR(__xludf.DUMMYFUNCTION("""COMPUTED_VALUE"""),17)</f>
        <v>17</v>
      </c>
      <c r="K121" s="32"/>
      <c r="L121" s="32">
        <f ca="1">IFERROR(__xludf.DUMMYFUNCTION("""COMPUTED_VALUE"""),3)</f>
        <v>3</v>
      </c>
      <c r="M121" s="32"/>
      <c r="N121" s="31">
        <f ca="1">IFERROR(__xludf.DUMMYFUNCTION("""COMPUTED_VALUE"""),0)</f>
        <v>0</v>
      </c>
      <c r="O121" s="32">
        <f ca="1">IFERROR(__xludf.DUMMYFUNCTION("""COMPUTED_VALUE"""),0)</f>
        <v>0</v>
      </c>
      <c r="P121" s="32"/>
      <c r="Q121" s="32">
        <f ca="1">IFERROR(__xludf.DUMMYFUNCTION("""COMPUTED_VALUE"""),0)</f>
        <v>0</v>
      </c>
      <c r="R121" s="32"/>
      <c r="S121" s="31">
        <f ca="1">IFERROR(__xludf.DUMMYFUNCTION("""COMPUTED_VALUE"""),0)</f>
        <v>0</v>
      </c>
      <c r="T121" s="32">
        <f ca="1">IFERROR(__xludf.DUMMYFUNCTION("""COMPUTED_VALUE"""),0)</f>
        <v>0</v>
      </c>
      <c r="U121" s="32"/>
      <c r="V121" s="32">
        <f ca="1">IFERROR(__xludf.DUMMYFUNCTION("""COMPUTED_VALUE"""),0)</f>
        <v>0</v>
      </c>
      <c r="W121" s="32"/>
      <c r="X121" s="32">
        <f ca="1">IFERROR(__xludf.DUMMYFUNCTION("""COMPUTED_VALUE"""),0)</f>
        <v>0</v>
      </c>
      <c r="Y121" s="32"/>
      <c r="Z121" s="2"/>
      <c r="AA121" s="2"/>
      <c r="AB121" s="2"/>
      <c r="AC121" s="2"/>
      <c r="AD121" s="2"/>
      <c r="AE121" s="2"/>
    </row>
    <row r="122" spans="1:31" ht="12.75" x14ac:dyDescent="0.2">
      <c r="A122" s="28">
        <f ca="1">IFERROR(__xludf.DUMMYFUNCTION("""COMPUTED_VALUE"""),54)</f>
        <v>54</v>
      </c>
      <c r="B122" s="29" t="str">
        <f ca="1">IFERROR(__xludf.DUMMYFUNCTION("""COMPUTED_VALUE"""),"MN Tài Năng Tuổi Thơ")</f>
        <v>MN Tài Năng Tuổi Thơ</v>
      </c>
      <c r="C122" s="33" t="str">
        <f ca="1">IFERROR(__xludf.DUMMYFUNCTION("""COMPUTED_VALUE"""),"MN")</f>
        <v>MN</v>
      </c>
      <c r="D122" s="30" t="str">
        <f ca="1">IFERROR(__xludf.DUMMYFUNCTION("""COMPUTED_VALUE"""),"Tp. Thủ Đức")</f>
        <v>Tp. Thủ Đức</v>
      </c>
      <c r="E122" s="31">
        <f ca="1">IFERROR(__xludf.DUMMYFUNCTION("""COMPUTED_VALUE"""),13)</f>
        <v>13</v>
      </c>
      <c r="F122" s="32">
        <f ca="1">IFERROR(__xludf.DUMMYFUNCTION("""COMPUTED_VALUE"""),13)</f>
        <v>13</v>
      </c>
      <c r="G122" s="32"/>
      <c r="H122" s="32">
        <f ca="1">IFERROR(__xludf.DUMMYFUNCTION("""COMPUTED_VALUE"""),13)</f>
        <v>13</v>
      </c>
      <c r="I122" s="32"/>
      <c r="J122" s="32">
        <f ca="1">IFERROR(__xludf.DUMMYFUNCTION("""COMPUTED_VALUE"""),13)</f>
        <v>13</v>
      </c>
      <c r="K122" s="32"/>
      <c r="L122" s="32">
        <f ca="1">IFERROR(__xludf.DUMMYFUNCTION("""COMPUTED_VALUE"""),5)</f>
        <v>5</v>
      </c>
      <c r="M122" s="32"/>
      <c r="N122" s="31">
        <f ca="1">IFERROR(__xludf.DUMMYFUNCTION("""COMPUTED_VALUE"""),0)</f>
        <v>0</v>
      </c>
      <c r="O122" s="32">
        <f ca="1">IFERROR(__xludf.DUMMYFUNCTION("""COMPUTED_VALUE"""),0)</f>
        <v>0</v>
      </c>
      <c r="P122" s="32"/>
      <c r="Q122" s="32">
        <f ca="1">IFERROR(__xludf.DUMMYFUNCTION("""COMPUTED_VALUE"""),0)</f>
        <v>0</v>
      </c>
      <c r="R122" s="32"/>
      <c r="S122" s="31">
        <f ca="1">IFERROR(__xludf.DUMMYFUNCTION("""COMPUTED_VALUE"""),0)</f>
        <v>0</v>
      </c>
      <c r="T122" s="32">
        <f ca="1">IFERROR(__xludf.DUMMYFUNCTION("""COMPUTED_VALUE"""),0)</f>
        <v>0</v>
      </c>
      <c r="U122" s="32"/>
      <c r="V122" s="32">
        <f ca="1">IFERROR(__xludf.DUMMYFUNCTION("""COMPUTED_VALUE"""),0)</f>
        <v>0</v>
      </c>
      <c r="W122" s="32"/>
      <c r="X122" s="32">
        <f ca="1">IFERROR(__xludf.DUMMYFUNCTION("""COMPUTED_VALUE"""),0)</f>
        <v>0</v>
      </c>
      <c r="Y122" s="32"/>
      <c r="Z122" s="2"/>
      <c r="AA122" s="2"/>
      <c r="AB122" s="2"/>
      <c r="AC122" s="2"/>
      <c r="AD122" s="2"/>
      <c r="AE122" s="2"/>
    </row>
    <row r="123" spans="1:31" ht="12.75" x14ac:dyDescent="0.2">
      <c r="A123" s="28">
        <f ca="1">IFERROR(__xludf.DUMMYFUNCTION("""COMPUTED_VALUE"""),55)</f>
        <v>55</v>
      </c>
      <c r="B123" s="29" t="str">
        <f ca="1">IFERROR(__xludf.DUMMYFUNCTION("""COMPUTED_VALUE"""),"MN Ngôi Nhà Vui Nhộn")</f>
        <v>MN Ngôi Nhà Vui Nhộn</v>
      </c>
      <c r="C123" s="33" t="str">
        <f ca="1">IFERROR(__xludf.DUMMYFUNCTION("""COMPUTED_VALUE"""),"MN")</f>
        <v>MN</v>
      </c>
      <c r="D123" s="30" t="str">
        <f ca="1">IFERROR(__xludf.DUMMYFUNCTION("""COMPUTED_VALUE"""),"Tp. Thủ Đức")</f>
        <v>Tp. Thủ Đức</v>
      </c>
      <c r="E123" s="31">
        <f ca="1">IFERROR(__xludf.DUMMYFUNCTION("""COMPUTED_VALUE"""),10)</f>
        <v>10</v>
      </c>
      <c r="F123" s="32">
        <f ca="1">IFERROR(__xludf.DUMMYFUNCTION("""COMPUTED_VALUE"""),10)</f>
        <v>10</v>
      </c>
      <c r="G123" s="32"/>
      <c r="H123" s="32">
        <f ca="1">IFERROR(__xludf.DUMMYFUNCTION("""COMPUTED_VALUE"""),10)</f>
        <v>10</v>
      </c>
      <c r="I123" s="32"/>
      <c r="J123" s="32">
        <f ca="1">IFERROR(__xludf.DUMMYFUNCTION("""COMPUTED_VALUE"""),10)</f>
        <v>10</v>
      </c>
      <c r="K123" s="32"/>
      <c r="L123" s="32">
        <f ca="1">IFERROR(__xludf.DUMMYFUNCTION("""COMPUTED_VALUE"""),8)</f>
        <v>8</v>
      </c>
      <c r="M123" s="32"/>
      <c r="N123" s="31">
        <f ca="1">IFERROR(__xludf.DUMMYFUNCTION("""COMPUTED_VALUE"""),0)</f>
        <v>0</v>
      </c>
      <c r="O123" s="32">
        <f ca="1">IFERROR(__xludf.DUMMYFUNCTION("""COMPUTED_VALUE"""),0)</f>
        <v>0</v>
      </c>
      <c r="P123" s="32"/>
      <c r="Q123" s="32">
        <f ca="1">IFERROR(__xludf.DUMMYFUNCTION("""COMPUTED_VALUE"""),0)</f>
        <v>0</v>
      </c>
      <c r="R123" s="32"/>
      <c r="S123" s="31">
        <f ca="1">IFERROR(__xludf.DUMMYFUNCTION("""COMPUTED_VALUE"""),0)</f>
        <v>0</v>
      </c>
      <c r="T123" s="32">
        <f ca="1">IFERROR(__xludf.DUMMYFUNCTION("""COMPUTED_VALUE"""),0)</f>
        <v>0</v>
      </c>
      <c r="U123" s="32"/>
      <c r="V123" s="32">
        <f ca="1">IFERROR(__xludf.DUMMYFUNCTION("""COMPUTED_VALUE"""),0)</f>
        <v>0</v>
      </c>
      <c r="W123" s="32"/>
      <c r="X123" s="32">
        <f ca="1">IFERROR(__xludf.DUMMYFUNCTION("""COMPUTED_VALUE"""),0)</f>
        <v>0</v>
      </c>
      <c r="Y123" s="32"/>
      <c r="Z123" s="2"/>
      <c r="AA123" s="2"/>
      <c r="AB123" s="2"/>
      <c r="AC123" s="2"/>
      <c r="AD123" s="2"/>
      <c r="AE123" s="2"/>
    </row>
    <row r="124" spans="1:31" ht="12.75" x14ac:dyDescent="0.2">
      <c r="A124" s="28">
        <f ca="1">IFERROR(__xludf.DUMMYFUNCTION("""COMPUTED_VALUE"""),56)</f>
        <v>56</v>
      </c>
      <c r="B124" s="29" t="str">
        <f ca="1">IFERROR(__xludf.DUMMYFUNCTION("""COMPUTED_VALUE"""),"MN Vương Quốc Kiko")</f>
        <v>MN Vương Quốc Kiko</v>
      </c>
      <c r="C124" s="33" t="str">
        <f ca="1">IFERROR(__xludf.DUMMYFUNCTION("""COMPUTED_VALUE"""),"MN")</f>
        <v>MN</v>
      </c>
      <c r="D124" s="30" t="str">
        <f ca="1">IFERROR(__xludf.DUMMYFUNCTION("""COMPUTED_VALUE"""),"Tp. Thủ Đức")</f>
        <v>Tp. Thủ Đức</v>
      </c>
      <c r="E124" s="31">
        <f ca="1">IFERROR(__xludf.DUMMYFUNCTION("""COMPUTED_VALUE"""),17)</f>
        <v>17</v>
      </c>
      <c r="F124" s="32">
        <f ca="1">IFERROR(__xludf.DUMMYFUNCTION("""COMPUTED_VALUE"""),17)</f>
        <v>17</v>
      </c>
      <c r="G124" s="32"/>
      <c r="H124" s="32">
        <f ca="1">IFERROR(__xludf.DUMMYFUNCTION("""COMPUTED_VALUE"""),17)</f>
        <v>17</v>
      </c>
      <c r="I124" s="32"/>
      <c r="J124" s="32">
        <f ca="1">IFERROR(__xludf.DUMMYFUNCTION("""COMPUTED_VALUE"""),16)</f>
        <v>16</v>
      </c>
      <c r="K124" s="32"/>
      <c r="L124" s="32">
        <f ca="1">IFERROR(__xludf.DUMMYFUNCTION("""COMPUTED_VALUE"""),0)</f>
        <v>0</v>
      </c>
      <c r="M124" s="32"/>
      <c r="N124" s="31">
        <f ca="1">IFERROR(__xludf.DUMMYFUNCTION("""COMPUTED_VALUE"""),0)</f>
        <v>0</v>
      </c>
      <c r="O124" s="32">
        <f ca="1">IFERROR(__xludf.DUMMYFUNCTION("""COMPUTED_VALUE"""),0)</f>
        <v>0</v>
      </c>
      <c r="P124" s="32"/>
      <c r="Q124" s="32">
        <f ca="1">IFERROR(__xludf.DUMMYFUNCTION("""COMPUTED_VALUE"""),0)</f>
        <v>0</v>
      </c>
      <c r="R124" s="32"/>
      <c r="S124" s="31">
        <f ca="1">IFERROR(__xludf.DUMMYFUNCTION("""COMPUTED_VALUE"""),0)</f>
        <v>0</v>
      </c>
      <c r="T124" s="32">
        <f ca="1">IFERROR(__xludf.DUMMYFUNCTION("""COMPUTED_VALUE"""),0)</f>
        <v>0</v>
      </c>
      <c r="U124" s="32"/>
      <c r="V124" s="32">
        <f ca="1">IFERROR(__xludf.DUMMYFUNCTION("""COMPUTED_VALUE"""),0)</f>
        <v>0</v>
      </c>
      <c r="W124" s="32"/>
      <c r="X124" s="32">
        <f ca="1">IFERROR(__xludf.DUMMYFUNCTION("""COMPUTED_VALUE"""),0)</f>
        <v>0</v>
      </c>
      <c r="Y124" s="32"/>
      <c r="Z124" s="2"/>
      <c r="AA124" s="2"/>
      <c r="AB124" s="2"/>
      <c r="AC124" s="2"/>
      <c r="AD124" s="2"/>
      <c r="AE124" s="2"/>
    </row>
    <row r="125" spans="1:31" ht="12.75" x14ac:dyDescent="0.2">
      <c r="A125" s="28">
        <f ca="1">IFERROR(__xludf.DUMMYFUNCTION("""COMPUTED_VALUE"""),57)</f>
        <v>57</v>
      </c>
      <c r="B125" s="29" t="str">
        <f ca="1">IFERROR(__xludf.DUMMYFUNCTION("""COMPUTED_VALUE"""),"MN Những Thiên Thần Nhỏ")</f>
        <v>MN Những Thiên Thần Nhỏ</v>
      </c>
      <c r="C125" s="33" t="str">
        <f ca="1">IFERROR(__xludf.DUMMYFUNCTION("""COMPUTED_VALUE"""),"MN")</f>
        <v>MN</v>
      </c>
      <c r="D125" s="30" t="str">
        <f ca="1">IFERROR(__xludf.DUMMYFUNCTION("""COMPUTED_VALUE"""),"Tp. Thủ Đức")</f>
        <v>Tp. Thủ Đức</v>
      </c>
      <c r="E125" s="31">
        <f ca="1">IFERROR(__xludf.DUMMYFUNCTION("""COMPUTED_VALUE"""),13)</f>
        <v>13</v>
      </c>
      <c r="F125" s="32">
        <f ca="1">IFERROR(__xludf.DUMMYFUNCTION("""COMPUTED_VALUE"""),13)</f>
        <v>13</v>
      </c>
      <c r="G125" s="32"/>
      <c r="H125" s="32">
        <f ca="1">IFERROR(__xludf.DUMMYFUNCTION("""COMPUTED_VALUE"""),13)</f>
        <v>13</v>
      </c>
      <c r="I125" s="32"/>
      <c r="J125" s="32">
        <f ca="1">IFERROR(__xludf.DUMMYFUNCTION("""COMPUTED_VALUE"""),11)</f>
        <v>11</v>
      </c>
      <c r="K125" s="32"/>
      <c r="L125" s="32">
        <f ca="1">IFERROR(__xludf.DUMMYFUNCTION("""COMPUTED_VALUE"""),2)</f>
        <v>2</v>
      </c>
      <c r="M125" s="32"/>
      <c r="N125" s="31">
        <f ca="1">IFERROR(__xludf.DUMMYFUNCTION("""COMPUTED_VALUE"""),0)</f>
        <v>0</v>
      </c>
      <c r="O125" s="32">
        <f ca="1">IFERROR(__xludf.DUMMYFUNCTION("""COMPUTED_VALUE"""),0)</f>
        <v>0</v>
      </c>
      <c r="P125" s="32"/>
      <c r="Q125" s="32">
        <f ca="1">IFERROR(__xludf.DUMMYFUNCTION("""COMPUTED_VALUE"""),0)</f>
        <v>0</v>
      </c>
      <c r="R125" s="32"/>
      <c r="S125" s="31">
        <f ca="1">IFERROR(__xludf.DUMMYFUNCTION("""COMPUTED_VALUE"""),0)</f>
        <v>0</v>
      </c>
      <c r="T125" s="32">
        <f ca="1">IFERROR(__xludf.DUMMYFUNCTION("""COMPUTED_VALUE"""),0)</f>
        <v>0</v>
      </c>
      <c r="U125" s="32"/>
      <c r="V125" s="32">
        <f ca="1">IFERROR(__xludf.DUMMYFUNCTION("""COMPUTED_VALUE"""),0)</f>
        <v>0</v>
      </c>
      <c r="W125" s="32"/>
      <c r="X125" s="32">
        <f ca="1">IFERROR(__xludf.DUMMYFUNCTION("""COMPUTED_VALUE"""),0)</f>
        <v>0</v>
      </c>
      <c r="Y125" s="32"/>
      <c r="Z125" s="2"/>
      <c r="AA125" s="2"/>
      <c r="AB125" s="2"/>
      <c r="AC125" s="2"/>
      <c r="AD125" s="2"/>
      <c r="AE125" s="2"/>
    </row>
    <row r="126" spans="1:31" ht="12.75" x14ac:dyDescent="0.2">
      <c r="A126" s="28">
        <f ca="1">IFERROR(__xludf.DUMMYFUNCTION("""COMPUTED_VALUE"""),58)</f>
        <v>58</v>
      </c>
      <c r="B126" s="29" t="str">
        <f ca="1">IFERROR(__xludf.DUMMYFUNCTION("""COMPUTED_VALUE"""),"MN Việt Úc")</f>
        <v>MN Việt Úc</v>
      </c>
      <c r="C126" s="33" t="str">
        <f ca="1">IFERROR(__xludf.DUMMYFUNCTION("""COMPUTED_VALUE"""),"MN")</f>
        <v>MN</v>
      </c>
      <c r="D126" s="30" t="str">
        <f ca="1">IFERROR(__xludf.DUMMYFUNCTION("""COMPUTED_VALUE"""),"Tp. Thủ Đức")</f>
        <v>Tp. Thủ Đức</v>
      </c>
      <c r="E126" s="31">
        <f ca="1">IFERROR(__xludf.DUMMYFUNCTION("""COMPUTED_VALUE"""),33)</f>
        <v>33</v>
      </c>
      <c r="F126" s="32">
        <f ca="1">IFERROR(__xludf.DUMMYFUNCTION("""COMPUTED_VALUE"""),33)</f>
        <v>33</v>
      </c>
      <c r="G126" s="32"/>
      <c r="H126" s="32">
        <f ca="1">IFERROR(__xludf.DUMMYFUNCTION("""COMPUTED_VALUE"""),33)</f>
        <v>33</v>
      </c>
      <c r="I126" s="32"/>
      <c r="J126" s="32">
        <f ca="1">IFERROR(__xludf.DUMMYFUNCTION("""COMPUTED_VALUE"""),19)</f>
        <v>19</v>
      </c>
      <c r="K126" s="32"/>
      <c r="L126" s="32">
        <f ca="1">IFERROR(__xludf.DUMMYFUNCTION("""COMPUTED_VALUE"""),2)</f>
        <v>2</v>
      </c>
      <c r="M126" s="32"/>
      <c r="N126" s="31">
        <f ca="1">IFERROR(__xludf.DUMMYFUNCTION("""COMPUTED_VALUE"""),0)</f>
        <v>0</v>
      </c>
      <c r="O126" s="32">
        <f ca="1">IFERROR(__xludf.DUMMYFUNCTION("""COMPUTED_VALUE"""),0)</f>
        <v>0</v>
      </c>
      <c r="P126" s="32"/>
      <c r="Q126" s="32">
        <f ca="1">IFERROR(__xludf.DUMMYFUNCTION("""COMPUTED_VALUE"""),0)</f>
        <v>0</v>
      </c>
      <c r="R126" s="32"/>
      <c r="S126" s="31">
        <f ca="1">IFERROR(__xludf.DUMMYFUNCTION("""COMPUTED_VALUE"""),0)</f>
        <v>0</v>
      </c>
      <c r="T126" s="32">
        <f ca="1">IFERROR(__xludf.DUMMYFUNCTION("""COMPUTED_VALUE"""),0)</f>
        <v>0</v>
      </c>
      <c r="U126" s="32"/>
      <c r="V126" s="32">
        <f ca="1">IFERROR(__xludf.DUMMYFUNCTION("""COMPUTED_VALUE"""),0)</f>
        <v>0</v>
      </c>
      <c r="W126" s="32"/>
      <c r="X126" s="32">
        <f ca="1">IFERROR(__xludf.DUMMYFUNCTION("""COMPUTED_VALUE"""),0)</f>
        <v>0</v>
      </c>
      <c r="Y126" s="32"/>
      <c r="Z126" s="2"/>
      <c r="AA126" s="2"/>
      <c r="AB126" s="2"/>
      <c r="AC126" s="2"/>
      <c r="AD126" s="2"/>
      <c r="AE126" s="2"/>
    </row>
    <row r="127" spans="1:31" ht="12.75" x14ac:dyDescent="0.2">
      <c r="A127" s="28">
        <f ca="1">IFERROR(__xludf.DUMMYFUNCTION("""COMPUTED_VALUE"""),59)</f>
        <v>59</v>
      </c>
      <c r="B127" s="29" t="str">
        <f ca="1">IFERROR(__xludf.DUMMYFUNCTION("""COMPUTED_VALUE"""),"MN Chân Trời Trẻ Thơ")</f>
        <v>MN Chân Trời Trẻ Thơ</v>
      </c>
      <c r="C127" s="33" t="str">
        <f ca="1">IFERROR(__xludf.DUMMYFUNCTION("""COMPUTED_VALUE"""),"MN")</f>
        <v>MN</v>
      </c>
      <c r="D127" s="30" t="str">
        <f ca="1">IFERROR(__xludf.DUMMYFUNCTION("""COMPUTED_VALUE"""),"Tp. Thủ Đức")</f>
        <v>Tp. Thủ Đức</v>
      </c>
      <c r="E127" s="31">
        <f ca="1">IFERROR(__xludf.DUMMYFUNCTION("""COMPUTED_VALUE"""),14)</f>
        <v>14</v>
      </c>
      <c r="F127" s="32">
        <f ca="1">IFERROR(__xludf.DUMMYFUNCTION("""COMPUTED_VALUE"""),14)</f>
        <v>14</v>
      </c>
      <c r="G127" s="32"/>
      <c r="H127" s="32">
        <f ca="1">IFERROR(__xludf.DUMMYFUNCTION("""COMPUTED_VALUE"""),14)</f>
        <v>14</v>
      </c>
      <c r="I127" s="32"/>
      <c r="J127" s="32">
        <f ca="1">IFERROR(__xludf.DUMMYFUNCTION("""COMPUTED_VALUE"""),13)</f>
        <v>13</v>
      </c>
      <c r="K127" s="32"/>
      <c r="L127" s="32">
        <f ca="1">IFERROR(__xludf.DUMMYFUNCTION("""COMPUTED_VALUE"""),3)</f>
        <v>3</v>
      </c>
      <c r="M127" s="32"/>
      <c r="N127" s="31">
        <f ca="1">IFERROR(__xludf.DUMMYFUNCTION("""COMPUTED_VALUE"""),0)</f>
        <v>0</v>
      </c>
      <c r="O127" s="32">
        <f ca="1">IFERROR(__xludf.DUMMYFUNCTION("""COMPUTED_VALUE"""),0)</f>
        <v>0</v>
      </c>
      <c r="P127" s="32"/>
      <c r="Q127" s="32">
        <f ca="1">IFERROR(__xludf.DUMMYFUNCTION("""COMPUTED_VALUE"""),0)</f>
        <v>0</v>
      </c>
      <c r="R127" s="32"/>
      <c r="S127" s="31">
        <f ca="1">IFERROR(__xludf.DUMMYFUNCTION("""COMPUTED_VALUE"""),0)</f>
        <v>0</v>
      </c>
      <c r="T127" s="32">
        <f ca="1">IFERROR(__xludf.DUMMYFUNCTION("""COMPUTED_VALUE"""),0)</f>
        <v>0</v>
      </c>
      <c r="U127" s="32"/>
      <c r="V127" s="32">
        <f ca="1">IFERROR(__xludf.DUMMYFUNCTION("""COMPUTED_VALUE"""),0)</f>
        <v>0</v>
      </c>
      <c r="W127" s="32"/>
      <c r="X127" s="32">
        <f ca="1">IFERROR(__xludf.DUMMYFUNCTION("""COMPUTED_VALUE"""),0)</f>
        <v>0</v>
      </c>
      <c r="Y127" s="32"/>
      <c r="Z127" s="2"/>
      <c r="AA127" s="2"/>
      <c r="AB127" s="2"/>
      <c r="AC127" s="2"/>
      <c r="AD127" s="2"/>
      <c r="AE127" s="2"/>
    </row>
    <row r="128" spans="1:31" ht="12.75" x14ac:dyDescent="0.2">
      <c r="A128" s="28">
        <f ca="1">IFERROR(__xludf.DUMMYFUNCTION("""COMPUTED_VALUE"""),60)</f>
        <v>60</v>
      </c>
      <c r="B128" s="29" t="str">
        <f ca="1">IFERROR(__xludf.DUMMYFUNCTION("""COMPUTED_VALUE"""),"MN Bước Chân Tuổi Thơ")</f>
        <v>MN Bước Chân Tuổi Thơ</v>
      </c>
      <c r="C128" s="33" t="str">
        <f ca="1">IFERROR(__xludf.DUMMYFUNCTION("""COMPUTED_VALUE"""),"MN")</f>
        <v>MN</v>
      </c>
      <c r="D128" s="30" t="str">
        <f ca="1">IFERROR(__xludf.DUMMYFUNCTION("""COMPUTED_VALUE"""),"Tp. Thủ Đức")</f>
        <v>Tp. Thủ Đức</v>
      </c>
      <c r="E128" s="31">
        <f ca="1">IFERROR(__xludf.DUMMYFUNCTION("""COMPUTED_VALUE"""),12)</f>
        <v>12</v>
      </c>
      <c r="F128" s="32">
        <f ca="1">IFERROR(__xludf.DUMMYFUNCTION("""COMPUTED_VALUE"""),12)</f>
        <v>12</v>
      </c>
      <c r="G128" s="32"/>
      <c r="H128" s="32">
        <f ca="1">IFERROR(__xludf.DUMMYFUNCTION("""COMPUTED_VALUE"""),12)</f>
        <v>12</v>
      </c>
      <c r="I128" s="32"/>
      <c r="J128" s="32">
        <f ca="1">IFERROR(__xludf.DUMMYFUNCTION("""COMPUTED_VALUE"""),12)</f>
        <v>12</v>
      </c>
      <c r="K128" s="32"/>
      <c r="L128" s="32">
        <f ca="1">IFERROR(__xludf.DUMMYFUNCTION("""COMPUTED_VALUE"""),2)</f>
        <v>2</v>
      </c>
      <c r="M128" s="32"/>
      <c r="N128" s="31">
        <f ca="1">IFERROR(__xludf.DUMMYFUNCTION("""COMPUTED_VALUE"""),0)</f>
        <v>0</v>
      </c>
      <c r="O128" s="32">
        <f ca="1">IFERROR(__xludf.DUMMYFUNCTION("""COMPUTED_VALUE"""),0)</f>
        <v>0</v>
      </c>
      <c r="P128" s="32"/>
      <c r="Q128" s="32">
        <f ca="1">IFERROR(__xludf.DUMMYFUNCTION("""COMPUTED_VALUE"""),0)</f>
        <v>0</v>
      </c>
      <c r="R128" s="32"/>
      <c r="S128" s="31">
        <f ca="1">IFERROR(__xludf.DUMMYFUNCTION("""COMPUTED_VALUE"""),0)</f>
        <v>0</v>
      </c>
      <c r="T128" s="32">
        <f ca="1">IFERROR(__xludf.DUMMYFUNCTION("""COMPUTED_VALUE"""),0)</f>
        <v>0</v>
      </c>
      <c r="U128" s="32"/>
      <c r="V128" s="32">
        <f ca="1">IFERROR(__xludf.DUMMYFUNCTION("""COMPUTED_VALUE"""),0)</f>
        <v>0</v>
      </c>
      <c r="W128" s="32"/>
      <c r="X128" s="32">
        <f ca="1">IFERROR(__xludf.DUMMYFUNCTION("""COMPUTED_VALUE"""),0)</f>
        <v>0</v>
      </c>
      <c r="Y128" s="32"/>
      <c r="Z128" s="2"/>
      <c r="AA128" s="2"/>
      <c r="AB128" s="2"/>
      <c r="AC128" s="2"/>
      <c r="AD128" s="2"/>
      <c r="AE128" s="2"/>
    </row>
    <row r="129" spans="1:31" ht="12.75" x14ac:dyDescent="0.2">
      <c r="A129" s="28">
        <f ca="1">IFERROR(__xludf.DUMMYFUNCTION("""COMPUTED_VALUE"""),61)</f>
        <v>61</v>
      </c>
      <c r="B129" s="29" t="str">
        <f ca="1">IFERROR(__xludf.DUMMYFUNCTION("""COMPUTED_VALUE"""),"MN Vùng Đất Tuổi Thơ")</f>
        <v>MN Vùng Đất Tuổi Thơ</v>
      </c>
      <c r="C129" s="33" t="str">
        <f ca="1">IFERROR(__xludf.DUMMYFUNCTION("""COMPUTED_VALUE"""),"MN")</f>
        <v>MN</v>
      </c>
      <c r="D129" s="30" t="str">
        <f ca="1">IFERROR(__xludf.DUMMYFUNCTION("""COMPUTED_VALUE"""),"Tp. Thủ Đức")</f>
        <v>Tp. Thủ Đức</v>
      </c>
      <c r="E129" s="31">
        <f ca="1">IFERROR(__xludf.DUMMYFUNCTION("""COMPUTED_VALUE"""),22)</f>
        <v>22</v>
      </c>
      <c r="F129" s="32">
        <f ca="1">IFERROR(__xludf.DUMMYFUNCTION("""COMPUTED_VALUE"""),22)</f>
        <v>22</v>
      </c>
      <c r="G129" s="32"/>
      <c r="H129" s="32">
        <f ca="1">IFERROR(__xludf.DUMMYFUNCTION("""COMPUTED_VALUE"""),22)</f>
        <v>22</v>
      </c>
      <c r="I129" s="32"/>
      <c r="J129" s="32">
        <f ca="1">IFERROR(__xludf.DUMMYFUNCTION("""COMPUTED_VALUE"""),22)</f>
        <v>22</v>
      </c>
      <c r="K129" s="32"/>
      <c r="L129" s="32">
        <f ca="1">IFERROR(__xludf.DUMMYFUNCTION("""COMPUTED_VALUE"""),4)</f>
        <v>4</v>
      </c>
      <c r="M129" s="32"/>
      <c r="N129" s="31">
        <f ca="1">IFERROR(__xludf.DUMMYFUNCTION("""COMPUTED_VALUE"""),0)</f>
        <v>0</v>
      </c>
      <c r="O129" s="32">
        <f ca="1">IFERROR(__xludf.DUMMYFUNCTION("""COMPUTED_VALUE"""),0)</f>
        <v>0</v>
      </c>
      <c r="P129" s="32"/>
      <c r="Q129" s="32">
        <f ca="1">IFERROR(__xludf.DUMMYFUNCTION("""COMPUTED_VALUE"""),0)</f>
        <v>0</v>
      </c>
      <c r="R129" s="32"/>
      <c r="S129" s="31">
        <f ca="1">IFERROR(__xludf.DUMMYFUNCTION("""COMPUTED_VALUE"""),0)</f>
        <v>0</v>
      </c>
      <c r="T129" s="32">
        <f ca="1">IFERROR(__xludf.DUMMYFUNCTION("""COMPUTED_VALUE"""),0)</f>
        <v>0</v>
      </c>
      <c r="U129" s="32"/>
      <c r="V129" s="32">
        <f ca="1">IFERROR(__xludf.DUMMYFUNCTION("""COMPUTED_VALUE"""),0)</f>
        <v>0</v>
      </c>
      <c r="W129" s="32"/>
      <c r="X129" s="32">
        <f ca="1">IFERROR(__xludf.DUMMYFUNCTION("""COMPUTED_VALUE"""),0)</f>
        <v>0</v>
      </c>
      <c r="Y129" s="32"/>
      <c r="Z129" s="2"/>
      <c r="AA129" s="2"/>
      <c r="AB129" s="2"/>
      <c r="AC129" s="2"/>
      <c r="AD129" s="2"/>
      <c r="AE129" s="2"/>
    </row>
    <row r="130" spans="1:31" ht="12.75" x14ac:dyDescent="0.2">
      <c r="A130" s="28">
        <f ca="1">IFERROR(__xludf.DUMMYFUNCTION("""COMPUTED_VALUE"""),62)</f>
        <v>62</v>
      </c>
      <c r="B130" s="29" t="str">
        <f ca="1">IFERROR(__xludf.DUMMYFUNCTION("""COMPUTED_VALUE"""),"MN An Nhiên")</f>
        <v>MN An Nhiên</v>
      </c>
      <c r="C130" s="33" t="str">
        <f ca="1">IFERROR(__xludf.DUMMYFUNCTION("""COMPUTED_VALUE"""),"MN")</f>
        <v>MN</v>
      </c>
      <c r="D130" s="30" t="str">
        <f ca="1">IFERROR(__xludf.DUMMYFUNCTION("""COMPUTED_VALUE"""),"Tp. Thủ Đức")</f>
        <v>Tp. Thủ Đức</v>
      </c>
      <c r="E130" s="31">
        <f ca="1">IFERROR(__xludf.DUMMYFUNCTION("""COMPUTED_VALUE"""),22)</f>
        <v>22</v>
      </c>
      <c r="F130" s="32">
        <f ca="1">IFERROR(__xludf.DUMMYFUNCTION("""COMPUTED_VALUE"""),22)</f>
        <v>22</v>
      </c>
      <c r="G130" s="32"/>
      <c r="H130" s="32">
        <f ca="1">IFERROR(__xludf.DUMMYFUNCTION("""COMPUTED_VALUE"""),22)</f>
        <v>22</v>
      </c>
      <c r="I130" s="32"/>
      <c r="J130" s="32">
        <f ca="1">IFERROR(__xludf.DUMMYFUNCTION("""COMPUTED_VALUE"""),15)</f>
        <v>15</v>
      </c>
      <c r="K130" s="32"/>
      <c r="L130" s="32">
        <f ca="1">IFERROR(__xludf.DUMMYFUNCTION("""COMPUTED_VALUE"""),0)</f>
        <v>0</v>
      </c>
      <c r="M130" s="32"/>
      <c r="N130" s="31">
        <f ca="1">IFERROR(__xludf.DUMMYFUNCTION("""COMPUTED_VALUE"""),0)</f>
        <v>0</v>
      </c>
      <c r="O130" s="32">
        <f ca="1">IFERROR(__xludf.DUMMYFUNCTION("""COMPUTED_VALUE"""),0)</f>
        <v>0</v>
      </c>
      <c r="P130" s="32"/>
      <c r="Q130" s="32">
        <f ca="1">IFERROR(__xludf.DUMMYFUNCTION("""COMPUTED_VALUE"""),0)</f>
        <v>0</v>
      </c>
      <c r="R130" s="32"/>
      <c r="S130" s="31">
        <f ca="1">IFERROR(__xludf.DUMMYFUNCTION("""COMPUTED_VALUE"""),0)</f>
        <v>0</v>
      </c>
      <c r="T130" s="32">
        <f ca="1">IFERROR(__xludf.DUMMYFUNCTION("""COMPUTED_VALUE"""),0)</f>
        <v>0</v>
      </c>
      <c r="U130" s="32"/>
      <c r="V130" s="32">
        <f ca="1">IFERROR(__xludf.DUMMYFUNCTION("""COMPUTED_VALUE"""),0)</f>
        <v>0</v>
      </c>
      <c r="W130" s="32"/>
      <c r="X130" s="32">
        <f ca="1">IFERROR(__xludf.DUMMYFUNCTION("""COMPUTED_VALUE"""),0)</f>
        <v>0</v>
      </c>
      <c r="Y130" s="32"/>
      <c r="Z130" s="2"/>
      <c r="AA130" s="2"/>
      <c r="AB130" s="2"/>
      <c r="AC130" s="2"/>
      <c r="AD130" s="2"/>
      <c r="AE130" s="2"/>
    </row>
    <row r="131" spans="1:31" ht="12.75" x14ac:dyDescent="0.2">
      <c r="A131" s="28">
        <f ca="1">IFERROR(__xludf.DUMMYFUNCTION("""COMPUTED_VALUE"""),63)</f>
        <v>63</v>
      </c>
      <c r="B131" s="29" t="str">
        <f ca="1">IFERROR(__xludf.DUMMYFUNCTION("""COMPUTED_VALUE"""),"MN Hướng Dương Vàng")</f>
        <v>MN Hướng Dương Vàng</v>
      </c>
      <c r="C131" s="33" t="str">
        <f ca="1">IFERROR(__xludf.DUMMYFUNCTION("""COMPUTED_VALUE"""),"MN")</f>
        <v>MN</v>
      </c>
      <c r="D131" s="30" t="str">
        <f ca="1">IFERROR(__xludf.DUMMYFUNCTION("""COMPUTED_VALUE"""),"Tp. Thủ Đức")</f>
        <v>Tp. Thủ Đức</v>
      </c>
      <c r="E131" s="31">
        <f ca="1">IFERROR(__xludf.DUMMYFUNCTION("""COMPUTED_VALUE"""),16)</f>
        <v>16</v>
      </c>
      <c r="F131" s="32">
        <f ca="1">IFERROR(__xludf.DUMMYFUNCTION("""COMPUTED_VALUE"""),16)</f>
        <v>16</v>
      </c>
      <c r="G131" s="32"/>
      <c r="H131" s="32">
        <f ca="1">IFERROR(__xludf.DUMMYFUNCTION("""COMPUTED_VALUE"""),16)</f>
        <v>16</v>
      </c>
      <c r="I131" s="32"/>
      <c r="J131" s="32">
        <f ca="1">IFERROR(__xludf.DUMMYFUNCTION("""COMPUTED_VALUE"""),16)</f>
        <v>16</v>
      </c>
      <c r="K131" s="32"/>
      <c r="L131" s="32">
        <f ca="1">IFERROR(__xludf.DUMMYFUNCTION("""COMPUTED_VALUE"""),1)</f>
        <v>1</v>
      </c>
      <c r="M131" s="32"/>
      <c r="N131" s="31">
        <f ca="1">IFERROR(__xludf.DUMMYFUNCTION("""COMPUTED_VALUE"""),0)</f>
        <v>0</v>
      </c>
      <c r="O131" s="32">
        <f ca="1">IFERROR(__xludf.DUMMYFUNCTION("""COMPUTED_VALUE"""),0)</f>
        <v>0</v>
      </c>
      <c r="P131" s="32"/>
      <c r="Q131" s="32">
        <f ca="1">IFERROR(__xludf.DUMMYFUNCTION("""COMPUTED_VALUE"""),0)</f>
        <v>0</v>
      </c>
      <c r="R131" s="32"/>
      <c r="S131" s="31">
        <f ca="1">IFERROR(__xludf.DUMMYFUNCTION("""COMPUTED_VALUE"""),0)</f>
        <v>0</v>
      </c>
      <c r="T131" s="32">
        <f ca="1">IFERROR(__xludf.DUMMYFUNCTION("""COMPUTED_VALUE"""),0)</f>
        <v>0</v>
      </c>
      <c r="U131" s="32"/>
      <c r="V131" s="32">
        <f ca="1">IFERROR(__xludf.DUMMYFUNCTION("""COMPUTED_VALUE"""),0)</f>
        <v>0</v>
      </c>
      <c r="W131" s="32"/>
      <c r="X131" s="32">
        <f ca="1">IFERROR(__xludf.DUMMYFUNCTION("""COMPUTED_VALUE"""),0)</f>
        <v>0</v>
      </c>
      <c r="Y131" s="32"/>
      <c r="Z131" s="2"/>
      <c r="AA131" s="2"/>
      <c r="AB131" s="2"/>
      <c r="AC131" s="2"/>
      <c r="AD131" s="2"/>
      <c r="AE131" s="2"/>
    </row>
    <row r="132" spans="1:31" ht="12.75" x14ac:dyDescent="0.2">
      <c r="A132" s="28">
        <f ca="1">IFERROR(__xludf.DUMMYFUNCTION("""COMPUTED_VALUE"""),64)</f>
        <v>64</v>
      </c>
      <c r="B132" s="29" t="str">
        <f ca="1">IFERROR(__xludf.DUMMYFUNCTION("""COMPUTED_VALUE"""),"MN Hạt Đậu Nhỏ")</f>
        <v>MN Hạt Đậu Nhỏ</v>
      </c>
      <c r="C132" s="33" t="str">
        <f ca="1">IFERROR(__xludf.DUMMYFUNCTION("""COMPUTED_VALUE"""),"MN")</f>
        <v>MN</v>
      </c>
      <c r="D132" s="30" t="str">
        <f ca="1">IFERROR(__xludf.DUMMYFUNCTION("""COMPUTED_VALUE"""),"Tp. Thủ Đức")</f>
        <v>Tp. Thủ Đức</v>
      </c>
      <c r="E132" s="31">
        <f ca="1">IFERROR(__xludf.DUMMYFUNCTION("""COMPUTED_VALUE"""),12)</f>
        <v>12</v>
      </c>
      <c r="F132" s="32">
        <f ca="1">IFERROR(__xludf.DUMMYFUNCTION("""COMPUTED_VALUE"""),12)</f>
        <v>12</v>
      </c>
      <c r="G132" s="32"/>
      <c r="H132" s="32">
        <f ca="1">IFERROR(__xludf.DUMMYFUNCTION("""COMPUTED_VALUE"""),12)</f>
        <v>12</v>
      </c>
      <c r="I132" s="32"/>
      <c r="J132" s="32">
        <f ca="1">IFERROR(__xludf.DUMMYFUNCTION("""COMPUTED_VALUE"""),12)</f>
        <v>12</v>
      </c>
      <c r="K132" s="32"/>
      <c r="L132" s="32">
        <f ca="1">IFERROR(__xludf.DUMMYFUNCTION("""COMPUTED_VALUE"""),0)</f>
        <v>0</v>
      </c>
      <c r="M132" s="32"/>
      <c r="N132" s="31">
        <f ca="1">IFERROR(__xludf.DUMMYFUNCTION("""COMPUTED_VALUE"""),0)</f>
        <v>0</v>
      </c>
      <c r="O132" s="32">
        <f ca="1">IFERROR(__xludf.DUMMYFUNCTION("""COMPUTED_VALUE"""),0)</f>
        <v>0</v>
      </c>
      <c r="P132" s="32"/>
      <c r="Q132" s="32">
        <f ca="1">IFERROR(__xludf.DUMMYFUNCTION("""COMPUTED_VALUE"""),0)</f>
        <v>0</v>
      </c>
      <c r="R132" s="32"/>
      <c r="S132" s="31">
        <f ca="1">IFERROR(__xludf.DUMMYFUNCTION("""COMPUTED_VALUE"""),0)</f>
        <v>0</v>
      </c>
      <c r="T132" s="32">
        <f ca="1">IFERROR(__xludf.DUMMYFUNCTION("""COMPUTED_VALUE"""),0)</f>
        <v>0</v>
      </c>
      <c r="U132" s="32"/>
      <c r="V132" s="32">
        <f ca="1">IFERROR(__xludf.DUMMYFUNCTION("""COMPUTED_VALUE"""),0)</f>
        <v>0</v>
      </c>
      <c r="W132" s="32"/>
      <c r="X132" s="32">
        <f ca="1">IFERROR(__xludf.DUMMYFUNCTION("""COMPUTED_VALUE"""),0)</f>
        <v>0</v>
      </c>
      <c r="Y132" s="32"/>
      <c r="Z132" s="2"/>
      <c r="AA132" s="2"/>
      <c r="AB132" s="2"/>
      <c r="AC132" s="2"/>
      <c r="AD132" s="2"/>
      <c r="AE132" s="2"/>
    </row>
    <row r="133" spans="1:31" ht="12.75" x14ac:dyDescent="0.2">
      <c r="A133" s="28">
        <f ca="1">IFERROR(__xludf.DUMMYFUNCTION("""COMPUTED_VALUE"""),65)</f>
        <v>65</v>
      </c>
      <c r="B133" s="29" t="str">
        <f ca="1">IFERROR(__xludf.DUMMYFUNCTION("""COMPUTED_VALUE"""),"MN 1 Tháng 6")</f>
        <v>MN 1 Tháng 6</v>
      </c>
      <c r="C133" s="33" t="str">
        <f ca="1">IFERROR(__xludf.DUMMYFUNCTION("""COMPUTED_VALUE"""),"MN")</f>
        <v>MN</v>
      </c>
      <c r="D133" s="30" t="str">
        <f ca="1">IFERROR(__xludf.DUMMYFUNCTION("""COMPUTED_VALUE"""),"Tp. Thủ Đức")</f>
        <v>Tp. Thủ Đức</v>
      </c>
      <c r="E133" s="31">
        <f ca="1">IFERROR(__xludf.DUMMYFUNCTION("""COMPUTED_VALUE"""),18)</f>
        <v>18</v>
      </c>
      <c r="F133" s="32">
        <f ca="1">IFERROR(__xludf.DUMMYFUNCTION("""COMPUTED_VALUE"""),18)</f>
        <v>18</v>
      </c>
      <c r="G133" s="32"/>
      <c r="H133" s="32">
        <f ca="1">IFERROR(__xludf.DUMMYFUNCTION("""COMPUTED_VALUE"""),18)</f>
        <v>18</v>
      </c>
      <c r="I133" s="32"/>
      <c r="J133" s="32">
        <f ca="1">IFERROR(__xludf.DUMMYFUNCTION("""COMPUTED_VALUE"""),18)</f>
        <v>18</v>
      </c>
      <c r="K133" s="32"/>
      <c r="L133" s="32">
        <f ca="1">IFERROR(__xludf.DUMMYFUNCTION("""COMPUTED_VALUE"""),0)</f>
        <v>0</v>
      </c>
      <c r="M133" s="32"/>
      <c r="N133" s="31">
        <f ca="1">IFERROR(__xludf.DUMMYFUNCTION("""COMPUTED_VALUE"""),0)</f>
        <v>0</v>
      </c>
      <c r="O133" s="32">
        <f ca="1">IFERROR(__xludf.DUMMYFUNCTION("""COMPUTED_VALUE"""),0)</f>
        <v>0</v>
      </c>
      <c r="P133" s="32"/>
      <c r="Q133" s="32">
        <f ca="1">IFERROR(__xludf.DUMMYFUNCTION("""COMPUTED_VALUE"""),0)</f>
        <v>0</v>
      </c>
      <c r="R133" s="32"/>
      <c r="S133" s="31">
        <f ca="1">IFERROR(__xludf.DUMMYFUNCTION("""COMPUTED_VALUE"""),0)</f>
        <v>0</v>
      </c>
      <c r="T133" s="32">
        <f ca="1">IFERROR(__xludf.DUMMYFUNCTION("""COMPUTED_VALUE"""),0)</f>
        <v>0</v>
      </c>
      <c r="U133" s="32"/>
      <c r="V133" s="32">
        <f ca="1">IFERROR(__xludf.DUMMYFUNCTION("""COMPUTED_VALUE"""),0)</f>
        <v>0</v>
      </c>
      <c r="W133" s="32"/>
      <c r="X133" s="32">
        <f ca="1">IFERROR(__xludf.DUMMYFUNCTION("""COMPUTED_VALUE"""),0)</f>
        <v>0</v>
      </c>
      <c r="Y133" s="32"/>
      <c r="Z133" s="2"/>
      <c r="AA133" s="2"/>
      <c r="AB133" s="2"/>
      <c r="AC133" s="2"/>
      <c r="AD133" s="2"/>
      <c r="AE133" s="2"/>
    </row>
    <row r="134" spans="1:31" ht="12.75" x14ac:dyDescent="0.2">
      <c r="A134" s="28">
        <f ca="1">IFERROR(__xludf.DUMMYFUNCTION("""COMPUTED_VALUE"""),66)</f>
        <v>66</v>
      </c>
      <c r="B134" s="29" t="str">
        <f ca="1">IFERROR(__xludf.DUMMYFUNCTION("""COMPUTED_VALUE"""),"MN Banh &amp; Bi")</f>
        <v>MN Banh &amp; Bi</v>
      </c>
      <c r="C134" s="33" t="str">
        <f ca="1">IFERROR(__xludf.DUMMYFUNCTION("""COMPUTED_VALUE"""),"MN")</f>
        <v>MN</v>
      </c>
      <c r="D134" s="30" t="str">
        <f ca="1">IFERROR(__xludf.DUMMYFUNCTION("""COMPUTED_VALUE"""),"Tp. Thủ Đức")</f>
        <v>Tp. Thủ Đức</v>
      </c>
      <c r="E134" s="31">
        <f ca="1">IFERROR(__xludf.DUMMYFUNCTION("""COMPUTED_VALUE"""),8)</f>
        <v>8</v>
      </c>
      <c r="F134" s="32">
        <f ca="1">IFERROR(__xludf.DUMMYFUNCTION("""COMPUTED_VALUE"""),8)</f>
        <v>8</v>
      </c>
      <c r="G134" s="32"/>
      <c r="H134" s="32">
        <f ca="1">IFERROR(__xludf.DUMMYFUNCTION("""COMPUTED_VALUE"""),8)</f>
        <v>8</v>
      </c>
      <c r="I134" s="32"/>
      <c r="J134" s="32">
        <f ca="1">IFERROR(__xludf.DUMMYFUNCTION("""COMPUTED_VALUE"""),8)</f>
        <v>8</v>
      </c>
      <c r="K134" s="32"/>
      <c r="L134" s="32">
        <f ca="1">IFERROR(__xludf.DUMMYFUNCTION("""COMPUTED_VALUE"""),4)</f>
        <v>4</v>
      </c>
      <c r="M134" s="32"/>
      <c r="N134" s="31">
        <f ca="1">IFERROR(__xludf.DUMMYFUNCTION("""COMPUTED_VALUE"""),0)</f>
        <v>0</v>
      </c>
      <c r="O134" s="32">
        <f ca="1">IFERROR(__xludf.DUMMYFUNCTION("""COMPUTED_VALUE"""),0)</f>
        <v>0</v>
      </c>
      <c r="P134" s="32"/>
      <c r="Q134" s="32">
        <f ca="1">IFERROR(__xludf.DUMMYFUNCTION("""COMPUTED_VALUE"""),0)</f>
        <v>0</v>
      </c>
      <c r="R134" s="32"/>
      <c r="S134" s="31">
        <f ca="1">IFERROR(__xludf.DUMMYFUNCTION("""COMPUTED_VALUE"""),0)</f>
        <v>0</v>
      </c>
      <c r="T134" s="32">
        <f ca="1">IFERROR(__xludf.DUMMYFUNCTION("""COMPUTED_VALUE"""),0)</f>
        <v>0</v>
      </c>
      <c r="U134" s="32"/>
      <c r="V134" s="32">
        <f ca="1">IFERROR(__xludf.DUMMYFUNCTION("""COMPUTED_VALUE"""),0)</f>
        <v>0</v>
      </c>
      <c r="W134" s="32"/>
      <c r="X134" s="32">
        <f ca="1">IFERROR(__xludf.DUMMYFUNCTION("""COMPUTED_VALUE"""),0)</f>
        <v>0</v>
      </c>
      <c r="Y134" s="32"/>
      <c r="Z134" s="2"/>
      <c r="AA134" s="2"/>
      <c r="AB134" s="2"/>
      <c r="AC134" s="2"/>
      <c r="AD134" s="2"/>
      <c r="AE134" s="2"/>
    </row>
    <row r="135" spans="1:31" ht="12.75" x14ac:dyDescent="0.2">
      <c r="A135" s="28">
        <f ca="1">IFERROR(__xludf.DUMMYFUNCTION("""COMPUTED_VALUE"""),67)</f>
        <v>67</v>
      </c>
      <c r="B135" s="29" t="str">
        <f ca="1">IFERROR(__xludf.DUMMYFUNCTION("""COMPUTED_VALUE"""),"MN Vườn Trẻ Thơ")</f>
        <v>MN Vườn Trẻ Thơ</v>
      </c>
      <c r="C135" s="33" t="str">
        <f ca="1">IFERROR(__xludf.DUMMYFUNCTION("""COMPUTED_VALUE"""),"MN")</f>
        <v>MN</v>
      </c>
      <c r="D135" s="30" t="str">
        <f ca="1">IFERROR(__xludf.DUMMYFUNCTION("""COMPUTED_VALUE"""),"Tp. Thủ Đức")</f>
        <v>Tp. Thủ Đức</v>
      </c>
      <c r="E135" s="31">
        <f ca="1">IFERROR(__xludf.DUMMYFUNCTION("""COMPUTED_VALUE"""),17)</f>
        <v>17</v>
      </c>
      <c r="F135" s="32">
        <f ca="1">IFERROR(__xludf.DUMMYFUNCTION("""COMPUTED_VALUE"""),17)</f>
        <v>17</v>
      </c>
      <c r="G135" s="32"/>
      <c r="H135" s="32">
        <f ca="1">IFERROR(__xludf.DUMMYFUNCTION("""COMPUTED_VALUE"""),17)</f>
        <v>17</v>
      </c>
      <c r="I135" s="32"/>
      <c r="J135" s="32">
        <f ca="1">IFERROR(__xludf.DUMMYFUNCTION("""COMPUTED_VALUE"""),17)</f>
        <v>17</v>
      </c>
      <c r="K135" s="32"/>
      <c r="L135" s="32">
        <f ca="1">IFERROR(__xludf.DUMMYFUNCTION("""COMPUTED_VALUE"""),3)</f>
        <v>3</v>
      </c>
      <c r="M135" s="32"/>
      <c r="N135" s="31">
        <f ca="1">IFERROR(__xludf.DUMMYFUNCTION("""COMPUTED_VALUE"""),0)</f>
        <v>0</v>
      </c>
      <c r="O135" s="32">
        <f ca="1">IFERROR(__xludf.DUMMYFUNCTION("""COMPUTED_VALUE"""),0)</f>
        <v>0</v>
      </c>
      <c r="P135" s="32"/>
      <c r="Q135" s="32">
        <f ca="1">IFERROR(__xludf.DUMMYFUNCTION("""COMPUTED_VALUE"""),0)</f>
        <v>0</v>
      </c>
      <c r="R135" s="32"/>
      <c r="S135" s="31">
        <f ca="1">IFERROR(__xludf.DUMMYFUNCTION("""COMPUTED_VALUE"""),0)</f>
        <v>0</v>
      </c>
      <c r="T135" s="32">
        <f ca="1">IFERROR(__xludf.DUMMYFUNCTION("""COMPUTED_VALUE"""),0)</f>
        <v>0</v>
      </c>
      <c r="U135" s="32"/>
      <c r="V135" s="32">
        <f ca="1">IFERROR(__xludf.DUMMYFUNCTION("""COMPUTED_VALUE"""),0)</f>
        <v>0</v>
      </c>
      <c r="W135" s="32"/>
      <c r="X135" s="32">
        <f ca="1">IFERROR(__xludf.DUMMYFUNCTION("""COMPUTED_VALUE"""),0)</f>
        <v>0</v>
      </c>
      <c r="Y135" s="32"/>
      <c r="Z135" s="2"/>
      <c r="AA135" s="2"/>
      <c r="AB135" s="2"/>
      <c r="AC135" s="2"/>
      <c r="AD135" s="2"/>
      <c r="AE135" s="2"/>
    </row>
    <row r="136" spans="1:31" ht="12.75" x14ac:dyDescent="0.2">
      <c r="A136" s="28">
        <f ca="1">IFERROR(__xludf.DUMMYFUNCTION("""COMPUTED_VALUE"""),68)</f>
        <v>68</v>
      </c>
      <c r="B136" s="29" t="str">
        <f ca="1">IFERROR(__xludf.DUMMYFUNCTION("""COMPUTED_VALUE"""),"MN Lâm An")</f>
        <v>MN Lâm An</v>
      </c>
      <c r="C136" s="33" t="str">
        <f ca="1">IFERROR(__xludf.DUMMYFUNCTION("""COMPUTED_VALUE"""),"MN")</f>
        <v>MN</v>
      </c>
      <c r="D136" s="30" t="str">
        <f ca="1">IFERROR(__xludf.DUMMYFUNCTION("""COMPUTED_VALUE"""),"Tp. Thủ Đức")</f>
        <v>Tp. Thủ Đức</v>
      </c>
      <c r="E136" s="31">
        <f ca="1">IFERROR(__xludf.DUMMYFUNCTION("""COMPUTED_VALUE"""),7)</f>
        <v>7</v>
      </c>
      <c r="F136" s="32">
        <f ca="1">IFERROR(__xludf.DUMMYFUNCTION("""COMPUTED_VALUE"""),7)</f>
        <v>7</v>
      </c>
      <c r="G136" s="32"/>
      <c r="H136" s="32">
        <f ca="1">IFERROR(__xludf.DUMMYFUNCTION("""COMPUTED_VALUE"""),7)</f>
        <v>7</v>
      </c>
      <c r="I136" s="32"/>
      <c r="J136" s="32">
        <f ca="1">IFERROR(__xludf.DUMMYFUNCTION("""COMPUTED_VALUE"""),7)</f>
        <v>7</v>
      </c>
      <c r="K136" s="32"/>
      <c r="L136" s="32">
        <f ca="1">IFERROR(__xludf.DUMMYFUNCTION("""COMPUTED_VALUE"""),4)</f>
        <v>4</v>
      </c>
      <c r="M136" s="32"/>
      <c r="N136" s="31">
        <f ca="1">IFERROR(__xludf.DUMMYFUNCTION("""COMPUTED_VALUE"""),0)</f>
        <v>0</v>
      </c>
      <c r="O136" s="32">
        <f ca="1">IFERROR(__xludf.DUMMYFUNCTION("""COMPUTED_VALUE"""),0)</f>
        <v>0</v>
      </c>
      <c r="P136" s="32"/>
      <c r="Q136" s="32">
        <f ca="1">IFERROR(__xludf.DUMMYFUNCTION("""COMPUTED_VALUE"""),0)</f>
        <v>0</v>
      </c>
      <c r="R136" s="32"/>
      <c r="S136" s="31">
        <f ca="1">IFERROR(__xludf.DUMMYFUNCTION("""COMPUTED_VALUE"""),0)</f>
        <v>0</v>
      </c>
      <c r="T136" s="32">
        <f ca="1">IFERROR(__xludf.DUMMYFUNCTION("""COMPUTED_VALUE"""),0)</f>
        <v>0</v>
      </c>
      <c r="U136" s="32"/>
      <c r="V136" s="32">
        <f ca="1">IFERROR(__xludf.DUMMYFUNCTION("""COMPUTED_VALUE"""),0)</f>
        <v>0</v>
      </c>
      <c r="W136" s="32"/>
      <c r="X136" s="32">
        <f ca="1">IFERROR(__xludf.DUMMYFUNCTION("""COMPUTED_VALUE"""),0)</f>
        <v>0</v>
      </c>
      <c r="Y136" s="32"/>
      <c r="Z136" s="2"/>
      <c r="AA136" s="2"/>
      <c r="AB136" s="2"/>
      <c r="AC136" s="2"/>
      <c r="AD136" s="2"/>
      <c r="AE136" s="2"/>
    </row>
    <row r="137" spans="1:31" ht="12.75" x14ac:dyDescent="0.2">
      <c r="A137" s="28">
        <f ca="1">IFERROR(__xludf.DUMMYFUNCTION("""COMPUTED_VALUE"""),69)</f>
        <v>69</v>
      </c>
      <c r="B137" s="29" t="str">
        <f ca="1">IFERROR(__xludf.DUMMYFUNCTION("""COMPUTED_VALUE"""),"MN Global EcoKids")</f>
        <v>MN Global EcoKids</v>
      </c>
      <c r="C137" s="33" t="str">
        <f ca="1">IFERROR(__xludf.DUMMYFUNCTION("""COMPUTED_VALUE"""),"MN")</f>
        <v>MN</v>
      </c>
      <c r="D137" s="30" t="str">
        <f ca="1">IFERROR(__xludf.DUMMYFUNCTION("""COMPUTED_VALUE"""),"Tp. Thủ Đức")</f>
        <v>Tp. Thủ Đức</v>
      </c>
      <c r="E137" s="31">
        <f ca="1">IFERROR(__xludf.DUMMYFUNCTION("""COMPUTED_VALUE"""),18)</f>
        <v>18</v>
      </c>
      <c r="F137" s="32">
        <f ca="1">IFERROR(__xludf.DUMMYFUNCTION("""COMPUTED_VALUE"""),18)</f>
        <v>18</v>
      </c>
      <c r="G137" s="32"/>
      <c r="H137" s="32">
        <f ca="1">IFERROR(__xludf.DUMMYFUNCTION("""COMPUTED_VALUE"""),18)</f>
        <v>18</v>
      </c>
      <c r="I137" s="32"/>
      <c r="J137" s="32">
        <f ca="1">IFERROR(__xludf.DUMMYFUNCTION("""COMPUTED_VALUE"""),18)</f>
        <v>18</v>
      </c>
      <c r="K137" s="32"/>
      <c r="L137" s="32">
        <f ca="1">IFERROR(__xludf.DUMMYFUNCTION("""COMPUTED_VALUE"""),0)</f>
        <v>0</v>
      </c>
      <c r="M137" s="32"/>
      <c r="N137" s="31">
        <f ca="1">IFERROR(__xludf.DUMMYFUNCTION("""COMPUTED_VALUE"""),0)</f>
        <v>0</v>
      </c>
      <c r="O137" s="32">
        <f ca="1">IFERROR(__xludf.DUMMYFUNCTION("""COMPUTED_VALUE"""),0)</f>
        <v>0</v>
      </c>
      <c r="P137" s="32"/>
      <c r="Q137" s="32">
        <f ca="1">IFERROR(__xludf.DUMMYFUNCTION("""COMPUTED_VALUE"""),0)</f>
        <v>0</v>
      </c>
      <c r="R137" s="32"/>
      <c r="S137" s="31">
        <f ca="1">IFERROR(__xludf.DUMMYFUNCTION("""COMPUTED_VALUE"""),0)</f>
        <v>0</v>
      </c>
      <c r="T137" s="32">
        <f ca="1">IFERROR(__xludf.DUMMYFUNCTION("""COMPUTED_VALUE"""),0)</f>
        <v>0</v>
      </c>
      <c r="U137" s="32"/>
      <c r="V137" s="32">
        <f ca="1">IFERROR(__xludf.DUMMYFUNCTION("""COMPUTED_VALUE"""),0)</f>
        <v>0</v>
      </c>
      <c r="W137" s="32"/>
      <c r="X137" s="32">
        <f ca="1">IFERROR(__xludf.DUMMYFUNCTION("""COMPUTED_VALUE"""),0)</f>
        <v>0</v>
      </c>
      <c r="Y137" s="32"/>
      <c r="Z137" s="2"/>
      <c r="AA137" s="2"/>
      <c r="AB137" s="2"/>
      <c r="AC137" s="2"/>
      <c r="AD137" s="2"/>
      <c r="AE137" s="2"/>
    </row>
    <row r="138" spans="1:31" ht="12.75" x14ac:dyDescent="0.2">
      <c r="A138" s="28">
        <f ca="1">IFERROR(__xludf.DUMMYFUNCTION("""COMPUTED_VALUE"""),70)</f>
        <v>70</v>
      </c>
      <c r="B138" s="29" t="str">
        <f ca="1">IFERROR(__xludf.DUMMYFUNCTION("""COMPUTED_VALUE"""),"MN Trẻ Em Alpha")</f>
        <v>MN Trẻ Em Alpha</v>
      </c>
      <c r="C138" s="33" t="str">
        <f ca="1">IFERROR(__xludf.DUMMYFUNCTION("""COMPUTED_VALUE"""),"MN")</f>
        <v>MN</v>
      </c>
      <c r="D138" s="30" t="str">
        <f ca="1">IFERROR(__xludf.DUMMYFUNCTION("""COMPUTED_VALUE"""),"Tp. Thủ Đức")</f>
        <v>Tp. Thủ Đức</v>
      </c>
      <c r="E138" s="31">
        <f ca="1">IFERROR(__xludf.DUMMYFUNCTION("""COMPUTED_VALUE"""),9)</f>
        <v>9</v>
      </c>
      <c r="F138" s="32">
        <f ca="1">IFERROR(__xludf.DUMMYFUNCTION("""COMPUTED_VALUE"""),9)</f>
        <v>9</v>
      </c>
      <c r="G138" s="32"/>
      <c r="H138" s="32">
        <f ca="1">IFERROR(__xludf.DUMMYFUNCTION("""COMPUTED_VALUE"""),9)</f>
        <v>9</v>
      </c>
      <c r="I138" s="32"/>
      <c r="J138" s="32">
        <f ca="1">IFERROR(__xludf.DUMMYFUNCTION("""COMPUTED_VALUE"""),9)</f>
        <v>9</v>
      </c>
      <c r="K138" s="32"/>
      <c r="L138" s="32">
        <f ca="1">IFERROR(__xludf.DUMMYFUNCTION("""COMPUTED_VALUE"""),0)</f>
        <v>0</v>
      </c>
      <c r="M138" s="32"/>
      <c r="N138" s="31">
        <f ca="1">IFERROR(__xludf.DUMMYFUNCTION("""COMPUTED_VALUE"""),0)</f>
        <v>0</v>
      </c>
      <c r="O138" s="32">
        <f ca="1">IFERROR(__xludf.DUMMYFUNCTION("""COMPUTED_VALUE"""),0)</f>
        <v>0</v>
      </c>
      <c r="P138" s="32"/>
      <c r="Q138" s="32">
        <f ca="1">IFERROR(__xludf.DUMMYFUNCTION("""COMPUTED_VALUE"""),0)</f>
        <v>0</v>
      </c>
      <c r="R138" s="32"/>
      <c r="S138" s="31">
        <f ca="1">IFERROR(__xludf.DUMMYFUNCTION("""COMPUTED_VALUE"""),0)</f>
        <v>0</v>
      </c>
      <c r="T138" s="32">
        <f ca="1">IFERROR(__xludf.DUMMYFUNCTION("""COMPUTED_VALUE"""),0)</f>
        <v>0</v>
      </c>
      <c r="U138" s="32"/>
      <c r="V138" s="32">
        <f ca="1">IFERROR(__xludf.DUMMYFUNCTION("""COMPUTED_VALUE"""),0)</f>
        <v>0</v>
      </c>
      <c r="W138" s="32"/>
      <c r="X138" s="32">
        <f ca="1">IFERROR(__xludf.DUMMYFUNCTION("""COMPUTED_VALUE"""),0)</f>
        <v>0</v>
      </c>
      <c r="Y138" s="32"/>
      <c r="Z138" s="2"/>
      <c r="AA138" s="2"/>
      <c r="AB138" s="2"/>
      <c r="AC138" s="2"/>
      <c r="AD138" s="2"/>
      <c r="AE138" s="2"/>
    </row>
    <row r="139" spans="1:31" ht="12.75" x14ac:dyDescent="0.2">
      <c r="A139" s="28">
        <f ca="1">IFERROR(__xludf.DUMMYFUNCTION("""COMPUTED_VALUE"""),71)</f>
        <v>71</v>
      </c>
      <c r="B139" s="29" t="str">
        <f ca="1">IFERROR(__xludf.DUMMYFUNCTION("""COMPUTED_VALUE"""),"MN Ngôi Nhà Nhỏ")</f>
        <v>MN Ngôi Nhà Nhỏ</v>
      </c>
      <c r="C139" s="33" t="str">
        <f ca="1">IFERROR(__xludf.DUMMYFUNCTION("""COMPUTED_VALUE"""),"MN")</f>
        <v>MN</v>
      </c>
      <c r="D139" s="30" t="str">
        <f ca="1">IFERROR(__xludf.DUMMYFUNCTION("""COMPUTED_VALUE"""),"Tp. Thủ Đức")</f>
        <v>Tp. Thủ Đức</v>
      </c>
      <c r="E139" s="31">
        <f ca="1">IFERROR(__xludf.DUMMYFUNCTION("""COMPUTED_VALUE"""),7)</f>
        <v>7</v>
      </c>
      <c r="F139" s="32">
        <f ca="1">IFERROR(__xludf.DUMMYFUNCTION("""COMPUTED_VALUE"""),7)</f>
        <v>7</v>
      </c>
      <c r="G139" s="32"/>
      <c r="H139" s="32">
        <f ca="1">IFERROR(__xludf.DUMMYFUNCTION("""COMPUTED_VALUE"""),7)</f>
        <v>7</v>
      </c>
      <c r="I139" s="32"/>
      <c r="J139" s="32">
        <f ca="1">IFERROR(__xludf.DUMMYFUNCTION("""COMPUTED_VALUE"""),7)</f>
        <v>7</v>
      </c>
      <c r="K139" s="32"/>
      <c r="L139" s="32">
        <f ca="1">IFERROR(__xludf.DUMMYFUNCTION("""COMPUTED_VALUE"""),4)</f>
        <v>4</v>
      </c>
      <c r="M139" s="32"/>
      <c r="N139" s="31">
        <f ca="1">IFERROR(__xludf.DUMMYFUNCTION("""COMPUTED_VALUE"""),0)</f>
        <v>0</v>
      </c>
      <c r="O139" s="32">
        <f ca="1">IFERROR(__xludf.DUMMYFUNCTION("""COMPUTED_VALUE"""),0)</f>
        <v>0</v>
      </c>
      <c r="P139" s="32"/>
      <c r="Q139" s="32">
        <f ca="1">IFERROR(__xludf.DUMMYFUNCTION("""COMPUTED_VALUE"""),0)</f>
        <v>0</v>
      </c>
      <c r="R139" s="32"/>
      <c r="S139" s="31">
        <f ca="1">IFERROR(__xludf.DUMMYFUNCTION("""COMPUTED_VALUE"""),0)</f>
        <v>0</v>
      </c>
      <c r="T139" s="32">
        <f ca="1">IFERROR(__xludf.DUMMYFUNCTION("""COMPUTED_VALUE"""),0)</f>
        <v>0</v>
      </c>
      <c r="U139" s="32"/>
      <c r="V139" s="32">
        <f ca="1">IFERROR(__xludf.DUMMYFUNCTION("""COMPUTED_VALUE"""),0)</f>
        <v>0</v>
      </c>
      <c r="W139" s="32"/>
      <c r="X139" s="32">
        <f ca="1">IFERROR(__xludf.DUMMYFUNCTION("""COMPUTED_VALUE"""),0)</f>
        <v>0</v>
      </c>
      <c r="Y139" s="32"/>
      <c r="Z139" s="2"/>
      <c r="AA139" s="2"/>
      <c r="AB139" s="2"/>
      <c r="AC139" s="2"/>
      <c r="AD139" s="2"/>
      <c r="AE139" s="2"/>
    </row>
    <row r="140" spans="1:31" ht="12.75" x14ac:dyDescent="0.2">
      <c r="A140" s="28">
        <f ca="1">IFERROR(__xludf.DUMMYFUNCTION("""COMPUTED_VALUE"""),72)</f>
        <v>72</v>
      </c>
      <c r="B140" s="29" t="str">
        <f ca="1">IFERROR(__xludf.DUMMYFUNCTION("""COMPUTED_VALUE"""),"MNNgôi Sao Tuổi Thơ")</f>
        <v>MNNgôi Sao Tuổi Thơ</v>
      </c>
      <c r="C140" s="33" t="str">
        <f ca="1">IFERROR(__xludf.DUMMYFUNCTION("""COMPUTED_VALUE"""),"MN")</f>
        <v>MN</v>
      </c>
      <c r="D140" s="30" t="str">
        <f ca="1">IFERROR(__xludf.DUMMYFUNCTION("""COMPUTED_VALUE"""),"Tp. Thủ Đức")</f>
        <v>Tp. Thủ Đức</v>
      </c>
      <c r="E140" s="31">
        <f ca="1">IFERROR(__xludf.DUMMYFUNCTION("""COMPUTED_VALUE"""),8)</f>
        <v>8</v>
      </c>
      <c r="F140" s="32">
        <f ca="1">IFERROR(__xludf.DUMMYFUNCTION("""COMPUTED_VALUE"""),8)</f>
        <v>8</v>
      </c>
      <c r="G140" s="32"/>
      <c r="H140" s="32">
        <f ca="1">IFERROR(__xludf.DUMMYFUNCTION("""COMPUTED_VALUE"""),8)</f>
        <v>8</v>
      </c>
      <c r="I140" s="32"/>
      <c r="J140" s="32">
        <f ca="1">IFERROR(__xludf.DUMMYFUNCTION("""COMPUTED_VALUE"""),8)</f>
        <v>8</v>
      </c>
      <c r="K140" s="32"/>
      <c r="L140" s="32">
        <f ca="1">IFERROR(__xludf.DUMMYFUNCTION("""COMPUTED_VALUE"""),5)</f>
        <v>5</v>
      </c>
      <c r="M140" s="32"/>
      <c r="N140" s="31">
        <f ca="1">IFERROR(__xludf.DUMMYFUNCTION("""COMPUTED_VALUE"""),0)</f>
        <v>0</v>
      </c>
      <c r="O140" s="32">
        <f ca="1">IFERROR(__xludf.DUMMYFUNCTION("""COMPUTED_VALUE"""),0)</f>
        <v>0</v>
      </c>
      <c r="P140" s="32"/>
      <c r="Q140" s="32">
        <f ca="1">IFERROR(__xludf.DUMMYFUNCTION("""COMPUTED_VALUE"""),0)</f>
        <v>0</v>
      </c>
      <c r="R140" s="32"/>
      <c r="S140" s="31">
        <f ca="1">IFERROR(__xludf.DUMMYFUNCTION("""COMPUTED_VALUE"""),0)</f>
        <v>0</v>
      </c>
      <c r="T140" s="32">
        <f ca="1">IFERROR(__xludf.DUMMYFUNCTION("""COMPUTED_VALUE"""),0)</f>
        <v>0</v>
      </c>
      <c r="U140" s="32"/>
      <c r="V140" s="32">
        <f ca="1">IFERROR(__xludf.DUMMYFUNCTION("""COMPUTED_VALUE"""),0)</f>
        <v>0</v>
      </c>
      <c r="W140" s="32"/>
      <c r="X140" s="32">
        <f ca="1">IFERROR(__xludf.DUMMYFUNCTION("""COMPUTED_VALUE"""),0)</f>
        <v>0</v>
      </c>
      <c r="Y140" s="32"/>
      <c r="Z140" s="2"/>
      <c r="AA140" s="2"/>
      <c r="AB140" s="2"/>
      <c r="AC140" s="2"/>
      <c r="AD140" s="2"/>
      <c r="AE140" s="2"/>
    </row>
    <row r="141" spans="1:31" ht="12.75" x14ac:dyDescent="0.2">
      <c r="A141" s="28">
        <f ca="1">IFERROR(__xludf.DUMMYFUNCTION("""COMPUTED_VALUE"""),73)</f>
        <v>73</v>
      </c>
      <c r="B141" s="29" t="str">
        <f ca="1">IFERROR(__xludf.DUMMYFUNCTION("""COMPUTED_VALUE"""),"MN Ngôi nhà Ánh Dương")</f>
        <v>MN Ngôi nhà Ánh Dương</v>
      </c>
      <c r="C141" s="33" t="str">
        <f ca="1">IFERROR(__xludf.DUMMYFUNCTION("""COMPUTED_VALUE"""),"MN")</f>
        <v>MN</v>
      </c>
      <c r="D141" s="30" t="str">
        <f ca="1">IFERROR(__xludf.DUMMYFUNCTION("""COMPUTED_VALUE"""),"Tp. Thủ Đức")</f>
        <v>Tp. Thủ Đức</v>
      </c>
      <c r="E141" s="31">
        <f ca="1">IFERROR(__xludf.DUMMYFUNCTION("""COMPUTED_VALUE"""),13)</f>
        <v>13</v>
      </c>
      <c r="F141" s="32">
        <f ca="1">IFERROR(__xludf.DUMMYFUNCTION("""COMPUTED_VALUE"""),13)</f>
        <v>13</v>
      </c>
      <c r="G141" s="32"/>
      <c r="H141" s="32">
        <f ca="1">IFERROR(__xludf.DUMMYFUNCTION("""COMPUTED_VALUE"""),13)</f>
        <v>13</v>
      </c>
      <c r="I141" s="32"/>
      <c r="J141" s="32">
        <f ca="1">IFERROR(__xludf.DUMMYFUNCTION("""COMPUTED_VALUE"""),13)</f>
        <v>13</v>
      </c>
      <c r="K141" s="32"/>
      <c r="L141" s="32">
        <f ca="1">IFERROR(__xludf.DUMMYFUNCTION("""COMPUTED_VALUE"""),4)</f>
        <v>4</v>
      </c>
      <c r="M141" s="32"/>
      <c r="N141" s="31">
        <f ca="1">IFERROR(__xludf.DUMMYFUNCTION("""COMPUTED_VALUE"""),0)</f>
        <v>0</v>
      </c>
      <c r="O141" s="32">
        <f ca="1">IFERROR(__xludf.DUMMYFUNCTION("""COMPUTED_VALUE"""),0)</f>
        <v>0</v>
      </c>
      <c r="P141" s="32"/>
      <c r="Q141" s="32">
        <f ca="1">IFERROR(__xludf.DUMMYFUNCTION("""COMPUTED_VALUE"""),0)</f>
        <v>0</v>
      </c>
      <c r="R141" s="32"/>
      <c r="S141" s="31">
        <f ca="1">IFERROR(__xludf.DUMMYFUNCTION("""COMPUTED_VALUE"""),0)</f>
        <v>0</v>
      </c>
      <c r="T141" s="32">
        <f ca="1">IFERROR(__xludf.DUMMYFUNCTION("""COMPUTED_VALUE"""),0)</f>
        <v>0</v>
      </c>
      <c r="U141" s="32"/>
      <c r="V141" s="32">
        <f ca="1">IFERROR(__xludf.DUMMYFUNCTION("""COMPUTED_VALUE"""),0)</f>
        <v>0</v>
      </c>
      <c r="W141" s="32"/>
      <c r="X141" s="32">
        <f ca="1">IFERROR(__xludf.DUMMYFUNCTION("""COMPUTED_VALUE"""),0)</f>
        <v>0</v>
      </c>
      <c r="Y141" s="32"/>
      <c r="Z141" s="2"/>
      <c r="AA141" s="2"/>
      <c r="AB141" s="2"/>
      <c r="AC141" s="2"/>
      <c r="AD141" s="2"/>
      <c r="AE141" s="2"/>
    </row>
    <row r="142" spans="1:31" ht="12.75" x14ac:dyDescent="0.2">
      <c r="A142" s="28">
        <f ca="1">IFERROR(__xludf.DUMMYFUNCTION("""COMPUTED_VALUE"""),74)</f>
        <v>74</v>
      </c>
      <c r="B142" s="29" t="str">
        <f ca="1">IFERROR(__xludf.DUMMYFUNCTION("""COMPUTED_VALUE"""),"MN Kiến Tạo")</f>
        <v>MN Kiến Tạo</v>
      </c>
      <c r="C142" s="33" t="str">
        <f ca="1">IFERROR(__xludf.DUMMYFUNCTION("""COMPUTED_VALUE"""),"MN")</f>
        <v>MN</v>
      </c>
      <c r="D142" s="30" t="str">
        <f ca="1">IFERROR(__xludf.DUMMYFUNCTION("""COMPUTED_VALUE"""),"Tp. Thủ Đức")</f>
        <v>Tp. Thủ Đức</v>
      </c>
      <c r="E142" s="31">
        <f ca="1">IFERROR(__xludf.DUMMYFUNCTION("""COMPUTED_VALUE"""),17)</f>
        <v>17</v>
      </c>
      <c r="F142" s="32">
        <f ca="1">IFERROR(__xludf.DUMMYFUNCTION("""COMPUTED_VALUE"""),17)</f>
        <v>17</v>
      </c>
      <c r="G142" s="32"/>
      <c r="H142" s="32">
        <f ca="1">IFERROR(__xludf.DUMMYFUNCTION("""COMPUTED_VALUE"""),17)</f>
        <v>17</v>
      </c>
      <c r="I142" s="32"/>
      <c r="J142" s="32">
        <f ca="1">IFERROR(__xludf.DUMMYFUNCTION("""COMPUTED_VALUE"""),17)</f>
        <v>17</v>
      </c>
      <c r="K142" s="32"/>
      <c r="L142" s="32">
        <f ca="1">IFERROR(__xludf.DUMMYFUNCTION("""COMPUTED_VALUE"""),1)</f>
        <v>1</v>
      </c>
      <c r="M142" s="32"/>
      <c r="N142" s="31">
        <f ca="1">IFERROR(__xludf.DUMMYFUNCTION("""COMPUTED_VALUE"""),0)</f>
        <v>0</v>
      </c>
      <c r="O142" s="32">
        <f ca="1">IFERROR(__xludf.DUMMYFUNCTION("""COMPUTED_VALUE"""),0)</f>
        <v>0</v>
      </c>
      <c r="P142" s="32"/>
      <c r="Q142" s="32">
        <f ca="1">IFERROR(__xludf.DUMMYFUNCTION("""COMPUTED_VALUE"""),0)</f>
        <v>0</v>
      </c>
      <c r="R142" s="32"/>
      <c r="S142" s="31">
        <f ca="1">IFERROR(__xludf.DUMMYFUNCTION("""COMPUTED_VALUE"""),0)</f>
        <v>0</v>
      </c>
      <c r="T142" s="32">
        <f ca="1">IFERROR(__xludf.DUMMYFUNCTION("""COMPUTED_VALUE"""),0)</f>
        <v>0</v>
      </c>
      <c r="U142" s="32"/>
      <c r="V142" s="32">
        <f ca="1">IFERROR(__xludf.DUMMYFUNCTION("""COMPUTED_VALUE"""),0)</f>
        <v>0</v>
      </c>
      <c r="W142" s="32"/>
      <c r="X142" s="32">
        <f ca="1">IFERROR(__xludf.DUMMYFUNCTION("""COMPUTED_VALUE"""),0)</f>
        <v>0</v>
      </c>
      <c r="Y142" s="32"/>
      <c r="Z142" s="2"/>
      <c r="AA142" s="2"/>
      <c r="AB142" s="2"/>
      <c r="AC142" s="2"/>
      <c r="AD142" s="2"/>
      <c r="AE142" s="2"/>
    </row>
    <row r="143" spans="1:31" ht="12.75" x14ac:dyDescent="0.2">
      <c r="A143" s="28">
        <f ca="1">IFERROR(__xludf.DUMMYFUNCTION("""COMPUTED_VALUE"""),75)</f>
        <v>75</v>
      </c>
      <c r="B143" s="29" t="str">
        <f ca="1">IFERROR(__xludf.DUMMYFUNCTION("""COMPUTED_VALUE"""),"MN Bách Hân")</f>
        <v>MN Bách Hân</v>
      </c>
      <c r="C143" s="33" t="str">
        <f ca="1">IFERROR(__xludf.DUMMYFUNCTION("""COMPUTED_VALUE"""),"MN")</f>
        <v>MN</v>
      </c>
      <c r="D143" s="30" t="str">
        <f ca="1">IFERROR(__xludf.DUMMYFUNCTION("""COMPUTED_VALUE"""),"Tp. Thủ Đức")</f>
        <v>Tp. Thủ Đức</v>
      </c>
      <c r="E143" s="31">
        <f ca="1">IFERROR(__xludf.DUMMYFUNCTION("""COMPUTED_VALUE"""),15)</f>
        <v>15</v>
      </c>
      <c r="F143" s="32">
        <f ca="1">IFERROR(__xludf.DUMMYFUNCTION("""COMPUTED_VALUE"""),15)</f>
        <v>15</v>
      </c>
      <c r="G143" s="32"/>
      <c r="H143" s="32">
        <f ca="1">IFERROR(__xludf.DUMMYFUNCTION("""COMPUTED_VALUE"""),15)</f>
        <v>15</v>
      </c>
      <c r="I143" s="32"/>
      <c r="J143" s="32">
        <f ca="1">IFERROR(__xludf.DUMMYFUNCTION("""COMPUTED_VALUE"""),12)</f>
        <v>12</v>
      </c>
      <c r="K143" s="32"/>
      <c r="L143" s="32">
        <f ca="1">IFERROR(__xludf.DUMMYFUNCTION("""COMPUTED_VALUE"""),2)</f>
        <v>2</v>
      </c>
      <c r="M143" s="32"/>
      <c r="N143" s="31">
        <f ca="1">IFERROR(__xludf.DUMMYFUNCTION("""COMPUTED_VALUE"""),0)</f>
        <v>0</v>
      </c>
      <c r="O143" s="32">
        <f ca="1">IFERROR(__xludf.DUMMYFUNCTION("""COMPUTED_VALUE"""),0)</f>
        <v>0</v>
      </c>
      <c r="P143" s="32"/>
      <c r="Q143" s="32">
        <f ca="1">IFERROR(__xludf.DUMMYFUNCTION("""COMPUTED_VALUE"""),0)</f>
        <v>0</v>
      </c>
      <c r="R143" s="32"/>
      <c r="S143" s="31">
        <f ca="1">IFERROR(__xludf.DUMMYFUNCTION("""COMPUTED_VALUE"""),0)</f>
        <v>0</v>
      </c>
      <c r="T143" s="32">
        <f ca="1">IFERROR(__xludf.DUMMYFUNCTION("""COMPUTED_VALUE"""),0)</f>
        <v>0</v>
      </c>
      <c r="U143" s="32"/>
      <c r="V143" s="32">
        <f ca="1">IFERROR(__xludf.DUMMYFUNCTION("""COMPUTED_VALUE"""),0)</f>
        <v>0</v>
      </c>
      <c r="W143" s="32"/>
      <c r="X143" s="32">
        <f ca="1">IFERROR(__xludf.DUMMYFUNCTION("""COMPUTED_VALUE"""),0)</f>
        <v>0</v>
      </c>
      <c r="Y143" s="32"/>
      <c r="Z143" s="2"/>
      <c r="AA143" s="2"/>
      <c r="AB143" s="2"/>
      <c r="AC143" s="2"/>
      <c r="AD143" s="2"/>
      <c r="AE143" s="2"/>
    </row>
    <row r="144" spans="1:31" ht="12.75" x14ac:dyDescent="0.2">
      <c r="A144" s="28">
        <f ca="1">IFERROR(__xludf.DUMMYFUNCTION("""COMPUTED_VALUE"""),76)</f>
        <v>76</v>
      </c>
      <c r="B144" s="29" t="str">
        <f ca="1">IFERROR(__xludf.DUMMYFUNCTION("""COMPUTED_VALUE"""),"MN Con Đường Tuệ Đức")</f>
        <v>MN Con Đường Tuệ Đức</v>
      </c>
      <c r="C144" s="33" t="str">
        <f ca="1">IFERROR(__xludf.DUMMYFUNCTION("""COMPUTED_VALUE"""),"MN")</f>
        <v>MN</v>
      </c>
      <c r="D144" s="30" t="str">
        <f ca="1">IFERROR(__xludf.DUMMYFUNCTION("""COMPUTED_VALUE"""),"Tp. Thủ Đức")</f>
        <v>Tp. Thủ Đức</v>
      </c>
      <c r="E144" s="31">
        <f ca="1">IFERROR(__xludf.DUMMYFUNCTION("""COMPUTED_VALUE"""),16)</f>
        <v>16</v>
      </c>
      <c r="F144" s="32">
        <f ca="1">IFERROR(__xludf.DUMMYFUNCTION("""COMPUTED_VALUE"""),16)</f>
        <v>16</v>
      </c>
      <c r="G144" s="32"/>
      <c r="H144" s="32">
        <f ca="1">IFERROR(__xludf.DUMMYFUNCTION("""COMPUTED_VALUE"""),16)</f>
        <v>16</v>
      </c>
      <c r="I144" s="32"/>
      <c r="J144" s="32">
        <f ca="1">IFERROR(__xludf.DUMMYFUNCTION("""COMPUTED_VALUE"""),16)</f>
        <v>16</v>
      </c>
      <c r="K144" s="32"/>
      <c r="L144" s="32">
        <f ca="1">IFERROR(__xludf.DUMMYFUNCTION("""COMPUTED_VALUE"""),3)</f>
        <v>3</v>
      </c>
      <c r="M144" s="32"/>
      <c r="N144" s="31">
        <f ca="1">IFERROR(__xludf.DUMMYFUNCTION("""COMPUTED_VALUE"""),0)</f>
        <v>0</v>
      </c>
      <c r="O144" s="32">
        <f ca="1">IFERROR(__xludf.DUMMYFUNCTION("""COMPUTED_VALUE"""),0)</f>
        <v>0</v>
      </c>
      <c r="P144" s="32"/>
      <c r="Q144" s="32">
        <f ca="1">IFERROR(__xludf.DUMMYFUNCTION("""COMPUTED_VALUE"""),0)</f>
        <v>0</v>
      </c>
      <c r="R144" s="32"/>
      <c r="S144" s="31">
        <f ca="1">IFERROR(__xludf.DUMMYFUNCTION("""COMPUTED_VALUE"""),0)</f>
        <v>0</v>
      </c>
      <c r="T144" s="32">
        <f ca="1">IFERROR(__xludf.DUMMYFUNCTION("""COMPUTED_VALUE"""),0)</f>
        <v>0</v>
      </c>
      <c r="U144" s="32"/>
      <c r="V144" s="32">
        <f ca="1">IFERROR(__xludf.DUMMYFUNCTION("""COMPUTED_VALUE"""),0)</f>
        <v>0</v>
      </c>
      <c r="W144" s="32"/>
      <c r="X144" s="32">
        <f ca="1">IFERROR(__xludf.DUMMYFUNCTION("""COMPUTED_VALUE"""),0)</f>
        <v>0</v>
      </c>
      <c r="Y144" s="32"/>
      <c r="Z144" s="2"/>
      <c r="AA144" s="2"/>
      <c r="AB144" s="2"/>
      <c r="AC144" s="2"/>
      <c r="AD144" s="2"/>
      <c r="AE144" s="2"/>
    </row>
    <row r="145" spans="1:31" ht="12.75" x14ac:dyDescent="0.2">
      <c r="A145" s="28">
        <f ca="1">IFERROR(__xludf.DUMMYFUNCTION("""COMPUTED_VALUE"""),77)</f>
        <v>77</v>
      </c>
      <c r="B145" s="29" t="str">
        <f ca="1">IFERROR(__xludf.DUMMYFUNCTION("""COMPUTED_VALUE"""),"MN Học Viện Đầu Tiên")</f>
        <v>MN Học Viện Đầu Tiên</v>
      </c>
      <c r="C145" s="33" t="str">
        <f ca="1">IFERROR(__xludf.DUMMYFUNCTION("""COMPUTED_VALUE"""),"MN")</f>
        <v>MN</v>
      </c>
      <c r="D145" s="30" t="str">
        <f ca="1">IFERROR(__xludf.DUMMYFUNCTION("""COMPUTED_VALUE"""),"Tp. Thủ Đức")</f>
        <v>Tp. Thủ Đức</v>
      </c>
      <c r="E145" s="31">
        <f ca="1">IFERROR(__xludf.DUMMYFUNCTION("""COMPUTED_VALUE"""),18)</f>
        <v>18</v>
      </c>
      <c r="F145" s="32">
        <f ca="1">IFERROR(__xludf.DUMMYFUNCTION("""COMPUTED_VALUE"""),18)</f>
        <v>18</v>
      </c>
      <c r="G145" s="32"/>
      <c r="H145" s="32">
        <f ca="1">IFERROR(__xludf.DUMMYFUNCTION("""COMPUTED_VALUE"""),18)</f>
        <v>18</v>
      </c>
      <c r="I145" s="32"/>
      <c r="J145" s="32">
        <f ca="1">IFERROR(__xludf.DUMMYFUNCTION("""COMPUTED_VALUE"""),18)</f>
        <v>18</v>
      </c>
      <c r="K145" s="32"/>
      <c r="L145" s="32">
        <f ca="1">IFERROR(__xludf.DUMMYFUNCTION("""COMPUTED_VALUE"""),3)</f>
        <v>3</v>
      </c>
      <c r="M145" s="32"/>
      <c r="N145" s="31">
        <f ca="1">IFERROR(__xludf.DUMMYFUNCTION("""COMPUTED_VALUE"""),0)</f>
        <v>0</v>
      </c>
      <c r="O145" s="32">
        <f ca="1">IFERROR(__xludf.DUMMYFUNCTION("""COMPUTED_VALUE"""),0)</f>
        <v>0</v>
      </c>
      <c r="P145" s="32"/>
      <c r="Q145" s="32">
        <f ca="1">IFERROR(__xludf.DUMMYFUNCTION("""COMPUTED_VALUE"""),0)</f>
        <v>0</v>
      </c>
      <c r="R145" s="32"/>
      <c r="S145" s="31">
        <f ca="1">IFERROR(__xludf.DUMMYFUNCTION("""COMPUTED_VALUE"""),0)</f>
        <v>0</v>
      </c>
      <c r="T145" s="32">
        <f ca="1">IFERROR(__xludf.DUMMYFUNCTION("""COMPUTED_VALUE"""),0)</f>
        <v>0</v>
      </c>
      <c r="U145" s="32"/>
      <c r="V145" s="32">
        <f ca="1">IFERROR(__xludf.DUMMYFUNCTION("""COMPUTED_VALUE"""),0)</f>
        <v>0</v>
      </c>
      <c r="W145" s="32"/>
      <c r="X145" s="32">
        <f ca="1">IFERROR(__xludf.DUMMYFUNCTION("""COMPUTED_VALUE"""),0)</f>
        <v>0</v>
      </c>
      <c r="Y145" s="32"/>
      <c r="Z145" s="2"/>
      <c r="AA145" s="2"/>
      <c r="AB145" s="2"/>
      <c r="AC145" s="2"/>
      <c r="AD145" s="2"/>
      <c r="AE145" s="2"/>
    </row>
    <row r="146" spans="1:31" ht="12.75" x14ac:dyDescent="0.2">
      <c r="A146" s="28">
        <f ca="1">IFERROR(__xludf.DUMMYFUNCTION("""COMPUTED_VALUE"""),78)</f>
        <v>78</v>
      </c>
      <c r="B146" s="29" t="str">
        <f ca="1">IFERROR(__xludf.DUMMYFUNCTION("""COMPUTED_VALUE"""),"MN Totto-Chan")</f>
        <v>MN Totto-Chan</v>
      </c>
      <c r="C146" s="33" t="str">
        <f ca="1">IFERROR(__xludf.DUMMYFUNCTION("""COMPUTED_VALUE"""),"MN")</f>
        <v>MN</v>
      </c>
      <c r="D146" s="30" t="str">
        <f ca="1">IFERROR(__xludf.DUMMYFUNCTION("""COMPUTED_VALUE"""),"Tp. Thủ Đức")</f>
        <v>Tp. Thủ Đức</v>
      </c>
      <c r="E146" s="31">
        <f ca="1">IFERROR(__xludf.DUMMYFUNCTION("""COMPUTED_VALUE"""),19)</f>
        <v>19</v>
      </c>
      <c r="F146" s="32">
        <f ca="1">IFERROR(__xludf.DUMMYFUNCTION("""COMPUTED_VALUE"""),19)</f>
        <v>19</v>
      </c>
      <c r="G146" s="32"/>
      <c r="H146" s="32">
        <f ca="1">IFERROR(__xludf.DUMMYFUNCTION("""COMPUTED_VALUE"""),19)</f>
        <v>19</v>
      </c>
      <c r="I146" s="32"/>
      <c r="J146" s="32">
        <f ca="1">IFERROR(__xludf.DUMMYFUNCTION("""COMPUTED_VALUE"""),19)</f>
        <v>19</v>
      </c>
      <c r="K146" s="32"/>
      <c r="L146" s="32">
        <f ca="1">IFERROR(__xludf.DUMMYFUNCTION("""COMPUTED_VALUE"""),0)</f>
        <v>0</v>
      </c>
      <c r="M146" s="32"/>
      <c r="N146" s="31">
        <f ca="1">IFERROR(__xludf.DUMMYFUNCTION("""COMPUTED_VALUE"""),0)</f>
        <v>0</v>
      </c>
      <c r="O146" s="32">
        <f ca="1">IFERROR(__xludf.DUMMYFUNCTION("""COMPUTED_VALUE"""),0)</f>
        <v>0</v>
      </c>
      <c r="P146" s="32"/>
      <c r="Q146" s="32">
        <f ca="1">IFERROR(__xludf.DUMMYFUNCTION("""COMPUTED_VALUE"""),0)</f>
        <v>0</v>
      </c>
      <c r="R146" s="32"/>
      <c r="S146" s="31">
        <f ca="1">IFERROR(__xludf.DUMMYFUNCTION("""COMPUTED_VALUE"""),0)</f>
        <v>0</v>
      </c>
      <c r="T146" s="32">
        <f ca="1">IFERROR(__xludf.DUMMYFUNCTION("""COMPUTED_VALUE"""),0)</f>
        <v>0</v>
      </c>
      <c r="U146" s="32"/>
      <c r="V146" s="32">
        <f ca="1">IFERROR(__xludf.DUMMYFUNCTION("""COMPUTED_VALUE"""),0)</f>
        <v>0</v>
      </c>
      <c r="W146" s="32"/>
      <c r="X146" s="32">
        <f ca="1">IFERROR(__xludf.DUMMYFUNCTION("""COMPUTED_VALUE"""),0)</f>
        <v>0</v>
      </c>
      <c r="Y146" s="32"/>
      <c r="Z146" s="2"/>
      <c r="AA146" s="2"/>
      <c r="AB146" s="2"/>
      <c r="AC146" s="2"/>
      <c r="AD146" s="2"/>
      <c r="AE146" s="2"/>
    </row>
    <row r="147" spans="1:31" ht="12.75" x14ac:dyDescent="0.2">
      <c r="A147" s="28">
        <f ca="1">IFERROR(__xludf.DUMMYFUNCTION("""COMPUTED_VALUE"""),79)</f>
        <v>79</v>
      </c>
      <c r="B147" s="29" t="str">
        <f ca="1">IFERROR(__xludf.DUMMYFUNCTION("""COMPUTED_VALUE"""),"MN Trẻ Em Quốc Tế SmartKids")</f>
        <v>MN Trẻ Em Quốc Tế SmartKids</v>
      </c>
      <c r="C147" s="33" t="str">
        <f ca="1">IFERROR(__xludf.DUMMYFUNCTION("""COMPUTED_VALUE"""),"MN")</f>
        <v>MN</v>
      </c>
      <c r="D147" s="30" t="str">
        <f ca="1">IFERROR(__xludf.DUMMYFUNCTION("""COMPUTED_VALUE"""),"Tp. Thủ Đức")</f>
        <v>Tp. Thủ Đức</v>
      </c>
      <c r="E147" s="31">
        <f ca="1">IFERROR(__xludf.DUMMYFUNCTION("""COMPUTED_VALUE"""),32)</f>
        <v>32</v>
      </c>
      <c r="F147" s="32">
        <f ca="1">IFERROR(__xludf.DUMMYFUNCTION("""COMPUTED_VALUE"""),32)</f>
        <v>32</v>
      </c>
      <c r="G147" s="32"/>
      <c r="H147" s="32">
        <f ca="1">IFERROR(__xludf.DUMMYFUNCTION("""COMPUTED_VALUE"""),32)</f>
        <v>32</v>
      </c>
      <c r="I147" s="32"/>
      <c r="J147" s="32">
        <f ca="1">IFERROR(__xludf.DUMMYFUNCTION("""COMPUTED_VALUE"""),32)</f>
        <v>32</v>
      </c>
      <c r="K147" s="32"/>
      <c r="L147" s="32">
        <f ca="1">IFERROR(__xludf.DUMMYFUNCTION("""COMPUTED_VALUE"""),7)</f>
        <v>7</v>
      </c>
      <c r="M147" s="32"/>
      <c r="N147" s="31">
        <f ca="1">IFERROR(__xludf.DUMMYFUNCTION("""COMPUTED_VALUE"""),0)</f>
        <v>0</v>
      </c>
      <c r="O147" s="32">
        <f ca="1">IFERROR(__xludf.DUMMYFUNCTION("""COMPUTED_VALUE"""),0)</f>
        <v>0</v>
      </c>
      <c r="P147" s="32"/>
      <c r="Q147" s="32">
        <f ca="1">IFERROR(__xludf.DUMMYFUNCTION("""COMPUTED_VALUE"""),0)</f>
        <v>0</v>
      </c>
      <c r="R147" s="32"/>
      <c r="S147" s="31">
        <f ca="1">IFERROR(__xludf.DUMMYFUNCTION("""COMPUTED_VALUE"""),0)</f>
        <v>0</v>
      </c>
      <c r="T147" s="32">
        <f ca="1">IFERROR(__xludf.DUMMYFUNCTION("""COMPUTED_VALUE"""),0)</f>
        <v>0</v>
      </c>
      <c r="U147" s="32"/>
      <c r="V147" s="32">
        <f ca="1">IFERROR(__xludf.DUMMYFUNCTION("""COMPUTED_VALUE"""),0)</f>
        <v>0</v>
      </c>
      <c r="W147" s="32"/>
      <c r="X147" s="32">
        <f ca="1">IFERROR(__xludf.DUMMYFUNCTION("""COMPUTED_VALUE"""),0)</f>
        <v>0</v>
      </c>
      <c r="Y147" s="32"/>
      <c r="Z147" s="2"/>
      <c r="AA147" s="2"/>
      <c r="AB147" s="2"/>
      <c r="AC147" s="2"/>
      <c r="AD147" s="2"/>
      <c r="AE147" s="2"/>
    </row>
    <row r="148" spans="1:31" ht="12.75" x14ac:dyDescent="0.2">
      <c r="A148" s="28">
        <f ca="1">IFERROR(__xludf.DUMMYFUNCTION("""COMPUTED_VALUE"""),80)</f>
        <v>80</v>
      </c>
      <c r="B148" s="29" t="str">
        <f ca="1">IFERROR(__xludf.DUMMYFUNCTION("""COMPUTED_VALUE"""),"MN Hải Đăng")</f>
        <v>MN Hải Đăng</v>
      </c>
      <c r="C148" s="33" t="str">
        <f ca="1">IFERROR(__xludf.DUMMYFUNCTION("""COMPUTED_VALUE"""),"MN")</f>
        <v>MN</v>
      </c>
      <c r="D148" s="30" t="str">
        <f ca="1">IFERROR(__xludf.DUMMYFUNCTION("""COMPUTED_VALUE"""),"Tp. Thủ Đức")</f>
        <v>Tp. Thủ Đức</v>
      </c>
      <c r="E148" s="31">
        <f ca="1">IFERROR(__xludf.DUMMYFUNCTION("""COMPUTED_VALUE"""),45)</f>
        <v>45</v>
      </c>
      <c r="F148" s="32">
        <f ca="1">IFERROR(__xludf.DUMMYFUNCTION("""COMPUTED_VALUE"""),45)</f>
        <v>45</v>
      </c>
      <c r="G148" s="32"/>
      <c r="H148" s="32">
        <f ca="1">IFERROR(__xludf.DUMMYFUNCTION("""COMPUTED_VALUE"""),45)</f>
        <v>45</v>
      </c>
      <c r="I148" s="32"/>
      <c r="J148" s="32">
        <f ca="1">IFERROR(__xludf.DUMMYFUNCTION("""COMPUTED_VALUE"""),41)</f>
        <v>41</v>
      </c>
      <c r="K148" s="32"/>
      <c r="L148" s="32">
        <f ca="1">IFERROR(__xludf.DUMMYFUNCTION("""COMPUTED_VALUE"""),3)</f>
        <v>3</v>
      </c>
      <c r="M148" s="32"/>
      <c r="N148" s="31">
        <f ca="1">IFERROR(__xludf.DUMMYFUNCTION("""COMPUTED_VALUE"""),0)</f>
        <v>0</v>
      </c>
      <c r="O148" s="32">
        <f ca="1">IFERROR(__xludf.DUMMYFUNCTION("""COMPUTED_VALUE"""),0)</f>
        <v>0</v>
      </c>
      <c r="P148" s="32"/>
      <c r="Q148" s="32">
        <f ca="1">IFERROR(__xludf.DUMMYFUNCTION("""COMPUTED_VALUE"""),0)</f>
        <v>0</v>
      </c>
      <c r="R148" s="32"/>
      <c r="S148" s="31">
        <f ca="1">IFERROR(__xludf.DUMMYFUNCTION("""COMPUTED_VALUE"""),0)</f>
        <v>0</v>
      </c>
      <c r="T148" s="32">
        <f ca="1">IFERROR(__xludf.DUMMYFUNCTION("""COMPUTED_VALUE"""),0)</f>
        <v>0</v>
      </c>
      <c r="U148" s="32"/>
      <c r="V148" s="32">
        <f ca="1">IFERROR(__xludf.DUMMYFUNCTION("""COMPUTED_VALUE"""),0)</f>
        <v>0</v>
      </c>
      <c r="W148" s="32"/>
      <c r="X148" s="32">
        <f ca="1">IFERROR(__xludf.DUMMYFUNCTION("""COMPUTED_VALUE"""),0)</f>
        <v>0</v>
      </c>
      <c r="Y148" s="32"/>
      <c r="Z148" s="2"/>
      <c r="AA148" s="2"/>
      <c r="AB148" s="2"/>
      <c r="AC148" s="2"/>
      <c r="AD148" s="2"/>
      <c r="AE148" s="2"/>
    </row>
    <row r="149" spans="1:31" ht="12.75" x14ac:dyDescent="0.2">
      <c r="A149" s="28">
        <f ca="1">IFERROR(__xludf.DUMMYFUNCTION("""COMPUTED_VALUE"""),81)</f>
        <v>81</v>
      </c>
      <c r="B149" s="35" t="str">
        <f ca="1">IFERROR(__xludf.DUMMYFUNCTION("""COMPUTED_VALUE"""),"MN Vương Quốc Tí Hon KV 1")</f>
        <v>MN Vương Quốc Tí Hon KV 1</v>
      </c>
      <c r="C149" s="33" t="str">
        <f ca="1">IFERROR(__xludf.DUMMYFUNCTION("""COMPUTED_VALUE"""),"MN")</f>
        <v>MN</v>
      </c>
      <c r="D149" s="30" t="str">
        <f ca="1">IFERROR(__xludf.DUMMYFUNCTION("""COMPUTED_VALUE"""),"Tp. Thủ Đức")</f>
        <v>Tp. Thủ Đức</v>
      </c>
      <c r="E149" s="39"/>
      <c r="F149" s="40"/>
      <c r="G149" s="40"/>
      <c r="H149" s="40"/>
      <c r="I149" s="40"/>
      <c r="J149" s="40"/>
      <c r="K149" s="40"/>
      <c r="L149" s="40"/>
      <c r="M149" s="40"/>
      <c r="N149" s="31">
        <f ca="1">IFERROR(__xludf.DUMMYFUNCTION("""COMPUTED_VALUE"""),0)</f>
        <v>0</v>
      </c>
      <c r="O149" s="32">
        <f ca="1">IFERROR(__xludf.DUMMYFUNCTION("""COMPUTED_VALUE"""),0)</f>
        <v>0</v>
      </c>
      <c r="P149" s="32"/>
      <c r="Q149" s="32">
        <f ca="1">IFERROR(__xludf.DUMMYFUNCTION("""COMPUTED_VALUE"""),0)</f>
        <v>0</v>
      </c>
      <c r="R149" s="32"/>
      <c r="S149" s="31">
        <f ca="1">IFERROR(__xludf.DUMMYFUNCTION("""COMPUTED_VALUE"""),0)</f>
        <v>0</v>
      </c>
      <c r="T149" s="32">
        <f ca="1">IFERROR(__xludf.DUMMYFUNCTION("""COMPUTED_VALUE"""),0)</f>
        <v>0</v>
      </c>
      <c r="U149" s="32"/>
      <c r="V149" s="32">
        <f ca="1">IFERROR(__xludf.DUMMYFUNCTION("""COMPUTED_VALUE"""),0)</f>
        <v>0</v>
      </c>
      <c r="W149" s="32"/>
      <c r="X149" s="32">
        <f ca="1">IFERROR(__xludf.DUMMYFUNCTION("""COMPUTED_VALUE"""),0)</f>
        <v>0</v>
      </c>
      <c r="Y149" s="32"/>
      <c r="Z149" s="2"/>
      <c r="AA149" s="2"/>
      <c r="AB149" s="2"/>
      <c r="AC149" s="2"/>
      <c r="AD149" s="2"/>
      <c r="AE149" s="2"/>
    </row>
    <row r="150" spans="1:31" ht="12.75" x14ac:dyDescent="0.2">
      <c r="A150" s="34">
        <f ca="1">IFERROR(__xludf.DUMMYFUNCTION("""COMPUTED_VALUE"""),82)</f>
        <v>82</v>
      </c>
      <c r="B150" s="35" t="str">
        <f ca="1">IFERROR(__xludf.DUMMYFUNCTION("""COMPUTED_VALUE"""),"MN Ngôi Sao Sài Gòn")</f>
        <v>MN Ngôi Sao Sài Gòn</v>
      </c>
      <c r="C150" s="41" t="str">
        <f ca="1">IFERROR(__xludf.DUMMYFUNCTION("""COMPUTED_VALUE"""),"MN")</f>
        <v>MN</v>
      </c>
      <c r="D150" s="30" t="str">
        <f ca="1">IFERROR(__xludf.DUMMYFUNCTION("""COMPUTED_VALUE"""),"Tp. Thủ Đức")</f>
        <v>Tp. Thủ Đức</v>
      </c>
      <c r="E150" s="42">
        <f ca="1">IFERROR(__xludf.DUMMYFUNCTION("""COMPUTED_VALUE"""),28)</f>
        <v>28</v>
      </c>
      <c r="F150" s="43">
        <f ca="1">IFERROR(__xludf.DUMMYFUNCTION("""COMPUTED_VALUE"""),28)</f>
        <v>28</v>
      </c>
      <c r="G150" s="43"/>
      <c r="H150" s="43">
        <f ca="1">IFERROR(__xludf.DUMMYFUNCTION("""COMPUTED_VALUE"""),28)</f>
        <v>28</v>
      </c>
      <c r="I150" s="43"/>
      <c r="J150" s="43">
        <f ca="1">IFERROR(__xludf.DUMMYFUNCTION("""COMPUTED_VALUE"""),21)</f>
        <v>21</v>
      </c>
      <c r="K150" s="43"/>
      <c r="L150" s="43">
        <f ca="1">IFERROR(__xludf.DUMMYFUNCTION("""COMPUTED_VALUE"""),0)</f>
        <v>0</v>
      </c>
      <c r="M150" s="43"/>
      <c r="N150" s="42">
        <f ca="1">IFERROR(__xludf.DUMMYFUNCTION("""COMPUTED_VALUE"""),0)</f>
        <v>0</v>
      </c>
      <c r="O150" s="43">
        <f ca="1">IFERROR(__xludf.DUMMYFUNCTION("""COMPUTED_VALUE"""),0)</f>
        <v>0</v>
      </c>
      <c r="P150" s="43"/>
      <c r="Q150" s="43">
        <f ca="1">IFERROR(__xludf.DUMMYFUNCTION("""COMPUTED_VALUE"""),0)</f>
        <v>0</v>
      </c>
      <c r="R150" s="43"/>
      <c r="S150" s="42">
        <f ca="1">IFERROR(__xludf.DUMMYFUNCTION("""COMPUTED_VALUE"""),0)</f>
        <v>0</v>
      </c>
      <c r="T150" s="43">
        <f ca="1">IFERROR(__xludf.DUMMYFUNCTION("""COMPUTED_VALUE"""),0)</f>
        <v>0</v>
      </c>
      <c r="U150" s="43"/>
      <c r="V150" s="43">
        <f ca="1">IFERROR(__xludf.DUMMYFUNCTION("""COMPUTED_VALUE"""),0)</f>
        <v>0</v>
      </c>
      <c r="W150" s="43"/>
      <c r="X150" s="43">
        <f ca="1">IFERROR(__xludf.DUMMYFUNCTION("""COMPUTED_VALUE"""),0)</f>
        <v>0</v>
      </c>
      <c r="Y150" s="43"/>
      <c r="Z150" s="2"/>
      <c r="AA150" s="2"/>
      <c r="AB150" s="2"/>
      <c r="AC150" s="2"/>
      <c r="AD150" s="2"/>
      <c r="AE150" s="2"/>
    </row>
    <row r="151" spans="1:31" ht="12.75" x14ac:dyDescent="0.2">
      <c r="A151" s="28"/>
      <c r="B151" s="29" t="str">
        <f ca="1">IFERROR(__xludf.DUMMYFUNCTION("""COMPUTED_VALUE"""),"NHÓM LỚP NHÀ TRẺ - KHU VỰC 1")</f>
        <v>NHÓM LỚP NHÀ TRẺ - KHU VỰC 1</v>
      </c>
      <c r="C151" s="29"/>
      <c r="D151" s="36"/>
      <c r="E151" s="39"/>
      <c r="F151" s="40"/>
      <c r="G151" s="40"/>
      <c r="H151" s="40"/>
      <c r="I151" s="40"/>
      <c r="J151" s="40"/>
      <c r="K151" s="40"/>
      <c r="L151" s="40"/>
      <c r="M151" s="40"/>
      <c r="N151" s="31">
        <f ca="1">IFERROR(__xludf.DUMMYFUNCTION("""COMPUTED_VALUE"""),0)</f>
        <v>0</v>
      </c>
      <c r="O151" s="32">
        <f ca="1">IFERROR(__xludf.DUMMYFUNCTION("""COMPUTED_VALUE"""),0)</f>
        <v>0</v>
      </c>
      <c r="P151" s="32"/>
      <c r="Q151" s="32">
        <f ca="1">IFERROR(__xludf.DUMMYFUNCTION("""COMPUTED_VALUE"""),0)</f>
        <v>0</v>
      </c>
      <c r="R151" s="32"/>
      <c r="S151" s="31">
        <f ca="1">IFERROR(__xludf.DUMMYFUNCTION("""COMPUTED_VALUE"""),0)</f>
        <v>0</v>
      </c>
      <c r="T151" s="32">
        <f ca="1">IFERROR(__xludf.DUMMYFUNCTION("""COMPUTED_VALUE"""),0)</f>
        <v>0</v>
      </c>
      <c r="U151" s="32"/>
      <c r="V151" s="32">
        <f ca="1">IFERROR(__xludf.DUMMYFUNCTION("""COMPUTED_VALUE"""),0)</f>
        <v>0</v>
      </c>
      <c r="W151" s="32"/>
      <c r="X151" s="32">
        <f ca="1">IFERROR(__xludf.DUMMYFUNCTION("""COMPUTED_VALUE"""),0)</f>
        <v>0</v>
      </c>
      <c r="Y151" s="32"/>
      <c r="Z151" s="2"/>
      <c r="AA151" s="2"/>
      <c r="AB151" s="2"/>
      <c r="AC151" s="2"/>
      <c r="AD151" s="2"/>
      <c r="AE151" s="2"/>
    </row>
    <row r="152" spans="1:31" ht="12.75" x14ac:dyDescent="0.2">
      <c r="A152" s="28">
        <f ca="1">IFERROR(__xludf.DUMMYFUNCTION("""COMPUTED_VALUE"""),2)</f>
        <v>2</v>
      </c>
      <c r="B152" s="29" t="str">
        <f ca="1">IFERROR(__xludf.DUMMYFUNCTION("""COMPUTED_VALUE"""),"LMG Hạnh Phúc")</f>
        <v>LMG Hạnh Phúc</v>
      </c>
      <c r="C152" s="33" t="str">
        <f ca="1">IFERROR(__xludf.DUMMYFUNCTION("""COMPUTED_VALUE"""),"MN")</f>
        <v>MN</v>
      </c>
      <c r="D152" s="30" t="str">
        <f ca="1">IFERROR(__xludf.DUMMYFUNCTION("""COMPUTED_VALUE"""),"Tp. Thủ Đức")</f>
        <v>Tp. Thủ Đức</v>
      </c>
      <c r="E152" s="31">
        <f ca="1">IFERROR(__xludf.DUMMYFUNCTION("""COMPUTED_VALUE"""),9)</f>
        <v>9</v>
      </c>
      <c r="F152" s="32">
        <f ca="1">IFERROR(__xludf.DUMMYFUNCTION("""COMPUTED_VALUE"""),9)</f>
        <v>9</v>
      </c>
      <c r="G152" s="32"/>
      <c r="H152" s="32">
        <f ca="1">IFERROR(__xludf.DUMMYFUNCTION("""COMPUTED_VALUE"""),9)</f>
        <v>9</v>
      </c>
      <c r="I152" s="32"/>
      <c r="J152" s="32">
        <f ca="1">IFERROR(__xludf.DUMMYFUNCTION("""COMPUTED_VALUE"""),8)</f>
        <v>8</v>
      </c>
      <c r="K152" s="32"/>
      <c r="L152" s="32">
        <f ca="1">IFERROR(__xludf.DUMMYFUNCTION("""COMPUTED_VALUE"""),7)</f>
        <v>7</v>
      </c>
      <c r="M152" s="32"/>
      <c r="N152" s="31">
        <f ca="1">IFERROR(__xludf.DUMMYFUNCTION("""COMPUTED_VALUE"""),0)</f>
        <v>0</v>
      </c>
      <c r="O152" s="32">
        <f ca="1">IFERROR(__xludf.DUMMYFUNCTION("""COMPUTED_VALUE"""),0)</f>
        <v>0</v>
      </c>
      <c r="P152" s="32"/>
      <c r="Q152" s="32">
        <f ca="1">IFERROR(__xludf.DUMMYFUNCTION("""COMPUTED_VALUE"""),0)</f>
        <v>0</v>
      </c>
      <c r="R152" s="32"/>
      <c r="S152" s="31">
        <f ca="1">IFERROR(__xludf.DUMMYFUNCTION("""COMPUTED_VALUE"""),0)</f>
        <v>0</v>
      </c>
      <c r="T152" s="32">
        <f ca="1">IFERROR(__xludf.DUMMYFUNCTION("""COMPUTED_VALUE"""),0)</f>
        <v>0</v>
      </c>
      <c r="U152" s="32"/>
      <c r="V152" s="32">
        <f ca="1">IFERROR(__xludf.DUMMYFUNCTION("""COMPUTED_VALUE"""),0)</f>
        <v>0</v>
      </c>
      <c r="W152" s="32"/>
      <c r="X152" s="32">
        <f ca="1">IFERROR(__xludf.DUMMYFUNCTION("""COMPUTED_VALUE"""),0)</f>
        <v>0</v>
      </c>
      <c r="Y152" s="32"/>
      <c r="Z152" s="2"/>
      <c r="AA152" s="2"/>
      <c r="AB152" s="2"/>
      <c r="AC152" s="2"/>
      <c r="AD152" s="2"/>
      <c r="AE152" s="2"/>
    </row>
    <row r="153" spans="1:31" ht="12.75" x14ac:dyDescent="0.2">
      <c r="A153" s="28">
        <f ca="1">IFERROR(__xludf.DUMMYFUNCTION("""COMPUTED_VALUE"""),3)</f>
        <v>3</v>
      </c>
      <c r="B153" s="29" t="str">
        <f ca="1">IFERROR(__xludf.DUMMYFUNCTION("""COMPUTED_VALUE"""),"LMG Thuận Thảo")</f>
        <v>LMG Thuận Thảo</v>
      </c>
      <c r="C153" s="33" t="str">
        <f ca="1">IFERROR(__xludf.DUMMYFUNCTION("""COMPUTED_VALUE"""),"MN")</f>
        <v>MN</v>
      </c>
      <c r="D153" s="30" t="str">
        <f ca="1">IFERROR(__xludf.DUMMYFUNCTION("""COMPUTED_VALUE"""),"Tp. Thủ Đức")</f>
        <v>Tp. Thủ Đức</v>
      </c>
      <c r="E153" s="31">
        <f ca="1">IFERROR(__xludf.DUMMYFUNCTION("""COMPUTED_VALUE"""),6)</f>
        <v>6</v>
      </c>
      <c r="F153" s="32">
        <f ca="1">IFERROR(__xludf.DUMMYFUNCTION("""COMPUTED_VALUE"""),6)</f>
        <v>6</v>
      </c>
      <c r="G153" s="32"/>
      <c r="H153" s="32">
        <f ca="1">IFERROR(__xludf.DUMMYFUNCTION("""COMPUTED_VALUE"""),6)</f>
        <v>6</v>
      </c>
      <c r="I153" s="32"/>
      <c r="J153" s="32">
        <f ca="1">IFERROR(__xludf.DUMMYFUNCTION("""COMPUTED_VALUE"""),6)</f>
        <v>6</v>
      </c>
      <c r="K153" s="32"/>
      <c r="L153" s="32">
        <f ca="1">IFERROR(__xludf.DUMMYFUNCTION("""COMPUTED_VALUE"""),0)</f>
        <v>0</v>
      </c>
      <c r="M153" s="32"/>
      <c r="N153" s="31">
        <f ca="1">IFERROR(__xludf.DUMMYFUNCTION("""COMPUTED_VALUE"""),0)</f>
        <v>0</v>
      </c>
      <c r="O153" s="32">
        <f ca="1">IFERROR(__xludf.DUMMYFUNCTION("""COMPUTED_VALUE"""),0)</f>
        <v>0</v>
      </c>
      <c r="P153" s="32"/>
      <c r="Q153" s="32">
        <f ca="1">IFERROR(__xludf.DUMMYFUNCTION("""COMPUTED_VALUE"""),0)</f>
        <v>0</v>
      </c>
      <c r="R153" s="32"/>
      <c r="S153" s="31">
        <f ca="1">IFERROR(__xludf.DUMMYFUNCTION("""COMPUTED_VALUE"""),0)</f>
        <v>0</v>
      </c>
      <c r="T153" s="32">
        <f ca="1">IFERROR(__xludf.DUMMYFUNCTION("""COMPUTED_VALUE"""),0)</f>
        <v>0</v>
      </c>
      <c r="U153" s="32"/>
      <c r="V153" s="32">
        <f ca="1">IFERROR(__xludf.DUMMYFUNCTION("""COMPUTED_VALUE"""),0)</f>
        <v>0</v>
      </c>
      <c r="W153" s="32"/>
      <c r="X153" s="32">
        <f ca="1">IFERROR(__xludf.DUMMYFUNCTION("""COMPUTED_VALUE"""),0)</f>
        <v>0</v>
      </c>
      <c r="Y153" s="32"/>
      <c r="Z153" s="2"/>
      <c r="AA153" s="2"/>
      <c r="AB153" s="2"/>
      <c r="AC153" s="2"/>
      <c r="AD153" s="2"/>
      <c r="AE153" s="2"/>
    </row>
    <row r="154" spans="1:31" ht="12.75" x14ac:dyDescent="0.2">
      <c r="A154" s="28">
        <f ca="1">IFERROR(__xludf.DUMMYFUNCTION("""COMPUTED_VALUE"""),4)</f>
        <v>4</v>
      </c>
      <c r="B154" s="29" t="str">
        <f ca="1">IFERROR(__xludf.DUMMYFUNCTION("""COMPUTED_VALUE"""),"LMG Ngọc Diệp")</f>
        <v>LMG Ngọc Diệp</v>
      </c>
      <c r="C154" s="33" t="str">
        <f ca="1">IFERROR(__xludf.DUMMYFUNCTION("""COMPUTED_VALUE"""),"MN")</f>
        <v>MN</v>
      </c>
      <c r="D154" s="30" t="str">
        <f ca="1">IFERROR(__xludf.DUMMYFUNCTION("""COMPUTED_VALUE"""),"Tp. Thủ Đức")</f>
        <v>Tp. Thủ Đức</v>
      </c>
      <c r="E154" s="31">
        <f ca="1">IFERROR(__xludf.DUMMYFUNCTION("""COMPUTED_VALUE"""),10)</f>
        <v>10</v>
      </c>
      <c r="F154" s="32">
        <f ca="1">IFERROR(__xludf.DUMMYFUNCTION("""COMPUTED_VALUE"""),10)</f>
        <v>10</v>
      </c>
      <c r="G154" s="32"/>
      <c r="H154" s="32">
        <f ca="1">IFERROR(__xludf.DUMMYFUNCTION("""COMPUTED_VALUE"""),10)</f>
        <v>10</v>
      </c>
      <c r="I154" s="32"/>
      <c r="J154" s="32">
        <f ca="1">IFERROR(__xludf.DUMMYFUNCTION("""COMPUTED_VALUE"""),10)</f>
        <v>10</v>
      </c>
      <c r="K154" s="32"/>
      <c r="L154" s="32">
        <f ca="1">IFERROR(__xludf.DUMMYFUNCTION("""COMPUTED_VALUE"""),10)</f>
        <v>10</v>
      </c>
      <c r="M154" s="32"/>
      <c r="N154" s="31">
        <f ca="1">IFERROR(__xludf.DUMMYFUNCTION("""COMPUTED_VALUE"""),0)</f>
        <v>0</v>
      </c>
      <c r="O154" s="32">
        <f ca="1">IFERROR(__xludf.DUMMYFUNCTION("""COMPUTED_VALUE"""),0)</f>
        <v>0</v>
      </c>
      <c r="P154" s="32"/>
      <c r="Q154" s="32">
        <f ca="1">IFERROR(__xludf.DUMMYFUNCTION("""COMPUTED_VALUE"""),0)</f>
        <v>0</v>
      </c>
      <c r="R154" s="32"/>
      <c r="S154" s="31">
        <f ca="1">IFERROR(__xludf.DUMMYFUNCTION("""COMPUTED_VALUE"""),0)</f>
        <v>0</v>
      </c>
      <c r="T154" s="32">
        <f ca="1">IFERROR(__xludf.DUMMYFUNCTION("""COMPUTED_VALUE"""),0)</f>
        <v>0</v>
      </c>
      <c r="U154" s="32"/>
      <c r="V154" s="32">
        <f ca="1">IFERROR(__xludf.DUMMYFUNCTION("""COMPUTED_VALUE"""),0)</f>
        <v>0</v>
      </c>
      <c r="W154" s="32"/>
      <c r="X154" s="32">
        <f ca="1">IFERROR(__xludf.DUMMYFUNCTION("""COMPUTED_VALUE"""),0)</f>
        <v>0</v>
      </c>
      <c r="Y154" s="32"/>
      <c r="Z154" s="2"/>
      <c r="AA154" s="2"/>
      <c r="AB154" s="2"/>
      <c r="AC154" s="2"/>
      <c r="AD154" s="2"/>
      <c r="AE154" s="2"/>
    </row>
    <row r="155" spans="1:31" ht="12.75" x14ac:dyDescent="0.2">
      <c r="A155" s="28">
        <f ca="1">IFERROR(__xludf.DUMMYFUNCTION("""COMPUTED_VALUE"""),5)</f>
        <v>5</v>
      </c>
      <c r="B155" s="29" t="str">
        <f ca="1">IFERROR(__xludf.DUMMYFUNCTION("""COMPUTED_VALUE"""),"LMG Phượng Hồng")</f>
        <v>LMG Phượng Hồng</v>
      </c>
      <c r="C155" s="33" t="str">
        <f ca="1">IFERROR(__xludf.DUMMYFUNCTION("""COMPUTED_VALUE"""),"MN")</f>
        <v>MN</v>
      </c>
      <c r="D155" s="30" t="str">
        <f ca="1">IFERROR(__xludf.DUMMYFUNCTION("""COMPUTED_VALUE"""),"Tp. Thủ Đức")</f>
        <v>Tp. Thủ Đức</v>
      </c>
      <c r="E155" s="31">
        <f ca="1">IFERROR(__xludf.DUMMYFUNCTION("""COMPUTED_VALUE"""),5)</f>
        <v>5</v>
      </c>
      <c r="F155" s="32">
        <f ca="1">IFERROR(__xludf.DUMMYFUNCTION("""COMPUTED_VALUE"""),5)</f>
        <v>5</v>
      </c>
      <c r="G155" s="32"/>
      <c r="H155" s="32">
        <f ca="1">IFERROR(__xludf.DUMMYFUNCTION("""COMPUTED_VALUE"""),5)</f>
        <v>5</v>
      </c>
      <c r="I155" s="32"/>
      <c r="J155" s="32">
        <f ca="1">IFERROR(__xludf.DUMMYFUNCTION("""COMPUTED_VALUE"""),5)</f>
        <v>5</v>
      </c>
      <c r="K155" s="32"/>
      <c r="L155" s="32">
        <f ca="1">IFERROR(__xludf.DUMMYFUNCTION("""COMPUTED_VALUE"""),4)</f>
        <v>4</v>
      </c>
      <c r="M155" s="32"/>
      <c r="N155" s="31">
        <f ca="1">IFERROR(__xludf.DUMMYFUNCTION("""COMPUTED_VALUE"""),0)</f>
        <v>0</v>
      </c>
      <c r="O155" s="32">
        <f ca="1">IFERROR(__xludf.DUMMYFUNCTION("""COMPUTED_VALUE"""),0)</f>
        <v>0</v>
      </c>
      <c r="P155" s="32"/>
      <c r="Q155" s="32">
        <f ca="1">IFERROR(__xludf.DUMMYFUNCTION("""COMPUTED_VALUE"""),0)</f>
        <v>0</v>
      </c>
      <c r="R155" s="32"/>
      <c r="S155" s="31">
        <f ca="1">IFERROR(__xludf.DUMMYFUNCTION("""COMPUTED_VALUE"""),0)</f>
        <v>0</v>
      </c>
      <c r="T155" s="32">
        <f ca="1">IFERROR(__xludf.DUMMYFUNCTION("""COMPUTED_VALUE"""),0)</f>
        <v>0</v>
      </c>
      <c r="U155" s="32"/>
      <c r="V155" s="32">
        <f ca="1">IFERROR(__xludf.DUMMYFUNCTION("""COMPUTED_VALUE"""),0)</f>
        <v>0</v>
      </c>
      <c r="W155" s="32"/>
      <c r="X155" s="32">
        <f ca="1">IFERROR(__xludf.DUMMYFUNCTION("""COMPUTED_VALUE"""),0)</f>
        <v>0</v>
      </c>
      <c r="Y155" s="32"/>
      <c r="Z155" s="2"/>
      <c r="AA155" s="2"/>
      <c r="AB155" s="2"/>
      <c r="AC155" s="2"/>
      <c r="AD155" s="2"/>
      <c r="AE155" s="2"/>
    </row>
    <row r="156" spans="1:31" ht="12.75" x14ac:dyDescent="0.2">
      <c r="A156" s="28">
        <f ca="1">IFERROR(__xludf.DUMMYFUNCTION("""COMPUTED_VALUE"""),6)</f>
        <v>6</v>
      </c>
      <c r="B156" s="29" t="str">
        <f ca="1">IFERROR(__xludf.DUMMYFUNCTION("""COMPUTED_VALUE"""),"LMG Thanh Bình")</f>
        <v>LMG Thanh Bình</v>
      </c>
      <c r="C156" s="33" t="str">
        <f ca="1">IFERROR(__xludf.DUMMYFUNCTION("""COMPUTED_VALUE"""),"MN")</f>
        <v>MN</v>
      </c>
      <c r="D156" s="30" t="str">
        <f ca="1">IFERROR(__xludf.DUMMYFUNCTION("""COMPUTED_VALUE"""),"Tp. Thủ Đức")</f>
        <v>Tp. Thủ Đức</v>
      </c>
      <c r="E156" s="31">
        <f ca="1">IFERROR(__xludf.DUMMYFUNCTION("""COMPUTED_VALUE"""),7)</f>
        <v>7</v>
      </c>
      <c r="F156" s="32">
        <f ca="1">IFERROR(__xludf.DUMMYFUNCTION("""COMPUTED_VALUE"""),7)</f>
        <v>7</v>
      </c>
      <c r="G156" s="32"/>
      <c r="H156" s="32">
        <f ca="1">IFERROR(__xludf.DUMMYFUNCTION("""COMPUTED_VALUE"""),7)</f>
        <v>7</v>
      </c>
      <c r="I156" s="32"/>
      <c r="J156" s="32">
        <f ca="1">IFERROR(__xludf.DUMMYFUNCTION("""COMPUTED_VALUE"""),7)</f>
        <v>7</v>
      </c>
      <c r="K156" s="32"/>
      <c r="L156" s="32">
        <f ca="1">IFERROR(__xludf.DUMMYFUNCTION("""COMPUTED_VALUE"""),1)</f>
        <v>1</v>
      </c>
      <c r="M156" s="32"/>
      <c r="N156" s="31">
        <f ca="1">IFERROR(__xludf.DUMMYFUNCTION("""COMPUTED_VALUE"""),0)</f>
        <v>0</v>
      </c>
      <c r="O156" s="32">
        <f ca="1">IFERROR(__xludf.DUMMYFUNCTION("""COMPUTED_VALUE"""),0)</f>
        <v>0</v>
      </c>
      <c r="P156" s="32"/>
      <c r="Q156" s="32">
        <f ca="1">IFERROR(__xludf.DUMMYFUNCTION("""COMPUTED_VALUE"""),0)</f>
        <v>0</v>
      </c>
      <c r="R156" s="32"/>
      <c r="S156" s="31">
        <f ca="1">IFERROR(__xludf.DUMMYFUNCTION("""COMPUTED_VALUE"""),0)</f>
        <v>0</v>
      </c>
      <c r="T156" s="32">
        <f ca="1">IFERROR(__xludf.DUMMYFUNCTION("""COMPUTED_VALUE"""),0)</f>
        <v>0</v>
      </c>
      <c r="U156" s="32"/>
      <c r="V156" s="32">
        <f ca="1">IFERROR(__xludf.DUMMYFUNCTION("""COMPUTED_VALUE"""),0)</f>
        <v>0</v>
      </c>
      <c r="W156" s="32"/>
      <c r="X156" s="32">
        <f ca="1">IFERROR(__xludf.DUMMYFUNCTION("""COMPUTED_VALUE"""),0)</f>
        <v>0</v>
      </c>
      <c r="Y156" s="32"/>
      <c r="Z156" s="2"/>
      <c r="AA156" s="2"/>
      <c r="AB156" s="2"/>
      <c r="AC156" s="2"/>
      <c r="AD156" s="2"/>
      <c r="AE156" s="2"/>
    </row>
    <row r="157" spans="1:31" ht="12.75" x14ac:dyDescent="0.2">
      <c r="A157" s="28">
        <f ca="1">IFERROR(__xludf.DUMMYFUNCTION("""COMPUTED_VALUE"""),7)</f>
        <v>7</v>
      </c>
      <c r="B157" s="29" t="str">
        <f ca="1">IFERROR(__xludf.DUMMYFUNCTION("""COMPUTED_VALUE"""),"LMG Hoa Mai")</f>
        <v>LMG Hoa Mai</v>
      </c>
      <c r="C157" s="33" t="str">
        <f ca="1">IFERROR(__xludf.DUMMYFUNCTION("""COMPUTED_VALUE"""),"MN")</f>
        <v>MN</v>
      </c>
      <c r="D157" s="30" t="str">
        <f ca="1">IFERROR(__xludf.DUMMYFUNCTION("""COMPUTED_VALUE"""),"Tp. Thủ Đức")</f>
        <v>Tp. Thủ Đức</v>
      </c>
      <c r="E157" s="31">
        <f ca="1">IFERROR(__xludf.DUMMYFUNCTION("""COMPUTED_VALUE"""),8)</f>
        <v>8</v>
      </c>
      <c r="F157" s="32">
        <f ca="1">IFERROR(__xludf.DUMMYFUNCTION("""COMPUTED_VALUE"""),8)</f>
        <v>8</v>
      </c>
      <c r="G157" s="32"/>
      <c r="H157" s="32">
        <f ca="1">IFERROR(__xludf.DUMMYFUNCTION("""COMPUTED_VALUE"""),8)</f>
        <v>8</v>
      </c>
      <c r="I157" s="32"/>
      <c r="J157" s="32">
        <f ca="1">IFERROR(__xludf.DUMMYFUNCTION("""COMPUTED_VALUE"""),6)</f>
        <v>6</v>
      </c>
      <c r="K157" s="32"/>
      <c r="L157" s="32">
        <f ca="1">IFERROR(__xludf.DUMMYFUNCTION("""COMPUTED_VALUE"""),2)</f>
        <v>2</v>
      </c>
      <c r="M157" s="32"/>
      <c r="N157" s="31">
        <f ca="1">IFERROR(__xludf.DUMMYFUNCTION("""COMPUTED_VALUE"""),0)</f>
        <v>0</v>
      </c>
      <c r="O157" s="32">
        <f ca="1">IFERROR(__xludf.DUMMYFUNCTION("""COMPUTED_VALUE"""),0)</f>
        <v>0</v>
      </c>
      <c r="P157" s="32"/>
      <c r="Q157" s="32">
        <f ca="1">IFERROR(__xludf.DUMMYFUNCTION("""COMPUTED_VALUE"""),0)</f>
        <v>0</v>
      </c>
      <c r="R157" s="32"/>
      <c r="S157" s="31">
        <f ca="1">IFERROR(__xludf.DUMMYFUNCTION("""COMPUTED_VALUE"""),0)</f>
        <v>0</v>
      </c>
      <c r="T157" s="32">
        <f ca="1">IFERROR(__xludf.DUMMYFUNCTION("""COMPUTED_VALUE"""),0)</f>
        <v>0</v>
      </c>
      <c r="U157" s="32"/>
      <c r="V157" s="32">
        <f ca="1">IFERROR(__xludf.DUMMYFUNCTION("""COMPUTED_VALUE"""),0)</f>
        <v>0</v>
      </c>
      <c r="W157" s="32"/>
      <c r="X157" s="32">
        <f ca="1">IFERROR(__xludf.DUMMYFUNCTION("""COMPUTED_VALUE"""),0)</f>
        <v>0</v>
      </c>
      <c r="Y157" s="32"/>
      <c r="Z157" s="2"/>
      <c r="AA157" s="2"/>
      <c r="AB157" s="2"/>
      <c r="AC157" s="2"/>
      <c r="AD157" s="2"/>
      <c r="AE157" s="2"/>
    </row>
    <row r="158" spans="1:31" ht="12.75" x14ac:dyDescent="0.2">
      <c r="A158" s="28">
        <f ca="1">IFERROR(__xludf.DUMMYFUNCTION("""COMPUTED_VALUE"""),8)</f>
        <v>8</v>
      </c>
      <c r="B158" s="29" t="str">
        <f ca="1">IFERROR(__xludf.DUMMYFUNCTION("""COMPUTED_VALUE"""),"LMG Gia An")</f>
        <v>LMG Gia An</v>
      </c>
      <c r="C158" s="33" t="str">
        <f ca="1">IFERROR(__xludf.DUMMYFUNCTION("""COMPUTED_VALUE"""),"MN")</f>
        <v>MN</v>
      </c>
      <c r="D158" s="30" t="str">
        <f ca="1">IFERROR(__xludf.DUMMYFUNCTION("""COMPUTED_VALUE"""),"Tp. Thủ Đức")</f>
        <v>Tp. Thủ Đức</v>
      </c>
      <c r="E158" s="31">
        <f ca="1">IFERROR(__xludf.DUMMYFUNCTION("""COMPUTED_VALUE"""),13)</f>
        <v>13</v>
      </c>
      <c r="F158" s="32">
        <f ca="1">IFERROR(__xludf.DUMMYFUNCTION("""COMPUTED_VALUE"""),13)</f>
        <v>13</v>
      </c>
      <c r="G158" s="32"/>
      <c r="H158" s="32">
        <f ca="1">IFERROR(__xludf.DUMMYFUNCTION("""COMPUTED_VALUE"""),13)</f>
        <v>13</v>
      </c>
      <c r="I158" s="32"/>
      <c r="J158" s="32">
        <f ca="1">IFERROR(__xludf.DUMMYFUNCTION("""COMPUTED_VALUE"""),10)</f>
        <v>10</v>
      </c>
      <c r="K158" s="32"/>
      <c r="L158" s="32">
        <f ca="1">IFERROR(__xludf.DUMMYFUNCTION("""COMPUTED_VALUE"""),0)</f>
        <v>0</v>
      </c>
      <c r="M158" s="32"/>
      <c r="N158" s="31">
        <f ca="1">IFERROR(__xludf.DUMMYFUNCTION("""COMPUTED_VALUE"""),0)</f>
        <v>0</v>
      </c>
      <c r="O158" s="32">
        <f ca="1">IFERROR(__xludf.DUMMYFUNCTION("""COMPUTED_VALUE"""),0)</f>
        <v>0</v>
      </c>
      <c r="P158" s="32"/>
      <c r="Q158" s="32">
        <f ca="1">IFERROR(__xludf.DUMMYFUNCTION("""COMPUTED_VALUE"""),0)</f>
        <v>0</v>
      </c>
      <c r="R158" s="32"/>
      <c r="S158" s="31">
        <f ca="1">IFERROR(__xludf.DUMMYFUNCTION("""COMPUTED_VALUE"""),0)</f>
        <v>0</v>
      </c>
      <c r="T158" s="32">
        <f ca="1">IFERROR(__xludf.DUMMYFUNCTION("""COMPUTED_VALUE"""),0)</f>
        <v>0</v>
      </c>
      <c r="U158" s="32"/>
      <c r="V158" s="32">
        <f ca="1">IFERROR(__xludf.DUMMYFUNCTION("""COMPUTED_VALUE"""),0)</f>
        <v>0</v>
      </c>
      <c r="W158" s="32"/>
      <c r="X158" s="32">
        <f ca="1">IFERROR(__xludf.DUMMYFUNCTION("""COMPUTED_VALUE"""),0)</f>
        <v>0</v>
      </c>
      <c r="Y158" s="32"/>
      <c r="Z158" s="2"/>
      <c r="AA158" s="2"/>
      <c r="AB158" s="2"/>
      <c r="AC158" s="2"/>
      <c r="AD158" s="2"/>
      <c r="AE158" s="2"/>
    </row>
    <row r="159" spans="1:31" ht="12.75" x14ac:dyDescent="0.2">
      <c r="A159" s="28">
        <f ca="1">IFERROR(__xludf.DUMMYFUNCTION("""COMPUTED_VALUE"""),9)</f>
        <v>9</v>
      </c>
      <c r="B159" s="29" t="str">
        <f ca="1">IFERROR(__xludf.DUMMYFUNCTION("""COMPUTED_VALUE"""),"LMG Ngôi Nhà Hạnh Phúc")</f>
        <v>LMG Ngôi Nhà Hạnh Phúc</v>
      </c>
      <c r="C159" s="33" t="str">
        <f ca="1">IFERROR(__xludf.DUMMYFUNCTION("""COMPUTED_VALUE"""),"MN")</f>
        <v>MN</v>
      </c>
      <c r="D159" s="30" t="str">
        <f ca="1">IFERROR(__xludf.DUMMYFUNCTION("""COMPUTED_VALUE"""),"Tp. Thủ Đức")</f>
        <v>Tp. Thủ Đức</v>
      </c>
      <c r="E159" s="31">
        <f ca="1">IFERROR(__xludf.DUMMYFUNCTION("""COMPUTED_VALUE"""),10)</f>
        <v>10</v>
      </c>
      <c r="F159" s="32">
        <f ca="1">IFERROR(__xludf.DUMMYFUNCTION("""COMPUTED_VALUE"""),10)</f>
        <v>10</v>
      </c>
      <c r="G159" s="32"/>
      <c r="H159" s="32">
        <f ca="1">IFERROR(__xludf.DUMMYFUNCTION("""COMPUTED_VALUE"""),10)</f>
        <v>10</v>
      </c>
      <c r="I159" s="32"/>
      <c r="J159" s="32">
        <f ca="1">IFERROR(__xludf.DUMMYFUNCTION("""COMPUTED_VALUE"""),10)</f>
        <v>10</v>
      </c>
      <c r="K159" s="32"/>
      <c r="L159" s="32">
        <f ca="1">IFERROR(__xludf.DUMMYFUNCTION("""COMPUTED_VALUE"""),10)</f>
        <v>10</v>
      </c>
      <c r="M159" s="32"/>
      <c r="N159" s="31">
        <f ca="1">IFERROR(__xludf.DUMMYFUNCTION("""COMPUTED_VALUE"""),0)</f>
        <v>0</v>
      </c>
      <c r="O159" s="32">
        <f ca="1">IFERROR(__xludf.DUMMYFUNCTION("""COMPUTED_VALUE"""),0)</f>
        <v>0</v>
      </c>
      <c r="P159" s="32"/>
      <c r="Q159" s="32">
        <f ca="1">IFERROR(__xludf.DUMMYFUNCTION("""COMPUTED_VALUE"""),0)</f>
        <v>0</v>
      </c>
      <c r="R159" s="32"/>
      <c r="S159" s="31">
        <f ca="1">IFERROR(__xludf.DUMMYFUNCTION("""COMPUTED_VALUE"""),0)</f>
        <v>0</v>
      </c>
      <c r="T159" s="32">
        <f ca="1">IFERROR(__xludf.DUMMYFUNCTION("""COMPUTED_VALUE"""),0)</f>
        <v>0</v>
      </c>
      <c r="U159" s="32"/>
      <c r="V159" s="32">
        <f ca="1">IFERROR(__xludf.DUMMYFUNCTION("""COMPUTED_VALUE"""),0)</f>
        <v>0</v>
      </c>
      <c r="W159" s="32"/>
      <c r="X159" s="32">
        <f ca="1">IFERROR(__xludf.DUMMYFUNCTION("""COMPUTED_VALUE"""),0)</f>
        <v>0</v>
      </c>
      <c r="Y159" s="32"/>
      <c r="Z159" s="2"/>
      <c r="AA159" s="2"/>
      <c r="AB159" s="2"/>
      <c r="AC159" s="2"/>
      <c r="AD159" s="2"/>
      <c r="AE159" s="2"/>
    </row>
    <row r="160" spans="1:31" ht="12.75" x14ac:dyDescent="0.2">
      <c r="A160" s="28">
        <f ca="1">IFERROR(__xludf.DUMMYFUNCTION("""COMPUTED_VALUE"""),10)</f>
        <v>10</v>
      </c>
      <c r="B160" s="29" t="str">
        <f ca="1">IFERROR(__xludf.DUMMYFUNCTION("""COMPUTED_VALUE"""),"LMG Sao Mai")</f>
        <v>LMG Sao Mai</v>
      </c>
      <c r="C160" s="33" t="str">
        <f ca="1">IFERROR(__xludf.DUMMYFUNCTION("""COMPUTED_VALUE"""),"MN")</f>
        <v>MN</v>
      </c>
      <c r="D160" s="30" t="str">
        <f ca="1">IFERROR(__xludf.DUMMYFUNCTION("""COMPUTED_VALUE"""),"Tp. Thủ Đức")</f>
        <v>Tp. Thủ Đức</v>
      </c>
      <c r="E160" s="31">
        <f ca="1">IFERROR(__xludf.DUMMYFUNCTION("""COMPUTED_VALUE"""),6)</f>
        <v>6</v>
      </c>
      <c r="F160" s="32">
        <f ca="1">IFERROR(__xludf.DUMMYFUNCTION("""COMPUTED_VALUE"""),6)</f>
        <v>6</v>
      </c>
      <c r="G160" s="32"/>
      <c r="H160" s="32">
        <f ca="1">IFERROR(__xludf.DUMMYFUNCTION("""COMPUTED_VALUE"""),6)</f>
        <v>6</v>
      </c>
      <c r="I160" s="32"/>
      <c r="J160" s="32">
        <f ca="1">IFERROR(__xludf.DUMMYFUNCTION("""COMPUTED_VALUE"""),6)</f>
        <v>6</v>
      </c>
      <c r="K160" s="32"/>
      <c r="L160" s="32">
        <f ca="1">IFERROR(__xludf.DUMMYFUNCTION("""COMPUTED_VALUE"""),2)</f>
        <v>2</v>
      </c>
      <c r="M160" s="32"/>
      <c r="N160" s="31">
        <f ca="1">IFERROR(__xludf.DUMMYFUNCTION("""COMPUTED_VALUE"""),0)</f>
        <v>0</v>
      </c>
      <c r="O160" s="32">
        <f ca="1">IFERROR(__xludf.DUMMYFUNCTION("""COMPUTED_VALUE"""),0)</f>
        <v>0</v>
      </c>
      <c r="P160" s="32"/>
      <c r="Q160" s="32">
        <f ca="1">IFERROR(__xludf.DUMMYFUNCTION("""COMPUTED_VALUE"""),0)</f>
        <v>0</v>
      </c>
      <c r="R160" s="32"/>
      <c r="S160" s="31">
        <f ca="1">IFERROR(__xludf.DUMMYFUNCTION("""COMPUTED_VALUE"""),0)</f>
        <v>0</v>
      </c>
      <c r="T160" s="32">
        <f ca="1">IFERROR(__xludf.DUMMYFUNCTION("""COMPUTED_VALUE"""),0)</f>
        <v>0</v>
      </c>
      <c r="U160" s="32"/>
      <c r="V160" s="32">
        <f ca="1">IFERROR(__xludf.DUMMYFUNCTION("""COMPUTED_VALUE"""),0)</f>
        <v>0</v>
      </c>
      <c r="W160" s="32"/>
      <c r="X160" s="32">
        <f ca="1">IFERROR(__xludf.DUMMYFUNCTION("""COMPUTED_VALUE"""),0)</f>
        <v>0</v>
      </c>
      <c r="Y160" s="32"/>
      <c r="Z160" s="2"/>
      <c r="AA160" s="2"/>
      <c r="AB160" s="2"/>
      <c r="AC160" s="2"/>
      <c r="AD160" s="2"/>
      <c r="AE160" s="2"/>
    </row>
    <row r="161" spans="1:31" ht="12.75" x14ac:dyDescent="0.2">
      <c r="A161" s="28">
        <f ca="1">IFERROR(__xludf.DUMMYFUNCTION("""COMPUTED_VALUE"""),11)</f>
        <v>11</v>
      </c>
      <c r="B161" s="29" t="str">
        <f ca="1">IFERROR(__xludf.DUMMYFUNCTION("""COMPUTED_VALUE"""),"LMG Rạng Đông")</f>
        <v>LMG Rạng Đông</v>
      </c>
      <c r="C161" s="33" t="str">
        <f ca="1">IFERROR(__xludf.DUMMYFUNCTION("""COMPUTED_VALUE"""),"MN")</f>
        <v>MN</v>
      </c>
      <c r="D161" s="30" t="str">
        <f ca="1">IFERROR(__xludf.DUMMYFUNCTION("""COMPUTED_VALUE"""),"Tp. Thủ Đức")</f>
        <v>Tp. Thủ Đức</v>
      </c>
      <c r="E161" s="31">
        <f ca="1">IFERROR(__xludf.DUMMYFUNCTION("""COMPUTED_VALUE"""),11)</f>
        <v>11</v>
      </c>
      <c r="F161" s="32">
        <f ca="1">IFERROR(__xludf.DUMMYFUNCTION("""COMPUTED_VALUE"""),11)</f>
        <v>11</v>
      </c>
      <c r="G161" s="32"/>
      <c r="H161" s="32">
        <f ca="1">IFERROR(__xludf.DUMMYFUNCTION("""COMPUTED_VALUE"""),11)</f>
        <v>11</v>
      </c>
      <c r="I161" s="32"/>
      <c r="J161" s="32">
        <f ca="1">IFERROR(__xludf.DUMMYFUNCTION("""COMPUTED_VALUE"""),11)</f>
        <v>11</v>
      </c>
      <c r="K161" s="32"/>
      <c r="L161" s="32">
        <f ca="1">IFERROR(__xludf.DUMMYFUNCTION("""COMPUTED_VALUE"""),0)</f>
        <v>0</v>
      </c>
      <c r="M161" s="32"/>
      <c r="N161" s="31">
        <f ca="1">IFERROR(__xludf.DUMMYFUNCTION("""COMPUTED_VALUE"""),0)</f>
        <v>0</v>
      </c>
      <c r="O161" s="32">
        <f ca="1">IFERROR(__xludf.DUMMYFUNCTION("""COMPUTED_VALUE"""),0)</f>
        <v>0</v>
      </c>
      <c r="P161" s="32"/>
      <c r="Q161" s="32">
        <f ca="1">IFERROR(__xludf.DUMMYFUNCTION("""COMPUTED_VALUE"""),0)</f>
        <v>0</v>
      </c>
      <c r="R161" s="32"/>
      <c r="S161" s="31">
        <f ca="1">IFERROR(__xludf.DUMMYFUNCTION("""COMPUTED_VALUE"""),0)</f>
        <v>0</v>
      </c>
      <c r="T161" s="32">
        <f ca="1">IFERROR(__xludf.DUMMYFUNCTION("""COMPUTED_VALUE"""),0)</f>
        <v>0</v>
      </c>
      <c r="U161" s="32"/>
      <c r="V161" s="32">
        <f ca="1">IFERROR(__xludf.DUMMYFUNCTION("""COMPUTED_VALUE"""),0)</f>
        <v>0</v>
      </c>
      <c r="W161" s="32"/>
      <c r="X161" s="32">
        <f ca="1">IFERROR(__xludf.DUMMYFUNCTION("""COMPUTED_VALUE"""),0)</f>
        <v>0</v>
      </c>
      <c r="Y161" s="32"/>
      <c r="Z161" s="2"/>
      <c r="AA161" s="2"/>
      <c r="AB161" s="2"/>
      <c r="AC161" s="2"/>
      <c r="AD161" s="2"/>
      <c r="AE161" s="2"/>
    </row>
    <row r="162" spans="1:31" ht="12.75" x14ac:dyDescent="0.2">
      <c r="A162" s="28">
        <f ca="1">IFERROR(__xludf.DUMMYFUNCTION("""COMPUTED_VALUE"""),12)</f>
        <v>12</v>
      </c>
      <c r="B162" s="29" t="str">
        <f ca="1">IFERROR(__xludf.DUMMYFUNCTION("""COMPUTED_VALUE"""),"Nhóm trẻ Bé Ngoan")</f>
        <v>Nhóm trẻ Bé Ngoan</v>
      </c>
      <c r="C162" s="33" t="str">
        <f ca="1">IFERROR(__xludf.DUMMYFUNCTION("""COMPUTED_VALUE"""),"MN")</f>
        <v>MN</v>
      </c>
      <c r="D162" s="30" t="str">
        <f ca="1">IFERROR(__xludf.DUMMYFUNCTION("""COMPUTED_VALUE"""),"Tp. Thủ Đức")</f>
        <v>Tp. Thủ Đức</v>
      </c>
      <c r="E162" s="31">
        <f ca="1">IFERROR(__xludf.DUMMYFUNCTION("""COMPUTED_VALUE"""),8)</f>
        <v>8</v>
      </c>
      <c r="F162" s="32">
        <f ca="1">IFERROR(__xludf.DUMMYFUNCTION("""COMPUTED_VALUE"""),8)</f>
        <v>8</v>
      </c>
      <c r="G162" s="32"/>
      <c r="H162" s="32">
        <f ca="1">IFERROR(__xludf.DUMMYFUNCTION("""COMPUTED_VALUE"""),8)</f>
        <v>8</v>
      </c>
      <c r="I162" s="32"/>
      <c r="J162" s="32">
        <f ca="1">IFERROR(__xludf.DUMMYFUNCTION("""COMPUTED_VALUE"""),8)</f>
        <v>8</v>
      </c>
      <c r="K162" s="32"/>
      <c r="L162" s="32">
        <f ca="1">IFERROR(__xludf.DUMMYFUNCTION("""COMPUTED_VALUE"""),0)</f>
        <v>0</v>
      </c>
      <c r="M162" s="32"/>
      <c r="N162" s="31">
        <f ca="1">IFERROR(__xludf.DUMMYFUNCTION("""COMPUTED_VALUE"""),0)</f>
        <v>0</v>
      </c>
      <c r="O162" s="32">
        <f ca="1">IFERROR(__xludf.DUMMYFUNCTION("""COMPUTED_VALUE"""),0)</f>
        <v>0</v>
      </c>
      <c r="P162" s="32"/>
      <c r="Q162" s="32">
        <f ca="1">IFERROR(__xludf.DUMMYFUNCTION("""COMPUTED_VALUE"""),0)</f>
        <v>0</v>
      </c>
      <c r="R162" s="32"/>
      <c r="S162" s="31">
        <f ca="1">IFERROR(__xludf.DUMMYFUNCTION("""COMPUTED_VALUE"""),0)</f>
        <v>0</v>
      </c>
      <c r="T162" s="32">
        <f ca="1">IFERROR(__xludf.DUMMYFUNCTION("""COMPUTED_VALUE"""),0)</f>
        <v>0</v>
      </c>
      <c r="U162" s="32"/>
      <c r="V162" s="32">
        <f ca="1">IFERROR(__xludf.DUMMYFUNCTION("""COMPUTED_VALUE"""),0)</f>
        <v>0</v>
      </c>
      <c r="W162" s="32"/>
      <c r="X162" s="32">
        <f ca="1">IFERROR(__xludf.DUMMYFUNCTION("""COMPUTED_VALUE"""),0)</f>
        <v>0</v>
      </c>
      <c r="Y162" s="32"/>
      <c r="Z162" s="2"/>
      <c r="AA162" s="2"/>
      <c r="AB162" s="2"/>
      <c r="AC162" s="2"/>
      <c r="AD162" s="2"/>
      <c r="AE162" s="2"/>
    </row>
    <row r="163" spans="1:31" ht="12.75" x14ac:dyDescent="0.2">
      <c r="A163" s="28">
        <f ca="1">IFERROR(__xludf.DUMMYFUNCTION("""COMPUTED_VALUE"""),13)</f>
        <v>13</v>
      </c>
      <c r="B163" s="29" t="str">
        <f ca="1">IFERROR(__xludf.DUMMYFUNCTION("""COMPUTED_VALUE"""),"LMG Ánh Sao")</f>
        <v>LMG Ánh Sao</v>
      </c>
      <c r="C163" s="33" t="str">
        <f ca="1">IFERROR(__xludf.DUMMYFUNCTION("""COMPUTED_VALUE"""),"MN")</f>
        <v>MN</v>
      </c>
      <c r="D163" s="30" t="str">
        <f ca="1">IFERROR(__xludf.DUMMYFUNCTION("""COMPUTED_VALUE"""),"Tp. Thủ Đức")</f>
        <v>Tp. Thủ Đức</v>
      </c>
      <c r="E163" s="31"/>
      <c r="F163" s="32">
        <f ca="1">IFERROR(__xludf.DUMMYFUNCTION("""COMPUTED_VALUE"""),5)</f>
        <v>5</v>
      </c>
      <c r="G163" s="32"/>
      <c r="H163" s="32">
        <f ca="1">IFERROR(__xludf.DUMMYFUNCTION("""COMPUTED_VALUE"""),5)</f>
        <v>5</v>
      </c>
      <c r="I163" s="32"/>
      <c r="J163" s="32">
        <f ca="1">IFERROR(__xludf.DUMMYFUNCTION("""COMPUTED_VALUE"""),5)</f>
        <v>5</v>
      </c>
      <c r="K163" s="32"/>
      <c r="L163" s="32">
        <f ca="1">IFERROR(__xludf.DUMMYFUNCTION("""COMPUTED_VALUE"""),0)</f>
        <v>0</v>
      </c>
      <c r="M163" s="32"/>
      <c r="N163" s="31">
        <f ca="1">IFERROR(__xludf.DUMMYFUNCTION("""COMPUTED_VALUE"""),0)</f>
        <v>0</v>
      </c>
      <c r="O163" s="32">
        <f ca="1">IFERROR(__xludf.DUMMYFUNCTION("""COMPUTED_VALUE"""),0)</f>
        <v>0</v>
      </c>
      <c r="P163" s="32"/>
      <c r="Q163" s="32">
        <f ca="1">IFERROR(__xludf.DUMMYFUNCTION("""COMPUTED_VALUE"""),0)</f>
        <v>0</v>
      </c>
      <c r="R163" s="32"/>
      <c r="S163" s="31">
        <f ca="1">IFERROR(__xludf.DUMMYFUNCTION("""COMPUTED_VALUE"""),0)</f>
        <v>0</v>
      </c>
      <c r="T163" s="32">
        <f ca="1">IFERROR(__xludf.DUMMYFUNCTION("""COMPUTED_VALUE"""),0)</f>
        <v>0</v>
      </c>
      <c r="U163" s="32"/>
      <c r="V163" s="32">
        <f ca="1">IFERROR(__xludf.DUMMYFUNCTION("""COMPUTED_VALUE"""),0)</f>
        <v>0</v>
      </c>
      <c r="W163" s="32"/>
      <c r="X163" s="32">
        <f ca="1">IFERROR(__xludf.DUMMYFUNCTION("""COMPUTED_VALUE"""),0)</f>
        <v>0</v>
      </c>
      <c r="Y163" s="32"/>
      <c r="Z163" s="2"/>
      <c r="AA163" s="2"/>
      <c r="AB163" s="2"/>
      <c r="AC163" s="2"/>
      <c r="AD163" s="2"/>
      <c r="AE163" s="2"/>
    </row>
    <row r="164" spans="1:31" ht="12.75" x14ac:dyDescent="0.2">
      <c r="A164" s="28">
        <f ca="1">IFERROR(__xludf.DUMMYFUNCTION("""COMPUTED_VALUE"""),14)</f>
        <v>14</v>
      </c>
      <c r="B164" s="29" t="str">
        <f ca="1">IFERROR(__xludf.DUMMYFUNCTION("""COMPUTED_VALUE"""),"Nhóm trẻ Cà Chua Bi")</f>
        <v>Nhóm trẻ Cà Chua Bi</v>
      </c>
      <c r="C164" s="33" t="str">
        <f ca="1">IFERROR(__xludf.DUMMYFUNCTION("""COMPUTED_VALUE"""),"MN")</f>
        <v>MN</v>
      </c>
      <c r="D164" s="30" t="str">
        <f ca="1">IFERROR(__xludf.DUMMYFUNCTION("""COMPUTED_VALUE"""),"Tp. Thủ Đức")</f>
        <v>Tp. Thủ Đức</v>
      </c>
      <c r="E164" s="31">
        <f ca="1">IFERROR(__xludf.DUMMYFUNCTION("""COMPUTED_VALUE"""),3)</f>
        <v>3</v>
      </c>
      <c r="F164" s="32">
        <f ca="1">IFERROR(__xludf.DUMMYFUNCTION("""COMPUTED_VALUE"""),3)</f>
        <v>3</v>
      </c>
      <c r="G164" s="32"/>
      <c r="H164" s="32">
        <f ca="1">IFERROR(__xludf.DUMMYFUNCTION("""COMPUTED_VALUE"""),3)</f>
        <v>3</v>
      </c>
      <c r="I164" s="32"/>
      <c r="J164" s="32">
        <f ca="1">IFERROR(__xludf.DUMMYFUNCTION("""COMPUTED_VALUE"""),3)</f>
        <v>3</v>
      </c>
      <c r="K164" s="32"/>
      <c r="L164" s="32">
        <f ca="1">IFERROR(__xludf.DUMMYFUNCTION("""COMPUTED_VALUE"""),1)</f>
        <v>1</v>
      </c>
      <c r="M164" s="32"/>
      <c r="N164" s="31">
        <f ca="1">IFERROR(__xludf.DUMMYFUNCTION("""COMPUTED_VALUE"""),0)</f>
        <v>0</v>
      </c>
      <c r="O164" s="32">
        <f ca="1">IFERROR(__xludf.DUMMYFUNCTION("""COMPUTED_VALUE"""),0)</f>
        <v>0</v>
      </c>
      <c r="P164" s="32"/>
      <c r="Q164" s="32">
        <f ca="1">IFERROR(__xludf.DUMMYFUNCTION("""COMPUTED_VALUE"""),0)</f>
        <v>0</v>
      </c>
      <c r="R164" s="32"/>
      <c r="S164" s="31">
        <f ca="1">IFERROR(__xludf.DUMMYFUNCTION("""COMPUTED_VALUE"""),0)</f>
        <v>0</v>
      </c>
      <c r="T164" s="32">
        <f ca="1">IFERROR(__xludf.DUMMYFUNCTION("""COMPUTED_VALUE"""),0)</f>
        <v>0</v>
      </c>
      <c r="U164" s="32"/>
      <c r="V164" s="32">
        <f ca="1">IFERROR(__xludf.DUMMYFUNCTION("""COMPUTED_VALUE"""),0)</f>
        <v>0</v>
      </c>
      <c r="W164" s="32"/>
      <c r="X164" s="32">
        <f ca="1">IFERROR(__xludf.DUMMYFUNCTION("""COMPUTED_VALUE"""),0)</f>
        <v>0</v>
      </c>
      <c r="Y164" s="32"/>
      <c r="Z164" s="2"/>
      <c r="AA164" s="2"/>
      <c r="AB164" s="2"/>
      <c r="AC164" s="2"/>
      <c r="AD164" s="2"/>
      <c r="AE164" s="2"/>
    </row>
    <row r="165" spans="1:31" ht="12.75" x14ac:dyDescent="0.2">
      <c r="A165" s="28">
        <f ca="1">IFERROR(__xludf.DUMMYFUNCTION("""COMPUTED_VALUE"""),15)</f>
        <v>15</v>
      </c>
      <c r="B165" s="29" t="str">
        <f ca="1">IFERROR(__xludf.DUMMYFUNCTION("""COMPUTED_VALUE"""),"LMG Hồng Nhung")</f>
        <v>LMG Hồng Nhung</v>
      </c>
      <c r="C165" s="33" t="str">
        <f ca="1">IFERROR(__xludf.DUMMYFUNCTION("""COMPUTED_VALUE"""),"MN")</f>
        <v>MN</v>
      </c>
      <c r="D165" s="30" t="str">
        <f ca="1">IFERROR(__xludf.DUMMYFUNCTION("""COMPUTED_VALUE"""),"Tp. Thủ Đức")</f>
        <v>Tp. Thủ Đức</v>
      </c>
      <c r="E165" s="31">
        <f ca="1">IFERROR(__xludf.DUMMYFUNCTION("""COMPUTED_VALUE"""),8)</f>
        <v>8</v>
      </c>
      <c r="F165" s="32">
        <f ca="1">IFERROR(__xludf.DUMMYFUNCTION("""COMPUTED_VALUE"""),8)</f>
        <v>8</v>
      </c>
      <c r="G165" s="32"/>
      <c r="H165" s="32">
        <f ca="1">IFERROR(__xludf.DUMMYFUNCTION("""COMPUTED_VALUE"""),8)</f>
        <v>8</v>
      </c>
      <c r="I165" s="32"/>
      <c r="J165" s="32">
        <f ca="1">IFERROR(__xludf.DUMMYFUNCTION("""COMPUTED_VALUE"""),8)</f>
        <v>8</v>
      </c>
      <c r="K165" s="32"/>
      <c r="L165" s="32">
        <f ca="1">IFERROR(__xludf.DUMMYFUNCTION("""COMPUTED_VALUE"""),0)</f>
        <v>0</v>
      </c>
      <c r="M165" s="32"/>
      <c r="N165" s="31">
        <f ca="1">IFERROR(__xludf.DUMMYFUNCTION("""COMPUTED_VALUE"""),0)</f>
        <v>0</v>
      </c>
      <c r="O165" s="32">
        <f ca="1">IFERROR(__xludf.DUMMYFUNCTION("""COMPUTED_VALUE"""),0)</f>
        <v>0</v>
      </c>
      <c r="P165" s="32"/>
      <c r="Q165" s="32">
        <f ca="1">IFERROR(__xludf.DUMMYFUNCTION("""COMPUTED_VALUE"""),0)</f>
        <v>0</v>
      </c>
      <c r="R165" s="32"/>
      <c r="S165" s="31">
        <f ca="1">IFERROR(__xludf.DUMMYFUNCTION("""COMPUTED_VALUE"""),0)</f>
        <v>0</v>
      </c>
      <c r="T165" s="32">
        <f ca="1">IFERROR(__xludf.DUMMYFUNCTION("""COMPUTED_VALUE"""),0)</f>
        <v>0</v>
      </c>
      <c r="U165" s="32"/>
      <c r="V165" s="32">
        <f ca="1">IFERROR(__xludf.DUMMYFUNCTION("""COMPUTED_VALUE"""),0)</f>
        <v>0</v>
      </c>
      <c r="W165" s="32"/>
      <c r="X165" s="32">
        <f ca="1">IFERROR(__xludf.DUMMYFUNCTION("""COMPUTED_VALUE"""),0)</f>
        <v>0</v>
      </c>
      <c r="Y165" s="32"/>
      <c r="Z165" s="2"/>
      <c r="AA165" s="2"/>
      <c r="AB165" s="2"/>
      <c r="AC165" s="2"/>
      <c r="AD165" s="2"/>
      <c r="AE165" s="2"/>
    </row>
    <row r="166" spans="1:31" ht="12.75" x14ac:dyDescent="0.2">
      <c r="A166" s="28">
        <f ca="1">IFERROR(__xludf.DUMMYFUNCTION("""COMPUTED_VALUE"""),16)</f>
        <v>16</v>
      </c>
      <c r="B166" s="29" t="str">
        <f ca="1">IFERROR(__xludf.DUMMYFUNCTION("""COMPUTED_VALUE"""),"Nhóm trẻ Hoa Sữa")</f>
        <v>Nhóm trẻ Hoa Sữa</v>
      </c>
      <c r="C166" s="33" t="str">
        <f ca="1">IFERROR(__xludf.DUMMYFUNCTION("""COMPUTED_VALUE"""),"MN")</f>
        <v>MN</v>
      </c>
      <c r="D166" s="30" t="str">
        <f ca="1">IFERROR(__xludf.DUMMYFUNCTION("""COMPUTED_VALUE"""),"Tp. Thủ Đức")</f>
        <v>Tp. Thủ Đức</v>
      </c>
      <c r="E166" s="31">
        <f ca="1">IFERROR(__xludf.DUMMYFUNCTION("""COMPUTED_VALUE"""),1)</f>
        <v>1</v>
      </c>
      <c r="F166" s="32">
        <f ca="1">IFERROR(__xludf.DUMMYFUNCTION("""COMPUTED_VALUE"""),1)</f>
        <v>1</v>
      </c>
      <c r="G166" s="32"/>
      <c r="H166" s="32">
        <f ca="1">IFERROR(__xludf.DUMMYFUNCTION("""COMPUTED_VALUE"""),1)</f>
        <v>1</v>
      </c>
      <c r="I166" s="32"/>
      <c r="J166" s="32">
        <f ca="1">IFERROR(__xludf.DUMMYFUNCTION("""COMPUTED_VALUE"""),1)</f>
        <v>1</v>
      </c>
      <c r="K166" s="32"/>
      <c r="L166" s="32">
        <f ca="1">IFERROR(__xludf.DUMMYFUNCTION("""COMPUTED_VALUE"""),0)</f>
        <v>0</v>
      </c>
      <c r="M166" s="32"/>
      <c r="N166" s="31">
        <f ca="1">IFERROR(__xludf.DUMMYFUNCTION("""COMPUTED_VALUE"""),0)</f>
        <v>0</v>
      </c>
      <c r="O166" s="32">
        <f ca="1">IFERROR(__xludf.DUMMYFUNCTION("""COMPUTED_VALUE"""),0)</f>
        <v>0</v>
      </c>
      <c r="P166" s="32"/>
      <c r="Q166" s="32">
        <f ca="1">IFERROR(__xludf.DUMMYFUNCTION("""COMPUTED_VALUE"""),0)</f>
        <v>0</v>
      </c>
      <c r="R166" s="32"/>
      <c r="S166" s="31">
        <f ca="1">IFERROR(__xludf.DUMMYFUNCTION("""COMPUTED_VALUE"""),0)</f>
        <v>0</v>
      </c>
      <c r="T166" s="32">
        <f ca="1">IFERROR(__xludf.DUMMYFUNCTION("""COMPUTED_VALUE"""),0)</f>
        <v>0</v>
      </c>
      <c r="U166" s="32"/>
      <c r="V166" s="32">
        <f ca="1">IFERROR(__xludf.DUMMYFUNCTION("""COMPUTED_VALUE"""),0)</f>
        <v>0</v>
      </c>
      <c r="W166" s="32"/>
      <c r="X166" s="32">
        <f ca="1">IFERROR(__xludf.DUMMYFUNCTION("""COMPUTED_VALUE"""),0)</f>
        <v>0</v>
      </c>
      <c r="Y166" s="32"/>
      <c r="Z166" s="2"/>
      <c r="AA166" s="2"/>
      <c r="AB166" s="2"/>
      <c r="AC166" s="2"/>
      <c r="AD166" s="2"/>
      <c r="AE166" s="2"/>
    </row>
    <row r="167" spans="1:31" ht="12.75" x14ac:dyDescent="0.2">
      <c r="A167" s="28">
        <f ca="1">IFERROR(__xludf.DUMMYFUNCTION("""COMPUTED_VALUE"""),17)</f>
        <v>17</v>
      </c>
      <c r="B167" s="29" t="str">
        <f ca="1">IFERROR(__xludf.DUMMYFUNCTION("""COMPUTED_VALUE"""),"LMG Hoa Phượng")</f>
        <v>LMG Hoa Phượng</v>
      </c>
      <c r="C167" s="33" t="str">
        <f ca="1">IFERROR(__xludf.DUMMYFUNCTION("""COMPUTED_VALUE"""),"MN")</f>
        <v>MN</v>
      </c>
      <c r="D167" s="30" t="str">
        <f ca="1">IFERROR(__xludf.DUMMYFUNCTION("""COMPUTED_VALUE"""),"Tp. Thủ Đức")</f>
        <v>Tp. Thủ Đức</v>
      </c>
      <c r="E167" s="31">
        <f ca="1">IFERROR(__xludf.DUMMYFUNCTION("""COMPUTED_VALUE"""),15)</f>
        <v>15</v>
      </c>
      <c r="F167" s="32">
        <f ca="1">IFERROR(__xludf.DUMMYFUNCTION("""COMPUTED_VALUE"""),15)</f>
        <v>15</v>
      </c>
      <c r="G167" s="32"/>
      <c r="H167" s="32">
        <f ca="1">IFERROR(__xludf.DUMMYFUNCTION("""COMPUTED_VALUE"""),15)</f>
        <v>15</v>
      </c>
      <c r="I167" s="32"/>
      <c r="J167" s="32">
        <f ca="1">IFERROR(__xludf.DUMMYFUNCTION("""COMPUTED_VALUE"""),15)</f>
        <v>15</v>
      </c>
      <c r="K167" s="32"/>
      <c r="L167" s="32">
        <f ca="1">IFERROR(__xludf.DUMMYFUNCTION("""COMPUTED_VALUE"""),0)</f>
        <v>0</v>
      </c>
      <c r="M167" s="32"/>
      <c r="N167" s="31">
        <f ca="1">IFERROR(__xludf.DUMMYFUNCTION("""COMPUTED_VALUE"""),0)</f>
        <v>0</v>
      </c>
      <c r="O167" s="32">
        <f ca="1">IFERROR(__xludf.DUMMYFUNCTION("""COMPUTED_VALUE"""),0)</f>
        <v>0</v>
      </c>
      <c r="P167" s="32"/>
      <c r="Q167" s="32">
        <f ca="1">IFERROR(__xludf.DUMMYFUNCTION("""COMPUTED_VALUE"""),0)</f>
        <v>0</v>
      </c>
      <c r="R167" s="32"/>
      <c r="S167" s="31">
        <f ca="1">IFERROR(__xludf.DUMMYFUNCTION("""COMPUTED_VALUE"""),0)</f>
        <v>0</v>
      </c>
      <c r="T167" s="32">
        <f ca="1">IFERROR(__xludf.DUMMYFUNCTION("""COMPUTED_VALUE"""),0)</f>
        <v>0</v>
      </c>
      <c r="U167" s="32"/>
      <c r="V167" s="32">
        <f ca="1">IFERROR(__xludf.DUMMYFUNCTION("""COMPUTED_VALUE"""),0)</f>
        <v>0</v>
      </c>
      <c r="W167" s="32"/>
      <c r="X167" s="32">
        <f ca="1">IFERROR(__xludf.DUMMYFUNCTION("""COMPUTED_VALUE"""),0)</f>
        <v>0</v>
      </c>
      <c r="Y167" s="32"/>
      <c r="Z167" s="2"/>
      <c r="AA167" s="2"/>
      <c r="AB167" s="2"/>
      <c r="AC167" s="2"/>
      <c r="AD167" s="2"/>
      <c r="AE167" s="2"/>
    </row>
    <row r="168" spans="1:31" ht="12.75" x14ac:dyDescent="0.2">
      <c r="A168" s="28">
        <f ca="1">IFERROR(__xludf.DUMMYFUNCTION("""COMPUTED_VALUE"""),18)</f>
        <v>18</v>
      </c>
      <c r="B168" s="29" t="str">
        <f ca="1">IFERROR(__xludf.DUMMYFUNCTION("""COMPUTED_VALUE"""),"LMG Thỏ Trắng")</f>
        <v>LMG Thỏ Trắng</v>
      </c>
      <c r="C168" s="33" t="str">
        <f ca="1">IFERROR(__xludf.DUMMYFUNCTION("""COMPUTED_VALUE"""),"MN")</f>
        <v>MN</v>
      </c>
      <c r="D168" s="30" t="str">
        <f ca="1">IFERROR(__xludf.DUMMYFUNCTION("""COMPUTED_VALUE"""),"Tp. Thủ Đức")</f>
        <v>Tp. Thủ Đức</v>
      </c>
      <c r="E168" s="31">
        <f ca="1">IFERROR(__xludf.DUMMYFUNCTION("""COMPUTED_VALUE"""),3)</f>
        <v>3</v>
      </c>
      <c r="F168" s="32">
        <f ca="1">IFERROR(__xludf.DUMMYFUNCTION("""COMPUTED_VALUE"""),3)</f>
        <v>3</v>
      </c>
      <c r="G168" s="32"/>
      <c r="H168" s="32">
        <f ca="1">IFERROR(__xludf.DUMMYFUNCTION("""COMPUTED_VALUE"""),3)</f>
        <v>3</v>
      </c>
      <c r="I168" s="32"/>
      <c r="J168" s="32">
        <f ca="1">IFERROR(__xludf.DUMMYFUNCTION("""COMPUTED_VALUE"""),2)</f>
        <v>2</v>
      </c>
      <c r="K168" s="32"/>
      <c r="L168" s="32">
        <f ca="1">IFERROR(__xludf.DUMMYFUNCTION("""COMPUTED_VALUE"""),0)</f>
        <v>0</v>
      </c>
      <c r="M168" s="32"/>
      <c r="N168" s="31">
        <f ca="1">IFERROR(__xludf.DUMMYFUNCTION("""COMPUTED_VALUE"""),0)</f>
        <v>0</v>
      </c>
      <c r="O168" s="32">
        <f ca="1">IFERROR(__xludf.DUMMYFUNCTION("""COMPUTED_VALUE"""),0)</f>
        <v>0</v>
      </c>
      <c r="P168" s="32"/>
      <c r="Q168" s="32">
        <f ca="1">IFERROR(__xludf.DUMMYFUNCTION("""COMPUTED_VALUE"""),0)</f>
        <v>0</v>
      </c>
      <c r="R168" s="32"/>
      <c r="S168" s="31">
        <f ca="1">IFERROR(__xludf.DUMMYFUNCTION("""COMPUTED_VALUE"""),0)</f>
        <v>0</v>
      </c>
      <c r="T168" s="32">
        <f ca="1">IFERROR(__xludf.DUMMYFUNCTION("""COMPUTED_VALUE"""),0)</f>
        <v>0</v>
      </c>
      <c r="U168" s="32"/>
      <c r="V168" s="32">
        <f ca="1">IFERROR(__xludf.DUMMYFUNCTION("""COMPUTED_VALUE"""),0)</f>
        <v>0</v>
      </c>
      <c r="W168" s="32"/>
      <c r="X168" s="32">
        <f ca="1">IFERROR(__xludf.DUMMYFUNCTION("""COMPUTED_VALUE"""),0)</f>
        <v>0</v>
      </c>
      <c r="Y168" s="32"/>
      <c r="Z168" s="2"/>
      <c r="AA168" s="2"/>
      <c r="AB168" s="2"/>
      <c r="AC168" s="2"/>
      <c r="AD168" s="2"/>
      <c r="AE168" s="2"/>
    </row>
    <row r="169" spans="1:31" ht="12.75" x14ac:dyDescent="0.2">
      <c r="A169" s="28">
        <f ca="1">IFERROR(__xludf.DUMMYFUNCTION("""COMPUTED_VALUE"""),19)</f>
        <v>19</v>
      </c>
      <c r="B169" s="29" t="str">
        <f ca="1">IFERROR(__xludf.DUMMYFUNCTION("""COMPUTED_VALUE"""),"Nhóm trẻ Ngôi Sao Xanh")</f>
        <v>Nhóm trẻ Ngôi Sao Xanh</v>
      </c>
      <c r="C169" s="33" t="str">
        <f ca="1">IFERROR(__xludf.DUMMYFUNCTION("""COMPUTED_VALUE"""),"MN")</f>
        <v>MN</v>
      </c>
      <c r="D169" s="30" t="str">
        <f ca="1">IFERROR(__xludf.DUMMYFUNCTION("""COMPUTED_VALUE"""),"Tp. Thủ Đức")</f>
        <v>Tp. Thủ Đức</v>
      </c>
      <c r="E169" s="31">
        <f ca="1">IFERROR(__xludf.DUMMYFUNCTION("""COMPUTED_VALUE"""),5)</f>
        <v>5</v>
      </c>
      <c r="F169" s="32">
        <f ca="1">IFERROR(__xludf.DUMMYFUNCTION("""COMPUTED_VALUE"""),5)</f>
        <v>5</v>
      </c>
      <c r="G169" s="32"/>
      <c r="H169" s="32">
        <f ca="1">IFERROR(__xludf.DUMMYFUNCTION("""COMPUTED_VALUE"""),5)</f>
        <v>5</v>
      </c>
      <c r="I169" s="32"/>
      <c r="J169" s="32">
        <f ca="1">IFERROR(__xludf.DUMMYFUNCTION("""COMPUTED_VALUE"""),5)</f>
        <v>5</v>
      </c>
      <c r="K169" s="32"/>
      <c r="L169" s="32">
        <f ca="1">IFERROR(__xludf.DUMMYFUNCTION("""COMPUTED_VALUE"""),0)</f>
        <v>0</v>
      </c>
      <c r="M169" s="32"/>
      <c r="N169" s="31">
        <f ca="1">IFERROR(__xludf.DUMMYFUNCTION("""COMPUTED_VALUE"""),0)</f>
        <v>0</v>
      </c>
      <c r="O169" s="32">
        <f ca="1">IFERROR(__xludf.DUMMYFUNCTION("""COMPUTED_VALUE"""),0)</f>
        <v>0</v>
      </c>
      <c r="P169" s="32"/>
      <c r="Q169" s="32">
        <f ca="1">IFERROR(__xludf.DUMMYFUNCTION("""COMPUTED_VALUE"""),0)</f>
        <v>0</v>
      </c>
      <c r="R169" s="32"/>
      <c r="S169" s="31">
        <f ca="1">IFERROR(__xludf.DUMMYFUNCTION("""COMPUTED_VALUE"""),0)</f>
        <v>0</v>
      </c>
      <c r="T169" s="32">
        <f ca="1">IFERROR(__xludf.DUMMYFUNCTION("""COMPUTED_VALUE"""),0)</f>
        <v>0</v>
      </c>
      <c r="U169" s="32"/>
      <c r="V169" s="32">
        <f ca="1">IFERROR(__xludf.DUMMYFUNCTION("""COMPUTED_VALUE"""),0)</f>
        <v>0</v>
      </c>
      <c r="W169" s="32"/>
      <c r="X169" s="32">
        <f ca="1">IFERROR(__xludf.DUMMYFUNCTION("""COMPUTED_VALUE"""),0)</f>
        <v>0</v>
      </c>
      <c r="Y169" s="32"/>
      <c r="Z169" s="2"/>
      <c r="AA169" s="2"/>
      <c r="AB169" s="2"/>
      <c r="AC169" s="2"/>
      <c r="AD169" s="2"/>
      <c r="AE169" s="2"/>
    </row>
    <row r="170" spans="1:31" ht="12.75" x14ac:dyDescent="0.2">
      <c r="A170" s="28">
        <f ca="1">IFERROR(__xludf.DUMMYFUNCTION("""COMPUTED_VALUE"""),20)</f>
        <v>20</v>
      </c>
      <c r="B170" s="29" t="str">
        <f ca="1">IFERROR(__xludf.DUMMYFUNCTION("""COMPUTED_VALUE"""),"LMG Cát Minh")</f>
        <v>LMG Cát Minh</v>
      </c>
      <c r="C170" s="33" t="str">
        <f ca="1">IFERROR(__xludf.DUMMYFUNCTION("""COMPUTED_VALUE"""),"MN")</f>
        <v>MN</v>
      </c>
      <c r="D170" s="30" t="str">
        <f ca="1">IFERROR(__xludf.DUMMYFUNCTION("""COMPUTED_VALUE"""),"Tp. Thủ Đức")</f>
        <v>Tp. Thủ Đức</v>
      </c>
      <c r="E170" s="31">
        <f ca="1">IFERROR(__xludf.DUMMYFUNCTION("""COMPUTED_VALUE"""),9)</f>
        <v>9</v>
      </c>
      <c r="F170" s="32">
        <f ca="1">IFERROR(__xludf.DUMMYFUNCTION("""COMPUTED_VALUE"""),9)</f>
        <v>9</v>
      </c>
      <c r="G170" s="32"/>
      <c r="H170" s="32">
        <f ca="1">IFERROR(__xludf.DUMMYFUNCTION("""COMPUTED_VALUE"""),9)</f>
        <v>9</v>
      </c>
      <c r="I170" s="32"/>
      <c r="J170" s="32">
        <f ca="1">IFERROR(__xludf.DUMMYFUNCTION("""COMPUTED_VALUE"""),8)</f>
        <v>8</v>
      </c>
      <c r="K170" s="32"/>
      <c r="L170" s="32">
        <f ca="1">IFERROR(__xludf.DUMMYFUNCTION("""COMPUTED_VALUE"""),0)</f>
        <v>0</v>
      </c>
      <c r="M170" s="32"/>
      <c r="N170" s="31">
        <f ca="1">IFERROR(__xludf.DUMMYFUNCTION("""COMPUTED_VALUE"""),0)</f>
        <v>0</v>
      </c>
      <c r="O170" s="32">
        <f ca="1">IFERROR(__xludf.DUMMYFUNCTION("""COMPUTED_VALUE"""),0)</f>
        <v>0</v>
      </c>
      <c r="P170" s="32"/>
      <c r="Q170" s="32">
        <f ca="1">IFERROR(__xludf.DUMMYFUNCTION("""COMPUTED_VALUE"""),0)</f>
        <v>0</v>
      </c>
      <c r="R170" s="32"/>
      <c r="S170" s="31">
        <f ca="1">IFERROR(__xludf.DUMMYFUNCTION("""COMPUTED_VALUE"""),0)</f>
        <v>0</v>
      </c>
      <c r="T170" s="32">
        <f ca="1">IFERROR(__xludf.DUMMYFUNCTION("""COMPUTED_VALUE"""),0)</f>
        <v>0</v>
      </c>
      <c r="U170" s="32"/>
      <c r="V170" s="32">
        <f ca="1">IFERROR(__xludf.DUMMYFUNCTION("""COMPUTED_VALUE"""),0)</f>
        <v>0</v>
      </c>
      <c r="W170" s="32"/>
      <c r="X170" s="32">
        <f ca="1">IFERROR(__xludf.DUMMYFUNCTION("""COMPUTED_VALUE"""),0)</f>
        <v>0</v>
      </c>
      <c r="Y170" s="32"/>
      <c r="Z170" s="2"/>
      <c r="AA170" s="2"/>
      <c r="AB170" s="2"/>
      <c r="AC170" s="2"/>
      <c r="AD170" s="2"/>
      <c r="AE170" s="2"/>
    </row>
    <row r="171" spans="1:31" ht="12.75" x14ac:dyDescent="0.2">
      <c r="A171" s="28">
        <f ca="1">IFERROR(__xludf.DUMMYFUNCTION("""COMPUTED_VALUE"""),21)</f>
        <v>21</v>
      </c>
      <c r="B171" s="29" t="str">
        <f ca="1">IFERROR(__xludf.DUMMYFUNCTION("""COMPUTED_VALUE"""),"Nhóm trẻ Việt Anh")</f>
        <v>Nhóm trẻ Việt Anh</v>
      </c>
      <c r="C171" s="33" t="str">
        <f ca="1">IFERROR(__xludf.DUMMYFUNCTION("""COMPUTED_VALUE"""),"MN")</f>
        <v>MN</v>
      </c>
      <c r="D171" s="30" t="str">
        <f ca="1">IFERROR(__xludf.DUMMYFUNCTION("""COMPUTED_VALUE"""),"Tp. Thủ Đức")</f>
        <v>Tp. Thủ Đức</v>
      </c>
      <c r="E171" s="31">
        <f ca="1">IFERROR(__xludf.DUMMYFUNCTION("""COMPUTED_VALUE"""),3)</f>
        <v>3</v>
      </c>
      <c r="F171" s="32">
        <f ca="1">IFERROR(__xludf.DUMMYFUNCTION("""COMPUTED_VALUE"""),3)</f>
        <v>3</v>
      </c>
      <c r="G171" s="32"/>
      <c r="H171" s="32">
        <f ca="1">IFERROR(__xludf.DUMMYFUNCTION("""COMPUTED_VALUE"""),3)</f>
        <v>3</v>
      </c>
      <c r="I171" s="32"/>
      <c r="J171" s="32">
        <f ca="1">IFERROR(__xludf.DUMMYFUNCTION("""COMPUTED_VALUE"""),3)</f>
        <v>3</v>
      </c>
      <c r="K171" s="32"/>
      <c r="L171" s="32">
        <f ca="1">IFERROR(__xludf.DUMMYFUNCTION("""COMPUTED_VALUE"""),1)</f>
        <v>1</v>
      </c>
      <c r="M171" s="32"/>
      <c r="N171" s="31">
        <f ca="1">IFERROR(__xludf.DUMMYFUNCTION("""COMPUTED_VALUE"""),0)</f>
        <v>0</v>
      </c>
      <c r="O171" s="32">
        <f ca="1">IFERROR(__xludf.DUMMYFUNCTION("""COMPUTED_VALUE"""),0)</f>
        <v>0</v>
      </c>
      <c r="P171" s="32"/>
      <c r="Q171" s="32">
        <f ca="1">IFERROR(__xludf.DUMMYFUNCTION("""COMPUTED_VALUE"""),0)</f>
        <v>0</v>
      </c>
      <c r="R171" s="32"/>
      <c r="S171" s="31">
        <f ca="1">IFERROR(__xludf.DUMMYFUNCTION("""COMPUTED_VALUE"""),0)</f>
        <v>0</v>
      </c>
      <c r="T171" s="32">
        <f ca="1">IFERROR(__xludf.DUMMYFUNCTION("""COMPUTED_VALUE"""),0)</f>
        <v>0</v>
      </c>
      <c r="U171" s="32"/>
      <c r="V171" s="32">
        <f ca="1">IFERROR(__xludf.DUMMYFUNCTION("""COMPUTED_VALUE"""),0)</f>
        <v>0</v>
      </c>
      <c r="W171" s="32"/>
      <c r="X171" s="32">
        <f ca="1">IFERROR(__xludf.DUMMYFUNCTION("""COMPUTED_VALUE"""),0)</f>
        <v>0</v>
      </c>
      <c r="Y171" s="32"/>
      <c r="Z171" s="2"/>
      <c r="AA171" s="2"/>
      <c r="AB171" s="2"/>
      <c r="AC171" s="2"/>
      <c r="AD171" s="2"/>
      <c r="AE171" s="2"/>
    </row>
    <row r="172" spans="1:31" ht="12.75" x14ac:dyDescent="0.2">
      <c r="A172" s="28">
        <f ca="1">IFERROR(__xludf.DUMMYFUNCTION("""COMPUTED_VALUE"""),22)</f>
        <v>22</v>
      </c>
      <c r="B172" s="29" t="str">
        <f ca="1">IFERROR(__xludf.DUMMYFUNCTION("""COMPUTED_VALUE"""),"LMG Trẻ Tài Năng")</f>
        <v>LMG Trẻ Tài Năng</v>
      </c>
      <c r="C172" s="33" t="str">
        <f ca="1">IFERROR(__xludf.DUMMYFUNCTION("""COMPUTED_VALUE"""),"MN")</f>
        <v>MN</v>
      </c>
      <c r="D172" s="30" t="str">
        <f ca="1">IFERROR(__xludf.DUMMYFUNCTION("""COMPUTED_VALUE"""),"Tp. Thủ Đức")</f>
        <v>Tp. Thủ Đức</v>
      </c>
      <c r="E172" s="31">
        <f ca="1">IFERROR(__xludf.DUMMYFUNCTION("""COMPUTED_VALUE"""),3)</f>
        <v>3</v>
      </c>
      <c r="F172" s="32">
        <f ca="1">IFERROR(__xludf.DUMMYFUNCTION("""COMPUTED_VALUE"""),3)</f>
        <v>3</v>
      </c>
      <c r="G172" s="32"/>
      <c r="H172" s="32">
        <f ca="1">IFERROR(__xludf.DUMMYFUNCTION("""COMPUTED_VALUE"""),3)</f>
        <v>3</v>
      </c>
      <c r="I172" s="32"/>
      <c r="J172" s="32">
        <f ca="1">IFERROR(__xludf.DUMMYFUNCTION("""COMPUTED_VALUE"""),3)</f>
        <v>3</v>
      </c>
      <c r="K172" s="32"/>
      <c r="L172" s="32">
        <f ca="1">IFERROR(__xludf.DUMMYFUNCTION("""COMPUTED_VALUE"""),0)</f>
        <v>0</v>
      </c>
      <c r="M172" s="32"/>
      <c r="N172" s="31">
        <f ca="1">IFERROR(__xludf.DUMMYFUNCTION("""COMPUTED_VALUE"""),0)</f>
        <v>0</v>
      </c>
      <c r="O172" s="32">
        <f ca="1">IFERROR(__xludf.DUMMYFUNCTION("""COMPUTED_VALUE"""),0)</f>
        <v>0</v>
      </c>
      <c r="P172" s="32"/>
      <c r="Q172" s="32">
        <f ca="1">IFERROR(__xludf.DUMMYFUNCTION("""COMPUTED_VALUE"""),0)</f>
        <v>0</v>
      </c>
      <c r="R172" s="32"/>
      <c r="S172" s="31">
        <f ca="1">IFERROR(__xludf.DUMMYFUNCTION("""COMPUTED_VALUE"""),0)</f>
        <v>0</v>
      </c>
      <c r="T172" s="32">
        <f ca="1">IFERROR(__xludf.DUMMYFUNCTION("""COMPUTED_VALUE"""),0)</f>
        <v>0</v>
      </c>
      <c r="U172" s="32"/>
      <c r="V172" s="32">
        <f ca="1">IFERROR(__xludf.DUMMYFUNCTION("""COMPUTED_VALUE"""),0)</f>
        <v>0</v>
      </c>
      <c r="W172" s="32"/>
      <c r="X172" s="32">
        <f ca="1">IFERROR(__xludf.DUMMYFUNCTION("""COMPUTED_VALUE"""),0)</f>
        <v>0</v>
      </c>
      <c r="Y172" s="32"/>
      <c r="Z172" s="2"/>
      <c r="AA172" s="2"/>
      <c r="AB172" s="2"/>
      <c r="AC172" s="2"/>
      <c r="AD172" s="2"/>
      <c r="AE172" s="2"/>
    </row>
    <row r="173" spans="1:31" ht="12.75" x14ac:dyDescent="0.2">
      <c r="A173" s="28">
        <f ca="1">IFERROR(__xludf.DUMMYFUNCTION("""COMPUTED_VALUE"""),23)</f>
        <v>23</v>
      </c>
      <c r="B173" s="29" t="str">
        <f ca="1">IFERROR(__xludf.DUMMYFUNCTION("""COMPUTED_VALUE"""),"Nhóm trẻ Nhà Cà Rốt")</f>
        <v>Nhóm trẻ Nhà Cà Rốt</v>
      </c>
      <c r="C173" s="33" t="str">
        <f ca="1">IFERROR(__xludf.DUMMYFUNCTION("""COMPUTED_VALUE"""),"MN")</f>
        <v>MN</v>
      </c>
      <c r="D173" s="30" t="str">
        <f ca="1">IFERROR(__xludf.DUMMYFUNCTION("""COMPUTED_VALUE"""),"Tp. Thủ Đức")</f>
        <v>Tp. Thủ Đức</v>
      </c>
      <c r="E173" s="31">
        <f ca="1">IFERROR(__xludf.DUMMYFUNCTION("""COMPUTED_VALUE"""),6)</f>
        <v>6</v>
      </c>
      <c r="F173" s="32">
        <f ca="1">IFERROR(__xludf.DUMMYFUNCTION("""COMPUTED_VALUE"""),6)</f>
        <v>6</v>
      </c>
      <c r="G173" s="32"/>
      <c r="H173" s="32">
        <f ca="1">IFERROR(__xludf.DUMMYFUNCTION("""COMPUTED_VALUE"""),6)</f>
        <v>6</v>
      </c>
      <c r="I173" s="32"/>
      <c r="J173" s="32">
        <f ca="1">IFERROR(__xludf.DUMMYFUNCTION("""COMPUTED_VALUE"""),6)</f>
        <v>6</v>
      </c>
      <c r="K173" s="32"/>
      <c r="L173" s="32">
        <f ca="1">IFERROR(__xludf.DUMMYFUNCTION("""COMPUTED_VALUE"""),0)</f>
        <v>0</v>
      </c>
      <c r="M173" s="32"/>
      <c r="N173" s="31">
        <f ca="1">IFERROR(__xludf.DUMMYFUNCTION("""COMPUTED_VALUE"""),0)</f>
        <v>0</v>
      </c>
      <c r="O173" s="32">
        <f ca="1">IFERROR(__xludf.DUMMYFUNCTION("""COMPUTED_VALUE"""),0)</f>
        <v>0</v>
      </c>
      <c r="P173" s="32"/>
      <c r="Q173" s="32">
        <f ca="1">IFERROR(__xludf.DUMMYFUNCTION("""COMPUTED_VALUE"""),0)</f>
        <v>0</v>
      </c>
      <c r="R173" s="32"/>
      <c r="S173" s="31">
        <f ca="1">IFERROR(__xludf.DUMMYFUNCTION("""COMPUTED_VALUE"""),0)</f>
        <v>0</v>
      </c>
      <c r="T173" s="32">
        <f ca="1">IFERROR(__xludf.DUMMYFUNCTION("""COMPUTED_VALUE"""),0)</f>
        <v>0</v>
      </c>
      <c r="U173" s="32"/>
      <c r="V173" s="32">
        <f ca="1">IFERROR(__xludf.DUMMYFUNCTION("""COMPUTED_VALUE"""),0)</f>
        <v>0</v>
      </c>
      <c r="W173" s="32"/>
      <c r="X173" s="32">
        <f ca="1">IFERROR(__xludf.DUMMYFUNCTION("""COMPUTED_VALUE"""),0)</f>
        <v>0</v>
      </c>
      <c r="Y173" s="32"/>
      <c r="Z173" s="2"/>
      <c r="AA173" s="2"/>
      <c r="AB173" s="2"/>
      <c r="AC173" s="2"/>
      <c r="AD173" s="2"/>
      <c r="AE173" s="2"/>
    </row>
    <row r="174" spans="1:31" ht="12.75" x14ac:dyDescent="0.2">
      <c r="A174" s="28">
        <f ca="1">IFERROR(__xludf.DUMMYFUNCTION("""COMPUTED_VALUE"""),24)</f>
        <v>24</v>
      </c>
      <c r="B174" s="29" t="str">
        <f ca="1">IFERROR(__xludf.DUMMYFUNCTION("""COMPUTED_VALUE"""),"Nhóm trẻ Hoa Yêu Thương")</f>
        <v>Nhóm trẻ Hoa Yêu Thương</v>
      </c>
      <c r="C174" s="33" t="str">
        <f ca="1">IFERROR(__xludf.DUMMYFUNCTION("""COMPUTED_VALUE"""),"MN")</f>
        <v>MN</v>
      </c>
      <c r="D174" s="30" t="str">
        <f ca="1">IFERROR(__xludf.DUMMYFUNCTION("""COMPUTED_VALUE"""),"Tp. Thủ Đức")</f>
        <v>Tp. Thủ Đức</v>
      </c>
      <c r="E174" s="31">
        <f ca="1">IFERROR(__xludf.DUMMYFUNCTION("""COMPUTED_VALUE"""),2)</f>
        <v>2</v>
      </c>
      <c r="F174" s="32">
        <f ca="1">IFERROR(__xludf.DUMMYFUNCTION("""COMPUTED_VALUE"""),2)</f>
        <v>2</v>
      </c>
      <c r="G174" s="32"/>
      <c r="H174" s="32">
        <f ca="1">IFERROR(__xludf.DUMMYFUNCTION("""COMPUTED_VALUE"""),2)</f>
        <v>2</v>
      </c>
      <c r="I174" s="32"/>
      <c r="J174" s="32">
        <f ca="1">IFERROR(__xludf.DUMMYFUNCTION("""COMPUTED_VALUE"""),2)</f>
        <v>2</v>
      </c>
      <c r="K174" s="32"/>
      <c r="L174" s="32">
        <f ca="1">IFERROR(__xludf.DUMMYFUNCTION("""COMPUTED_VALUE"""),1)</f>
        <v>1</v>
      </c>
      <c r="M174" s="32"/>
      <c r="N174" s="31">
        <f ca="1">IFERROR(__xludf.DUMMYFUNCTION("""COMPUTED_VALUE"""),0)</f>
        <v>0</v>
      </c>
      <c r="O174" s="32">
        <f ca="1">IFERROR(__xludf.DUMMYFUNCTION("""COMPUTED_VALUE"""),0)</f>
        <v>0</v>
      </c>
      <c r="P174" s="32"/>
      <c r="Q174" s="32">
        <f ca="1">IFERROR(__xludf.DUMMYFUNCTION("""COMPUTED_VALUE"""),0)</f>
        <v>0</v>
      </c>
      <c r="R174" s="32"/>
      <c r="S174" s="31">
        <f ca="1">IFERROR(__xludf.DUMMYFUNCTION("""COMPUTED_VALUE"""),0)</f>
        <v>0</v>
      </c>
      <c r="T174" s="32">
        <f ca="1">IFERROR(__xludf.DUMMYFUNCTION("""COMPUTED_VALUE"""),0)</f>
        <v>0</v>
      </c>
      <c r="U174" s="32"/>
      <c r="V174" s="32">
        <f ca="1">IFERROR(__xludf.DUMMYFUNCTION("""COMPUTED_VALUE"""),0)</f>
        <v>0</v>
      </c>
      <c r="W174" s="32"/>
      <c r="X174" s="32">
        <f ca="1">IFERROR(__xludf.DUMMYFUNCTION("""COMPUTED_VALUE"""),0)</f>
        <v>0</v>
      </c>
      <c r="Y174" s="32"/>
      <c r="Z174" s="2"/>
      <c r="AA174" s="2"/>
      <c r="AB174" s="2"/>
      <c r="AC174" s="2"/>
      <c r="AD174" s="2"/>
      <c r="AE174" s="2"/>
    </row>
    <row r="175" spans="1:31" ht="12.75" x14ac:dyDescent="0.2">
      <c r="A175" s="28">
        <f ca="1">IFERROR(__xludf.DUMMYFUNCTION("""COMPUTED_VALUE"""),25)</f>
        <v>25</v>
      </c>
      <c r="B175" s="29" t="str">
        <f ca="1">IFERROR(__xludf.DUMMYFUNCTION("""COMPUTED_VALUE"""),"Nhóm trẻ Bảo Hân")</f>
        <v>Nhóm trẻ Bảo Hân</v>
      </c>
      <c r="C175" s="33" t="str">
        <f ca="1">IFERROR(__xludf.DUMMYFUNCTION("""COMPUTED_VALUE"""),"MN")</f>
        <v>MN</v>
      </c>
      <c r="D175" s="30" t="str">
        <f ca="1">IFERROR(__xludf.DUMMYFUNCTION("""COMPUTED_VALUE"""),"Tp. Thủ Đức")</f>
        <v>Tp. Thủ Đức</v>
      </c>
      <c r="E175" s="31">
        <f ca="1">IFERROR(__xludf.DUMMYFUNCTION("""COMPUTED_VALUE"""),4)</f>
        <v>4</v>
      </c>
      <c r="F175" s="32">
        <f ca="1">IFERROR(__xludf.DUMMYFUNCTION("""COMPUTED_VALUE"""),4)</f>
        <v>4</v>
      </c>
      <c r="G175" s="32"/>
      <c r="H175" s="32">
        <f ca="1">IFERROR(__xludf.DUMMYFUNCTION("""COMPUTED_VALUE"""),4)</f>
        <v>4</v>
      </c>
      <c r="I175" s="32"/>
      <c r="J175" s="32">
        <f ca="1">IFERROR(__xludf.DUMMYFUNCTION("""COMPUTED_VALUE"""),3)</f>
        <v>3</v>
      </c>
      <c r="K175" s="32"/>
      <c r="L175" s="32">
        <f ca="1">IFERROR(__xludf.DUMMYFUNCTION("""COMPUTED_VALUE"""),1)</f>
        <v>1</v>
      </c>
      <c r="M175" s="32"/>
      <c r="N175" s="31">
        <f ca="1">IFERROR(__xludf.DUMMYFUNCTION("""COMPUTED_VALUE"""),0)</f>
        <v>0</v>
      </c>
      <c r="O175" s="32">
        <f ca="1">IFERROR(__xludf.DUMMYFUNCTION("""COMPUTED_VALUE"""),0)</f>
        <v>0</v>
      </c>
      <c r="P175" s="32"/>
      <c r="Q175" s="32">
        <f ca="1">IFERROR(__xludf.DUMMYFUNCTION("""COMPUTED_VALUE"""),0)</f>
        <v>0</v>
      </c>
      <c r="R175" s="32"/>
      <c r="S175" s="31">
        <f ca="1">IFERROR(__xludf.DUMMYFUNCTION("""COMPUTED_VALUE"""),0)</f>
        <v>0</v>
      </c>
      <c r="T175" s="32">
        <f ca="1">IFERROR(__xludf.DUMMYFUNCTION("""COMPUTED_VALUE"""),0)</f>
        <v>0</v>
      </c>
      <c r="U175" s="32"/>
      <c r="V175" s="32">
        <f ca="1">IFERROR(__xludf.DUMMYFUNCTION("""COMPUTED_VALUE"""),0)</f>
        <v>0</v>
      </c>
      <c r="W175" s="32"/>
      <c r="X175" s="32">
        <f ca="1">IFERROR(__xludf.DUMMYFUNCTION("""COMPUTED_VALUE"""),0)</f>
        <v>0</v>
      </c>
      <c r="Y175" s="32"/>
      <c r="Z175" s="2"/>
      <c r="AA175" s="2"/>
      <c r="AB175" s="2"/>
      <c r="AC175" s="2"/>
      <c r="AD175" s="2"/>
      <c r="AE175" s="2"/>
    </row>
    <row r="176" spans="1:31" ht="12.75" x14ac:dyDescent="0.2">
      <c r="A176" s="28">
        <f ca="1">IFERROR(__xludf.DUMMYFUNCTION("""COMPUTED_VALUE"""),26)</f>
        <v>26</v>
      </c>
      <c r="B176" s="29" t="str">
        <f ca="1">IFERROR(__xludf.DUMMYFUNCTION("""COMPUTED_VALUE"""),"LMG Mai cham")</f>
        <v>LMG Mai cham</v>
      </c>
      <c r="C176" s="33" t="str">
        <f ca="1">IFERROR(__xludf.DUMMYFUNCTION("""COMPUTED_VALUE"""),"MN")</f>
        <v>MN</v>
      </c>
      <c r="D176" s="30" t="str">
        <f ca="1">IFERROR(__xludf.DUMMYFUNCTION("""COMPUTED_VALUE"""),"Tp. Thủ Đức")</f>
        <v>Tp. Thủ Đức</v>
      </c>
      <c r="E176" s="31">
        <f ca="1">IFERROR(__xludf.DUMMYFUNCTION("""COMPUTED_VALUE"""),7)</f>
        <v>7</v>
      </c>
      <c r="F176" s="32">
        <f ca="1">IFERROR(__xludf.DUMMYFUNCTION("""COMPUTED_VALUE"""),7)</f>
        <v>7</v>
      </c>
      <c r="G176" s="32"/>
      <c r="H176" s="32">
        <f ca="1">IFERROR(__xludf.DUMMYFUNCTION("""COMPUTED_VALUE"""),7)</f>
        <v>7</v>
      </c>
      <c r="I176" s="32"/>
      <c r="J176" s="32">
        <f ca="1">IFERROR(__xludf.DUMMYFUNCTION("""COMPUTED_VALUE"""),7)</f>
        <v>7</v>
      </c>
      <c r="K176" s="32"/>
      <c r="L176" s="32">
        <f ca="1">IFERROR(__xludf.DUMMYFUNCTION("""COMPUTED_VALUE"""),2)</f>
        <v>2</v>
      </c>
      <c r="M176" s="32"/>
      <c r="N176" s="31">
        <f ca="1">IFERROR(__xludf.DUMMYFUNCTION("""COMPUTED_VALUE"""),0)</f>
        <v>0</v>
      </c>
      <c r="O176" s="32">
        <f ca="1">IFERROR(__xludf.DUMMYFUNCTION("""COMPUTED_VALUE"""),0)</f>
        <v>0</v>
      </c>
      <c r="P176" s="32"/>
      <c r="Q176" s="32">
        <f ca="1">IFERROR(__xludf.DUMMYFUNCTION("""COMPUTED_VALUE"""),0)</f>
        <v>0</v>
      </c>
      <c r="R176" s="32"/>
      <c r="S176" s="31">
        <f ca="1">IFERROR(__xludf.DUMMYFUNCTION("""COMPUTED_VALUE"""),0)</f>
        <v>0</v>
      </c>
      <c r="T176" s="32">
        <f ca="1">IFERROR(__xludf.DUMMYFUNCTION("""COMPUTED_VALUE"""),0)</f>
        <v>0</v>
      </c>
      <c r="U176" s="32"/>
      <c r="V176" s="32">
        <f ca="1">IFERROR(__xludf.DUMMYFUNCTION("""COMPUTED_VALUE"""),0)</f>
        <v>0</v>
      </c>
      <c r="W176" s="32"/>
      <c r="X176" s="32">
        <f ca="1">IFERROR(__xludf.DUMMYFUNCTION("""COMPUTED_VALUE"""),0)</f>
        <v>0</v>
      </c>
      <c r="Y176" s="32"/>
      <c r="Z176" s="2"/>
      <c r="AA176" s="2"/>
      <c r="AB176" s="2"/>
      <c r="AC176" s="2"/>
      <c r="AD176" s="2"/>
      <c r="AE176" s="2"/>
    </row>
    <row r="177" spans="1:31" ht="12.75" x14ac:dyDescent="0.2">
      <c r="A177" s="28">
        <f ca="1">IFERROR(__xludf.DUMMYFUNCTION("""COMPUTED_VALUE"""),27)</f>
        <v>27</v>
      </c>
      <c r="B177" s="29" t="str">
        <f ca="1">IFERROR(__xludf.DUMMYFUNCTION("""COMPUTED_VALUE"""),"Nhóm trẻ Mầm Non Xanh")</f>
        <v>Nhóm trẻ Mầm Non Xanh</v>
      </c>
      <c r="C177" s="33" t="str">
        <f ca="1">IFERROR(__xludf.DUMMYFUNCTION("""COMPUTED_VALUE"""),"MN")</f>
        <v>MN</v>
      </c>
      <c r="D177" s="30" t="str">
        <f ca="1">IFERROR(__xludf.DUMMYFUNCTION("""COMPUTED_VALUE"""),"Tp. Thủ Đức")</f>
        <v>Tp. Thủ Đức</v>
      </c>
      <c r="E177" s="31">
        <f ca="1">IFERROR(__xludf.DUMMYFUNCTION("""COMPUTED_VALUE"""),3)</f>
        <v>3</v>
      </c>
      <c r="F177" s="32">
        <f ca="1">IFERROR(__xludf.DUMMYFUNCTION("""COMPUTED_VALUE"""),3)</f>
        <v>3</v>
      </c>
      <c r="G177" s="32"/>
      <c r="H177" s="32">
        <f ca="1">IFERROR(__xludf.DUMMYFUNCTION("""COMPUTED_VALUE"""),3)</f>
        <v>3</v>
      </c>
      <c r="I177" s="32"/>
      <c r="J177" s="32">
        <f ca="1">IFERROR(__xludf.DUMMYFUNCTION("""COMPUTED_VALUE"""),3)</f>
        <v>3</v>
      </c>
      <c r="K177" s="32"/>
      <c r="L177" s="32">
        <f ca="1">IFERROR(__xludf.DUMMYFUNCTION("""COMPUTED_VALUE"""),0)</f>
        <v>0</v>
      </c>
      <c r="M177" s="32"/>
      <c r="N177" s="31">
        <f ca="1">IFERROR(__xludf.DUMMYFUNCTION("""COMPUTED_VALUE"""),0)</f>
        <v>0</v>
      </c>
      <c r="O177" s="32">
        <f ca="1">IFERROR(__xludf.DUMMYFUNCTION("""COMPUTED_VALUE"""),0)</f>
        <v>0</v>
      </c>
      <c r="P177" s="32"/>
      <c r="Q177" s="32">
        <f ca="1">IFERROR(__xludf.DUMMYFUNCTION("""COMPUTED_VALUE"""),0)</f>
        <v>0</v>
      </c>
      <c r="R177" s="32"/>
      <c r="S177" s="31">
        <f ca="1">IFERROR(__xludf.DUMMYFUNCTION("""COMPUTED_VALUE"""),0)</f>
        <v>0</v>
      </c>
      <c r="T177" s="32">
        <f ca="1">IFERROR(__xludf.DUMMYFUNCTION("""COMPUTED_VALUE"""),0)</f>
        <v>0</v>
      </c>
      <c r="U177" s="32"/>
      <c r="V177" s="32">
        <f ca="1">IFERROR(__xludf.DUMMYFUNCTION("""COMPUTED_VALUE"""),0)</f>
        <v>0</v>
      </c>
      <c r="W177" s="32"/>
      <c r="X177" s="32">
        <f ca="1">IFERROR(__xludf.DUMMYFUNCTION("""COMPUTED_VALUE"""),0)</f>
        <v>0</v>
      </c>
      <c r="Y177" s="32"/>
      <c r="Z177" s="2"/>
      <c r="AA177" s="2"/>
      <c r="AB177" s="2"/>
      <c r="AC177" s="2"/>
      <c r="AD177" s="2"/>
      <c r="AE177" s="2"/>
    </row>
    <row r="178" spans="1:31" ht="12.75" x14ac:dyDescent="0.2">
      <c r="A178" s="28">
        <f ca="1">IFERROR(__xludf.DUMMYFUNCTION("""COMPUTED_VALUE"""),28)</f>
        <v>28</v>
      </c>
      <c r="B178" s="29" t="str">
        <f ca="1">IFERROR(__xludf.DUMMYFUNCTION("""COMPUTED_VALUE"""),"Nhóm trẻ Ánh Binh Minh")</f>
        <v>Nhóm trẻ Ánh Binh Minh</v>
      </c>
      <c r="C178" s="33" t="str">
        <f ca="1">IFERROR(__xludf.DUMMYFUNCTION("""COMPUTED_VALUE"""),"MN")</f>
        <v>MN</v>
      </c>
      <c r="D178" s="30" t="str">
        <f ca="1">IFERROR(__xludf.DUMMYFUNCTION("""COMPUTED_VALUE"""),"Tp. Thủ Đức")</f>
        <v>Tp. Thủ Đức</v>
      </c>
      <c r="E178" s="31">
        <f ca="1">IFERROR(__xludf.DUMMYFUNCTION("""COMPUTED_VALUE"""),8)</f>
        <v>8</v>
      </c>
      <c r="F178" s="32">
        <f ca="1">IFERROR(__xludf.DUMMYFUNCTION("""COMPUTED_VALUE"""),8)</f>
        <v>8</v>
      </c>
      <c r="G178" s="32"/>
      <c r="H178" s="32">
        <f ca="1">IFERROR(__xludf.DUMMYFUNCTION("""COMPUTED_VALUE"""),8)</f>
        <v>8</v>
      </c>
      <c r="I178" s="32"/>
      <c r="J178" s="32">
        <f ca="1">IFERROR(__xludf.DUMMYFUNCTION("""COMPUTED_VALUE"""),8)</f>
        <v>8</v>
      </c>
      <c r="K178" s="32"/>
      <c r="L178" s="32">
        <f ca="1">IFERROR(__xludf.DUMMYFUNCTION("""COMPUTED_VALUE"""),2)</f>
        <v>2</v>
      </c>
      <c r="M178" s="32"/>
      <c r="N178" s="31">
        <f ca="1">IFERROR(__xludf.DUMMYFUNCTION("""COMPUTED_VALUE"""),0)</f>
        <v>0</v>
      </c>
      <c r="O178" s="32">
        <f ca="1">IFERROR(__xludf.DUMMYFUNCTION("""COMPUTED_VALUE"""),0)</f>
        <v>0</v>
      </c>
      <c r="P178" s="32"/>
      <c r="Q178" s="32">
        <f ca="1">IFERROR(__xludf.DUMMYFUNCTION("""COMPUTED_VALUE"""),0)</f>
        <v>0</v>
      </c>
      <c r="R178" s="32"/>
      <c r="S178" s="31">
        <f ca="1">IFERROR(__xludf.DUMMYFUNCTION("""COMPUTED_VALUE"""),0)</f>
        <v>0</v>
      </c>
      <c r="T178" s="32">
        <f ca="1">IFERROR(__xludf.DUMMYFUNCTION("""COMPUTED_VALUE"""),0)</f>
        <v>0</v>
      </c>
      <c r="U178" s="32"/>
      <c r="V178" s="32">
        <f ca="1">IFERROR(__xludf.DUMMYFUNCTION("""COMPUTED_VALUE"""),0)</f>
        <v>0</v>
      </c>
      <c r="W178" s="32"/>
      <c r="X178" s="32">
        <f ca="1">IFERROR(__xludf.DUMMYFUNCTION("""COMPUTED_VALUE"""),0)</f>
        <v>0</v>
      </c>
      <c r="Y178" s="32"/>
      <c r="Z178" s="2"/>
      <c r="AA178" s="2"/>
      <c r="AB178" s="2"/>
      <c r="AC178" s="2"/>
      <c r="AD178" s="2"/>
      <c r="AE178" s="2"/>
    </row>
    <row r="179" spans="1:31" ht="12.75" x14ac:dyDescent="0.2">
      <c r="A179" s="28">
        <f ca="1">IFERROR(__xludf.DUMMYFUNCTION("""COMPUTED_VALUE"""),29)</f>
        <v>29</v>
      </c>
      <c r="B179" s="29" t="str">
        <f ca="1">IFERROR(__xludf.DUMMYFUNCTION("""COMPUTED_VALUE"""),"LMG Tuổi Thần Tiên")</f>
        <v>LMG Tuổi Thần Tiên</v>
      </c>
      <c r="C179" s="33" t="str">
        <f ca="1">IFERROR(__xludf.DUMMYFUNCTION("""COMPUTED_VALUE"""),"MN")</f>
        <v>MN</v>
      </c>
      <c r="D179" s="30" t="str">
        <f ca="1">IFERROR(__xludf.DUMMYFUNCTION("""COMPUTED_VALUE"""),"Tp. Thủ Đức")</f>
        <v>Tp. Thủ Đức</v>
      </c>
      <c r="E179" s="31">
        <f ca="1">IFERROR(__xludf.DUMMYFUNCTION("""COMPUTED_VALUE"""),4)</f>
        <v>4</v>
      </c>
      <c r="F179" s="32">
        <f ca="1">IFERROR(__xludf.DUMMYFUNCTION("""COMPUTED_VALUE"""),4)</f>
        <v>4</v>
      </c>
      <c r="G179" s="32"/>
      <c r="H179" s="32">
        <f ca="1">IFERROR(__xludf.DUMMYFUNCTION("""COMPUTED_VALUE"""),4)</f>
        <v>4</v>
      </c>
      <c r="I179" s="32"/>
      <c r="J179" s="32">
        <f ca="1">IFERROR(__xludf.DUMMYFUNCTION("""COMPUTED_VALUE"""),4)</f>
        <v>4</v>
      </c>
      <c r="K179" s="32"/>
      <c r="L179" s="32">
        <f ca="1">IFERROR(__xludf.DUMMYFUNCTION("""COMPUTED_VALUE"""),0)</f>
        <v>0</v>
      </c>
      <c r="M179" s="32"/>
      <c r="N179" s="31">
        <f ca="1">IFERROR(__xludf.DUMMYFUNCTION("""COMPUTED_VALUE"""),0)</f>
        <v>0</v>
      </c>
      <c r="O179" s="32">
        <f ca="1">IFERROR(__xludf.DUMMYFUNCTION("""COMPUTED_VALUE"""),0)</f>
        <v>0</v>
      </c>
      <c r="P179" s="32"/>
      <c r="Q179" s="32">
        <f ca="1">IFERROR(__xludf.DUMMYFUNCTION("""COMPUTED_VALUE"""),0)</f>
        <v>0</v>
      </c>
      <c r="R179" s="32"/>
      <c r="S179" s="31">
        <f ca="1">IFERROR(__xludf.DUMMYFUNCTION("""COMPUTED_VALUE"""),0)</f>
        <v>0</v>
      </c>
      <c r="T179" s="32">
        <f ca="1">IFERROR(__xludf.DUMMYFUNCTION("""COMPUTED_VALUE"""),0)</f>
        <v>0</v>
      </c>
      <c r="U179" s="32"/>
      <c r="V179" s="32">
        <f ca="1">IFERROR(__xludf.DUMMYFUNCTION("""COMPUTED_VALUE"""),0)</f>
        <v>0</v>
      </c>
      <c r="W179" s="32"/>
      <c r="X179" s="32">
        <f ca="1">IFERROR(__xludf.DUMMYFUNCTION("""COMPUTED_VALUE"""),0)</f>
        <v>0</v>
      </c>
      <c r="Y179" s="32"/>
      <c r="Z179" s="2"/>
      <c r="AA179" s="2"/>
      <c r="AB179" s="2"/>
      <c r="AC179" s="2"/>
      <c r="AD179" s="2"/>
      <c r="AE179" s="2"/>
    </row>
    <row r="180" spans="1:31" ht="12.75" x14ac:dyDescent="0.2">
      <c r="A180" s="28">
        <f ca="1">IFERROR(__xludf.DUMMYFUNCTION("""COMPUTED_VALUE"""),30)</f>
        <v>30</v>
      </c>
      <c r="B180" s="29" t="str">
        <f ca="1">IFERROR(__xludf.DUMMYFUNCTION("""COMPUTED_VALUE"""),"LMN Hoa Xuyến Chi")</f>
        <v>LMN Hoa Xuyến Chi</v>
      </c>
      <c r="C180" s="33" t="str">
        <f ca="1">IFERROR(__xludf.DUMMYFUNCTION("""COMPUTED_VALUE"""),"MN")</f>
        <v>MN</v>
      </c>
      <c r="D180" s="30" t="str">
        <f ca="1">IFERROR(__xludf.DUMMYFUNCTION("""COMPUTED_VALUE"""),"Tp. Thủ Đức")</f>
        <v>Tp. Thủ Đức</v>
      </c>
      <c r="E180" s="31">
        <f ca="1">IFERROR(__xludf.DUMMYFUNCTION("""COMPUTED_VALUE"""),4)</f>
        <v>4</v>
      </c>
      <c r="F180" s="32">
        <f ca="1">IFERROR(__xludf.DUMMYFUNCTION("""COMPUTED_VALUE"""),4)</f>
        <v>4</v>
      </c>
      <c r="G180" s="32"/>
      <c r="H180" s="32">
        <f ca="1">IFERROR(__xludf.DUMMYFUNCTION("""COMPUTED_VALUE"""),4)</f>
        <v>4</v>
      </c>
      <c r="I180" s="32"/>
      <c r="J180" s="32">
        <f ca="1">IFERROR(__xludf.DUMMYFUNCTION("""COMPUTED_VALUE"""),4)</f>
        <v>4</v>
      </c>
      <c r="K180" s="32"/>
      <c r="L180" s="32">
        <f ca="1">IFERROR(__xludf.DUMMYFUNCTION("""COMPUTED_VALUE"""),0)</f>
        <v>0</v>
      </c>
      <c r="M180" s="32"/>
      <c r="N180" s="31">
        <f ca="1">IFERROR(__xludf.DUMMYFUNCTION("""COMPUTED_VALUE"""),0)</f>
        <v>0</v>
      </c>
      <c r="O180" s="32">
        <f ca="1">IFERROR(__xludf.DUMMYFUNCTION("""COMPUTED_VALUE"""),0)</f>
        <v>0</v>
      </c>
      <c r="P180" s="32"/>
      <c r="Q180" s="32">
        <f ca="1">IFERROR(__xludf.DUMMYFUNCTION("""COMPUTED_VALUE"""),0)</f>
        <v>0</v>
      </c>
      <c r="R180" s="32"/>
      <c r="S180" s="31">
        <f ca="1">IFERROR(__xludf.DUMMYFUNCTION("""COMPUTED_VALUE"""),0)</f>
        <v>0</v>
      </c>
      <c r="T180" s="32">
        <f ca="1">IFERROR(__xludf.DUMMYFUNCTION("""COMPUTED_VALUE"""),0)</f>
        <v>0</v>
      </c>
      <c r="U180" s="32"/>
      <c r="V180" s="32">
        <f ca="1">IFERROR(__xludf.DUMMYFUNCTION("""COMPUTED_VALUE"""),0)</f>
        <v>0</v>
      </c>
      <c r="W180" s="32"/>
      <c r="X180" s="32">
        <f ca="1">IFERROR(__xludf.DUMMYFUNCTION("""COMPUTED_VALUE"""),0)</f>
        <v>0</v>
      </c>
      <c r="Y180" s="32"/>
      <c r="Z180" s="2"/>
      <c r="AA180" s="2"/>
      <c r="AB180" s="2"/>
      <c r="AC180" s="2"/>
      <c r="AD180" s="2"/>
      <c r="AE180" s="2"/>
    </row>
    <row r="181" spans="1:31" ht="12.75" x14ac:dyDescent="0.2">
      <c r="A181" s="28">
        <f ca="1">IFERROR(__xludf.DUMMYFUNCTION("""COMPUTED_VALUE"""),31)</f>
        <v>31</v>
      </c>
      <c r="B181" s="29" t="str">
        <f ca="1">IFERROR(__xludf.DUMMYFUNCTION("""COMPUTED_VALUE"""),"Nhóm trẻ Tổ Ong Vàng")</f>
        <v>Nhóm trẻ Tổ Ong Vàng</v>
      </c>
      <c r="C181" s="33" t="str">
        <f ca="1">IFERROR(__xludf.DUMMYFUNCTION("""COMPUTED_VALUE"""),"MN")</f>
        <v>MN</v>
      </c>
      <c r="D181" s="30" t="str">
        <f ca="1">IFERROR(__xludf.DUMMYFUNCTION("""COMPUTED_VALUE"""),"Tp. Thủ Đức")</f>
        <v>Tp. Thủ Đức</v>
      </c>
      <c r="E181" s="31">
        <f ca="1">IFERROR(__xludf.DUMMYFUNCTION("""COMPUTED_VALUE"""),10)</f>
        <v>10</v>
      </c>
      <c r="F181" s="32">
        <f ca="1">IFERROR(__xludf.DUMMYFUNCTION("""COMPUTED_VALUE"""),10)</f>
        <v>10</v>
      </c>
      <c r="G181" s="32"/>
      <c r="H181" s="32">
        <f ca="1">IFERROR(__xludf.DUMMYFUNCTION("""COMPUTED_VALUE"""),10)</f>
        <v>10</v>
      </c>
      <c r="I181" s="32"/>
      <c r="J181" s="32">
        <f ca="1">IFERROR(__xludf.DUMMYFUNCTION("""COMPUTED_VALUE"""),10)</f>
        <v>10</v>
      </c>
      <c r="K181" s="32"/>
      <c r="L181" s="32">
        <f ca="1">IFERROR(__xludf.DUMMYFUNCTION("""COMPUTED_VALUE"""),0)</f>
        <v>0</v>
      </c>
      <c r="M181" s="32"/>
      <c r="N181" s="31">
        <f ca="1">IFERROR(__xludf.DUMMYFUNCTION("""COMPUTED_VALUE"""),0)</f>
        <v>0</v>
      </c>
      <c r="O181" s="32">
        <f ca="1">IFERROR(__xludf.DUMMYFUNCTION("""COMPUTED_VALUE"""),0)</f>
        <v>0</v>
      </c>
      <c r="P181" s="32"/>
      <c r="Q181" s="32">
        <f ca="1">IFERROR(__xludf.DUMMYFUNCTION("""COMPUTED_VALUE"""),0)</f>
        <v>0</v>
      </c>
      <c r="R181" s="32"/>
      <c r="S181" s="31">
        <f ca="1">IFERROR(__xludf.DUMMYFUNCTION("""COMPUTED_VALUE"""),0)</f>
        <v>0</v>
      </c>
      <c r="T181" s="32">
        <f ca="1">IFERROR(__xludf.DUMMYFUNCTION("""COMPUTED_VALUE"""),0)</f>
        <v>0</v>
      </c>
      <c r="U181" s="32"/>
      <c r="V181" s="32">
        <f ca="1">IFERROR(__xludf.DUMMYFUNCTION("""COMPUTED_VALUE"""),0)</f>
        <v>0</v>
      </c>
      <c r="W181" s="32"/>
      <c r="X181" s="32">
        <f ca="1">IFERROR(__xludf.DUMMYFUNCTION("""COMPUTED_VALUE"""),0)</f>
        <v>0</v>
      </c>
      <c r="Y181" s="32"/>
      <c r="Z181" s="2"/>
      <c r="AA181" s="2"/>
      <c r="AB181" s="2"/>
      <c r="AC181" s="2"/>
      <c r="AD181" s="2"/>
      <c r="AE181" s="2"/>
    </row>
    <row r="182" spans="1:31" ht="12.75" x14ac:dyDescent="0.2">
      <c r="A182" s="28">
        <f ca="1">IFERROR(__xludf.DUMMYFUNCTION("""COMPUTED_VALUE"""),32)</f>
        <v>32</v>
      </c>
      <c r="B182" s="29" t="str">
        <f ca="1">IFERROR(__xludf.DUMMYFUNCTION("""COMPUTED_VALUE"""),"LMG Ngôi Sao Sáng")</f>
        <v>LMG Ngôi Sao Sáng</v>
      </c>
      <c r="C182" s="33" t="str">
        <f ca="1">IFERROR(__xludf.DUMMYFUNCTION("""COMPUTED_VALUE"""),"MN")</f>
        <v>MN</v>
      </c>
      <c r="D182" s="30" t="str">
        <f ca="1">IFERROR(__xludf.DUMMYFUNCTION("""COMPUTED_VALUE"""),"Tp. Thủ Đức")</f>
        <v>Tp. Thủ Đức</v>
      </c>
      <c r="E182" s="31">
        <f ca="1">IFERROR(__xludf.DUMMYFUNCTION("""COMPUTED_VALUE"""),3)</f>
        <v>3</v>
      </c>
      <c r="F182" s="32">
        <f ca="1">IFERROR(__xludf.DUMMYFUNCTION("""COMPUTED_VALUE"""),3)</f>
        <v>3</v>
      </c>
      <c r="G182" s="32"/>
      <c r="H182" s="32">
        <f ca="1">IFERROR(__xludf.DUMMYFUNCTION("""COMPUTED_VALUE"""),3)</f>
        <v>3</v>
      </c>
      <c r="I182" s="32"/>
      <c r="J182" s="32">
        <f ca="1">IFERROR(__xludf.DUMMYFUNCTION("""COMPUTED_VALUE"""),3)</f>
        <v>3</v>
      </c>
      <c r="K182" s="32"/>
      <c r="L182" s="32">
        <f ca="1">IFERROR(__xludf.DUMMYFUNCTION("""COMPUTED_VALUE"""),1)</f>
        <v>1</v>
      </c>
      <c r="M182" s="32"/>
      <c r="N182" s="31">
        <f ca="1">IFERROR(__xludf.DUMMYFUNCTION("""COMPUTED_VALUE"""),0)</f>
        <v>0</v>
      </c>
      <c r="O182" s="32">
        <f ca="1">IFERROR(__xludf.DUMMYFUNCTION("""COMPUTED_VALUE"""),0)</f>
        <v>0</v>
      </c>
      <c r="P182" s="32"/>
      <c r="Q182" s="32">
        <f ca="1">IFERROR(__xludf.DUMMYFUNCTION("""COMPUTED_VALUE"""),0)</f>
        <v>0</v>
      </c>
      <c r="R182" s="32"/>
      <c r="S182" s="31">
        <f ca="1">IFERROR(__xludf.DUMMYFUNCTION("""COMPUTED_VALUE"""),0)</f>
        <v>0</v>
      </c>
      <c r="T182" s="32">
        <f ca="1">IFERROR(__xludf.DUMMYFUNCTION("""COMPUTED_VALUE"""),0)</f>
        <v>0</v>
      </c>
      <c r="U182" s="32"/>
      <c r="V182" s="32">
        <f ca="1">IFERROR(__xludf.DUMMYFUNCTION("""COMPUTED_VALUE"""),0)</f>
        <v>0</v>
      </c>
      <c r="W182" s="32"/>
      <c r="X182" s="32">
        <f ca="1">IFERROR(__xludf.DUMMYFUNCTION("""COMPUTED_VALUE"""),0)</f>
        <v>0</v>
      </c>
      <c r="Y182" s="32"/>
      <c r="Z182" s="2"/>
      <c r="AA182" s="2"/>
      <c r="AB182" s="2"/>
      <c r="AC182" s="2"/>
      <c r="AD182" s="2"/>
      <c r="AE182" s="2"/>
    </row>
    <row r="183" spans="1:31" ht="12.75" x14ac:dyDescent="0.2">
      <c r="A183" s="28">
        <f ca="1">IFERROR(__xludf.DUMMYFUNCTION("""COMPUTED_VALUE"""),33)</f>
        <v>33</v>
      </c>
      <c r="B183" s="29" t="str">
        <f ca="1">IFERROR(__xludf.DUMMYFUNCTION("""COMPUTED_VALUE"""),"LMG Trẻ Em Mới")</f>
        <v>LMG Trẻ Em Mới</v>
      </c>
      <c r="C183" s="33" t="str">
        <f ca="1">IFERROR(__xludf.DUMMYFUNCTION("""COMPUTED_VALUE"""),"MN")</f>
        <v>MN</v>
      </c>
      <c r="D183" s="30" t="str">
        <f ca="1">IFERROR(__xludf.DUMMYFUNCTION("""COMPUTED_VALUE"""),"Tp. Thủ Đức")</f>
        <v>Tp. Thủ Đức</v>
      </c>
      <c r="E183" s="31">
        <f ca="1">IFERROR(__xludf.DUMMYFUNCTION("""COMPUTED_VALUE"""),16)</f>
        <v>16</v>
      </c>
      <c r="F183" s="32">
        <f ca="1">IFERROR(__xludf.DUMMYFUNCTION("""COMPUTED_VALUE"""),16)</f>
        <v>16</v>
      </c>
      <c r="G183" s="32"/>
      <c r="H183" s="32">
        <f ca="1">IFERROR(__xludf.DUMMYFUNCTION("""COMPUTED_VALUE"""),16)</f>
        <v>16</v>
      </c>
      <c r="I183" s="32"/>
      <c r="J183" s="32">
        <f ca="1">IFERROR(__xludf.DUMMYFUNCTION("""COMPUTED_VALUE"""),10)</f>
        <v>10</v>
      </c>
      <c r="K183" s="32"/>
      <c r="L183" s="32">
        <f ca="1">IFERROR(__xludf.DUMMYFUNCTION("""COMPUTED_VALUE"""),6)</f>
        <v>6</v>
      </c>
      <c r="M183" s="32"/>
      <c r="N183" s="31">
        <f ca="1">IFERROR(__xludf.DUMMYFUNCTION("""COMPUTED_VALUE"""),0)</f>
        <v>0</v>
      </c>
      <c r="O183" s="32">
        <f ca="1">IFERROR(__xludf.DUMMYFUNCTION("""COMPUTED_VALUE"""),0)</f>
        <v>0</v>
      </c>
      <c r="P183" s="32"/>
      <c r="Q183" s="32">
        <f ca="1">IFERROR(__xludf.DUMMYFUNCTION("""COMPUTED_VALUE"""),0)</f>
        <v>0</v>
      </c>
      <c r="R183" s="32"/>
      <c r="S183" s="31">
        <f ca="1">IFERROR(__xludf.DUMMYFUNCTION("""COMPUTED_VALUE"""),0)</f>
        <v>0</v>
      </c>
      <c r="T183" s="32">
        <f ca="1">IFERROR(__xludf.DUMMYFUNCTION("""COMPUTED_VALUE"""),0)</f>
        <v>0</v>
      </c>
      <c r="U183" s="32"/>
      <c r="V183" s="32">
        <f ca="1">IFERROR(__xludf.DUMMYFUNCTION("""COMPUTED_VALUE"""),0)</f>
        <v>0</v>
      </c>
      <c r="W183" s="32"/>
      <c r="X183" s="32">
        <f ca="1">IFERROR(__xludf.DUMMYFUNCTION("""COMPUTED_VALUE"""),0)</f>
        <v>0</v>
      </c>
      <c r="Y183" s="32"/>
      <c r="Z183" s="2"/>
      <c r="AA183" s="2"/>
      <c r="AB183" s="2"/>
      <c r="AC183" s="2"/>
      <c r="AD183" s="2"/>
      <c r="AE183" s="2"/>
    </row>
    <row r="184" spans="1:31" ht="12.75" x14ac:dyDescent="0.2">
      <c r="A184" s="28">
        <f ca="1">IFERROR(__xludf.DUMMYFUNCTION("""COMPUTED_VALUE"""),34)</f>
        <v>34</v>
      </c>
      <c r="B184" s="29" t="str">
        <f ca="1">IFERROR(__xludf.DUMMYFUNCTION("""COMPUTED_VALUE"""),"LMG Mùa Xuân")</f>
        <v>LMG Mùa Xuân</v>
      </c>
      <c r="C184" s="33" t="str">
        <f ca="1">IFERROR(__xludf.DUMMYFUNCTION("""COMPUTED_VALUE"""),"MN")</f>
        <v>MN</v>
      </c>
      <c r="D184" s="30" t="str">
        <f ca="1">IFERROR(__xludf.DUMMYFUNCTION("""COMPUTED_VALUE"""),"Tp. Thủ Đức")</f>
        <v>Tp. Thủ Đức</v>
      </c>
      <c r="E184" s="31">
        <f ca="1">IFERROR(__xludf.DUMMYFUNCTION("""COMPUTED_VALUE"""),3)</f>
        <v>3</v>
      </c>
      <c r="F184" s="32">
        <f ca="1">IFERROR(__xludf.DUMMYFUNCTION("""COMPUTED_VALUE"""),3)</f>
        <v>3</v>
      </c>
      <c r="G184" s="32"/>
      <c r="H184" s="32">
        <f ca="1">IFERROR(__xludf.DUMMYFUNCTION("""COMPUTED_VALUE"""),3)</f>
        <v>3</v>
      </c>
      <c r="I184" s="32"/>
      <c r="J184" s="32">
        <f ca="1">IFERROR(__xludf.DUMMYFUNCTION("""COMPUTED_VALUE"""),2)</f>
        <v>2</v>
      </c>
      <c r="K184" s="32"/>
      <c r="L184" s="32">
        <f ca="1">IFERROR(__xludf.DUMMYFUNCTION("""COMPUTED_VALUE"""),1)</f>
        <v>1</v>
      </c>
      <c r="M184" s="32"/>
      <c r="N184" s="31">
        <f ca="1">IFERROR(__xludf.DUMMYFUNCTION("""COMPUTED_VALUE"""),0)</f>
        <v>0</v>
      </c>
      <c r="O184" s="32">
        <f ca="1">IFERROR(__xludf.DUMMYFUNCTION("""COMPUTED_VALUE"""),0)</f>
        <v>0</v>
      </c>
      <c r="P184" s="32"/>
      <c r="Q184" s="32">
        <f ca="1">IFERROR(__xludf.DUMMYFUNCTION("""COMPUTED_VALUE"""),0)</f>
        <v>0</v>
      </c>
      <c r="R184" s="32"/>
      <c r="S184" s="31">
        <f ca="1">IFERROR(__xludf.DUMMYFUNCTION("""COMPUTED_VALUE"""),0)</f>
        <v>0</v>
      </c>
      <c r="T184" s="32">
        <f ca="1">IFERROR(__xludf.DUMMYFUNCTION("""COMPUTED_VALUE"""),0)</f>
        <v>0</v>
      </c>
      <c r="U184" s="32"/>
      <c r="V184" s="32">
        <f ca="1">IFERROR(__xludf.DUMMYFUNCTION("""COMPUTED_VALUE"""),0)</f>
        <v>0</v>
      </c>
      <c r="W184" s="32"/>
      <c r="X184" s="32">
        <f ca="1">IFERROR(__xludf.DUMMYFUNCTION("""COMPUTED_VALUE"""),0)</f>
        <v>0</v>
      </c>
      <c r="Y184" s="32"/>
      <c r="Z184" s="2"/>
      <c r="AA184" s="2"/>
      <c r="AB184" s="2"/>
      <c r="AC184" s="2"/>
      <c r="AD184" s="2"/>
      <c r="AE184" s="2"/>
    </row>
    <row r="185" spans="1:31" ht="12.75" x14ac:dyDescent="0.2">
      <c r="A185" s="28">
        <f ca="1">IFERROR(__xludf.DUMMYFUNCTION("""COMPUTED_VALUE"""),35)</f>
        <v>35</v>
      </c>
      <c r="B185" s="29" t="str">
        <f ca="1">IFERROR(__xludf.DUMMYFUNCTION("""COMPUTED_VALUE"""),"LMG Hoa Trà My")</f>
        <v>LMG Hoa Trà My</v>
      </c>
      <c r="C185" s="33" t="str">
        <f ca="1">IFERROR(__xludf.DUMMYFUNCTION("""COMPUTED_VALUE"""),"MN")</f>
        <v>MN</v>
      </c>
      <c r="D185" s="30" t="str">
        <f ca="1">IFERROR(__xludf.DUMMYFUNCTION("""COMPUTED_VALUE"""),"Tp. Thủ Đức")</f>
        <v>Tp. Thủ Đức</v>
      </c>
      <c r="E185" s="31">
        <f ca="1">IFERROR(__xludf.DUMMYFUNCTION("""COMPUTED_VALUE"""),5)</f>
        <v>5</v>
      </c>
      <c r="F185" s="32">
        <f ca="1">IFERROR(__xludf.DUMMYFUNCTION("""COMPUTED_VALUE"""),5)</f>
        <v>5</v>
      </c>
      <c r="G185" s="32"/>
      <c r="H185" s="32">
        <f ca="1">IFERROR(__xludf.DUMMYFUNCTION("""COMPUTED_VALUE"""),5)</f>
        <v>5</v>
      </c>
      <c r="I185" s="32"/>
      <c r="J185" s="32">
        <f ca="1">IFERROR(__xludf.DUMMYFUNCTION("""COMPUTED_VALUE"""),5)</f>
        <v>5</v>
      </c>
      <c r="K185" s="32"/>
      <c r="L185" s="32">
        <f ca="1">IFERROR(__xludf.DUMMYFUNCTION("""COMPUTED_VALUE"""),2)</f>
        <v>2</v>
      </c>
      <c r="M185" s="32"/>
      <c r="N185" s="31">
        <f ca="1">IFERROR(__xludf.DUMMYFUNCTION("""COMPUTED_VALUE"""),0)</f>
        <v>0</v>
      </c>
      <c r="O185" s="32">
        <f ca="1">IFERROR(__xludf.DUMMYFUNCTION("""COMPUTED_VALUE"""),0)</f>
        <v>0</v>
      </c>
      <c r="P185" s="32"/>
      <c r="Q185" s="32">
        <f ca="1">IFERROR(__xludf.DUMMYFUNCTION("""COMPUTED_VALUE"""),0)</f>
        <v>0</v>
      </c>
      <c r="R185" s="32"/>
      <c r="S185" s="31">
        <f ca="1">IFERROR(__xludf.DUMMYFUNCTION("""COMPUTED_VALUE"""),0)</f>
        <v>0</v>
      </c>
      <c r="T185" s="32">
        <f ca="1">IFERROR(__xludf.DUMMYFUNCTION("""COMPUTED_VALUE"""),0)</f>
        <v>0</v>
      </c>
      <c r="U185" s="32"/>
      <c r="V185" s="32">
        <f ca="1">IFERROR(__xludf.DUMMYFUNCTION("""COMPUTED_VALUE"""),0)</f>
        <v>0</v>
      </c>
      <c r="W185" s="32"/>
      <c r="X185" s="32">
        <f ca="1">IFERROR(__xludf.DUMMYFUNCTION("""COMPUTED_VALUE"""),0)</f>
        <v>0</v>
      </c>
      <c r="Y185" s="32"/>
      <c r="Z185" s="2"/>
      <c r="AA185" s="2"/>
      <c r="AB185" s="2"/>
      <c r="AC185" s="2"/>
      <c r="AD185" s="2"/>
      <c r="AE185" s="2"/>
    </row>
    <row r="186" spans="1:31" ht="12.75" x14ac:dyDescent="0.2">
      <c r="A186" s="28">
        <f ca="1">IFERROR(__xludf.DUMMYFUNCTION("""COMPUTED_VALUE"""),36)</f>
        <v>36</v>
      </c>
      <c r="B186" s="29" t="str">
        <f ca="1">IFERROR(__xludf.DUMMYFUNCTION("""COMPUTED_VALUE"""),"LMG Bông Hoa Nhỏ")</f>
        <v>LMG Bông Hoa Nhỏ</v>
      </c>
      <c r="C186" s="33" t="str">
        <f ca="1">IFERROR(__xludf.DUMMYFUNCTION("""COMPUTED_VALUE"""),"MN")</f>
        <v>MN</v>
      </c>
      <c r="D186" s="30" t="str">
        <f ca="1">IFERROR(__xludf.DUMMYFUNCTION("""COMPUTED_VALUE"""),"Tp. Thủ Đức")</f>
        <v>Tp. Thủ Đức</v>
      </c>
      <c r="E186" s="31">
        <f ca="1">IFERROR(__xludf.DUMMYFUNCTION("""COMPUTED_VALUE"""),11)</f>
        <v>11</v>
      </c>
      <c r="F186" s="32">
        <f ca="1">IFERROR(__xludf.DUMMYFUNCTION("""COMPUTED_VALUE"""),11)</f>
        <v>11</v>
      </c>
      <c r="G186" s="32"/>
      <c r="H186" s="32">
        <f ca="1">IFERROR(__xludf.DUMMYFUNCTION("""COMPUTED_VALUE"""),5)</f>
        <v>5</v>
      </c>
      <c r="I186" s="32"/>
      <c r="J186" s="32">
        <f ca="1">IFERROR(__xludf.DUMMYFUNCTION("""COMPUTED_VALUE"""),5)</f>
        <v>5</v>
      </c>
      <c r="K186" s="32"/>
      <c r="L186" s="32">
        <f ca="1">IFERROR(__xludf.DUMMYFUNCTION("""COMPUTED_VALUE"""),1)</f>
        <v>1</v>
      </c>
      <c r="M186" s="32"/>
      <c r="N186" s="31">
        <f ca="1">IFERROR(__xludf.DUMMYFUNCTION("""COMPUTED_VALUE"""),0)</f>
        <v>0</v>
      </c>
      <c r="O186" s="32">
        <f ca="1">IFERROR(__xludf.DUMMYFUNCTION("""COMPUTED_VALUE"""),0)</f>
        <v>0</v>
      </c>
      <c r="P186" s="32"/>
      <c r="Q186" s="32">
        <f ca="1">IFERROR(__xludf.DUMMYFUNCTION("""COMPUTED_VALUE"""),0)</f>
        <v>0</v>
      </c>
      <c r="R186" s="32"/>
      <c r="S186" s="31">
        <f ca="1">IFERROR(__xludf.DUMMYFUNCTION("""COMPUTED_VALUE"""),0)</f>
        <v>0</v>
      </c>
      <c r="T186" s="32">
        <f ca="1">IFERROR(__xludf.DUMMYFUNCTION("""COMPUTED_VALUE"""),0)</f>
        <v>0</v>
      </c>
      <c r="U186" s="32"/>
      <c r="V186" s="32">
        <f ca="1">IFERROR(__xludf.DUMMYFUNCTION("""COMPUTED_VALUE"""),0)</f>
        <v>0</v>
      </c>
      <c r="W186" s="32"/>
      <c r="X186" s="32">
        <f ca="1">IFERROR(__xludf.DUMMYFUNCTION("""COMPUTED_VALUE"""),0)</f>
        <v>0</v>
      </c>
      <c r="Y186" s="32"/>
      <c r="Z186" s="2"/>
      <c r="AA186" s="2"/>
      <c r="AB186" s="2"/>
      <c r="AC186" s="2"/>
      <c r="AD186" s="2"/>
      <c r="AE186" s="2"/>
    </row>
    <row r="187" spans="1:31" ht="12.75" x14ac:dyDescent="0.2">
      <c r="A187" s="28">
        <f ca="1">IFERROR(__xludf.DUMMYFUNCTION("""COMPUTED_VALUE"""),37)</f>
        <v>37</v>
      </c>
      <c r="B187" s="29" t="str">
        <f ca="1">IFERROR(__xludf.DUMMYFUNCTION("""COMPUTED_VALUE"""),"NT Ngôi Sao Nhỏ")</f>
        <v>NT Ngôi Sao Nhỏ</v>
      </c>
      <c r="C187" s="33" t="str">
        <f ca="1">IFERROR(__xludf.DUMMYFUNCTION("""COMPUTED_VALUE"""),"MN")</f>
        <v>MN</v>
      </c>
      <c r="D187" s="30" t="str">
        <f ca="1">IFERROR(__xludf.DUMMYFUNCTION("""COMPUTED_VALUE"""),"Tp. Thủ Đức")</f>
        <v>Tp. Thủ Đức</v>
      </c>
      <c r="E187" s="31">
        <f ca="1">IFERROR(__xludf.DUMMYFUNCTION("""COMPUTED_VALUE"""),6)</f>
        <v>6</v>
      </c>
      <c r="F187" s="32">
        <f ca="1">IFERROR(__xludf.DUMMYFUNCTION("""COMPUTED_VALUE"""),6)</f>
        <v>6</v>
      </c>
      <c r="G187" s="32"/>
      <c r="H187" s="32">
        <f ca="1">IFERROR(__xludf.DUMMYFUNCTION("""COMPUTED_VALUE"""),6)</f>
        <v>6</v>
      </c>
      <c r="I187" s="32"/>
      <c r="J187" s="32">
        <f ca="1">IFERROR(__xludf.DUMMYFUNCTION("""COMPUTED_VALUE"""),2)</f>
        <v>2</v>
      </c>
      <c r="K187" s="32"/>
      <c r="L187" s="32">
        <f ca="1">IFERROR(__xludf.DUMMYFUNCTION("""COMPUTED_VALUE"""),0)</f>
        <v>0</v>
      </c>
      <c r="M187" s="32"/>
      <c r="N187" s="31">
        <f ca="1">IFERROR(__xludf.DUMMYFUNCTION("""COMPUTED_VALUE"""),0)</f>
        <v>0</v>
      </c>
      <c r="O187" s="32">
        <f ca="1">IFERROR(__xludf.DUMMYFUNCTION("""COMPUTED_VALUE"""),0)</f>
        <v>0</v>
      </c>
      <c r="P187" s="32"/>
      <c r="Q187" s="32">
        <f ca="1">IFERROR(__xludf.DUMMYFUNCTION("""COMPUTED_VALUE"""),0)</f>
        <v>0</v>
      </c>
      <c r="R187" s="32"/>
      <c r="S187" s="31">
        <f ca="1">IFERROR(__xludf.DUMMYFUNCTION("""COMPUTED_VALUE"""),0)</f>
        <v>0</v>
      </c>
      <c r="T187" s="32">
        <f ca="1">IFERROR(__xludf.DUMMYFUNCTION("""COMPUTED_VALUE"""),0)</f>
        <v>0</v>
      </c>
      <c r="U187" s="32"/>
      <c r="V187" s="32">
        <f ca="1">IFERROR(__xludf.DUMMYFUNCTION("""COMPUTED_VALUE"""),0)</f>
        <v>0</v>
      </c>
      <c r="W187" s="32"/>
      <c r="X187" s="32">
        <f ca="1">IFERROR(__xludf.DUMMYFUNCTION("""COMPUTED_VALUE"""),0)</f>
        <v>0</v>
      </c>
      <c r="Y187" s="32"/>
      <c r="Z187" s="2"/>
      <c r="AA187" s="2"/>
      <c r="AB187" s="2"/>
      <c r="AC187" s="2"/>
      <c r="AD187" s="2"/>
      <c r="AE187" s="2"/>
    </row>
    <row r="188" spans="1:31" ht="12.75" x14ac:dyDescent="0.2">
      <c r="A188" s="28">
        <f ca="1">IFERROR(__xludf.DUMMYFUNCTION("""COMPUTED_VALUE"""),38)</f>
        <v>38</v>
      </c>
      <c r="B188" s="29" t="str">
        <f ca="1">IFERROR(__xludf.DUMMYFUNCTION("""COMPUTED_VALUE"""),"LMN Hạnh Phúc Nhà Mình")</f>
        <v>LMN Hạnh Phúc Nhà Mình</v>
      </c>
      <c r="C188" s="33" t="str">
        <f ca="1">IFERROR(__xludf.DUMMYFUNCTION("""COMPUTED_VALUE"""),"MN")</f>
        <v>MN</v>
      </c>
      <c r="D188" s="30" t="str">
        <f ca="1">IFERROR(__xludf.DUMMYFUNCTION("""COMPUTED_VALUE"""),"Tp. Thủ Đức")</f>
        <v>Tp. Thủ Đức</v>
      </c>
      <c r="E188" s="31">
        <f ca="1">IFERROR(__xludf.DUMMYFUNCTION("""COMPUTED_VALUE"""),9)</f>
        <v>9</v>
      </c>
      <c r="F188" s="32">
        <f ca="1">IFERROR(__xludf.DUMMYFUNCTION("""COMPUTED_VALUE"""),9)</f>
        <v>9</v>
      </c>
      <c r="G188" s="32"/>
      <c r="H188" s="32">
        <f ca="1">IFERROR(__xludf.DUMMYFUNCTION("""COMPUTED_VALUE"""),9)</f>
        <v>9</v>
      </c>
      <c r="I188" s="32"/>
      <c r="J188" s="32">
        <f ca="1">IFERROR(__xludf.DUMMYFUNCTION("""COMPUTED_VALUE"""),5)</f>
        <v>5</v>
      </c>
      <c r="K188" s="32"/>
      <c r="L188" s="32">
        <f ca="1">IFERROR(__xludf.DUMMYFUNCTION("""COMPUTED_VALUE"""),0)</f>
        <v>0</v>
      </c>
      <c r="M188" s="32"/>
      <c r="N188" s="31">
        <f ca="1">IFERROR(__xludf.DUMMYFUNCTION("""COMPUTED_VALUE"""),0)</f>
        <v>0</v>
      </c>
      <c r="O188" s="32">
        <f ca="1">IFERROR(__xludf.DUMMYFUNCTION("""COMPUTED_VALUE"""),0)</f>
        <v>0</v>
      </c>
      <c r="P188" s="32"/>
      <c r="Q188" s="32">
        <f ca="1">IFERROR(__xludf.DUMMYFUNCTION("""COMPUTED_VALUE"""),0)</f>
        <v>0</v>
      </c>
      <c r="R188" s="32"/>
      <c r="S188" s="31">
        <f ca="1">IFERROR(__xludf.DUMMYFUNCTION("""COMPUTED_VALUE"""),0)</f>
        <v>0</v>
      </c>
      <c r="T188" s="32">
        <f ca="1">IFERROR(__xludf.DUMMYFUNCTION("""COMPUTED_VALUE"""),0)</f>
        <v>0</v>
      </c>
      <c r="U188" s="32"/>
      <c r="V188" s="32">
        <f ca="1">IFERROR(__xludf.DUMMYFUNCTION("""COMPUTED_VALUE"""),0)</f>
        <v>0</v>
      </c>
      <c r="W188" s="32"/>
      <c r="X188" s="32">
        <f ca="1">IFERROR(__xludf.DUMMYFUNCTION("""COMPUTED_VALUE"""),0)</f>
        <v>0</v>
      </c>
      <c r="Y188" s="32"/>
      <c r="Z188" s="2"/>
      <c r="AA188" s="2"/>
      <c r="AB188" s="2"/>
      <c r="AC188" s="2"/>
      <c r="AD188" s="2"/>
      <c r="AE188" s="2"/>
    </row>
    <row r="189" spans="1:31" ht="12.75" x14ac:dyDescent="0.2">
      <c r="A189" s="28">
        <f ca="1">IFERROR(__xludf.DUMMYFUNCTION("""COMPUTED_VALUE"""),39)</f>
        <v>39</v>
      </c>
      <c r="B189" s="29" t="str">
        <f ca="1">IFERROR(__xludf.DUMMYFUNCTION("""COMPUTED_VALUE"""),"LMN Cây to")</f>
        <v>LMN Cây to</v>
      </c>
      <c r="C189" s="33" t="str">
        <f ca="1">IFERROR(__xludf.DUMMYFUNCTION("""COMPUTED_VALUE"""),"MN")</f>
        <v>MN</v>
      </c>
      <c r="D189" s="30" t="str">
        <f ca="1">IFERROR(__xludf.DUMMYFUNCTION("""COMPUTED_VALUE"""),"Tp. Thủ Đức")</f>
        <v>Tp. Thủ Đức</v>
      </c>
      <c r="E189" s="31">
        <f ca="1">IFERROR(__xludf.DUMMYFUNCTION("""COMPUTED_VALUE"""),3)</f>
        <v>3</v>
      </c>
      <c r="F189" s="32">
        <f ca="1">IFERROR(__xludf.DUMMYFUNCTION("""COMPUTED_VALUE"""),3)</f>
        <v>3</v>
      </c>
      <c r="G189" s="32"/>
      <c r="H189" s="32">
        <f ca="1">IFERROR(__xludf.DUMMYFUNCTION("""COMPUTED_VALUE"""),3)</f>
        <v>3</v>
      </c>
      <c r="I189" s="32"/>
      <c r="J189" s="32">
        <f ca="1">IFERROR(__xludf.DUMMYFUNCTION("""COMPUTED_VALUE"""),3)</f>
        <v>3</v>
      </c>
      <c r="K189" s="32"/>
      <c r="L189" s="32">
        <f ca="1">IFERROR(__xludf.DUMMYFUNCTION("""COMPUTED_VALUE"""),3)</f>
        <v>3</v>
      </c>
      <c r="M189" s="32"/>
      <c r="N189" s="31">
        <f ca="1">IFERROR(__xludf.DUMMYFUNCTION("""COMPUTED_VALUE"""),0)</f>
        <v>0</v>
      </c>
      <c r="O189" s="32">
        <f ca="1">IFERROR(__xludf.DUMMYFUNCTION("""COMPUTED_VALUE"""),0)</f>
        <v>0</v>
      </c>
      <c r="P189" s="32"/>
      <c r="Q189" s="32">
        <f ca="1">IFERROR(__xludf.DUMMYFUNCTION("""COMPUTED_VALUE"""),0)</f>
        <v>0</v>
      </c>
      <c r="R189" s="32"/>
      <c r="S189" s="31">
        <f ca="1">IFERROR(__xludf.DUMMYFUNCTION("""COMPUTED_VALUE"""),0)</f>
        <v>0</v>
      </c>
      <c r="T189" s="32">
        <f ca="1">IFERROR(__xludf.DUMMYFUNCTION("""COMPUTED_VALUE"""),0)</f>
        <v>0</v>
      </c>
      <c r="U189" s="32"/>
      <c r="V189" s="32">
        <f ca="1">IFERROR(__xludf.DUMMYFUNCTION("""COMPUTED_VALUE"""),0)</f>
        <v>0</v>
      </c>
      <c r="W189" s="32"/>
      <c r="X189" s="32">
        <f ca="1">IFERROR(__xludf.DUMMYFUNCTION("""COMPUTED_VALUE"""),0)</f>
        <v>0</v>
      </c>
      <c r="Y189" s="32"/>
      <c r="Z189" s="2"/>
      <c r="AA189" s="2"/>
      <c r="AB189" s="2"/>
      <c r="AC189" s="2"/>
      <c r="AD189" s="2"/>
      <c r="AE189" s="2"/>
    </row>
    <row r="190" spans="1:31" ht="12.75" x14ac:dyDescent="0.2">
      <c r="A190" s="28">
        <f ca="1">IFERROR(__xludf.DUMMYFUNCTION("""COMPUTED_VALUE"""),40)</f>
        <v>40</v>
      </c>
      <c r="B190" s="29" t="str">
        <f ca="1">IFERROR(__xludf.DUMMYFUNCTION("""COMPUTED_VALUE"""),"LMN Khu Vườn Việt Nam")</f>
        <v>LMN Khu Vườn Việt Nam</v>
      </c>
      <c r="C190" s="33" t="str">
        <f ca="1">IFERROR(__xludf.DUMMYFUNCTION("""COMPUTED_VALUE"""),"MN")</f>
        <v>MN</v>
      </c>
      <c r="D190" s="30" t="str">
        <f ca="1">IFERROR(__xludf.DUMMYFUNCTION("""COMPUTED_VALUE"""),"Tp. Thủ Đức")</f>
        <v>Tp. Thủ Đức</v>
      </c>
      <c r="E190" s="31">
        <f ca="1">IFERROR(__xludf.DUMMYFUNCTION("""COMPUTED_VALUE"""),5)</f>
        <v>5</v>
      </c>
      <c r="F190" s="32">
        <f ca="1">IFERROR(__xludf.DUMMYFUNCTION("""COMPUTED_VALUE"""),5)</f>
        <v>5</v>
      </c>
      <c r="G190" s="32"/>
      <c r="H190" s="32">
        <f ca="1">IFERROR(__xludf.DUMMYFUNCTION("""COMPUTED_VALUE"""),5)</f>
        <v>5</v>
      </c>
      <c r="I190" s="32"/>
      <c r="J190" s="32">
        <f ca="1">IFERROR(__xludf.DUMMYFUNCTION("""COMPUTED_VALUE"""),5)</f>
        <v>5</v>
      </c>
      <c r="K190" s="32"/>
      <c r="L190" s="32">
        <f ca="1">IFERROR(__xludf.DUMMYFUNCTION("""COMPUTED_VALUE"""),4)</f>
        <v>4</v>
      </c>
      <c r="M190" s="32"/>
      <c r="N190" s="31">
        <f ca="1">IFERROR(__xludf.DUMMYFUNCTION("""COMPUTED_VALUE"""),0)</f>
        <v>0</v>
      </c>
      <c r="O190" s="32">
        <f ca="1">IFERROR(__xludf.DUMMYFUNCTION("""COMPUTED_VALUE"""),0)</f>
        <v>0</v>
      </c>
      <c r="P190" s="32"/>
      <c r="Q190" s="32">
        <f ca="1">IFERROR(__xludf.DUMMYFUNCTION("""COMPUTED_VALUE"""),0)</f>
        <v>0</v>
      </c>
      <c r="R190" s="32"/>
      <c r="S190" s="31">
        <f ca="1">IFERROR(__xludf.DUMMYFUNCTION("""COMPUTED_VALUE"""),0)</f>
        <v>0</v>
      </c>
      <c r="T190" s="32">
        <f ca="1">IFERROR(__xludf.DUMMYFUNCTION("""COMPUTED_VALUE"""),0)</f>
        <v>0</v>
      </c>
      <c r="U190" s="32"/>
      <c r="V190" s="32">
        <f ca="1">IFERROR(__xludf.DUMMYFUNCTION("""COMPUTED_VALUE"""),0)</f>
        <v>0</v>
      </c>
      <c r="W190" s="32"/>
      <c r="X190" s="32">
        <f ca="1">IFERROR(__xludf.DUMMYFUNCTION("""COMPUTED_VALUE"""),0)</f>
        <v>0</v>
      </c>
      <c r="Y190" s="32"/>
      <c r="Z190" s="2"/>
      <c r="AA190" s="2"/>
      <c r="AB190" s="2"/>
      <c r="AC190" s="2"/>
      <c r="AD190" s="2"/>
      <c r="AE190" s="2"/>
    </row>
    <row r="191" spans="1:31" ht="12.75" x14ac:dyDescent="0.2">
      <c r="A191" s="28">
        <f ca="1">IFERROR(__xludf.DUMMYFUNCTION("""COMPUTED_VALUE"""),41)</f>
        <v>41</v>
      </c>
      <c r="B191" s="35" t="str">
        <f ca="1">IFERROR(__xludf.DUMMYFUNCTION("""COMPUTED_VALUE"""),"NT Nắng Vàng")</f>
        <v>NT Nắng Vàng</v>
      </c>
      <c r="C191" s="33" t="str">
        <f ca="1">IFERROR(__xludf.DUMMYFUNCTION("""COMPUTED_VALUE"""),"MN")</f>
        <v>MN</v>
      </c>
      <c r="D191" s="30" t="str">
        <f ca="1">IFERROR(__xludf.DUMMYFUNCTION("""COMPUTED_VALUE"""),"Tp. Thủ Đức")</f>
        <v>Tp. Thủ Đức</v>
      </c>
      <c r="E191" s="31">
        <f ca="1">IFERROR(__xludf.DUMMYFUNCTION("""COMPUTED_VALUE"""),4)</f>
        <v>4</v>
      </c>
      <c r="F191" s="32">
        <f ca="1">IFERROR(__xludf.DUMMYFUNCTION("""COMPUTED_VALUE"""),4)</f>
        <v>4</v>
      </c>
      <c r="G191" s="32"/>
      <c r="H191" s="32">
        <f ca="1">IFERROR(__xludf.DUMMYFUNCTION("""COMPUTED_VALUE"""),4)</f>
        <v>4</v>
      </c>
      <c r="I191" s="32"/>
      <c r="J191" s="32">
        <f ca="1">IFERROR(__xludf.DUMMYFUNCTION("""COMPUTED_VALUE"""),4)</f>
        <v>4</v>
      </c>
      <c r="K191" s="32"/>
      <c r="L191" s="32">
        <f ca="1">IFERROR(__xludf.DUMMYFUNCTION("""COMPUTED_VALUE"""),4)</f>
        <v>4</v>
      </c>
      <c r="M191" s="32"/>
      <c r="N191" s="31">
        <f ca="1">IFERROR(__xludf.DUMMYFUNCTION("""COMPUTED_VALUE"""),0)</f>
        <v>0</v>
      </c>
      <c r="O191" s="32">
        <f ca="1">IFERROR(__xludf.DUMMYFUNCTION("""COMPUTED_VALUE"""),0)</f>
        <v>0</v>
      </c>
      <c r="P191" s="32"/>
      <c r="Q191" s="32">
        <f ca="1">IFERROR(__xludf.DUMMYFUNCTION("""COMPUTED_VALUE"""),0)</f>
        <v>0</v>
      </c>
      <c r="R191" s="32"/>
      <c r="S191" s="31">
        <f ca="1">IFERROR(__xludf.DUMMYFUNCTION("""COMPUTED_VALUE"""),0)</f>
        <v>0</v>
      </c>
      <c r="T191" s="32">
        <f ca="1">IFERROR(__xludf.DUMMYFUNCTION("""COMPUTED_VALUE"""),0)</f>
        <v>0</v>
      </c>
      <c r="U191" s="32"/>
      <c r="V191" s="32">
        <f ca="1">IFERROR(__xludf.DUMMYFUNCTION("""COMPUTED_VALUE"""),0)</f>
        <v>0</v>
      </c>
      <c r="W191" s="32"/>
      <c r="X191" s="32">
        <f ca="1">IFERROR(__xludf.DUMMYFUNCTION("""COMPUTED_VALUE"""),0)</f>
        <v>0</v>
      </c>
      <c r="Y191" s="32"/>
      <c r="Z191" s="2"/>
      <c r="AA191" s="2"/>
      <c r="AB191" s="2"/>
      <c r="AC191" s="2"/>
      <c r="AD191" s="2"/>
      <c r="AE191" s="2"/>
    </row>
    <row r="192" spans="1:31" ht="12.75" x14ac:dyDescent="0.2">
      <c r="A192" s="28">
        <f ca="1">IFERROR(__xludf.DUMMYFUNCTION("""COMPUTED_VALUE"""),42)</f>
        <v>42</v>
      </c>
      <c r="B192" s="29" t="str">
        <f ca="1">IFERROR(__xludf.DUMMYFUNCTION("""COMPUTED_VALUE"""),"LMN Những Chú Thợ Săn Nhí")</f>
        <v>LMN Những Chú Thợ Săn Nhí</v>
      </c>
      <c r="C192" s="33" t="str">
        <f ca="1">IFERROR(__xludf.DUMMYFUNCTION("""COMPUTED_VALUE"""),"MN")</f>
        <v>MN</v>
      </c>
      <c r="D192" s="30" t="str">
        <f ca="1">IFERROR(__xludf.DUMMYFUNCTION("""COMPUTED_VALUE"""),"Tp. Thủ Đức")</f>
        <v>Tp. Thủ Đức</v>
      </c>
      <c r="E192" s="31">
        <f ca="1">IFERROR(__xludf.DUMMYFUNCTION("""COMPUTED_VALUE"""),5)</f>
        <v>5</v>
      </c>
      <c r="F192" s="32">
        <f ca="1">IFERROR(__xludf.DUMMYFUNCTION("""COMPUTED_VALUE"""),5)</f>
        <v>5</v>
      </c>
      <c r="G192" s="32"/>
      <c r="H192" s="32">
        <f ca="1">IFERROR(__xludf.DUMMYFUNCTION("""COMPUTED_VALUE"""),5)</f>
        <v>5</v>
      </c>
      <c r="I192" s="32"/>
      <c r="J192" s="32">
        <f ca="1">IFERROR(__xludf.DUMMYFUNCTION("""COMPUTED_VALUE"""),5)</f>
        <v>5</v>
      </c>
      <c r="K192" s="32"/>
      <c r="L192" s="32">
        <f ca="1">IFERROR(__xludf.DUMMYFUNCTION("""COMPUTED_VALUE"""),4)</f>
        <v>4</v>
      </c>
      <c r="M192" s="32"/>
      <c r="N192" s="31">
        <f ca="1">IFERROR(__xludf.DUMMYFUNCTION("""COMPUTED_VALUE"""),0)</f>
        <v>0</v>
      </c>
      <c r="O192" s="32">
        <f ca="1">IFERROR(__xludf.DUMMYFUNCTION("""COMPUTED_VALUE"""),0)</f>
        <v>0</v>
      </c>
      <c r="P192" s="32"/>
      <c r="Q192" s="32">
        <f ca="1">IFERROR(__xludf.DUMMYFUNCTION("""COMPUTED_VALUE"""),0)</f>
        <v>0</v>
      </c>
      <c r="R192" s="32"/>
      <c r="S192" s="31">
        <f ca="1">IFERROR(__xludf.DUMMYFUNCTION("""COMPUTED_VALUE"""),0)</f>
        <v>0</v>
      </c>
      <c r="T192" s="32">
        <f ca="1">IFERROR(__xludf.DUMMYFUNCTION("""COMPUTED_VALUE"""),0)</f>
        <v>0</v>
      </c>
      <c r="U192" s="32"/>
      <c r="V192" s="32">
        <f ca="1">IFERROR(__xludf.DUMMYFUNCTION("""COMPUTED_VALUE"""),0)</f>
        <v>0</v>
      </c>
      <c r="W192" s="32"/>
      <c r="X192" s="32">
        <f ca="1">IFERROR(__xludf.DUMMYFUNCTION("""COMPUTED_VALUE"""),0)</f>
        <v>0</v>
      </c>
      <c r="Y192" s="32"/>
      <c r="Z192" s="2"/>
      <c r="AA192" s="2"/>
      <c r="AB192" s="2"/>
      <c r="AC192" s="2"/>
      <c r="AD192" s="2"/>
      <c r="AE192" s="2"/>
    </row>
    <row r="193" spans="1:31" ht="12.75" x14ac:dyDescent="0.2">
      <c r="A193" s="34"/>
      <c r="B193" s="35" t="str">
        <f ca="1">IFERROR(__xludf.DUMMYFUNCTION("""COMPUTED_VALUE"""),"MẦM NON NGOÀI CÔNG LẬP - KHU VỰC 2")</f>
        <v>MẦM NON NGOÀI CÔNG LẬP - KHU VỰC 2</v>
      </c>
      <c r="C193" s="41" t="str">
        <f ca="1">IFERROR(__xludf.DUMMYFUNCTION("""COMPUTED_VALUE"""),"MN")</f>
        <v>MN</v>
      </c>
      <c r="D193" s="30" t="str">
        <f ca="1">IFERROR(__xludf.DUMMYFUNCTION("""COMPUTED_VALUE"""),"Tp. Thủ Đức")</f>
        <v>Tp. Thủ Đức</v>
      </c>
      <c r="E193" s="37"/>
      <c r="F193" s="38"/>
      <c r="G193" s="38"/>
      <c r="H193" s="38"/>
      <c r="I193" s="38"/>
      <c r="J193" s="38"/>
      <c r="K193" s="38"/>
      <c r="L193" s="38"/>
      <c r="M193" s="38"/>
      <c r="N193" s="42">
        <f ca="1">IFERROR(__xludf.DUMMYFUNCTION("""COMPUTED_VALUE"""),0)</f>
        <v>0</v>
      </c>
      <c r="O193" s="43">
        <f ca="1">IFERROR(__xludf.DUMMYFUNCTION("""COMPUTED_VALUE"""),0)</f>
        <v>0</v>
      </c>
      <c r="P193" s="43"/>
      <c r="Q193" s="43">
        <f ca="1">IFERROR(__xludf.DUMMYFUNCTION("""COMPUTED_VALUE"""),0)</f>
        <v>0</v>
      </c>
      <c r="R193" s="43"/>
      <c r="S193" s="42">
        <f ca="1">IFERROR(__xludf.DUMMYFUNCTION("""COMPUTED_VALUE"""),0)</f>
        <v>0</v>
      </c>
      <c r="T193" s="43">
        <f ca="1">IFERROR(__xludf.DUMMYFUNCTION("""COMPUTED_VALUE"""),0)</f>
        <v>0</v>
      </c>
      <c r="U193" s="43"/>
      <c r="V193" s="43">
        <f ca="1">IFERROR(__xludf.DUMMYFUNCTION("""COMPUTED_VALUE"""),0)</f>
        <v>0</v>
      </c>
      <c r="W193" s="43"/>
      <c r="X193" s="43">
        <f ca="1">IFERROR(__xludf.DUMMYFUNCTION("""COMPUTED_VALUE"""),0)</f>
        <v>0</v>
      </c>
      <c r="Y193" s="43"/>
      <c r="Z193" s="2"/>
      <c r="AA193" s="2"/>
      <c r="AB193" s="2"/>
      <c r="AC193" s="2"/>
      <c r="AD193" s="2"/>
      <c r="AE193" s="2"/>
    </row>
    <row r="194" spans="1:31" ht="12.75" x14ac:dyDescent="0.2">
      <c r="A194" s="28">
        <f ca="1">IFERROR(__xludf.DUMMYFUNCTION("""COMPUTED_VALUE"""),1)</f>
        <v>1</v>
      </c>
      <c r="B194" s="29" t="str">
        <f ca="1">IFERROR(__xludf.DUMMYFUNCTION("""COMPUTED_VALUE"""),"MN Rồng Vàng")</f>
        <v>MN Rồng Vàng</v>
      </c>
      <c r="C194" s="33" t="str">
        <f ca="1">IFERROR(__xludf.DUMMYFUNCTION("""COMPUTED_VALUE"""),"MN")</f>
        <v>MN</v>
      </c>
      <c r="D194" s="30" t="str">
        <f ca="1">IFERROR(__xludf.DUMMYFUNCTION("""COMPUTED_VALUE"""),"Tp. Thủ Đức")</f>
        <v>Tp. Thủ Đức</v>
      </c>
      <c r="E194" s="31">
        <f ca="1">IFERROR(__xludf.DUMMYFUNCTION("""COMPUTED_VALUE"""),16)</f>
        <v>16</v>
      </c>
      <c r="F194" s="32">
        <f ca="1">IFERROR(__xludf.DUMMYFUNCTION("""COMPUTED_VALUE"""),16)</f>
        <v>16</v>
      </c>
      <c r="G194" s="32"/>
      <c r="H194" s="32">
        <f ca="1">IFERROR(__xludf.DUMMYFUNCTION("""COMPUTED_VALUE"""),16)</f>
        <v>16</v>
      </c>
      <c r="I194" s="32"/>
      <c r="J194" s="32">
        <f ca="1">IFERROR(__xludf.DUMMYFUNCTION("""COMPUTED_VALUE"""),12)</f>
        <v>12</v>
      </c>
      <c r="K194" s="32"/>
      <c r="L194" s="32">
        <f ca="1">IFERROR(__xludf.DUMMYFUNCTION("""COMPUTED_VALUE"""),6)</f>
        <v>6</v>
      </c>
      <c r="M194" s="32"/>
      <c r="N194" s="31">
        <f ca="1">IFERROR(__xludf.DUMMYFUNCTION("""COMPUTED_VALUE"""),0)</f>
        <v>0</v>
      </c>
      <c r="O194" s="32">
        <f ca="1">IFERROR(__xludf.DUMMYFUNCTION("""COMPUTED_VALUE"""),0)</f>
        <v>0</v>
      </c>
      <c r="P194" s="32"/>
      <c r="Q194" s="32">
        <f ca="1">IFERROR(__xludf.DUMMYFUNCTION("""COMPUTED_VALUE"""),0)</f>
        <v>0</v>
      </c>
      <c r="R194" s="32"/>
      <c r="S194" s="31">
        <f ca="1">IFERROR(__xludf.DUMMYFUNCTION("""COMPUTED_VALUE"""),0)</f>
        <v>0</v>
      </c>
      <c r="T194" s="32">
        <f ca="1">IFERROR(__xludf.DUMMYFUNCTION("""COMPUTED_VALUE"""),0)</f>
        <v>0</v>
      </c>
      <c r="U194" s="32"/>
      <c r="V194" s="32">
        <f ca="1">IFERROR(__xludf.DUMMYFUNCTION("""COMPUTED_VALUE"""),0)</f>
        <v>0</v>
      </c>
      <c r="W194" s="32"/>
      <c r="X194" s="32">
        <f ca="1">IFERROR(__xludf.DUMMYFUNCTION("""COMPUTED_VALUE"""),0)</f>
        <v>0</v>
      </c>
      <c r="Y194" s="32"/>
      <c r="Z194" s="2"/>
      <c r="AA194" s="2"/>
      <c r="AB194" s="2"/>
      <c r="AC194" s="2"/>
      <c r="AD194" s="2"/>
      <c r="AE194" s="2"/>
    </row>
    <row r="195" spans="1:31" ht="12.75" x14ac:dyDescent="0.2">
      <c r="A195" s="28">
        <f ca="1">IFERROR(__xludf.DUMMYFUNCTION("""COMPUTED_VALUE"""),2)</f>
        <v>2</v>
      </c>
      <c r="B195" s="29" t="str">
        <f ca="1">IFERROR(__xludf.DUMMYFUNCTION("""COMPUTED_VALUE"""),"MN Việt Duy")</f>
        <v>MN Việt Duy</v>
      </c>
      <c r="C195" s="33" t="str">
        <f ca="1">IFERROR(__xludf.DUMMYFUNCTION("""COMPUTED_VALUE"""),"MN")</f>
        <v>MN</v>
      </c>
      <c r="D195" s="30" t="str">
        <f ca="1">IFERROR(__xludf.DUMMYFUNCTION("""COMPUTED_VALUE"""),"Tp. Thủ Đức")</f>
        <v>Tp. Thủ Đức</v>
      </c>
      <c r="E195" s="31">
        <f ca="1">IFERROR(__xludf.DUMMYFUNCTION("""COMPUTED_VALUE"""),14)</f>
        <v>14</v>
      </c>
      <c r="F195" s="32">
        <f ca="1">IFERROR(__xludf.DUMMYFUNCTION("""COMPUTED_VALUE"""),14)</f>
        <v>14</v>
      </c>
      <c r="G195" s="32"/>
      <c r="H195" s="32">
        <f ca="1">IFERROR(__xludf.DUMMYFUNCTION("""COMPUTED_VALUE"""),14)</f>
        <v>14</v>
      </c>
      <c r="I195" s="32"/>
      <c r="J195" s="32">
        <f ca="1">IFERROR(__xludf.DUMMYFUNCTION("""COMPUTED_VALUE"""),12)</f>
        <v>12</v>
      </c>
      <c r="K195" s="32"/>
      <c r="L195" s="32">
        <f ca="1">IFERROR(__xludf.DUMMYFUNCTION("""COMPUTED_VALUE"""),0)</f>
        <v>0</v>
      </c>
      <c r="M195" s="32"/>
      <c r="N195" s="31">
        <f ca="1">IFERROR(__xludf.DUMMYFUNCTION("""COMPUTED_VALUE"""),0)</f>
        <v>0</v>
      </c>
      <c r="O195" s="32">
        <f ca="1">IFERROR(__xludf.DUMMYFUNCTION("""COMPUTED_VALUE"""),0)</f>
        <v>0</v>
      </c>
      <c r="P195" s="32"/>
      <c r="Q195" s="32">
        <f ca="1">IFERROR(__xludf.DUMMYFUNCTION("""COMPUTED_VALUE"""),0)</f>
        <v>0</v>
      </c>
      <c r="R195" s="32"/>
      <c r="S195" s="31">
        <f ca="1">IFERROR(__xludf.DUMMYFUNCTION("""COMPUTED_VALUE"""),0)</f>
        <v>0</v>
      </c>
      <c r="T195" s="32">
        <f ca="1">IFERROR(__xludf.DUMMYFUNCTION("""COMPUTED_VALUE"""),0)</f>
        <v>0</v>
      </c>
      <c r="U195" s="32"/>
      <c r="V195" s="32">
        <f ca="1">IFERROR(__xludf.DUMMYFUNCTION("""COMPUTED_VALUE"""),0)</f>
        <v>0</v>
      </c>
      <c r="W195" s="32"/>
      <c r="X195" s="32">
        <f ca="1">IFERROR(__xludf.DUMMYFUNCTION("""COMPUTED_VALUE"""),0)</f>
        <v>0</v>
      </c>
      <c r="Y195" s="32"/>
      <c r="Z195" s="2"/>
      <c r="AA195" s="2"/>
      <c r="AB195" s="2"/>
      <c r="AC195" s="2"/>
      <c r="AD195" s="2"/>
      <c r="AE195" s="2"/>
    </row>
    <row r="196" spans="1:31" ht="12.75" x14ac:dyDescent="0.2">
      <c r="A196" s="28">
        <f ca="1">IFERROR(__xludf.DUMMYFUNCTION("""COMPUTED_VALUE"""),3)</f>
        <v>3</v>
      </c>
      <c r="B196" s="29" t="str">
        <f ca="1">IFERROR(__xludf.DUMMYFUNCTION("""COMPUTED_VALUE"""),"MN ABC")</f>
        <v>MN ABC</v>
      </c>
      <c r="C196" s="33" t="str">
        <f ca="1">IFERROR(__xludf.DUMMYFUNCTION("""COMPUTED_VALUE"""),"MN")</f>
        <v>MN</v>
      </c>
      <c r="D196" s="30" t="str">
        <f ca="1">IFERROR(__xludf.DUMMYFUNCTION("""COMPUTED_VALUE"""),"Tp. Thủ Đức")</f>
        <v>Tp. Thủ Đức</v>
      </c>
      <c r="E196" s="31">
        <f ca="1">IFERROR(__xludf.DUMMYFUNCTION("""COMPUTED_VALUE"""),48)</f>
        <v>48</v>
      </c>
      <c r="F196" s="32">
        <f ca="1">IFERROR(__xludf.DUMMYFUNCTION("""COMPUTED_VALUE"""),48)</f>
        <v>48</v>
      </c>
      <c r="G196" s="32"/>
      <c r="H196" s="32">
        <f ca="1">IFERROR(__xludf.DUMMYFUNCTION("""COMPUTED_VALUE"""),48)</f>
        <v>48</v>
      </c>
      <c r="I196" s="32"/>
      <c r="J196" s="32">
        <f ca="1">IFERROR(__xludf.DUMMYFUNCTION("""COMPUTED_VALUE"""),21)</f>
        <v>21</v>
      </c>
      <c r="K196" s="32"/>
      <c r="L196" s="32">
        <f ca="1">IFERROR(__xludf.DUMMYFUNCTION("""COMPUTED_VALUE"""),10)</f>
        <v>10</v>
      </c>
      <c r="M196" s="32"/>
      <c r="N196" s="31">
        <f ca="1">IFERROR(__xludf.DUMMYFUNCTION("""COMPUTED_VALUE"""),0)</f>
        <v>0</v>
      </c>
      <c r="O196" s="32">
        <f ca="1">IFERROR(__xludf.DUMMYFUNCTION("""COMPUTED_VALUE"""),0)</f>
        <v>0</v>
      </c>
      <c r="P196" s="32"/>
      <c r="Q196" s="32">
        <f ca="1">IFERROR(__xludf.DUMMYFUNCTION("""COMPUTED_VALUE"""),0)</f>
        <v>0</v>
      </c>
      <c r="R196" s="32"/>
      <c r="S196" s="31">
        <f ca="1">IFERROR(__xludf.DUMMYFUNCTION("""COMPUTED_VALUE"""),0)</f>
        <v>0</v>
      </c>
      <c r="T196" s="32">
        <f ca="1">IFERROR(__xludf.DUMMYFUNCTION("""COMPUTED_VALUE"""),0)</f>
        <v>0</v>
      </c>
      <c r="U196" s="32"/>
      <c r="V196" s="32">
        <f ca="1">IFERROR(__xludf.DUMMYFUNCTION("""COMPUTED_VALUE"""),0)</f>
        <v>0</v>
      </c>
      <c r="W196" s="32"/>
      <c r="X196" s="32">
        <f ca="1">IFERROR(__xludf.DUMMYFUNCTION("""COMPUTED_VALUE"""),0)</f>
        <v>0</v>
      </c>
      <c r="Y196" s="32"/>
      <c r="Z196" s="2"/>
      <c r="AA196" s="2"/>
      <c r="AB196" s="2"/>
      <c r="AC196" s="2"/>
      <c r="AD196" s="2"/>
      <c r="AE196" s="2"/>
    </row>
    <row r="197" spans="1:31" ht="12.75" x14ac:dyDescent="0.2">
      <c r="A197" s="28">
        <f ca="1">IFERROR(__xludf.DUMMYFUNCTION("""COMPUTED_VALUE"""),4)</f>
        <v>4</v>
      </c>
      <c r="B197" s="29" t="str">
        <f ca="1">IFERROR(__xludf.DUMMYFUNCTION("""COMPUTED_VALUE"""),"MN Thỏ Ngọc")</f>
        <v>MN Thỏ Ngọc</v>
      </c>
      <c r="C197" s="33" t="str">
        <f ca="1">IFERROR(__xludf.DUMMYFUNCTION("""COMPUTED_VALUE"""),"MN")</f>
        <v>MN</v>
      </c>
      <c r="D197" s="30" t="str">
        <f ca="1">IFERROR(__xludf.DUMMYFUNCTION("""COMPUTED_VALUE"""),"Tp. Thủ Đức")</f>
        <v>Tp. Thủ Đức</v>
      </c>
      <c r="E197" s="31">
        <f ca="1">IFERROR(__xludf.DUMMYFUNCTION("""COMPUTED_VALUE"""),19)</f>
        <v>19</v>
      </c>
      <c r="F197" s="32">
        <f ca="1">IFERROR(__xludf.DUMMYFUNCTION("""COMPUTED_VALUE"""),19)</f>
        <v>19</v>
      </c>
      <c r="G197" s="32"/>
      <c r="H197" s="32">
        <f ca="1">IFERROR(__xludf.DUMMYFUNCTION("""COMPUTED_VALUE"""),19)</f>
        <v>19</v>
      </c>
      <c r="I197" s="32"/>
      <c r="J197" s="32">
        <f ca="1">IFERROR(__xludf.DUMMYFUNCTION("""COMPUTED_VALUE"""),17)</f>
        <v>17</v>
      </c>
      <c r="K197" s="32"/>
      <c r="L197" s="32">
        <f ca="1">IFERROR(__xludf.DUMMYFUNCTION("""COMPUTED_VALUE"""),8)</f>
        <v>8</v>
      </c>
      <c r="M197" s="32"/>
      <c r="N197" s="31">
        <f ca="1">IFERROR(__xludf.DUMMYFUNCTION("""COMPUTED_VALUE"""),0)</f>
        <v>0</v>
      </c>
      <c r="O197" s="32">
        <f ca="1">IFERROR(__xludf.DUMMYFUNCTION("""COMPUTED_VALUE"""),0)</f>
        <v>0</v>
      </c>
      <c r="P197" s="32"/>
      <c r="Q197" s="32">
        <f ca="1">IFERROR(__xludf.DUMMYFUNCTION("""COMPUTED_VALUE"""),0)</f>
        <v>0</v>
      </c>
      <c r="R197" s="32"/>
      <c r="S197" s="31">
        <f ca="1">IFERROR(__xludf.DUMMYFUNCTION("""COMPUTED_VALUE"""),0)</f>
        <v>0</v>
      </c>
      <c r="T197" s="32">
        <f ca="1">IFERROR(__xludf.DUMMYFUNCTION("""COMPUTED_VALUE"""),0)</f>
        <v>0</v>
      </c>
      <c r="U197" s="32"/>
      <c r="V197" s="32">
        <f ca="1">IFERROR(__xludf.DUMMYFUNCTION("""COMPUTED_VALUE"""),0)</f>
        <v>0</v>
      </c>
      <c r="W197" s="32"/>
      <c r="X197" s="32">
        <f ca="1">IFERROR(__xludf.DUMMYFUNCTION("""COMPUTED_VALUE"""),0)</f>
        <v>0</v>
      </c>
      <c r="Y197" s="32"/>
      <c r="Z197" s="2"/>
      <c r="AA197" s="2"/>
      <c r="AB197" s="2"/>
      <c r="AC197" s="2"/>
      <c r="AD197" s="2"/>
      <c r="AE197" s="2"/>
    </row>
    <row r="198" spans="1:31" ht="12.75" x14ac:dyDescent="0.2">
      <c r="A198" s="28">
        <f ca="1">IFERROR(__xludf.DUMMYFUNCTION("""COMPUTED_VALUE"""),5)</f>
        <v>5</v>
      </c>
      <c r="B198" s="29" t="str">
        <f ca="1">IFERROR(__xludf.DUMMYFUNCTION("""COMPUTED_VALUE"""),"MN Hoa Mai @")</f>
        <v>MN Hoa Mai @</v>
      </c>
      <c r="C198" s="33" t="str">
        <f ca="1">IFERROR(__xludf.DUMMYFUNCTION("""COMPUTED_VALUE"""),"MN")</f>
        <v>MN</v>
      </c>
      <c r="D198" s="30" t="str">
        <f ca="1">IFERROR(__xludf.DUMMYFUNCTION("""COMPUTED_VALUE"""),"Tp. Thủ Đức")</f>
        <v>Tp. Thủ Đức</v>
      </c>
      <c r="E198" s="31">
        <f ca="1">IFERROR(__xludf.DUMMYFUNCTION("""COMPUTED_VALUE"""),19)</f>
        <v>19</v>
      </c>
      <c r="F198" s="32">
        <f ca="1">IFERROR(__xludf.DUMMYFUNCTION("""COMPUTED_VALUE"""),19)</f>
        <v>19</v>
      </c>
      <c r="G198" s="32"/>
      <c r="H198" s="32">
        <f ca="1">IFERROR(__xludf.DUMMYFUNCTION("""COMPUTED_VALUE"""),19)</f>
        <v>19</v>
      </c>
      <c r="I198" s="32"/>
      <c r="J198" s="32">
        <f ca="1">IFERROR(__xludf.DUMMYFUNCTION("""COMPUTED_VALUE"""),19)</f>
        <v>19</v>
      </c>
      <c r="K198" s="32"/>
      <c r="L198" s="32">
        <f ca="1">IFERROR(__xludf.DUMMYFUNCTION("""COMPUTED_VALUE"""),5)</f>
        <v>5</v>
      </c>
      <c r="M198" s="32"/>
      <c r="N198" s="31">
        <f ca="1">IFERROR(__xludf.DUMMYFUNCTION("""COMPUTED_VALUE"""),0)</f>
        <v>0</v>
      </c>
      <c r="O198" s="32">
        <f ca="1">IFERROR(__xludf.DUMMYFUNCTION("""COMPUTED_VALUE"""),0)</f>
        <v>0</v>
      </c>
      <c r="P198" s="32"/>
      <c r="Q198" s="32">
        <f ca="1">IFERROR(__xludf.DUMMYFUNCTION("""COMPUTED_VALUE"""),0)</f>
        <v>0</v>
      </c>
      <c r="R198" s="32"/>
      <c r="S198" s="31">
        <f ca="1">IFERROR(__xludf.DUMMYFUNCTION("""COMPUTED_VALUE"""),0)</f>
        <v>0</v>
      </c>
      <c r="T198" s="32">
        <f ca="1">IFERROR(__xludf.DUMMYFUNCTION("""COMPUTED_VALUE"""),0)</f>
        <v>0</v>
      </c>
      <c r="U198" s="32"/>
      <c r="V198" s="32">
        <f ca="1">IFERROR(__xludf.DUMMYFUNCTION("""COMPUTED_VALUE"""),0)</f>
        <v>0</v>
      </c>
      <c r="W198" s="32"/>
      <c r="X198" s="32">
        <f ca="1">IFERROR(__xludf.DUMMYFUNCTION("""COMPUTED_VALUE"""),0)</f>
        <v>0</v>
      </c>
      <c r="Y198" s="32"/>
      <c r="Z198" s="2"/>
      <c r="AA198" s="2"/>
      <c r="AB198" s="2"/>
      <c r="AC198" s="2"/>
      <c r="AD198" s="2"/>
      <c r="AE198" s="2"/>
    </row>
    <row r="199" spans="1:31" ht="12.75" x14ac:dyDescent="0.2">
      <c r="A199" s="28">
        <f ca="1">IFERROR(__xludf.DUMMYFUNCTION("""COMPUTED_VALUE"""),6)</f>
        <v>6</v>
      </c>
      <c r="B199" s="29" t="str">
        <f ca="1">IFERROR(__xludf.DUMMYFUNCTION("""COMPUTED_VALUE"""),"MN Ngô Thời Nhiệm")</f>
        <v>MN Ngô Thời Nhiệm</v>
      </c>
      <c r="C199" s="33" t="str">
        <f ca="1">IFERROR(__xludf.DUMMYFUNCTION("""COMPUTED_VALUE"""),"MN")</f>
        <v>MN</v>
      </c>
      <c r="D199" s="30" t="str">
        <f ca="1">IFERROR(__xludf.DUMMYFUNCTION("""COMPUTED_VALUE"""),"Tp. Thủ Đức")</f>
        <v>Tp. Thủ Đức</v>
      </c>
      <c r="E199" s="31">
        <f ca="1">IFERROR(__xludf.DUMMYFUNCTION("""COMPUTED_VALUE"""),52)</f>
        <v>52</v>
      </c>
      <c r="F199" s="32">
        <f ca="1">IFERROR(__xludf.DUMMYFUNCTION("""COMPUTED_VALUE"""),52)</f>
        <v>52</v>
      </c>
      <c r="G199" s="32"/>
      <c r="H199" s="32">
        <f ca="1">IFERROR(__xludf.DUMMYFUNCTION("""COMPUTED_VALUE"""),46)</f>
        <v>46</v>
      </c>
      <c r="I199" s="32"/>
      <c r="J199" s="32">
        <f ca="1">IFERROR(__xludf.DUMMYFUNCTION("""COMPUTED_VALUE"""),46)</f>
        <v>46</v>
      </c>
      <c r="K199" s="32"/>
      <c r="L199" s="32">
        <f ca="1">IFERROR(__xludf.DUMMYFUNCTION("""COMPUTED_VALUE"""),22)</f>
        <v>22</v>
      </c>
      <c r="M199" s="32"/>
      <c r="N199" s="31">
        <f ca="1">IFERROR(__xludf.DUMMYFUNCTION("""COMPUTED_VALUE"""),0)</f>
        <v>0</v>
      </c>
      <c r="O199" s="32">
        <f ca="1">IFERROR(__xludf.DUMMYFUNCTION("""COMPUTED_VALUE"""),0)</f>
        <v>0</v>
      </c>
      <c r="P199" s="32"/>
      <c r="Q199" s="32">
        <f ca="1">IFERROR(__xludf.DUMMYFUNCTION("""COMPUTED_VALUE"""),0)</f>
        <v>0</v>
      </c>
      <c r="R199" s="32"/>
      <c r="S199" s="31">
        <f ca="1">IFERROR(__xludf.DUMMYFUNCTION("""COMPUTED_VALUE"""),0)</f>
        <v>0</v>
      </c>
      <c r="T199" s="32">
        <f ca="1">IFERROR(__xludf.DUMMYFUNCTION("""COMPUTED_VALUE"""),0)</f>
        <v>0</v>
      </c>
      <c r="U199" s="32"/>
      <c r="V199" s="32">
        <f ca="1">IFERROR(__xludf.DUMMYFUNCTION("""COMPUTED_VALUE"""),0)</f>
        <v>0</v>
      </c>
      <c r="W199" s="32"/>
      <c r="X199" s="32">
        <f ca="1">IFERROR(__xludf.DUMMYFUNCTION("""COMPUTED_VALUE"""),0)</f>
        <v>0</v>
      </c>
      <c r="Y199" s="32"/>
      <c r="Z199" s="2"/>
      <c r="AA199" s="2"/>
      <c r="AB199" s="2"/>
      <c r="AC199" s="2"/>
      <c r="AD199" s="2"/>
      <c r="AE199" s="2"/>
    </row>
    <row r="200" spans="1:31" ht="12.75" x14ac:dyDescent="0.2">
      <c r="A200" s="28">
        <f ca="1">IFERROR(__xludf.DUMMYFUNCTION("""COMPUTED_VALUE"""),7)</f>
        <v>7</v>
      </c>
      <c r="B200" s="29" t="str">
        <f ca="1">IFERROR(__xludf.DUMMYFUNCTION("""COMPUTED_VALUE"""),"MN Kiều Đàm")</f>
        <v>MN Kiều Đàm</v>
      </c>
      <c r="C200" s="33" t="str">
        <f ca="1">IFERROR(__xludf.DUMMYFUNCTION("""COMPUTED_VALUE"""),"MN")</f>
        <v>MN</v>
      </c>
      <c r="D200" s="30" t="str">
        <f ca="1">IFERROR(__xludf.DUMMYFUNCTION("""COMPUTED_VALUE"""),"Tp. Thủ Đức")</f>
        <v>Tp. Thủ Đức</v>
      </c>
      <c r="E200" s="31">
        <f ca="1">IFERROR(__xludf.DUMMYFUNCTION("""COMPUTED_VALUE"""),13)</f>
        <v>13</v>
      </c>
      <c r="F200" s="32">
        <f ca="1">IFERROR(__xludf.DUMMYFUNCTION("""COMPUTED_VALUE"""),13)</f>
        <v>13</v>
      </c>
      <c r="G200" s="32"/>
      <c r="H200" s="32">
        <f ca="1">IFERROR(__xludf.DUMMYFUNCTION("""COMPUTED_VALUE"""),13)</f>
        <v>13</v>
      </c>
      <c r="I200" s="32"/>
      <c r="J200" s="32">
        <f ca="1">IFERROR(__xludf.DUMMYFUNCTION("""COMPUTED_VALUE"""),13)</f>
        <v>13</v>
      </c>
      <c r="K200" s="32"/>
      <c r="L200" s="32">
        <f ca="1">IFERROR(__xludf.DUMMYFUNCTION("""COMPUTED_VALUE"""),13)</f>
        <v>13</v>
      </c>
      <c r="M200" s="32"/>
      <c r="N200" s="31">
        <f ca="1">IFERROR(__xludf.DUMMYFUNCTION("""COMPUTED_VALUE"""),0)</f>
        <v>0</v>
      </c>
      <c r="O200" s="32">
        <f ca="1">IFERROR(__xludf.DUMMYFUNCTION("""COMPUTED_VALUE"""),0)</f>
        <v>0</v>
      </c>
      <c r="P200" s="32"/>
      <c r="Q200" s="32">
        <f ca="1">IFERROR(__xludf.DUMMYFUNCTION("""COMPUTED_VALUE"""),0)</f>
        <v>0</v>
      </c>
      <c r="R200" s="32"/>
      <c r="S200" s="31">
        <f ca="1">IFERROR(__xludf.DUMMYFUNCTION("""COMPUTED_VALUE"""),0)</f>
        <v>0</v>
      </c>
      <c r="T200" s="32">
        <f ca="1">IFERROR(__xludf.DUMMYFUNCTION("""COMPUTED_VALUE"""),0)</f>
        <v>0</v>
      </c>
      <c r="U200" s="32"/>
      <c r="V200" s="32">
        <f ca="1">IFERROR(__xludf.DUMMYFUNCTION("""COMPUTED_VALUE"""),0)</f>
        <v>0</v>
      </c>
      <c r="W200" s="32"/>
      <c r="X200" s="32">
        <f ca="1">IFERROR(__xludf.DUMMYFUNCTION("""COMPUTED_VALUE"""),0)</f>
        <v>0</v>
      </c>
      <c r="Y200" s="32"/>
      <c r="Z200" s="2"/>
      <c r="AA200" s="2"/>
      <c r="AB200" s="2"/>
      <c r="AC200" s="2"/>
      <c r="AD200" s="2"/>
      <c r="AE200" s="2"/>
    </row>
    <row r="201" spans="1:31" ht="12.75" x14ac:dyDescent="0.2">
      <c r="A201" s="28">
        <f ca="1">IFERROR(__xludf.DUMMYFUNCTION("""COMPUTED_VALUE"""),8)</f>
        <v>8</v>
      </c>
      <c r="B201" s="29" t="str">
        <f ca="1">IFERROR(__xludf.DUMMYFUNCTION("""COMPUTED_VALUE"""),"MN Thiên Ân Phúc 3")</f>
        <v>MN Thiên Ân Phúc 3</v>
      </c>
      <c r="C201" s="33" t="str">
        <f ca="1">IFERROR(__xludf.DUMMYFUNCTION("""COMPUTED_VALUE"""),"MN")</f>
        <v>MN</v>
      </c>
      <c r="D201" s="30" t="str">
        <f ca="1">IFERROR(__xludf.DUMMYFUNCTION("""COMPUTED_VALUE"""),"Tp. Thủ Đức")</f>
        <v>Tp. Thủ Đức</v>
      </c>
      <c r="E201" s="31">
        <f ca="1">IFERROR(__xludf.DUMMYFUNCTION("""COMPUTED_VALUE"""),5)</f>
        <v>5</v>
      </c>
      <c r="F201" s="32">
        <f ca="1">IFERROR(__xludf.DUMMYFUNCTION("""COMPUTED_VALUE"""),5)</f>
        <v>5</v>
      </c>
      <c r="G201" s="32"/>
      <c r="H201" s="32">
        <f ca="1">IFERROR(__xludf.DUMMYFUNCTION("""COMPUTED_VALUE"""),5)</f>
        <v>5</v>
      </c>
      <c r="I201" s="32"/>
      <c r="J201" s="32">
        <f ca="1">IFERROR(__xludf.DUMMYFUNCTION("""COMPUTED_VALUE"""),4)</f>
        <v>4</v>
      </c>
      <c r="K201" s="32"/>
      <c r="L201" s="32">
        <f ca="1">IFERROR(__xludf.DUMMYFUNCTION("""COMPUTED_VALUE"""),0)</f>
        <v>0</v>
      </c>
      <c r="M201" s="32"/>
      <c r="N201" s="31">
        <f ca="1">IFERROR(__xludf.DUMMYFUNCTION("""COMPUTED_VALUE"""),0)</f>
        <v>0</v>
      </c>
      <c r="O201" s="32">
        <f ca="1">IFERROR(__xludf.DUMMYFUNCTION("""COMPUTED_VALUE"""),0)</f>
        <v>0</v>
      </c>
      <c r="P201" s="32"/>
      <c r="Q201" s="32">
        <f ca="1">IFERROR(__xludf.DUMMYFUNCTION("""COMPUTED_VALUE"""),0)</f>
        <v>0</v>
      </c>
      <c r="R201" s="32"/>
      <c r="S201" s="31">
        <f ca="1">IFERROR(__xludf.DUMMYFUNCTION("""COMPUTED_VALUE"""),0)</f>
        <v>0</v>
      </c>
      <c r="T201" s="32">
        <f ca="1">IFERROR(__xludf.DUMMYFUNCTION("""COMPUTED_VALUE"""),0)</f>
        <v>0</v>
      </c>
      <c r="U201" s="32"/>
      <c r="V201" s="32">
        <f ca="1">IFERROR(__xludf.DUMMYFUNCTION("""COMPUTED_VALUE"""),0)</f>
        <v>0</v>
      </c>
      <c r="W201" s="32"/>
      <c r="X201" s="32">
        <f ca="1">IFERROR(__xludf.DUMMYFUNCTION("""COMPUTED_VALUE"""),0)</f>
        <v>0</v>
      </c>
      <c r="Y201" s="32"/>
      <c r="Z201" s="2"/>
      <c r="AA201" s="2"/>
      <c r="AB201" s="2"/>
      <c r="AC201" s="2"/>
      <c r="AD201" s="2"/>
      <c r="AE201" s="2"/>
    </row>
    <row r="202" spans="1:31" ht="12.75" x14ac:dyDescent="0.2">
      <c r="A202" s="28">
        <f ca="1">IFERROR(__xludf.DUMMYFUNCTION("""COMPUTED_VALUE"""),9)</f>
        <v>9</v>
      </c>
      <c r="B202" s="29" t="str">
        <f ca="1">IFERROR(__xludf.DUMMYFUNCTION("""COMPUTED_VALUE"""),"MN Vương Quốc Tí Hon 2")</f>
        <v>MN Vương Quốc Tí Hon 2</v>
      </c>
      <c r="C202" s="33" t="str">
        <f ca="1">IFERROR(__xludf.DUMMYFUNCTION("""COMPUTED_VALUE"""),"MN")</f>
        <v>MN</v>
      </c>
      <c r="D202" s="30" t="str">
        <f ca="1">IFERROR(__xludf.DUMMYFUNCTION("""COMPUTED_VALUE"""),"Tp. Thủ Đức")</f>
        <v>Tp. Thủ Đức</v>
      </c>
      <c r="E202" s="31">
        <f ca="1">IFERROR(__xludf.DUMMYFUNCTION("""COMPUTED_VALUE"""),20)</f>
        <v>20</v>
      </c>
      <c r="F202" s="32">
        <f ca="1">IFERROR(__xludf.DUMMYFUNCTION("""COMPUTED_VALUE"""),20)</f>
        <v>20</v>
      </c>
      <c r="G202" s="32"/>
      <c r="H202" s="32">
        <f ca="1">IFERROR(__xludf.DUMMYFUNCTION("""COMPUTED_VALUE"""),20)</f>
        <v>20</v>
      </c>
      <c r="I202" s="32"/>
      <c r="J202" s="32">
        <f ca="1">IFERROR(__xludf.DUMMYFUNCTION("""COMPUTED_VALUE"""),15)</f>
        <v>15</v>
      </c>
      <c r="K202" s="32"/>
      <c r="L202" s="32">
        <f ca="1">IFERROR(__xludf.DUMMYFUNCTION("""COMPUTED_VALUE"""),0)</f>
        <v>0</v>
      </c>
      <c r="M202" s="32"/>
      <c r="N202" s="31">
        <f ca="1">IFERROR(__xludf.DUMMYFUNCTION("""COMPUTED_VALUE"""),0)</f>
        <v>0</v>
      </c>
      <c r="O202" s="32">
        <f ca="1">IFERROR(__xludf.DUMMYFUNCTION("""COMPUTED_VALUE"""),0)</f>
        <v>0</v>
      </c>
      <c r="P202" s="32"/>
      <c r="Q202" s="32">
        <f ca="1">IFERROR(__xludf.DUMMYFUNCTION("""COMPUTED_VALUE"""),0)</f>
        <v>0</v>
      </c>
      <c r="R202" s="32"/>
      <c r="S202" s="31">
        <f ca="1">IFERROR(__xludf.DUMMYFUNCTION("""COMPUTED_VALUE"""),0)</f>
        <v>0</v>
      </c>
      <c r="T202" s="32">
        <f ca="1">IFERROR(__xludf.DUMMYFUNCTION("""COMPUTED_VALUE"""),0)</f>
        <v>0</v>
      </c>
      <c r="U202" s="32"/>
      <c r="V202" s="32">
        <f ca="1">IFERROR(__xludf.DUMMYFUNCTION("""COMPUTED_VALUE"""),0)</f>
        <v>0</v>
      </c>
      <c r="W202" s="32"/>
      <c r="X202" s="32">
        <f ca="1">IFERROR(__xludf.DUMMYFUNCTION("""COMPUTED_VALUE"""),0)</f>
        <v>0</v>
      </c>
      <c r="Y202" s="32"/>
      <c r="Z202" s="2"/>
      <c r="AA202" s="2"/>
      <c r="AB202" s="2"/>
      <c r="AC202" s="2"/>
      <c r="AD202" s="2"/>
      <c r="AE202" s="2"/>
    </row>
    <row r="203" spans="1:31" ht="12.75" x14ac:dyDescent="0.2">
      <c r="A203" s="28">
        <f ca="1">IFERROR(__xludf.DUMMYFUNCTION("""COMPUTED_VALUE"""),10)</f>
        <v>10</v>
      </c>
      <c r="B203" s="29" t="str">
        <f ca="1">IFERROR(__xludf.DUMMYFUNCTION("""COMPUTED_VALUE"""),"MN Trẻ Thơ")</f>
        <v>MN Trẻ Thơ</v>
      </c>
      <c r="C203" s="33" t="str">
        <f ca="1">IFERROR(__xludf.DUMMYFUNCTION("""COMPUTED_VALUE"""),"MN")</f>
        <v>MN</v>
      </c>
      <c r="D203" s="30" t="str">
        <f ca="1">IFERROR(__xludf.DUMMYFUNCTION("""COMPUTED_VALUE"""),"Tp. Thủ Đức")</f>
        <v>Tp. Thủ Đức</v>
      </c>
      <c r="E203" s="31">
        <f ca="1">IFERROR(__xludf.DUMMYFUNCTION("""COMPUTED_VALUE"""),17)</f>
        <v>17</v>
      </c>
      <c r="F203" s="32">
        <f ca="1">IFERROR(__xludf.DUMMYFUNCTION("""COMPUTED_VALUE"""),17)</f>
        <v>17</v>
      </c>
      <c r="G203" s="32"/>
      <c r="H203" s="32">
        <f ca="1">IFERROR(__xludf.DUMMYFUNCTION("""COMPUTED_VALUE"""),17)</f>
        <v>17</v>
      </c>
      <c r="I203" s="32"/>
      <c r="J203" s="32">
        <f ca="1">IFERROR(__xludf.DUMMYFUNCTION("""COMPUTED_VALUE"""),17)</f>
        <v>17</v>
      </c>
      <c r="K203" s="32"/>
      <c r="L203" s="32">
        <f ca="1">IFERROR(__xludf.DUMMYFUNCTION("""COMPUTED_VALUE"""),1)</f>
        <v>1</v>
      </c>
      <c r="M203" s="32"/>
      <c r="N203" s="31">
        <f ca="1">IFERROR(__xludf.DUMMYFUNCTION("""COMPUTED_VALUE"""),0)</f>
        <v>0</v>
      </c>
      <c r="O203" s="32">
        <f ca="1">IFERROR(__xludf.DUMMYFUNCTION("""COMPUTED_VALUE"""),0)</f>
        <v>0</v>
      </c>
      <c r="P203" s="32"/>
      <c r="Q203" s="32">
        <f ca="1">IFERROR(__xludf.DUMMYFUNCTION("""COMPUTED_VALUE"""),0)</f>
        <v>0</v>
      </c>
      <c r="R203" s="32"/>
      <c r="S203" s="31">
        <f ca="1">IFERROR(__xludf.DUMMYFUNCTION("""COMPUTED_VALUE"""),0)</f>
        <v>0</v>
      </c>
      <c r="T203" s="32">
        <f ca="1">IFERROR(__xludf.DUMMYFUNCTION("""COMPUTED_VALUE"""),0)</f>
        <v>0</v>
      </c>
      <c r="U203" s="32"/>
      <c r="V203" s="32">
        <f ca="1">IFERROR(__xludf.DUMMYFUNCTION("""COMPUTED_VALUE"""),0)</f>
        <v>0</v>
      </c>
      <c r="W203" s="32"/>
      <c r="X203" s="32">
        <f ca="1">IFERROR(__xludf.DUMMYFUNCTION("""COMPUTED_VALUE"""),0)</f>
        <v>0</v>
      </c>
      <c r="Y203" s="32"/>
      <c r="Z203" s="2"/>
      <c r="AA203" s="2"/>
      <c r="AB203" s="2"/>
      <c r="AC203" s="2"/>
      <c r="AD203" s="2"/>
      <c r="AE203" s="2"/>
    </row>
    <row r="204" spans="1:31" ht="12.75" x14ac:dyDescent="0.2">
      <c r="A204" s="28">
        <f ca="1">IFERROR(__xludf.DUMMYFUNCTION("""COMPUTED_VALUE"""),11)</f>
        <v>11</v>
      </c>
      <c r="B204" s="29" t="str">
        <f ca="1">IFERROR(__xludf.DUMMYFUNCTION("""COMPUTED_VALUE"""),"MN Hoa Hồng Đỏ")</f>
        <v>MN Hoa Hồng Đỏ</v>
      </c>
      <c r="C204" s="33" t="str">
        <f ca="1">IFERROR(__xludf.DUMMYFUNCTION("""COMPUTED_VALUE"""),"MN")</f>
        <v>MN</v>
      </c>
      <c r="D204" s="30" t="str">
        <f ca="1">IFERROR(__xludf.DUMMYFUNCTION("""COMPUTED_VALUE"""),"Tp. Thủ Đức")</f>
        <v>Tp. Thủ Đức</v>
      </c>
      <c r="E204" s="31">
        <f ca="1">IFERROR(__xludf.DUMMYFUNCTION("""COMPUTED_VALUE"""),80)</f>
        <v>80</v>
      </c>
      <c r="F204" s="32">
        <f ca="1">IFERROR(__xludf.DUMMYFUNCTION("""COMPUTED_VALUE"""),80)</f>
        <v>80</v>
      </c>
      <c r="G204" s="32"/>
      <c r="H204" s="32">
        <f ca="1">IFERROR(__xludf.DUMMYFUNCTION("""COMPUTED_VALUE"""),80)</f>
        <v>80</v>
      </c>
      <c r="I204" s="32"/>
      <c r="J204" s="32">
        <f ca="1">IFERROR(__xludf.DUMMYFUNCTION("""COMPUTED_VALUE"""),77)</f>
        <v>77</v>
      </c>
      <c r="K204" s="32"/>
      <c r="L204" s="32">
        <f ca="1">IFERROR(__xludf.DUMMYFUNCTION("""COMPUTED_VALUE"""),19)</f>
        <v>19</v>
      </c>
      <c r="M204" s="32"/>
      <c r="N204" s="31">
        <f ca="1">IFERROR(__xludf.DUMMYFUNCTION("""COMPUTED_VALUE"""),0)</f>
        <v>0</v>
      </c>
      <c r="O204" s="32">
        <f ca="1">IFERROR(__xludf.DUMMYFUNCTION("""COMPUTED_VALUE"""),0)</f>
        <v>0</v>
      </c>
      <c r="P204" s="32"/>
      <c r="Q204" s="32">
        <f ca="1">IFERROR(__xludf.DUMMYFUNCTION("""COMPUTED_VALUE"""),0)</f>
        <v>0</v>
      </c>
      <c r="R204" s="32"/>
      <c r="S204" s="31">
        <f ca="1">IFERROR(__xludf.DUMMYFUNCTION("""COMPUTED_VALUE"""),0)</f>
        <v>0</v>
      </c>
      <c r="T204" s="32">
        <f ca="1">IFERROR(__xludf.DUMMYFUNCTION("""COMPUTED_VALUE"""),0)</f>
        <v>0</v>
      </c>
      <c r="U204" s="32"/>
      <c r="V204" s="32">
        <f ca="1">IFERROR(__xludf.DUMMYFUNCTION("""COMPUTED_VALUE"""),0)</f>
        <v>0</v>
      </c>
      <c r="W204" s="32"/>
      <c r="X204" s="32">
        <f ca="1">IFERROR(__xludf.DUMMYFUNCTION("""COMPUTED_VALUE"""),0)</f>
        <v>0</v>
      </c>
      <c r="Y204" s="32"/>
      <c r="Z204" s="2"/>
      <c r="AA204" s="2"/>
      <c r="AB204" s="2"/>
      <c r="AC204" s="2"/>
      <c r="AD204" s="2"/>
      <c r="AE204" s="2"/>
    </row>
    <row r="205" spans="1:31" ht="12.75" x14ac:dyDescent="0.2">
      <c r="A205" s="28">
        <f ca="1">IFERROR(__xludf.DUMMYFUNCTION("""COMPUTED_VALUE"""),12)</f>
        <v>12</v>
      </c>
      <c r="B205" s="29" t="str">
        <f ca="1">IFERROR(__xludf.DUMMYFUNCTION("""COMPUTED_VALUE"""),"MN Bình Minh 2")</f>
        <v>MN Bình Minh 2</v>
      </c>
      <c r="C205" s="33" t="str">
        <f ca="1">IFERROR(__xludf.DUMMYFUNCTION("""COMPUTED_VALUE"""),"MN")</f>
        <v>MN</v>
      </c>
      <c r="D205" s="30" t="str">
        <f ca="1">IFERROR(__xludf.DUMMYFUNCTION("""COMPUTED_VALUE"""),"Tp. Thủ Đức")</f>
        <v>Tp. Thủ Đức</v>
      </c>
      <c r="E205" s="31">
        <f ca="1">IFERROR(__xludf.DUMMYFUNCTION("""COMPUTED_VALUE"""),37)</f>
        <v>37</v>
      </c>
      <c r="F205" s="32">
        <f ca="1">IFERROR(__xludf.DUMMYFUNCTION("""COMPUTED_VALUE"""),37)</f>
        <v>37</v>
      </c>
      <c r="G205" s="32"/>
      <c r="H205" s="32">
        <f ca="1">IFERROR(__xludf.DUMMYFUNCTION("""COMPUTED_VALUE"""),37)</f>
        <v>37</v>
      </c>
      <c r="I205" s="32"/>
      <c r="J205" s="32">
        <f ca="1">IFERROR(__xludf.DUMMYFUNCTION("""COMPUTED_VALUE"""),27)</f>
        <v>27</v>
      </c>
      <c r="K205" s="32"/>
      <c r="L205" s="32">
        <f ca="1">IFERROR(__xludf.DUMMYFUNCTION("""COMPUTED_VALUE"""),1)</f>
        <v>1</v>
      </c>
      <c r="M205" s="32"/>
      <c r="N205" s="31">
        <f ca="1">IFERROR(__xludf.DUMMYFUNCTION("""COMPUTED_VALUE"""),0)</f>
        <v>0</v>
      </c>
      <c r="O205" s="32">
        <f ca="1">IFERROR(__xludf.DUMMYFUNCTION("""COMPUTED_VALUE"""),0)</f>
        <v>0</v>
      </c>
      <c r="P205" s="32"/>
      <c r="Q205" s="32">
        <f ca="1">IFERROR(__xludf.DUMMYFUNCTION("""COMPUTED_VALUE"""),0)</f>
        <v>0</v>
      </c>
      <c r="R205" s="32"/>
      <c r="S205" s="31">
        <f ca="1">IFERROR(__xludf.DUMMYFUNCTION("""COMPUTED_VALUE"""),0)</f>
        <v>0</v>
      </c>
      <c r="T205" s="32">
        <f ca="1">IFERROR(__xludf.DUMMYFUNCTION("""COMPUTED_VALUE"""),0)</f>
        <v>0</v>
      </c>
      <c r="U205" s="32"/>
      <c r="V205" s="32">
        <f ca="1">IFERROR(__xludf.DUMMYFUNCTION("""COMPUTED_VALUE"""),0)</f>
        <v>0</v>
      </c>
      <c r="W205" s="32"/>
      <c r="X205" s="32">
        <f ca="1">IFERROR(__xludf.DUMMYFUNCTION("""COMPUTED_VALUE"""),0)</f>
        <v>0</v>
      </c>
      <c r="Y205" s="32"/>
      <c r="Z205" s="2"/>
      <c r="AA205" s="2"/>
      <c r="AB205" s="2"/>
      <c r="AC205" s="2"/>
      <c r="AD205" s="2"/>
      <c r="AE205" s="2"/>
    </row>
    <row r="206" spans="1:31" ht="12.75" x14ac:dyDescent="0.2">
      <c r="A206" s="28">
        <f ca="1">IFERROR(__xludf.DUMMYFUNCTION("""COMPUTED_VALUE"""),13)</f>
        <v>13</v>
      </c>
      <c r="B206" s="29" t="str">
        <f ca="1">IFERROR(__xludf.DUMMYFUNCTION("""COMPUTED_VALUE"""),"MN Á Châu")</f>
        <v>MN Á Châu</v>
      </c>
      <c r="C206" s="33" t="str">
        <f ca="1">IFERROR(__xludf.DUMMYFUNCTION("""COMPUTED_VALUE"""),"MN")</f>
        <v>MN</v>
      </c>
      <c r="D206" s="30" t="str">
        <f ca="1">IFERROR(__xludf.DUMMYFUNCTION("""COMPUTED_VALUE"""),"Tp. Thủ Đức")</f>
        <v>Tp. Thủ Đức</v>
      </c>
      <c r="E206" s="31">
        <f ca="1">IFERROR(__xludf.DUMMYFUNCTION("""COMPUTED_VALUE"""),36)</f>
        <v>36</v>
      </c>
      <c r="F206" s="32">
        <f ca="1">IFERROR(__xludf.DUMMYFUNCTION("""COMPUTED_VALUE"""),36)</f>
        <v>36</v>
      </c>
      <c r="G206" s="32"/>
      <c r="H206" s="32">
        <f ca="1">IFERROR(__xludf.DUMMYFUNCTION("""COMPUTED_VALUE"""),36)</f>
        <v>36</v>
      </c>
      <c r="I206" s="32"/>
      <c r="J206" s="32">
        <f ca="1">IFERROR(__xludf.DUMMYFUNCTION("""COMPUTED_VALUE"""),25)</f>
        <v>25</v>
      </c>
      <c r="K206" s="32"/>
      <c r="L206" s="32">
        <f ca="1">IFERROR(__xludf.DUMMYFUNCTION("""COMPUTED_VALUE"""),7)</f>
        <v>7</v>
      </c>
      <c r="M206" s="32"/>
      <c r="N206" s="31">
        <f ca="1">IFERROR(__xludf.DUMMYFUNCTION("""COMPUTED_VALUE"""),0)</f>
        <v>0</v>
      </c>
      <c r="O206" s="32">
        <f ca="1">IFERROR(__xludf.DUMMYFUNCTION("""COMPUTED_VALUE"""),0)</f>
        <v>0</v>
      </c>
      <c r="P206" s="32"/>
      <c r="Q206" s="32">
        <f ca="1">IFERROR(__xludf.DUMMYFUNCTION("""COMPUTED_VALUE"""),0)</f>
        <v>0</v>
      </c>
      <c r="R206" s="32"/>
      <c r="S206" s="31">
        <f ca="1">IFERROR(__xludf.DUMMYFUNCTION("""COMPUTED_VALUE"""),0)</f>
        <v>0</v>
      </c>
      <c r="T206" s="32">
        <f ca="1">IFERROR(__xludf.DUMMYFUNCTION("""COMPUTED_VALUE"""),0)</f>
        <v>0</v>
      </c>
      <c r="U206" s="32"/>
      <c r="V206" s="32">
        <f ca="1">IFERROR(__xludf.DUMMYFUNCTION("""COMPUTED_VALUE"""),0)</f>
        <v>0</v>
      </c>
      <c r="W206" s="32"/>
      <c r="X206" s="32">
        <f ca="1">IFERROR(__xludf.DUMMYFUNCTION("""COMPUTED_VALUE"""),0)</f>
        <v>0</v>
      </c>
      <c r="Y206" s="32"/>
      <c r="Z206" s="2"/>
      <c r="AA206" s="2"/>
      <c r="AB206" s="2"/>
      <c r="AC206" s="2"/>
      <c r="AD206" s="2"/>
      <c r="AE206" s="2"/>
    </row>
    <row r="207" spans="1:31" ht="12.75" x14ac:dyDescent="0.2">
      <c r="A207" s="28">
        <f ca="1">IFERROR(__xludf.DUMMYFUNCTION("""COMPUTED_VALUE"""),14)</f>
        <v>14</v>
      </c>
      <c r="B207" s="29" t="str">
        <f ca="1">IFERROR(__xludf.DUMMYFUNCTION("""COMPUTED_VALUE"""),"MN Thăng Long A")</f>
        <v>MN Thăng Long A</v>
      </c>
      <c r="C207" s="33" t="str">
        <f ca="1">IFERROR(__xludf.DUMMYFUNCTION("""COMPUTED_VALUE"""),"MN")</f>
        <v>MN</v>
      </c>
      <c r="D207" s="30" t="str">
        <f ca="1">IFERROR(__xludf.DUMMYFUNCTION("""COMPUTED_VALUE"""),"Tp. Thủ Đức")</f>
        <v>Tp. Thủ Đức</v>
      </c>
      <c r="E207" s="31">
        <f ca="1">IFERROR(__xludf.DUMMYFUNCTION("""COMPUTED_VALUE"""),21)</f>
        <v>21</v>
      </c>
      <c r="F207" s="32">
        <f ca="1">IFERROR(__xludf.DUMMYFUNCTION("""COMPUTED_VALUE"""),21)</f>
        <v>21</v>
      </c>
      <c r="G207" s="32"/>
      <c r="H207" s="32">
        <f ca="1">IFERROR(__xludf.DUMMYFUNCTION("""COMPUTED_VALUE"""),21)</f>
        <v>21</v>
      </c>
      <c r="I207" s="32"/>
      <c r="J207" s="32">
        <f ca="1">IFERROR(__xludf.DUMMYFUNCTION("""COMPUTED_VALUE"""),19)</f>
        <v>19</v>
      </c>
      <c r="K207" s="32"/>
      <c r="L207" s="32">
        <f ca="1">IFERROR(__xludf.DUMMYFUNCTION("""COMPUTED_VALUE"""),1)</f>
        <v>1</v>
      </c>
      <c r="M207" s="32"/>
      <c r="N207" s="31">
        <f ca="1">IFERROR(__xludf.DUMMYFUNCTION("""COMPUTED_VALUE"""),0)</f>
        <v>0</v>
      </c>
      <c r="O207" s="32">
        <f ca="1">IFERROR(__xludf.DUMMYFUNCTION("""COMPUTED_VALUE"""),0)</f>
        <v>0</v>
      </c>
      <c r="P207" s="32"/>
      <c r="Q207" s="32">
        <f ca="1">IFERROR(__xludf.DUMMYFUNCTION("""COMPUTED_VALUE"""),0)</f>
        <v>0</v>
      </c>
      <c r="R207" s="32"/>
      <c r="S207" s="31">
        <f ca="1">IFERROR(__xludf.DUMMYFUNCTION("""COMPUTED_VALUE"""),0)</f>
        <v>0</v>
      </c>
      <c r="T207" s="32">
        <f ca="1">IFERROR(__xludf.DUMMYFUNCTION("""COMPUTED_VALUE"""),0)</f>
        <v>0</v>
      </c>
      <c r="U207" s="32"/>
      <c r="V207" s="32">
        <f ca="1">IFERROR(__xludf.DUMMYFUNCTION("""COMPUTED_VALUE"""),0)</f>
        <v>0</v>
      </c>
      <c r="W207" s="32"/>
      <c r="X207" s="32">
        <f ca="1">IFERROR(__xludf.DUMMYFUNCTION("""COMPUTED_VALUE"""),0)</f>
        <v>0</v>
      </c>
      <c r="Y207" s="32"/>
      <c r="Z207" s="2"/>
      <c r="AA207" s="2"/>
      <c r="AB207" s="2"/>
      <c r="AC207" s="2"/>
      <c r="AD207" s="2"/>
      <c r="AE207" s="2"/>
    </row>
    <row r="208" spans="1:31" ht="12.75" x14ac:dyDescent="0.2">
      <c r="A208" s="28">
        <f ca="1">IFERROR(__xludf.DUMMYFUNCTION("""COMPUTED_VALUE"""),15)</f>
        <v>15</v>
      </c>
      <c r="B208" s="29" t="str">
        <f ca="1">IFERROR(__xludf.DUMMYFUNCTION("""COMPUTED_VALUE"""),"MN Kim Đồng")</f>
        <v>MN Kim Đồng</v>
      </c>
      <c r="C208" s="33" t="str">
        <f ca="1">IFERROR(__xludf.DUMMYFUNCTION("""COMPUTED_VALUE"""),"MN")</f>
        <v>MN</v>
      </c>
      <c r="D208" s="30" t="str">
        <f ca="1">IFERROR(__xludf.DUMMYFUNCTION("""COMPUTED_VALUE"""),"Tp. Thủ Đức")</f>
        <v>Tp. Thủ Đức</v>
      </c>
      <c r="E208" s="31">
        <f ca="1">IFERROR(__xludf.DUMMYFUNCTION("""COMPUTED_VALUE"""),17)</f>
        <v>17</v>
      </c>
      <c r="F208" s="32">
        <f ca="1">IFERROR(__xludf.DUMMYFUNCTION("""COMPUTED_VALUE"""),17)</f>
        <v>17</v>
      </c>
      <c r="G208" s="32"/>
      <c r="H208" s="32">
        <f ca="1">IFERROR(__xludf.DUMMYFUNCTION("""COMPUTED_VALUE"""),17)</f>
        <v>17</v>
      </c>
      <c r="I208" s="32"/>
      <c r="J208" s="32">
        <f ca="1">IFERROR(__xludf.DUMMYFUNCTION("""COMPUTED_VALUE"""),9)</f>
        <v>9</v>
      </c>
      <c r="K208" s="32"/>
      <c r="L208" s="32">
        <f ca="1">IFERROR(__xludf.DUMMYFUNCTION("""COMPUTED_VALUE"""),1)</f>
        <v>1</v>
      </c>
      <c r="M208" s="32"/>
      <c r="N208" s="31">
        <f ca="1">IFERROR(__xludf.DUMMYFUNCTION("""COMPUTED_VALUE"""),0)</f>
        <v>0</v>
      </c>
      <c r="O208" s="32">
        <f ca="1">IFERROR(__xludf.DUMMYFUNCTION("""COMPUTED_VALUE"""),0)</f>
        <v>0</v>
      </c>
      <c r="P208" s="32"/>
      <c r="Q208" s="32">
        <f ca="1">IFERROR(__xludf.DUMMYFUNCTION("""COMPUTED_VALUE"""),0)</f>
        <v>0</v>
      </c>
      <c r="R208" s="32"/>
      <c r="S208" s="31">
        <f ca="1">IFERROR(__xludf.DUMMYFUNCTION("""COMPUTED_VALUE"""),0)</f>
        <v>0</v>
      </c>
      <c r="T208" s="32">
        <f ca="1">IFERROR(__xludf.DUMMYFUNCTION("""COMPUTED_VALUE"""),0)</f>
        <v>0</v>
      </c>
      <c r="U208" s="32"/>
      <c r="V208" s="32">
        <f ca="1">IFERROR(__xludf.DUMMYFUNCTION("""COMPUTED_VALUE"""),0)</f>
        <v>0</v>
      </c>
      <c r="W208" s="32"/>
      <c r="X208" s="32">
        <f ca="1">IFERROR(__xludf.DUMMYFUNCTION("""COMPUTED_VALUE"""),0)</f>
        <v>0</v>
      </c>
      <c r="Y208" s="32"/>
      <c r="Z208" s="2"/>
      <c r="AA208" s="2"/>
      <c r="AB208" s="2"/>
      <c r="AC208" s="2"/>
      <c r="AD208" s="2"/>
      <c r="AE208" s="2"/>
    </row>
    <row r="209" spans="1:31" ht="12.75" x14ac:dyDescent="0.2">
      <c r="A209" s="28">
        <f ca="1">IFERROR(__xludf.DUMMYFUNCTION("""COMPUTED_VALUE"""),16)</f>
        <v>16</v>
      </c>
      <c r="B209" s="29" t="str">
        <f ca="1">IFERROR(__xludf.DUMMYFUNCTION("""COMPUTED_VALUE"""),"MN Tuệ Đức - Fuji")</f>
        <v>MN Tuệ Đức - Fuji</v>
      </c>
      <c r="C209" s="33" t="str">
        <f ca="1">IFERROR(__xludf.DUMMYFUNCTION("""COMPUTED_VALUE"""),"MN")</f>
        <v>MN</v>
      </c>
      <c r="D209" s="30" t="str">
        <f ca="1">IFERROR(__xludf.DUMMYFUNCTION("""COMPUTED_VALUE"""),"Tp. Thủ Đức")</f>
        <v>Tp. Thủ Đức</v>
      </c>
      <c r="E209" s="31">
        <f ca="1">IFERROR(__xludf.DUMMYFUNCTION("""COMPUTED_VALUE"""),22)</f>
        <v>22</v>
      </c>
      <c r="F209" s="32">
        <f ca="1">IFERROR(__xludf.DUMMYFUNCTION("""COMPUTED_VALUE"""),22)</f>
        <v>22</v>
      </c>
      <c r="G209" s="32"/>
      <c r="H209" s="32">
        <f ca="1">IFERROR(__xludf.DUMMYFUNCTION("""COMPUTED_VALUE"""),22)</f>
        <v>22</v>
      </c>
      <c r="I209" s="32"/>
      <c r="J209" s="32">
        <f ca="1">IFERROR(__xludf.DUMMYFUNCTION("""COMPUTED_VALUE"""),16)</f>
        <v>16</v>
      </c>
      <c r="K209" s="32"/>
      <c r="L209" s="32">
        <f ca="1">IFERROR(__xludf.DUMMYFUNCTION("""COMPUTED_VALUE"""),0)</f>
        <v>0</v>
      </c>
      <c r="M209" s="32"/>
      <c r="N209" s="31">
        <f ca="1">IFERROR(__xludf.DUMMYFUNCTION("""COMPUTED_VALUE"""),0)</f>
        <v>0</v>
      </c>
      <c r="O209" s="32">
        <f ca="1">IFERROR(__xludf.DUMMYFUNCTION("""COMPUTED_VALUE"""),0)</f>
        <v>0</v>
      </c>
      <c r="P209" s="32"/>
      <c r="Q209" s="32">
        <f ca="1">IFERROR(__xludf.DUMMYFUNCTION("""COMPUTED_VALUE"""),0)</f>
        <v>0</v>
      </c>
      <c r="R209" s="32"/>
      <c r="S209" s="31">
        <f ca="1">IFERROR(__xludf.DUMMYFUNCTION("""COMPUTED_VALUE"""),0)</f>
        <v>0</v>
      </c>
      <c r="T209" s="32">
        <f ca="1">IFERROR(__xludf.DUMMYFUNCTION("""COMPUTED_VALUE"""),0)</f>
        <v>0</v>
      </c>
      <c r="U209" s="32"/>
      <c r="V209" s="32">
        <f ca="1">IFERROR(__xludf.DUMMYFUNCTION("""COMPUTED_VALUE"""),0)</f>
        <v>0</v>
      </c>
      <c r="W209" s="32"/>
      <c r="X209" s="32">
        <f ca="1">IFERROR(__xludf.DUMMYFUNCTION("""COMPUTED_VALUE"""),0)</f>
        <v>0</v>
      </c>
      <c r="Y209" s="32"/>
      <c r="Z209" s="2"/>
      <c r="AA209" s="2"/>
      <c r="AB209" s="2"/>
      <c r="AC209" s="2"/>
      <c r="AD209" s="2"/>
      <c r="AE209" s="2"/>
    </row>
    <row r="210" spans="1:31" ht="12.75" x14ac:dyDescent="0.2">
      <c r="A210" s="28">
        <f ca="1">IFERROR(__xludf.DUMMYFUNCTION("""COMPUTED_VALUE"""),17)</f>
        <v>17</v>
      </c>
      <c r="B210" s="29" t="str">
        <f ca="1">IFERROR(__xludf.DUMMYFUNCTION("""COMPUTED_VALUE"""),"MN Thiên Phúc")</f>
        <v>MN Thiên Phúc</v>
      </c>
      <c r="C210" s="33" t="str">
        <f ca="1">IFERROR(__xludf.DUMMYFUNCTION("""COMPUTED_VALUE"""),"MN")</f>
        <v>MN</v>
      </c>
      <c r="D210" s="30" t="str">
        <f ca="1">IFERROR(__xludf.DUMMYFUNCTION("""COMPUTED_VALUE"""),"Tp. Thủ Đức")</f>
        <v>Tp. Thủ Đức</v>
      </c>
      <c r="E210" s="31">
        <f ca="1">IFERROR(__xludf.DUMMYFUNCTION("""COMPUTED_VALUE"""),14)</f>
        <v>14</v>
      </c>
      <c r="F210" s="32">
        <f ca="1">IFERROR(__xludf.DUMMYFUNCTION("""COMPUTED_VALUE"""),14)</f>
        <v>14</v>
      </c>
      <c r="G210" s="32"/>
      <c r="H210" s="32">
        <f ca="1">IFERROR(__xludf.DUMMYFUNCTION("""COMPUTED_VALUE"""),14)</f>
        <v>14</v>
      </c>
      <c r="I210" s="32"/>
      <c r="J210" s="32">
        <f ca="1">IFERROR(__xludf.DUMMYFUNCTION("""COMPUTED_VALUE"""),13)</f>
        <v>13</v>
      </c>
      <c r="K210" s="32"/>
      <c r="L210" s="32">
        <f ca="1">IFERROR(__xludf.DUMMYFUNCTION("""COMPUTED_VALUE"""),2)</f>
        <v>2</v>
      </c>
      <c r="M210" s="32"/>
      <c r="N210" s="31">
        <f ca="1">IFERROR(__xludf.DUMMYFUNCTION("""COMPUTED_VALUE"""),0)</f>
        <v>0</v>
      </c>
      <c r="O210" s="32">
        <f ca="1">IFERROR(__xludf.DUMMYFUNCTION("""COMPUTED_VALUE"""),0)</f>
        <v>0</v>
      </c>
      <c r="P210" s="32"/>
      <c r="Q210" s="32">
        <f ca="1">IFERROR(__xludf.DUMMYFUNCTION("""COMPUTED_VALUE"""),0)</f>
        <v>0</v>
      </c>
      <c r="R210" s="32"/>
      <c r="S210" s="31">
        <f ca="1">IFERROR(__xludf.DUMMYFUNCTION("""COMPUTED_VALUE"""),0)</f>
        <v>0</v>
      </c>
      <c r="T210" s="32">
        <f ca="1">IFERROR(__xludf.DUMMYFUNCTION("""COMPUTED_VALUE"""),0)</f>
        <v>0</v>
      </c>
      <c r="U210" s="32"/>
      <c r="V210" s="32">
        <f ca="1">IFERROR(__xludf.DUMMYFUNCTION("""COMPUTED_VALUE"""),0)</f>
        <v>0</v>
      </c>
      <c r="W210" s="32"/>
      <c r="X210" s="32">
        <f ca="1">IFERROR(__xludf.DUMMYFUNCTION("""COMPUTED_VALUE"""),0)</f>
        <v>0</v>
      </c>
      <c r="Y210" s="32"/>
      <c r="Z210" s="2"/>
      <c r="AA210" s="2"/>
      <c r="AB210" s="2"/>
      <c r="AC210" s="2"/>
      <c r="AD210" s="2"/>
      <c r="AE210" s="2"/>
    </row>
    <row r="211" spans="1:31" ht="12.75" x14ac:dyDescent="0.2">
      <c r="A211" s="28">
        <f ca="1">IFERROR(__xludf.DUMMYFUNCTION("""COMPUTED_VALUE"""),18)</f>
        <v>18</v>
      </c>
      <c r="B211" s="29" t="str">
        <f ca="1">IFERROR(__xludf.DUMMYFUNCTION("""COMPUTED_VALUE"""),"MN Hoa Diên Vĩ - Gia Hòa")</f>
        <v>MN Hoa Diên Vĩ - Gia Hòa</v>
      </c>
      <c r="C211" s="33" t="str">
        <f ca="1">IFERROR(__xludf.DUMMYFUNCTION("""COMPUTED_VALUE"""),"MN")</f>
        <v>MN</v>
      </c>
      <c r="D211" s="30" t="str">
        <f ca="1">IFERROR(__xludf.DUMMYFUNCTION("""COMPUTED_VALUE"""),"Tp. Thủ Đức")</f>
        <v>Tp. Thủ Đức</v>
      </c>
      <c r="E211" s="31">
        <f ca="1">IFERROR(__xludf.DUMMYFUNCTION("""COMPUTED_VALUE"""),21)</f>
        <v>21</v>
      </c>
      <c r="F211" s="32">
        <f ca="1">IFERROR(__xludf.DUMMYFUNCTION("""COMPUTED_VALUE"""),21)</f>
        <v>21</v>
      </c>
      <c r="G211" s="32"/>
      <c r="H211" s="32">
        <f ca="1">IFERROR(__xludf.DUMMYFUNCTION("""COMPUTED_VALUE"""),21)</f>
        <v>21</v>
      </c>
      <c r="I211" s="32"/>
      <c r="J211" s="32">
        <f ca="1">IFERROR(__xludf.DUMMYFUNCTION("""COMPUTED_VALUE"""),11)</f>
        <v>11</v>
      </c>
      <c r="K211" s="32"/>
      <c r="L211" s="32">
        <f ca="1">IFERROR(__xludf.DUMMYFUNCTION("""COMPUTED_VALUE"""),0)</f>
        <v>0</v>
      </c>
      <c r="M211" s="32"/>
      <c r="N211" s="31">
        <f ca="1">IFERROR(__xludf.DUMMYFUNCTION("""COMPUTED_VALUE"""),0)</f>
        <v>0</v>
      </c>
      <c r="O211" s="32">
        <f ca="1">IFERROR(__xludf.DUMMYFUNCTION("""COMPUTED_VALUE"""),0)</f>
        <v>0</v>
      </c>
      <c r="P211" s="32"/>
      <c r="Q211" s="32">
        <f ca="1">IFERROR(__xludf.DUMMYFUNCTION("""COMPUTED_VALUE"""),0)</f>
        <v>0</v>
      </c>
      <c r="R211" s="32"/>
      <c r="S211" s="31">
        <f ca="1">IFERROR(__xludf.DUMMYFUNCTION("""COMPUTED_VALUE"""),0)</f>
        <v>0</v>
      </c>
      <c r="T211" s="32">
        <f ca="1">IFERROR(__xludf.DUMMYFUNCTION("""COMPUTED_VALUE"""),0)</f>
        <v>0</v>
      </c>
      <c r="U211" s="32"/>
      <c r="V211" s="32">
        <f ca="1">IFERROR(__xludf.DUMMYFUNCTION("""COMPUTED_VALUE"""),0)</f>
        <v>0</v>
      </c>
      <c r="W211" s="32"/>
      <c r="X211" s="32">
        <f ca="1">IFERROR(__xludf.DUMMYFUNCTION("""COMPUTED_VALUE"""),0)</f>
        <v>0</v>
      </c>
      <c r="Y211" s="32"/>
      <c r="Z211" s="2"/>
      <c r="AA211" s="2"/>
      <c r="AB211" s="2"/>
      <c r="AC211" s="2"/>
      <c r="AD211" s="2"/>
      <c r="AE211" s="2"/>
    </row>
    <row r="212" spans="1:31" ht="12.75" x14ac:dyDescent="0.2">
      <c r="A212" s="28">
        <f ca="1">IFERROR(__xludf.DUMMYFUNCTION("""COMPUTED_VALUE"""),19)</f>
        <v>19</v>
      </c>
      <c r="B212" s="29" t="str">
        <f ca="1">IFERROR(__xludf.DUMMYFUNCTION("""COMPUTED_VALUE"""),"MN Thiên Ân Phúc 4")</f>
        <v>MN Thiên Ân Phúc 4</v>
      </c>
      <c r="C212" s="33" t="str">
        <f ca="1">IFERROR(__xludf.DUMMYFUNCTION("""COMPUTED_VALUE"""),"MN")</f>
        <v>MN</v>
      </c>
      <c r="D212" s="30" t="str">
        <f ca="1">IFERROR(__xludf.DUMMYFUNCTION("""COMPUTED_VALUE"""),"Tp. Thủ Đức")</f>
        <v>Tp. Thủ Đức</v>
      </c>
      <c r="E212" s="31">
        <f ca="1">IFERROR(__xludf.DUMMYFUNCTION("""COMPUTED_VALUE"""),24)</f>
        <v>24</v>
      </c>
      <c r="F212" s="32">
        <f ca="1">IFERROR(__xludf.DUMMYFUNCTION("""COMPUTED_VALUE"""),24)</f>
        <v>24</v>
      </c>
      <c r="G212" s="32"/>
      <c r="H212" s="32">
        <f ca="1">IFERROR(__xludf.DUMMYFUNCTION("""COMPUTED_VALUE"""),24)</f>
        <v>24</v>
      </c>
      <c r="I212" s="32"/>
      <c r="J212" s="32">
        <f ca="1">IFERROR(__xludf.DUMMYFUNCTION("""COMPUTED_VALUE"""),24)</f>
        <v>24</v>
      </c>
      <c r="K212" s="32"/>
      <c r="L212" s="32">
        <f ca="1">IFERROR(__xludf.DUMMYFUNCTION("""COMPUTED_VALUE"""),4)</f>
        <v>4</v>
      </c>
      <c r="M212" s="32"/>
      <c r="N212" s="31">
        <f ca="1">IFERROR(__xludf.DUMMYFUNCTION("""COMPUTED_VALUE"""),0)</f>
        <v>0</v>
      </c>
      <c r="O212" s="32">
        <f ca="1">IFERROR(__xludf.DUMMYFUNCTION("""COMPUTED_VALUE"""),0)</f>
        <v>0</v>
      </c>
      <c r="P212" s="32"/>
      <c r="Q212" s="32">
        <f ca="1">IFERROR(__xludf.DUMMYFUNCTION("""COMPUTED_VALUE"""),0)</f>
        <v>0</v>
      </c>
      <c r="R212" s="32"/>
      <c r="S212" s="31">
        <f ca="1">IFERROR(__xludf.DUMMYFUNCTION("""COMPUTED_VALUE"""),0)</f>
        <v>0</v>
      </c>
      <c r="T212" s="32">
        <f ca="1">IFERROR(__xludf.DUMMYFUNCTION("""COMPUTED_VALUE"""),0)</f>
        <v>0</v>
      </c>
      <c r="U212" s="32"/>
      <c r="V212" s="32">
        <f ca="1">IFERROR(__xludf.DUMMYFUNCTION("""COMPUTED_VALUE"""),0)</f>
        <v>0</v>
      </c>
      <c r="W212" s="32"/>
      <c r="X212" s="32">
        <f ca="1">IFERROR(__xludf.DUMMYFUNCTION("""COMPUTED_VALUE"""),0)</f>
        <v>0</v>
      </c>
      <c r="Y212" s="32"/>
      <c r="Z212" s="2"/>
      <c r="AA212" s="2"/>
      <c r="AB212" s="2"/>
      <c r="AC212" s="2"/>
      <c r="AD212" s="2"/>
      <c r="AE212" s="2"/>
    </row>
    <row r="213" spans="1:31" ht="12.75" x14ac:dyDescent="0.2">
      <c r="A213" s="28">
        <f ca="1">IFERROR(__xludf.DUMMYFUNCTION("""COMPUTED_VALUE"""),20)</f>
        <v>20</v>
      </c>
      <c r="B213" s="29" t="str">
        <f ca="1">IFERROR(__xludf.DUMMYFUNCTION("""COMPUTED_VALUE"""),"MN Mặt Trời Á Châu")</f>
        <v>MN Mặt Trời Á Châu</v>
      </c>
      <c r="C213" s="33" t="str">
        <f ca="1">IFERROR(__xludf.DUMMYFUNCTION("""COMPUTED_VALUE"""),"MN")</f>
        <v>MN</v>
      </c>
      <c r="D213" s="30" t="str">
        <f ca="1">IFERROR(__xludf.DUMMYFUNCTION("""COMPUTED_VALUE"""),"Tp. Thủ Đức")</f>
        <v>Tp. Thủ Đức</v>
      </c>
      <c r="E213" s="31">
        <f ca="1">IFERROR(__xludf.DUMMYFUNCTION("""COMPUTED_VALUE"""),68)</f>
        <v>68</v>
      </c>
      <c r="F213" s="32">
        <f ca="1">IFERROR(__xludf.DUMMYFUNCTION("""COMPUTED_VALUE"""),68)</f>
        <v>68</v>
      </c>
      <c r="G213" s="32"/>
      <c r="H213" s="32">
        <f ca="1">IFERROR(__xludf.DUMMYFUNCTION("""COMPUTED_VALUE"""),68)</f>
        <v>68</v>
      </c>
      <c r="I213" s="32"/>
      <c r="J213" s="32">
        <f ca="1">IFERROR(__xludf.DUMMYFUNCTION("""COMPUTED_VALUE"""),63)</f>
        <v>63</v>
      </c>
      <c r="K213" s="32"/>
      <c r="L213" s="32">
        <f ca="1">IFERROR(__xludf.DUMMYFUNCTION("""COMPUTED_VALUE"""),0)</f>
        <v>0</v>
      </c>
      <c r="M213" s="32"/>
      <c r="N213" s="31">
        <f ca="1">IFERROR(__xludf.DUMMYFUNCTION("""COMPUTED_VALUE"""),0)</f>
        <v>0</v>
      </c>
      <c r="O213" s="32">
        <f ca="1">IFERROR(__xludf.DUMMYFUNCTION("""COMPUTED_VALUE"""),0)</f>
        <v>0</v>
      </c>
      <c r="P213" s="32"/>
      <c r="Q213" s="32">
        <f ca="1">IFERROR(__xludf.DUMMYFUNCTION("""COMPUTED_VALUE"""),0)</f>
        <v>0</v>
      </c>
      <c r="R213" s="32"/>
      <c r="S213" s="31">
        <f ca="1">IFERROR(__xludf.DUMMYFUNCTION("""COMPUTED_VALUE"""),0)</f>
        <v>0</v>
      </c>
      <c r="T213" s="32">
        <f ca="1">IFERROR(__xludf.DUMMYFUNCTION("""COMPUTED_VALUE"""),0)</f>
        <v>0</v>
      </c>
      <c r="U213" s="32"/>
      <c r="V213" s="32">
        <f ca="1">IFERROR(__xludf.DUMMYFUNCTION("""COMPUTED_VALUE"""),0)</f>
        <v>0</v>
      </c>
      <c r="W213" s="32"/>
      <c r="X213" s="32">
        <f ca="1">IFERROR(__xludf.DUMMYFUNCTION("""COMPUTED_VALUE"""),0)</f>
        <v>0</v>
      </c>
      <c r="Y213" s="32"/>
      <c r="Z213" s="2"/>
      <c r="AA213" s="2"/>
      <c r="AB213" s="2"/>
      <c r="AC213" s="2"/>
      <c r="AD213" s="2"/>
      <c r="AE213" s="2"/>
    </row>
    <row r="214" spans="1:31" ht="12.75" x14ac:dyDescent="0.2">
      <c r="A214" s="28">
        <f ca="1">IFERROR(__xludf.DUMMYFUNCTION("""COMPUTED_VALUE"""),21)</f>
        <v>21</v>
      </c>
      <c r="B214" s="29" t="str">
        <f ca="1">IFERROR(__xludf.DUMMYFUNCTION("""COMPUTED_VALUE"""),"MN Diệu Kỳ")</f>
        <v>MN Diệu Kỳ</v>
      </c>
      <c r="C214" s="33" t="str">
        <f ca="1">IFERROR(__xludf.DUMMYFUNCTION("""COMPUTED_VALUE"""),"MN")</f>
        <v>MN</v>
      </c>
      <c r="D214" s="30" t="str">
        <f ca="1">IFERROR(__xludf.DUMMYFUNCTION("""COMPUTED_VALUE"""),"Tp. Thủ Đức")</f>
        <v>Tp. Thủ Đức</v>
      </c>
      <c r="E214" s="31">
        <f ca="1">IFERROR(__xludf.DUMMYFUNCTION("""COMPUTED_VALUE"""),16)</f>
        <v>16</v>
      </c>
      <c r="F214" s="32">
        <f ca="1">IFERROR(__xludf.DUMMYFUNCTION("""COMPUTED_VALUE"""),16)</f>
        <v>16</v>
      </c>
      <c r="G214" s="32"/>
      <c r="H214" s="32">
        <f ca="1">IFERROR(__xludf.DUMMYFUNCTION("""COMPUTED_VALUE"""),16)</f>
        <v>16</v>
      </c>
      <c r="I214" s="32"/>
      <c r="J214" s="32">
        <f ca="1">IFERROR(__xludf.DUMMYFUNCTION("""COMPUTED_VALUE"""),12)</f>
        <v>12</v>
      </c>
      <c r="K214" s="32"/>
      <c r="L214" s="32">
        <f ca="1">IFERROR(__xludf.DUMMYFUNCTION("""COMPUTED_VALUE"""),0)</f>
        <v>0</v>
      </c>
      <c r="M214" s="32"/>
      <c r="N214" s="31">
        <f ca="1">IFERROR(__xludf.DUMMYFUNCTION("""COMPUTED_VALUE"""),0)</f>
        <v>0</v>
      </c>
      <c r="O214" s="32">
        <f ca="1">IFERROR(__xludf.DUMMYFUNCTION("""COMPUTED_VALUE"""),0)</f>
        <v>0</v>
      </c>
      <c r="P214" s="32"/>
      <c r="Q214" s="32">
        <f ca="1">IFERROR(__xludf.DUMMYFUNCTION("""COMPUTED_VALUE"""),0)</f>
        <v>0</v>
      </c>
      <c r="R214" s="32"/>
      <c r="S214" s="31">
        <f ca="1">IFERROR(__xludf.DUMMYFUNCTION("""COMPUTED_VALUE"""),0)</f>
        <v>0</v>
      </c>
      <c r="T214" s="32">
        <f ca="1">IFERROR(__xludf.DUMMYFUNCTION("""COMPUTED_VALUE"""),0)</f>
        <v>0</v>
      </c>
      <c r="U214" s="32"/>
      <c r="V214" s="32">
        <f ca="1">IFERROR(__xludf.DUMMYFUNCTION("""COMPUTED_VALUE"""),0)</f>
        <v>0</v>
      </c>
      <c r="W214" s="32"/>
      <c r="X214" s="32">
        <f ca="1">IFERROR(__xludf.DUMMYFUNCTION("""COMPUTED_VALUE"""),0)</f>
        <v>0</v>
      </c>
      <c r="Y214" s="32"/>
      <c r="Z214" s="2"/>
      <c r="AA214" s="2"/>
      <c r="AB214" s="2"/>
      <c r="AC214" s="2"/>
      <c r="AD214" s="2"/>
      <c r="AE214" s="2"/>
    </row>
    <row r="215" spans="1:31" ht="12.75" x14ac:dyDescent="0.2">
      <c r="A215" s="28">
        <f ca="1">IFERROR(__xludf.DUMMYFUNCTION("""COMPUTED_VALUE"""),22)</f>
        <v>22</v>
      </c>
      <c r="B215" s="29" t="str">
        <f ca="1">IFERROR(__xludf.DUMMYFUNCTION("""COMPUTED_VALUE"""),"MN Ban Mai")</f>
        <v>MN Ban Mai</v>
      </c>
      <c r="C215" s="33" t="str">
        <f ca="1">IFERROR(__xludf.DUMMYFUNCTION("""COMPUTED_VALUE"""),"MN")</f>
        <v>MN</v>
      </c>
      <c r="D215" s="30" t="str">
        <f ca="1">IFERROR(__xludf.DUMMYFUNCTION("""COMPUTED_VALUE"""),"Tp. Thủ Đức")</f>
        <v>Tp. Thủ Đức</v>
      </c>
      <c r="E215" s="31">
        <f ca="1">IFERROR(__xludf.DUMMYFUNCTION("""COMPUTED_VALUE"""),17)</f>
        <v>17</v>
      </c>
      <c r="F215" s="32">
        <f ca="1">IFERROR(__xludf.DUMMYFUNCTION("""COMPUTED_VALUE"""),17)</f>
        <v>17</v>
      </c>
      <c r="G215" s="32"/>
      <c r="H215" s="32">
        <f ca="1">IFERROR(__xludf.DUMMYFUNCTION("""COMPUTED_VALUE"""),17)</f>
        <v>17</v>
      </c>
      <c r="I215" s="32"/>
      <c r="J215" s="32">
        <f ca="1">IFERROR(__xludf.DUMMYFUNCTION("""COMPUTED_VALUE"""),17)</f>
        <v>17</v>
      </c>
      <c r="K215" s="32"/>
      <c r="L215" s="32">
        <f ca="1">IFERROR(__xludf.DUMMYFUNCTION("""COMPUTED_VALUE"""),2)</f>
        <v>2</v>
      </c>
      <c r="M215" s="32"/>
      <c r="N215" s="31">
        <f ca="1">IFERROR(__xludf.DUMMYFUNCTION("""COMPUTED_VALUE"""),0)</f>
        <v>0</v>
      </c>
      <c r="O215" s="32">
        <f ca="1">IFERROR(__xludf.DUMMYFUNCTION("""COMPUTED_VALUE"""),0)</f>
        <v>0</v>
      </c>
      <c r="P215" s="32"/>
      <c r="Q215" s="32">
        <f ca="1">IFERROR(__xludf.DUMMYFUNCTION("""COMPUTED_VALUE"""),0)</f>
        <v>0</v>
      </c>
      <c r="R215" s="32"/>
      <c r="S215" s="31">
        <f ca="1">IFERROR(__xludf.DUMMYFUNCTION("""COMPUTED_VALUE"""),0)</f>
        <v>0</v>
      </c>
      <c r="T215" s="32">
        <f ca="1">IFERROR(__xludf.DUMMYFUNCTION("""COMPUTED_VALUE"""),0)</f>
        <v>0</v>
      </c>
      <c r="U215" s="32"/>
      <c r="V215" s="32">
        <f ca="1">IFERROR(__xludf.DUMMYFUNCTION("""COMPUTED_VALUE"""),0)</f>
        <v>0</v>
      </c>
      <c r="W215" s="32"/>
      <c r="X215" s="32">
        <f ca="1">IFERROR(__xludf.DUMMYFUNCTION("""COMPUTED_VALUE"""),0)</f>
        <v>0</v>
      </c>
      <c r="Y215" s="32"/>
      <c r="Z215" s="2"/>
      <c r="AA215" s="2"/>
      <c r="AB215" s="2"/>
      <c r="AC215" s="2"/>
      <c r="AD215" s="2"/>
      <c r="AE215" s="2"/>
    </row>
    <row r="216" spans="1:31" ht="12.75" x14ac:dyDescent="0.2">
      <c r="A216" s="28">
        <f ca="1">IFERROR(__xludf.DUMMYFUNCTION("""COMPUTED_VALUE"""),23)</f>
        <v>23</v>
      </c>
      <c r="B216" s="29" t="str">
        <f ca="1">IFERROR(__xludf.DUMMYFUNCTION("""COMPUTED_VALUE"""),"MN Sao Sáng")</f>
        <v>MN Sao Sáng</v>
      </c>
      <c r="C216" s="33" t="str">
        <f ca="1">IFERROR(__xludf.DUMMYFUNCTION("""COMPUTED_VALUE"""),"MN")</f>
        <v>MN</v>
      </c>
      <c r="D216" s="30" t="str">
        <f ca="1">IFERROR(__xludf.DUMMYFUNCTION("""COMPUTED_VALUE"""),"Tp. Thủ Đức")</f>
        <v>Tp. Thủ Đức</v>
      </c>
      <c r="E216" s="31">
        <f ca="1">IFERROR(__xludf.DUMMYFUNCTION("""COMPUTED_VALUE"""),23)</f>
        <v>23</v>
      </c>
      <c r="F216" s="32">
        <f ca="1">IFERROR(__xludf.DUMMYFUNCTION("""COMPUTED_VALUE"""),23)</f>
        <v>23</v>
      </c>
      <c r="G216" s="32"/>
      <c r="H216" s="32">
        <f ca="1">IFERROR(__xludf.DUMMYFUNCTION("""COMPUTED_VALUE"""),23)</f>
        <v>23</v>
      </c>
      <c r="I216" s="32"/>
      <c r="J216" s="32">
        <f ca="1">IFERROR(__xludf.DUMMYFUNCTION("""COMPUTED_VALUE"""),18)</f>
        <v>18</v>
      </c>
      <c r="K216" s="32"/>
      <c r="L216" s="32">
        <f ca="1">IFERROR(__xludf.DUMMYFUNCTION("""COMPUTED_VALUE"""),1)</f>
        <v>1</v>
      </c>
      <c r="M216" s="32"/>
      <c r="N216" s="31">
        <f ca="1">IFERROR(__xludf.DUMMYFUNCTION("""COMPUTED_VALUE"""),0)</f>
        <v>0</v>
      </c>
      <c r="O216" s="32">
        <f ca="1">IFERROR(__xludf.DUMMYFUNCTION("""COMPUTED_VALUE"""),0)</f>
        <v>0</v>
      </c>
      <c r="P216" s="32"/>
      <c r="Q216" s="32">
        <f ca="1">IFERROR(__xludf.DUMMYFUNCTION("""COMPUTED_VALUE"""),0)</f>
        <v>0</v>
      </c>
      <c r="R216" s="32"/>
      <c r="S216" s="31">
        <f ca="1">IFERROR(__xludf.DUMMYFUNCTION("""COMPUTED_VALUE"""),0)</f>
        <v>0</v>
      </c>
      <c r="T216" s="32">
        <f ca="1">IFERROR(__xludf.DUMMYFUNCTION("""COMPUTED_VALUE"""),0)</f>
        <v>0</v>
      </c>
      <c r="U216" s="32"/>
      <c r="V216" s="32">
        <f ca="1">IFERROR(__xludf.DUMMYFUNCTION("""COMPUTED_VALUE"""),0)</f>
        <v>0</v>
      </c>
      <c r="W216" s="32"/>
      <c r="X216" s="32">
        <f ca="1">IFERROR(__xludf.DUMMYFUNCTION("""COMPUTED_VALUE"""),0)</f>
        <v>0</v>
      </c>
      <c r="Y216" s="32"/>
      <c r="Z216" s="2"/>
      <c r="AA216" s="2"/>
      <c r="AB216" s="2"/>
      <c r="AC216" s="2"/>
      <c r="AD216" s="2"/>
      <c r="AE216" s="2"/>
    </row>
    <row r="217" spans="1:31" ht="12.75" x14ac:dyDescent="0.2">
      <c r="A217" s="28">
        <f ca="1">IFERROR(__xludf.DUMMYFUNCTION("""COMPUTED_VALUE"""),24)</f>
        <v>24</v>
      </c>
      <c r="B217" s="29" t="str">
        <f ca="1">IFERROR(__xludf.DUMMYFUNCTION("""COMPUTED_VALUE"""),"MN Mẹ Yêu Con")</f>
        <v>MN Mẹ Yêu Con</v>
      </c>
      <c r="C217" s="33" t="str">
        <f ca="1">IFERROR(__xludf.DUMMYFUNCTION("""COMPUTED_VALUE"""),"MN")</f>
        <v>MN</v>
      </c>
      <c r="D217" s="30" t="str">
        <f ca="1">IFERROR(__xludf.DUMMYFUNCTION("""COMPUTED_VALUE"""),"Tp. Thủ Đức")</f>
        <v>Tp. Thủ Đức</v>
      </c>
      <c r="E217" s="31">
        <f ca="1">IFERROR(__xludf.DUMMYFUNCTION("""COMPUTED_VALUE"""),18)</f>
        <v>18</v>
      </c>
      <c r="F217" s="32">
        <f ca="1">IFERROR(__xludf.DUMMYFUNCTION("""COMPUTED_VALUE"""),18)</f>
        <v>18</v>
      </c>
      <c r="G217" s="32"/>
      <c r="H217" s="32">
        <f ca="1">IFERROR(__xludf.DUMMYFUNCTION("""COMPUTED_VALUE"""),18)</f>
        <v>18</v>
      </c>
      <c r="I217" s="32"/>
      <c r="J217" s="32">
        <f ca="1">IFERROR(__xludf.DUMMYFUNCTION("""COMPUTED_VALUE"""),14)</f>
        <v>14</v>
      </c>
      <c r="K217" s="32"/>
      <c r="L217" s="32">
        <f ca="1">IFERROR(__xludf.DUMMYFUNCTION("""COMPUTED_VALUE"""),2)</f>
        <v>2</v>
      </c>
      <c r="M217" s="32"/>
      <c r="N217" s="31">
        <f ca="1">IFERROR(__xludf.DUMMYFUNCTION("""COMPUTED_VALUE"""),0)</f>
        <v>0</v>
      </c>
      <c r="O217" s="32">
        <f ca="1">IFERROR(__xludf.DUMMYFUNCTION("""COMPUTED_VALUE"""),0)</f>
        <v>0</v>
      </c>
      <c r="P217" s="32"/>
      <c r="Q217" s="32">
        <f ca="1">IFERROR(__xludf.DUMMYFUNCTION("""COMPUTED_VALUE"""),0)</f>
        <v>0</v>
      </c>
      <c r="R217" s="32"/>
      <c r="S217" s="31">
        <f ca="1">IFERROR(__xludf.DUMMYFUNCTION("""COMPUTED_VALUE"""),0)</f>
        <v>0</v>
      </c>
      <c r="T217" s="32">
        <f ca="1">IFERROR(__xludf.DUMMYFUNCTION("""COMPUTED_VALUE"""),0)</f>
        <v>0</v>
      </c>
      <c r="U217" s="32"/>
      <c r="V217" s="32">
        <f ca="1">IFERROR(__xludf.DUMMYFUNCTION("""COMPUTED_VALUE"""),0)</f>
        <v>0</v>
      </c>
      <c r="W217" s="32"/>
      <c r="X217" s="32">
        <f ca="1">IFERROR(__xludf.DUMMYFUNCTION("""COMPUTED_VALUE"""),0)</f>
        <v>0</v>
      </c>
      <c r="Y217" s="32"/>
      <c r="Z217" s="2"/>
      <c r="AA217" s="2"/>
      <c r="AB217" s="2"/>
      <c r="AC217" s="2"/>
      <c r="AD217" s="2"/>
      <c r="AE217" s="2"/>
    </row>
    <row r="218" spans="1:31" ht="12.75" x14ac:dyDescent="0.2">
      <c r="A218" s="28">
        <f ca="1">IFERROR(__xludf.DUMMYFUNCTION("""COMPUTED_VALUE"""),25)</f>
        <v>25</v>
      </c>
      <c r="B218" s="29" t="str">
        <f ca="1">IFERROR(__xludf.DUMMYFUNCTION("""COMPUTED_VALUE"""),"MN Song Như")</f>
        <v>MN Song Như</v>
      </c>
      <c r="C218" s="33" t="str">
        <f ca="1">IFERROR(__xludf.DUMMYFUNCTION("""COMPUTED_VALUE"""),"MN")</f>
        <v>MN</v>
      </c>
      <c r="D218" s="30" t="str">
        <f ca="1">IFERROR(__xludf.DUMMYFUNCTION("""COMPUTED_VALUE"""),"Tp. Thủ Đức")</f>
        <v>Tp. Thủ Đức</v>
      </c>
      <c r="E218" s="31">
        <f ca="1">IFERROR(__xludf.DUMMYFUNCTION("""COMPUTED_VALUE"""),14)</f>
        <v>14</v>
      </c>
      <c r="F218" s="32">
        <f ca="1">IFERROR(__xludf.DUMMYFUNCTION("""COMPUTED_VALUE"""),14)</f>
        <v>14</v>
      </c>
      <c r="G218" s="32"/>
      <c r="H218" s="32">
        <f ca="1">IFERROR(__xludf.DUMMYFUNCTION("""COMPUTED_VALUE"""),14)</f>
        <v>14</v>
      </c>
      <c r="I218" s="32"/>
      <c r="J218" s="32">
        <f ca="1">IFERROR(__xludf.DUMMYFUNCTION("""COMPUTED_VALUE"""),12)</f>
        <v>12</v>
      </c>
      <c r="K218" s="32"/>
      <c r="L218" s="32">
        <f ca="1">IFERROR(__xludf.DUMMYFUNCTION("""COMPUTED_VALUE"""),3)</f>
        <v>3</v>
      </c>
      <c r="M218" s="32"/>
      <c r="N218" s="31">
        <f ca="1">IFERROR(__xludf.DUMMYFUNCTION("""COMPUTED_VALUE"""),0)</f>
        <v>0</v>
      </c>
      <c r="O218" s="32">
        <f ca="1">IFERROR(__xludf.DUMMYFUNCTION("""COMPUTED_VALUE"""),0)</f>
        <v>0</v>
      </c>
      <c r="P218" s="32"/>
      <c r="Q218" s="32">
        <f ca="1">IFERROR(__xludf.DUMMYFUNCTION("""COMPUTED_VALUE"""),0)</f>
        <v>0</v>
      </c>
      <c r="R218" s="32"/>
      <c r="S218" s="31">
        <f ca="1">IFERROR(__xludf.DUMMYFUNCTION("""COMPUTED_VALUE"""),0)</f>
        <v>0</v>
      </c>
      <c r="T218" s="32">
        <f ca="1">IFERROR(__xludf.DUMMYFUNCTION("""COMPUTED_VALUE"""),0)</f>
        <v>0</v>
      </c>
      <c r="U218" s="32"/>
      <c r="V218" s="32">
        <f ca="1">IFERROR(__xludf.DUMMYFUNCTION("""COMPUTED_VALUE"""),0)</f>
        <v>0</v>
      </c>
      <c r="W218" s="32"/>
      <c r="X218" s="32">
        <f ca="1">IFERROR(__xludf.DUMMYFUNCTION("""COMPUTED_VALUE"""),0)</f>
        <v>0</v>
      </c>
      <c r="Y218" s="32"/>
      <c r="Z218" s="2"/>
      <c r="AA218" s="2"/>
      <c r="AB218" s="2"/>
      <c r="AC218" s="2"/>
      <c r="AD218" s="2"/>
      <c r="AE218" s="2"/>
    </row>
    <row r="219" spans="1:31" ht="12.75" x14ac:dyDescent="0.2">
      <c r="A219" s="28">
        <f ca="1">IFERROR(__xludf.DUMMYFUNCTION("""COMPUTED_VALUE"""),26)</f>
        <v>26</v>
      </c>
      <c r="B219" s="29" t="str">
        <f ca="1">IFERROR(__xludf.DUMMYFUNCTION("""COMPUTED_VALUE"""),"MN Thiên Ân Phúc 5")</f>
        <v>MN Thiên Ân Phúc 5</v>
      </c>
      <c r="C219" s="33" t="str">
        <f ca="1">IFERROR(__xludf.DUMMYFUNCTION("""COMPUTED_VALUE"""),"MN")</f>
        <v>MN</v>
      </c>
      <c r="D219" s="30" t="str">
        <f ca="1">IFERROR(__xludf.DUMMYFUNCTION("""COMPUTED_VALUE"""),"Tp. Thủ Đức")</f>
        <v>Tp. Thủ Đức</v>
      </c>
      <c r="E219" s="31">
        <f ca="1">IFERROR(__xludf.DUMMYFUNCTION("""COMPUTED_VALUE"""),10)</f>
        <v>10</v>
      </c>
      <c r="F219" s="32">
        <f ca="1">IFERROR(__xludf.DUMMYFUNCTION("""COMPUTED_VALUE"""),10)</f>
        <v>10</v>
      </c>
      <c r="G219" s="32"/>
      <c r="H219" s="32">
        <f ca="1">IFERROR(__xludf.DUMMYFUNCTION("""COMPUTED_VALUE"""),10)</f>
        <v>10</v>
      </c>
      <c r="I219" s="32"/>
      <c r="J219" s="32">
        <f ca="1">IFERROR(__xludf.DUMMYFUNCTION("""COMPUTED_VALUE"""),10)</f>
        <v>10</v>
      </c>
      <c r="K219" s="32"/>
      <c r="L219" s="32">
        <f ca="1">IFERROR(__xludf.DUMMYFUNCTION("""COMPUTED_VALUE"""),0)</f>
        <v>0</v>
      </c>
      <c r="M219" s="32"/>
      <c r="N219" s="31">
        <f ca="1">IFERROR(__xludf.DUMMYFUNCTION("""COMPUTED_VALUE"""),0)</f>
        <v>0</v>
      </c>
      <c r="O219" s="32">
        <f ca="1">IFERROR(__xludf.DUMMYFUNCTION("""COMPUTED_VALUE"""),0)</f>
        <v>0</v>
      </c>
      <c r="P219" s="32"/>
      <c r="Q219" s="32">
        <f ca="1">IFERROR(__xludf.DUMMYFUNCTION("""COMPUTED_VALUE"""),0)</f>
        <v>0</v>
      </c>
      <c r="R219" s="32"/>
      <c r="S219" s="31">
        <f ca="1">IFERROR(__xludf.DUMMYFUNCTION("""COMPUTED_VALUE"""),0)</f>
        <v>0</v>
      </c>
      <c r="T219" s="32">
        <f ca="1">IFERROR(__xludf.DUMMYFUNCTION("""COMPUTED_VALUE"""),0)</f>
        <v>0</v>
      </c>
      <c r="U219" s="32"/>
      <c r="V219" s="32">
        <f ca="1">IFERROR(__xludf.DUMMYFUNCTION("""COMPUTED_VALUE"""),0)</f>
        <v>0</v>
      </c>
      <c r="W219" s="32"/>
      <c r="X219" s="32">
        <f ca="1">IFERROR(__xludf.DUMMYFUNCTION("""COMPUTED_VALUE"""),0)</f>
        <v>0</v>
      </c>
      <c r="Y219" s="32"/>
      <c r="Z219" s="2"/>
      <c r="AA219" s="2"/>
      <c r="AB219" s="2"/>
      <c r="AC219" s="2"/>
      <c r="AD219" s="2"/>
      <c r="AE219" s="2"/>
    </row>
    <row r="220" spans="1:31" ht="12.75" x14ac:dyDescent="0.2">
      <c r="A220" s="28">
        <f ca="1">IFERROR(__xludf.DUMMYFUNCTION("""COMPUTED_VALUE"""),27)</f>
        <v>27</v>
      </c>
      <c r="B220" s="29" t="str">
        <f ca="1">IFERROR(__xludf.DUMMYFUNCTION("""COMPUTED_VALUE"""),"MG Mai Hoa")</f>
        <v>MG Mai Hoa</v>
      </c>
      <c r="C220" s="33" t="str">
        <f ca="1">IFERROR(__xludf.DUMMYFUNCTION("""COMPUTED_VALUE"""),"MN")</f>
        <v>MN</v>
      </c>
      <c r="D220" s="30" t="str">
        <f ca="1">IFERROR(__xludf.DUMMYFUNCTION("""COMPUTED_VALUE"""),"Tp. Thủ Đức")</f>
        <v>Tp. Thủ Đức</v>
      </c>
      <c r="E220" s="31">
        <f ca="1">IFERROR(__xludf.DUMMYFUNCTION("""COMPUTED_VALUE"""),46)</f>
        <v>46</v>
      </c>
      <c r="F220" s="32">
        <f ca="1">IFERROR(__xludf.DUMMYFUNCTION("""COMPUTED_VALUE"""),46)</f>
        <v>46</v>
      </c>
      <c r="G220" s="32"/>
      <c r="H220" s="32">
        <f ca="1">IFERROR(__xludf.DUMMYFUNCTION("""COMPUTED_VALUE"""),46)</f>
        <v>46</v>
      </c>
      <c r="I220" s="32"/>
      <c r="J220" s="32">
        <f ca="1">IFERROR(__xludf.DUMMYFUNCTION("""COMPUTED_VALUE"""),44)</f>
        <v>44</v>
      </c>
      <c r="K220" s="32"/>
      <c r="L220" s="32">
        <f ca="1">IFERROR(__xludf.DUMMYFUNCTION("""COMPUTED_VALUE"""),9)</f>
        <v>9</v>
      </c>
      <c r="M220" s="32"/>
      <c r="N220" s="31">
        <f ca="1">IFERROR(__xludf.DUMMYFUNCTION("""COMPUTED_VALUE"""),0)</f>
        <v>0</v>
      </c>
      <c r="O220" s="32">
        <f ca="1">IFERROR(__xludf.DUMMYFUNCTION("""COMPUTED_VALUE"""),0)</f>
        <v>0</v>
      </c>
      <c r="P220" s="32"/>
      <c r="Q220" s="32">
        <f ca="1">IFERROR(__xludf.DUMMYFUNCTION("""COMPUTED_VALUE"""),0)</f>
        <v>0</v>
      </c>
      <c r="R220" s="32"/>
      <c r="S220" s="31">
        <f ca="1">IFERROR(__xludf.DUMMYFUNCTION("""COMPUTED_VALUE"""),0)</f>
        <v>0</v>
      </c>
      <c r="T220" s="32">
        <f ca="1">IFERROR(__xludf.DUMMYFUNCTION("""COMPUTED_VALUE"""),0)</f>
        <v>0</v>
      </c>
      <c r="U220" s="32"/>
      <c r="V220" s="32">
        <f ca="1">IFERROR(__xludf.DUMMYFUNCTION("""COMPUTED_VALUE"""),0)</f>
        <v>0</v>
      </c>
      <c r="W220" s="32"/>
      <c r="X220" s="32">
        <f ca="1">IFERROR(__xludf.DUMMYFUNCTION("""COMPUTED_VALUE"""),0)</f>
        <v>0</v>
      </c>
      <c r="Y220" s="32"/>
      <c r="Z220" s="2"/>
      <c r="AA220" s="2"/>
      <c r="AB220" s="2"/>
      <c r="AC220" s="2"/>
      <c r="AD220" s="2"/>
      <c r="AE220" s="2"/>
    </row>
    <row r="221" spans="1:31" ht="12.75" x14ac:dyDescent="0.2">
      <c r="A221" s="28">
        <f ca="1">IFERROR(__xludf.DUMMYFUNCTION("""COMPUTED_VALUE"""),28)</f>
        <v>28</v>
      </c>
      <c r="B221" s="29" t="str">
        <f ca="1">IFERROR(__xludf.DUMMYFUNCTION("""COMPUTED_VALUE"""),"MN Hoa Trà My")</f>
        <v>MN Hoa Trà My</v>
      </c>
      <c r="C221" s="33" t="str">
        <f ca="1">IFERROR(__xludf.DUMMYFUNCTION("""COMPUTED_VALUE"""),"MN")</f>
        <v>MN</v>
      </c>
      <c r="D221" s="30" t="str">
        <f ca="1">IFERROR(__xludf.DUMMYFUNCTION("""COMPUTED_VALUE"""),"Tp. Thủ Đức")</f>
        <v>Tp. Thủ Đức</v>
      </c>
      <c r="E221" s="31">
        <f ca="1">IFERROR(__xludf.DUMMYFUNCTION("""COMPUTED_VALUE"""),14)</f>
        <v>14</v>
      </c>
      <c r="F221" s="32">
        <f ca="1">IFERROR(__xludf.DUMMYFUNCTION("""COMPUTED_VALUE"""),14)</f>
        <v>14</v>
      </c>
      <c r="G221" s="32"/>
      <c r="H221" s="32">
        <f ca="1">IFERROR(__xludf.DUMMYFUNCTION("""COMPUTED_VALUE"""),14)</f>
        <v>14</v>
      </c>
      <c r="I221" s="32"/>
      <c r="J221" s="32">
        <f ca="1">IFERROR(__xludf.DUMMYFUNCTION("""COMPUTED_VALUE"""),13)</f>
        <v>13</v>
      </c>
      <c r="K221" s="32"/>
      <c r="L221" s="32">
        <f ca="1">IFERROR(__xludf.DUMMYFUNCTION("""COMPUTED_VALUE"""),0)</f>
        <v>0</v>
      </c>
      <c r="M221" s="32"/>
      <c r="N221" s="31">
        <f ca="1">IFERROR(__xludf.DUMMYFUNCTION("""COMPUTED_VALUE"""),0)</f>
        <v>0</v>
      </c>
      <c r="O221" s="32">
        <f ca="1">IFERROR(__xludf.DUMMYFUNCTION("""COMPUTED_VALUE"""),0)</f>
        <v>0</v>
      </c>
      <c r="P221" s="32"/>
      <c r="Q221" s="32">
        <f ca="1">IFERROR(__xludf.DUMMYFUNCTION("""COMPUTED_VALUE"""),0)</f>
        <v>0</v>
      </c>
      <c r="R221" s="32"/>
      <c r="S221" s="31">
        <f ca="1">IFERROR(__xludf.DUMMYFUNCTION("""COMPUTED_VALUE"""),0)</f>
        <v>0</v>
      </c>
      <c r="T221" s="32">
        <f ca="1">IFERROR(__xludf.DUMMYFUNCTION("""COMPUTED_VALUE"""),0)</f>
        <v>0</v>
      </c>
      <c r="U221" s="32"/>
      <c r="V221" s="32">
        <f ca="1">IFERROR(__xludf.DUMMYFUNCTION("""COMPUTED_VALUE"""),0)</f>
        <v>0</v>
      </c>
      <c r="W221" s="32"/>
      <c r="X221" s="32">
        <f ca="1">IFERROR(__xludf.DUMMYFUNCTION("""COMPUTED_VALUE"""),0)</f>
        <v>0</v>
      </c>
      <c r="Y221" s="32"/>
      <c r="Z221" s="2"/>
      <c r="AA221" s="2"/>
      <c r="AB221" s="2"/>
      <c r="AC221" s="2"/>
      <c r="AD221" s="2"/>
      <c r="AE221" s="2"/>
    </row>
    <row r="222" spans="1:31" ht="12.75" x14ac:dyDescent="0.2">
      <c r="A222" s="28">
        <f ca="1">IFERROR(__xludf.DUMMYFUNCTION("""COMPUTED_VALUE"""),29)</f>
        <v>29</v>
      </c>
      <c r="B222" s="29" t="str">
        <f ca="1">IFERROR(__xludf.DUMMYFUNCTION("""COMPUTED_VALUE"""),"MN Công Nghệ Cao")</f>
        <v>MN Công Nghệ Cao</v>
      </c>
      <c r="C222" s="33" t="str">
        <f ca="1">IFERROR(__xludf.DUMMYFUNCTION("""COMPUTED_VALUE"""),"MN")</f>
        <v>MN</v>
      </c>
      <c r="D222" s="30" t="str">
        <f ca="1">IFERROR(__xludf.DUMMYFUNCTION("""COMPUTED_VALUE"""),"Tp. Thủ Đức")</f>
        <v>Tp. Thủ Đức</v>
      </c>
      <c r="E222" s="31">
        <f ca="1">IFERROR(__xludf.DUMMYFUNCTION("""COMPUTED_VALUE"""),21)</f>
        <v>21</v>
      </c>
      <c r="F222" s="32">
        <f ca="1">IFERROR(__xludf.DUMMYFUNCTION("""COMPUTED_VALUE"""),21)</f>
        <v>21</v>
      </c>
      <c r="G222" s="32"/>
      <c r="H222" s="32">
        <f ca="1">IFERROR(__xludf.DUMMYFUNCTION("""COMPUTED_VALUE"""),21)</f>
        <v>21</v>
      </c>
      <c r="I222" s="32"/>
      <c r="J222" s="32">
        <f ca="1">IFERROR(__xludf.DUMMYFUNCTION("""COMPUTED_VALUE"""),19)</f>
        <v>19</v>
      </c>
      <c r="K222" s="32"/>
      <c r="L222" s="32">
        <f ca="1">IFERROR(__xludf.DUMMYFUNCTION("""COMPUTED_VALUE"""),4)</f>
        <v>4</v>
      </c>
      <c r="M222" s="32"/>
      <c r="N222" s="31">
        <f ca="1">IFERROR(__xludf.DUMMYFUNCTION("""COMPUTED_VALUE"""),0)</f>
        <v>0</v>
      </c>
      <c r="O222" s="32">
        <f ca="1">IFERROR(__xludf.DUMMYFUNCTION("""COMPUTED_VALUE"""),0)</f>
        <v>0</v>
      </c>
      <c r="P222" s="32"/>
      <c r="Q222" s="32">
        <f ca="1">IFERROR(__xludf.DUMMYFUNCTION("""COMPUTED_VALUE"""),0)</f>
        <v>0</v>
      </c>
      <c r="R222" s="32"/>
      <c r="S222" s="31">
        <f ca="1">IFERROR(__xludf.DUMMYFUNCTION("""COMPUTED_VALUE"""),0)</f>
        <v>0</v>
      </c>
      <c r="T222" s="32">
        <f ca="1">IFERROR(__xludf.DUMMYFUNCTION("""COMPUTED_VALUE"""),0)</f>
        <v>0</v>
      </c>
      <c r="U222" s="32"/>
      <c r="V222" s="32">
        <f ca="1">IFERROR(__xludf.DUMMYFUNCTION("""COMPUTED_VALUE"""),0)</f>
        <v>0</v>
      </c>
      <c r="W222" s="32"/>
      <c r="X222" s="32">
        <f ca="1">IFERROR(__xludf.DUMMYFUNCTION("""COMPUTED_VALUE"""),0)</f>
        <v>0</v>
      </c>
      <c r="Y222" s="32"/>
      <c r="Z222" s="2"/>
      <c r="AA222" s="2"/>
      <c r="AB222" s="2"/>
      <c r="AC222" s="2"/>
      <c r="AD222" s="2"/>
      <c r="AE222" s="2"/>
    </row>
    <row r="223" spans="1:31" ht="12.75" x14ac:dyDescent="0.2">
      <c r="A223" s="28">
        <f ca="1">IFERROR(__xludf.DUMMYFUNCTION("""COMPUTED_VALUE"""),30)</f>
        <v>30</v>
      </c>
      <c r="B223" s="29" t="str">
        <f ca="1">IFERROR(__xludf.DUMMYFUNCTION("""COMPUTED_VALUE"""),"MN Minh Ngọc")</f>
        <v>MN Minh Ngọc</v>
      </c>
      <c r="C223" s="33" t="str">
        <f ca="1">IFERROR(__xludf.DUMMYFUNCTION("""COMPUTED_VALUE"""),"MN")</f>
        <v>MN</v>
      </c>
      <c r="D223" s="30" t="str">
        <f ca="1">IFERROR(__xludf.DUMMYFUNCTION("""COMPUTED_VALUE"""),"Tp. Thủ Đức")</f>
        <v>Tp. Thủ Đức</v>
      </c>
      <c r="E223" s="31">
        <f ca="1">IFERROR(__xludf.DUMMYFUNCTION("""COMPUTED_VALUE"""),11)</f>
        <v>11</v>
      </c>
      <c r="F223" s="32">
        <f ca="1">IFERROR(__xludf.DUMMYFUNCTION("""COMPUTED_VALUE"""),11)</f>
        <v>11</v>
      </c>
      <c r="G223" s="32"/>
      <c r="H223" s="32">
        <f ca="1">IFERROR(__xludf.DUMMYFUNCTION("""COMPUTED_VALUE"""),11)</f>
        <v>11</v>
      </c>
      <c r="I223" s="32"/>
      <c r="J223" s="32">
        <f ca="1">IFERROR(__xludf.DUMMYFUNCTION("""COMPUTED_VALUE"""),7)</f>
        <v>7</v>
      </c>
      <c r="K223" s="32"/>
      <c r="L223" s="32">
        <f ca="1">IFERROR(__xludf.DUMMYFUNCTION("""COMPUTED_VALUE"""),2)</f>
        <v>2</v>
      </c>
      <c r="M223" s="32"/>
      <c r="N223" s="31">
        <f ca="1">IFERROR(__xludf.DUMMYFUNCTION("""COMPUTED_VALUE"""),0)</f>
        <v>0</v>
      </c>
      <c r="O223" s="32">
        <f ca="1">IFERROR(__xludf.DUMMYFUNCTION("""COMPUTED_VALUE"""),0)</f>
        <v>0</v>
      </c>
      <c r="P223" s="32"/>
      <c r="Q223" s="32">
        <f ca="1">IFERROR(__xludf.DUMMYFUNCTION("""COMPUTED_VALUE"""),0)</f>
        <v>0</v>
      </c>
      <c r="R223" s="32"/>
      <c r="S223" s="31">
        <f ca="1">IFERROR(__xludf.DUMMYFUNCTION("""COMPUTED_VALUE"""),0)</f>
        <v>0</v>
      </c>
      <c r="T223" s="32">
        <f ca="1">IFERROR(__xludf.DUMMYFUNCTION("""COMPUTED_VALUE"""),0)</f>
        <v>0</v>
      </c>
      <c r="U223" s="32"/>
      <c r="V223" s="32">
        <f ca="1">IFERROR(__xludf.DUMMYFUNCTION("""COMPUTED_VALUE"""),0)</f>
        <v>0</v>
      </c>
      <c r="W223" s="32"/>
      <c r="X223" s="32">
        <f ca="1">IFERROR(__xludf.DUMMYFUNCTION("""COMPUTED_VALUE"""),0)</f>
        <v>0</v>
      </c>
      <c r="Y223" s="32"/>
      <c r="Z223" s="2"/>
      <c r="AA223" s="2"/>
      <c r="AB223" s="2"/>
      <c r="AC223" s="2"/>
      <c r="AD223" s="2"/>
      <c r="AE223" s="2"/>
    </row>
    <row r="224" spans="1:31" ht="12.75" x14ac:dyDescent="0.2">
      <c r="A224" s="28">
        <f ca="1">IFERROR(__xludf.DUMMYFUNCTION("""COMPUTED_VALUE"""),31)</f>
        <v>31</v>
      </c>
      <c r="B224" s="29" t="str">
        <f ca="1">IFERROR(__xludf.DUMMYFUNCTION("""COMPUTED_VALUE"""),"MN Hoàng Kim 9 Giàu")</f>
        <v>MN Hoàng Kim 9 Giàu</v>
      </c>
      <c r="C224" s="33" t="str">
        <f ca="1">IFERROR(__xludf.DUMMYFUNCTION("""COMPUTED_VALUE"""),"MN")</f>
        <v>MN</v>
      </c>
      <c r="D224" s="30" t="str">
        <f ca="1">IFERROR(__xludf.DUMMYFUNCTION("""COMPUTED_VALUE"""),"Tp. Thủ Đức")</f>
        <v>Tp. Thủ Đức</v>
      </c>
      <c r="E224" s="31">
        <f ca="1">IFERROR(__xludf.DUMMYFUNCTION("""COMPUTED_VALUE"""),11)</f>
        <v>11</v>
      </c>
      <c r="F224" s="32">
        <f ca="1">IFERROR(__xludf.DUMMYFUNCTION("""COMPUTED_VALUE"""),11)</f>
        <v>11</v>
      </c>
      <c r="G224" s="32"/>
      <c r="H224" s="32">
        <f ca="1">IFERROR(__xludf.DUMMYFUNCTION("""COMPUTED_VALUE"""),11)</f>
        <v>11</v>
      </c>
      <c r="I224" s="32"/>
      <c r="J224" s="32">
        <f ca="1">IFERROR(__xludf.DUMMYFUNCTION("""COMPUTED_VALUE"""),9)</f>
        <v>9</v>
      </c>
      <c r="K224" s="32"/>
      <c r="L224" s="32">
        <f ca="1">IFERROR(__xludf.DUMMYFUNCTION("""COMPUTED_VALUE"""),3)</f>
        <v>3</v>
      </c>
      <c r="M224" s="32"/>
      <c r="N224" s="31">
        <f ca="1">IFERROR(__xludf.DUMMYFUNCTION("""COMPUTED_VALUE"""),0)</f>
        <v>0</v>
      </c>
      <c r="O224" s="32">
        <f ca="1">IFERROR(__xludf.DUMMYFUNCTION("""COMPUTED_VALUE"""),0)</f>
        <v>0</v>
      </c>
      <c r="P224" s="32"/>
      <c r="Q224" s="32">
        <f ca="1">IFERROR(__xludf.DUMMYFUNCTION("""COMPUTED_VALUE"""),0)</f>
        <v>0</v>
      </c>
      <c r="R224" s="32"/>
      <c r="S224" s="31">
        <f ca="1">IFERROR(__xludf.DUMMYFUNCTION("""COMPUTED_VALUE"""),0)</f>
        <v>0</v>
      </c>
      <c r="T224" s="32">
        <f ca="1">IFERROR(__xludf.DUMMYFUNCTION("""COMPUTED_VALUE"""),0)</f>
        <v>0</v>
      </c>
      <c r="U224" s="32"/>
      <c r="V224" s="32">
        <f ca="1">IFERROR(__xludf.DUMMYFUNCTION("""COMPUTED_VALUE"""),0)</f>
        <v>0</v>
      </c>
      <c r="W224" s="32"/>
      <c r="X224" s="32">
        <f ca="1">IFERROR(__xludf.DUMMYFUNCTION("""COMPUTED_VALUE"""),0)</f>
        <v>0</v>
      </c>
      <c r="Y224" s="32"/>
      <c r="Z224" s="2"/>
      <c r="AA224" s="2"/>
      <c r="AB224" s="2"/>
      <c r="AC224" s="2"/>
      <c r="AD224" s="2"/>
      <c r="AE224" s="2"/>
    </row>
    <row r="225" spans="1:31" ht="12.75" x14ac:dyDescent="0.2">
      <c r="A225" s="28">
        <f ca="1">IFERROR(__xludf.DUMMYFUNCTION("""COMPUTED_VALUE"""),32)</f>
        <v>32</v>
      </c>
      <c r="B225" s="29" t="str">
        <f ca="1">IFERROR(__xludf.DUMMYFUNCTION("""COMPUTED_VALUE"""),"MN Nai Vàng")</f>
        <v>MN Nai Vàng</v>
      </c>
      <c r="C225" s="33" t="str">
        <f ca="1">IFERROR(__xludf.DUMMYFUNCTION("""COMPUTED_VALUE"""),"MN")</f>
        <v>MN</v>
      </c>
      <c r="D225" s="30" t="str">
        <f ca="1">IFERROR(__xludf.DUMMYFUNCTION("""COMPUTED_VALUE"""),"Tp. Thủ Đức")</f>
        <v>Tp. Thủ Đức</v>
      </c>
      <c r="E225" s="31">
        <f ca="1">IFERROR(__xludf.DUMMYFUNCTION("""COMPUTED_VALUE"""),23)</f>
        <v>23</v>
      </c>
      <c r="F225" s="32">
        <f ca="1">IFERROR(__xludf.DUMMYFUNCTION("""COMPUTED_VALUE"""),23)</f>
        <v>23</v>
      </c>
      <c r="G225" s="32"/>
      <c r="H225" s="32">
        <f ca="1">IFERROR(__xludf.DUMMYFUNCTION("""COMPUTED_VALUE"""),23)</f>
        <v>23</v>
      </c>
      <c r="I225" s="32"/>
      <c r="J225" s="32">
        <f ca="1">IFERROR(__xludf.DUMMYFUNCTION("""COMPUTED_VALUE"""),23)</f>
        <v>23</v>
      </c>
      <c r="K225" s="32"/>
      <c r="L225" s="32">
        <f ca="1">IFERROR(__xludf.DUMMYFUNCTION("""COMPUTED_VALUE"""),0)</f>
        <v>0</v>
      </c>
      <c r="M225" s="32"/>
      <c r="N225" s="31">
        <f ca="1">IFERROR(__xludf.DUMMYFUNCTION("""COMPUTED_VALUE"""),0)</f>
        <v>0</v>
      </c>
      <c r="O225" s="32">
        <f ca="1">IFERROR(__xludf.DUMMYFUNCTION("""COMPUTED_VALUE"""),0)</f>
        <v>0</v>
      </c>
      <c r="P225" s="32"/>
      <c r="Q225" s="32">
        <f ca="1">IFERROR(__xludf.DUMMYFUNCTION("""COMPUTED_VALUE"""),0)</f>
        <v>0</v>
      </c>
      <c r="R225" s="32"/>
      <c r="S225" s="31">
        <f ca="1">IFERROR(__xludf.DUMMYFUNCTION("""COMPUTED_VALUE"""),0)</f>
        <v>0</v>
      </c>
      <c r="T225" s="32">
        <f ca="1">IFERROR(__xludf.DUMMYFUNCTION("""COMPUTED_VALUE"""),0)</f>
        <v>0</v>
      </c>
      <c r="U225" s="32"/>
      <c r="V225" s="32">
        <f ca="1">IFERROR(__xludf.DUMMYFUNCTION("""COMPUTED_VALUE"""),0)</f>
        <v>0</v>
      </c>
      <c r="W225" s="32"/>
      <c r="X225" s="32">
        <f ca="1">IFERROR(__xludf.DUMMYFUNCTION("""COMPUTED_VALUE"""),0)</f>
        <v>0</v>
      </c>
      <c r="Y225" s="32"/>
      <c r="Z225" s="2"/>
      <c r="AA225" s="2"/>
      <c r="AB225" s="2"/>
      <c r="AC225" s="2"/>
      <c r="AD225" s="2"/>
      <c r="AE225" s="2"/>
    </row>
    <row r="226" spans="1:31" ht="12.75" x14ac:dyDescent="0.2">
      <c r="A226" s="28">
        <f ca="1">IFERROR(__xludf.DUMMYFUNCTION("""COMPUTED_VALUE"""),33)</f>
        <v>33</v>
      </c>
      <c r="B226" s="29" t="str">
        <f ca="1">IFERROR(__xludf.DUMMYFUNCTION("""COMPUTED_VALUE"""),"MN Thiện Mỹ")</f>
        <v>MN Thiện Mỹ</v>
      </c>
      <c r="C226" s="33" t="str">
        <f ca="1">IFERROR(__xludf.DUMMYFUNCTION("""COMPUTED_VALUE"""),"MN")</f>
        <v>MN</v>
      </c>
      <c r="D226" s="30" t="str">
        <f ca="1">IFERROR(__xludf.DUMMYFUNCTION("""COMPUTED_VALUE"""),"Tp. Thủ Đức")</f>
        <v>Tp. Thủ Đức</v>
      </c>
      <c r="E226" s="31">
        <f ca="1">IFERROR(__xludf.DUMMYFUNCTION("""COMPUTED_VALUE"""),10)</f>
        <v>10</v>
      </c>
      <c r="F226" s="32">
        <f ca="1">IFERROR(__xludf.DUMMYFUNCTION("""COMPUTED_VALUE"""),10)</f>
        <v>10</v>
      </c>
      <c r="G226" s="32"/>
      <c r="H226" s="32">
        <f ca="1">IFERROR(__xludf.DUMMYFUNCTION("""COMPUTED_VALUE"""),10)</f>
        <v>10</v>
      </c>
      <c r="I226" s="32"/>
      <c r="J226" s="32">
        <f ca="1">IFERROR(__xludf.DUMMYFUNCTION("""COMPUTED_VALUE"""),8)</f>
        <v>8</v>
      </c>
      <c r="K226" s="32"/>
      <c r="L226" s="32">
        <f ca="1">IFERROR(__xludf.DUMMYFUNCTION("""COMPUTED_VALUE"""),0)</f>
        <v>0</v>
      </c>
      <c r="M226" s="32"/>
      <c r="N226" s="31">
        <f ca="1">IFERROR(__xludf.DUMMYFUNCTION("""COMPUTED_VALUE"""),0)</f>
        <v>0</v>
      </c>
      <c r="O226" s="32">
        <f ca="1">IFERROR(__xludf.DUMMYFUNCTION("""COMPUTED_VALUE"""),0)</f>
        <v>0</v>
      </c>
      <c r="P226" s="32"/>
      <c r="Q226" s="32">
        <f ca="1">IFERROR(__xludf.DUMMYFUNCTION("""COMPUTED_VALUE"""),0)</f>
        <v>0</v>
      </c>
      <c r="R226" s="32"/>
      <c r="S226" s="31">
        <f ca="1">IFERROR(__xludf.DUMMYFUNCTION("""COMPUTED_VALUE"""),0)</f>
        <v>0</v>
      </c>
      <c r="T226" s="32">
        <f ca="1">IFERROR(__xludf.DUMMYFUNCTION("""COMPUTED_VALUE"""),0)</f>
        <v>0</v>
      </c>
      <c r="U226" s="32"/>
      <c r="V226" s="32">
        <f ca="1">IFERROR(__xludf.DUMMYFUNCTION("""COMPUTED_VALUE"""),0)</f>
        <v>0</v>
      </c>
      <c r="W226" s="32"/>
      <c r="X226" s="32">
        <f ca="1">IFERROR(__xludf.DUMMYFUNCTION("""COMPUTED_VALUE"""),0)</f>
        <v>0</v>
      </c>
      <c r="Y226" s="32"/>
      <c r="Z226" s="2"/>
      <c r="AA226" s="2"/>
      <c r="AB226" s="2"/>
      <c r="AC226" s="2"/>
      <c r="AD226" s="2"/>
      <c r="AE226" s="2"/>
    </row>
    <row r="227" spans="1:31" ht="12.75" x14ac:dyDescent="0.2">
      <c r="A227" s="28">
        <f ca="1">IFERROR(__xludf.DUMMYFUNCTION("""COMPUTED_VALUE"""),34)</f>
        <v>34</v>
      </c>
      <c r="B227" s="29" t="str">
        <f ca="1">IFERROR(__xludf.DUMMYFUNCTION("""COMPUTED_VALUE"""),"MN Hoa Thương")</f>
        <v>MN Hoa Thương</v>
      </c>
      <c r="C227" s="33" t="str">
        <f ca="1">IFERROR(__xludf.DUMMYFUNCTION("""COMPUTED_VALUE"""),"MN")</f>
        <v>MN</v>
      </c>
      <c r="D227" s="30" t="str">
        <f ca="1">IFERROR(__xludf.DUMMYFUNCTION("""COMPUTED_VALUE"""),"Tp. Thủ Đức")</f>
        <v>Tp. Thủ Đức</v>
      </c>
      <c r="E227" s="31">
        <f ca="1">IFERROR(__xludf.DUMMYFUNCTION("""COMPUTED_VALUE"""),28)</f>
        <v>28</v>
      </c>
      <c r="F227" s="32">
        <f ca="1">IFERROR(__xludf.DUMMYFUNCTION("""COMPUTED_VALUE"""),28)</f>
        <v>28</v>
      </c>
      <c r="G227" s="32"/>
      <c r="H227" s="32">
        <f ca="1">IFERROR(__xludf.DUMMYFUNCTION("""COMPUTED_VALUE"""),28)</f>
        <v>28</v>
      </c>
      <c r="I227" s="32"/>
      <c r="J227" s="32">
        <f ca="1">IFERROR(__xludf.DUMMYFUNCTION("""COMPUTED_VALUE"""),17)</f>
        <v>17</v>
      </c>
      <c r="K227" s="32"/>
      <c r="L227" s="32">
        <f ca="1">IFERROR(__xludf.DUMMYFUNCTION("""COMPUTED_VALUE"""),0)</f>
        <v>0</v>
      </c>
      <c r="M227" s="32"/>
      <c r="N227" s="31">
        <f ca="1">IFERROR(__xludf.DUMMYFUNCTION("""COMPUTED_VALUE"""),0)</f>
        <v>0</v>
      </c>
      <c r="O227" s="32">
        <f ca="1">IFERROR(__xludf.DUMMYFUNCTION("""COMPUTED_VALUE"""),0)</f>
        <v>0</v>
      </c>
      <c r="P227" s="32"/>
      <c r="Q227" s="32">
        <f ca="1">IFERROR(__xludf.DUMMYFUNCTION("""COMPUTED_VALUE"""),0)</f>
        <v>0</v>
      </c>
      <c r="R227" s="32"/>
      <c r="S227" s="31">
        <f ca="1">IFERROR(__xludf.DUMMYFUNCTION("""COMPUTED_VALUE"""),0)</f>
        <v>0</v>
      </c>
      <c r="T227" s="32">
        <f ca="1">IFERROR(__xludf.DUMMYFUNCTION("""COMPUTED_VALUE"""),0)</f>
        <v>0</v>
      </c>
      <c r="U227" s="32"/>
      <c r="V227" s="32">
        <f ca="1">IFERROR(__xludf.DUMMYFUNCTION("""COMPUTED_VALUE"""),0)</f>
        <v>0</v>
      </c>
      <c r="W227" s="32"/>
      <c r="X227" s="32">
        <f ca="1">IFERROR(__xludf.DUMMYFUNCTION("""COMPUTED_VALUE"""),0)</f>
        <v>0</v>
      </c>
      <c r="Y227" s="32"/>
      <c r="Z227" s="2"/>
      <c r="AA227" s="2"/>
      <c r="AB227" s="2"/>
      <c r="AC227" s="2"/>
      <c r="AD227" s="2"/>
      <c r="AE227" s="2"/>
    </row>
    <row r="228" spans="1:31" ht="12.75" x14ac:dyDescent="0.2">
      <c r="A228" s="28">
        <f ca="1">IFERROR(__xludf.DUMMYFUNCTION("""COMPUTED_VALUE"""),35)</f>
        <v>35</v>
      </c>
      <c r="B228" s="29" t="str">
        <f ca="1">IFERROR(__xludf.DUMMYFUNCTION("""COMPUTED_VALUE"""),"MN Thanh Lịch")</f>
        <v>MN Thanh Lịch</v>
      </c>
      <c r="C228" s="33" t="str">
        <f ca="1">IFERROR(__xludf.DUMMYFUNCTION("""COMPUTED_VALUE"""),"MN")</f>
        <v>MN</v>
      </c>
      <c r="D228" s="30" t="str">
        <f ca="1">IFERROR(__xludf.DUMMYFUNCTION("""COMPUTED_VALUE"""),"Tp. Thủ Đức")</f>
        <v>Tp. Thủ Đức</v>
      </c>
      <c r="E228" s="31">
        <f ca="1">IFERROR(__xludf.DUMMYFUNCTION("""COMPUTED_VALUE"""),19)</f>
        <v>19</v>
      </c>
      <c r="F228" s="32">
        <f ca="1">IFERROR(__xludf.DUMMYFUNCTION("""COMPUTED_VALUE"""),19)</f>
        <v>19</v>
      </c>
      <c r="G228" s="32"/>
      <c r="H228" s="32">
        <f ca="1">IFERROR(__xludf.DUMMYFUNCTION("""COMPUTED_VALUE"""),19)</f>
        <v>19</v>
      </c>
      <c r="I228" s="32"/>
      <c r="J228" s="32">
        <f ca="1">IFERROR(__xludf.DUMMYFUNCTION("""COMPUTED_VALUE"""),18)</f>
        <v>18</v>
      </c>
      <c r="K228" s="32"/>
      <c r="L228" s="32">
        <f ca="1">IFERROR(__xludf.DUMMYFUNCTION("""COMPUTED_VALUE"""),6)</f>
        <v>6</v>
      </c>
      <c r="M228" s="32"/>
      <c r="N228" s="31">
        <f ca="1">IFERROR(__xludf.DUMMYFUNCTION("""COMPUTED_VALUE"""),0)</f>
        <v>0</v>
      </c>
      <c r="O228" s="32">
        <f ca="1">IFERROR(__xludf.DUMMYFUNCTION("""COMPUTED_VALUE"""),0)</f>
        <v>0</v>
      </c>
      <c r="P228" s="32"/>
      <c r="Q228" s="32">
        <f ca="1">IFERROR(__xludf.DUMMYFUNCTION("""COMPUTED_VALUE"""),0)</f>
        <v>0</v>
      </c>
      <c r="R228" s="32"/>
      <c r="S228" s="31">
        <f ca="1">IFERROR(__xludf.DUMMYFUNCTION("""COMPUTED_VALUE"""),0)</f>
        <v>0</v>
      </c>
      <c r="T228" s="32">
        <f ca="1">IFERROR(__xludf.DUMMYFUNCTION("""COMPUTED_VALUE"""),0)</f>
        <v>0</v>
      </c>
      <c r="U228" s="32"/>
      <c r="V228" s="32">
        <f ca="1">IFERROR(__xludf.DUMMYFUNCTION("""COMPUTED_VALUE"""),0)</f>
        <v>0</v>
      </c>
      <c r="W228" s="32"/>
      <c r="X228" s="32">
        <f ca="1">IFERROR(__xludf.DUMMYFUNCTION("""COMPUTED_VALUE"""),0)</f>
        <v>0</v>
      </c>
      <c r="Y228" s="32"/>
      <c r="Z228" s="2"/>
      <c r="AA228" s="2"/>
      <c r="AB228" s="2"/>
      <c r="AC228" s="2"/>
      <c r="AD228" s="2"/>
      <c r="AE228" s="2"/>
    </row>
    <row r="229" spans="1:31" ht="12.75" x14ac:dyDescent="0.2">
      <c r="A229" s="28">
        <f ca="1">IFERROR(__xludf.DUMMYFUNCTION("""COMPUTED_VALUE"""),36)</f>
        <v>36</v>
      </c>
      <c r="B229" s="29" t="str">
        <f ca="1">IFERROR(__xludf.DUMMYFUNCTION("""COMPUTED_VALUE"""),"MN Á Châu (Cơ sở 2)")</f>
        <v>MN Á Châu (Cơ sở 2)</v>
      </c>
      <c r="C229" s="33" t="str">
        <f ca="1">IFERROR(__xludf.DUMMYFUNCTION("""COMPUTED_VALUE"""),"MN")</f>
        <v>MN</v>
      </c>
      <c r="D229" s="30" t="str">
        <f ca="1">IFERROR(__xludf.DUMMYFUNCTION("""COMPUTED_VALUE"""),"Tp. Thủ Đức")</f>
        <v>Tp. Thủ Đức</v>
      </c>
      <c r="E229" s="31">
        <f ca="1">IFERROR(__xludf.DUMMYFUNCTION("""COMPUTED_VALUE"""),28)</f>
        <v>28</v>
      </c>
      <c r="F229" s="32">
        <f ca="1">IFERROR(__xludf.DUMMYFUNCTION("""COMPUTED_VALUE"""),28)</f>
        <v>28</v>
      </c>
      <c r="G229" s="32"/>
      <c r="H229" s="32">
        <f ca="1">IFERROR(__xludf.DUMMYFUNCTION("""COMPUTED_VALUE"""),28)</f>
        <v>28</v>
      </c>
      <c r="I229" s="32"/>
      <c r="J229" s="32">
        <f ca="1">IFERROR(__xludf.DUMMYFUNCTION("""COMPUTED_VALUE"""),20)</f>
        <v>20</v>
      </c>
      <c r="K229" s="32"/>
      <c r="L229" s="32">
        <f ca="1">IFERROR(__xludf.DUMMYFUNCTION("""COMPUTED_VALUE"""),3)</f>
        <v>3</v>
      </c>
      <c r="M229" s="32"/>
      <c r="N229" s="31">
        <f ca="1">IFERROR(__xludf.DUMMYFUNCTION("""COMPUTED_VALUE"""),0)</f>
        <v>0</v>
      </c>
      <c r="O229" s="32">
        <f ca="1">IFERROR(__xludf.DUMMYFUNCTION("""COMPUTED_VALUE"""),0)</f>
        <v>0</v>
      </c>
      <c r="P229" s="32"/>
      <c r="Q229" s="32">
        <f ca="1">IFERROR(__xludf.DUMMYFUNCTION("""COMPUTED_VALUE"""),0)</f>
        <v>0</v>
      </c>
      <c r="R229" s="32"/>
      <c r="S229" s="31">
        <f ca="1">IFERROR(__xludf.DUMMYFUNCTION("""COMPUTED_VALUE"""),0)</f>
        <v>0</v>
      </c>
      <c r="T229" s="32">
        <f ca="1">IFERROR(__xludf.DUMMYFUNCTION("""COMPUTED_VALUE"""),0)</f>
        <v>0</v>
      </c>
      <c r="U229" s="32"/>
      <c r="V229" s="32">
        <f ca="1">IFERROR(__xludf.DUMMYFUNCTION("""COMPUTED_VALUE"""),0)</f>
        <v>0</v>
      </c>
      <c r="W229" s="32"/>
      <c r="X229" s="32">
        <f ca="1">IFERROR(__xludf.DUMMYFUNCTION("""COMPUTED_VALUE"""),0)</f>
        <v>0</v>
      </c>
      <c r="Y229" s="32"/>
      <c r="Z229" s="2"/>
      <c r="AA229" s="2"/>
      <c r="AB229" s="2"/>
      <c r="AC229" s="2"/>
      <c r="AD229" s="2"/>
      <c r="AE229" s="2"/>
    </row>
    <row r="230" spans="1:31" ht="12.75" x14ac:dyDescent="0.2">
      <c r="A230" s="28">
        <f ca="1">IFERROR(__xludf.DUMMYFUNCTION("""COMPUTED_VALUE"""),37)</f>
        <v>37</v>
      </c>
      <c r="B230" s="29" t="str">
        <f ca="1">IFERROR(__xludf.DUMMYFUNCTION("""COMPUTED_VALUE"""),"MN Ngôi Sao 2")</f>
        <v>MN Ngôi Sao 2</v>
      </c>
      <c r="C230" s="33" t="str">
        <f ca="1">IFERROR(__xludf.DUMMYFUNCTION("""COMPUTED_VALUE"""),"MN")</f>
        <v>MN</v>
      </c>
      <c r="D230" s="30" t="str">
        <f ca="1">IFERROR(__xludf.DUMMYFUNCTION("""COMPUTED_VALUE"""),"Tp. Thủ Đức")</f>
        <v>Tp. Thủ Đức</v>
      </c>
      <c r="E230" s="31">
        <f ca="1">IFERROR(__xludf.DUMMYFUNCTION("""COMPUTED_VALUE"""),11)</f>
        <v>11</v>
      </c>
      <c r="F230" s="32">
        <f ca="1">IFERROR(__xludf.DUMMYFUNCTION("""COMPUTED_VALUE"""),11)</f>
        <v>11</v>
      </c>
      <c r="G230" s="32"/>
      <c r="H230" s="32">
        <f ca="1">IFERROR(__xludf.DUMMYFUNCTION("""COMPUTED_VALUE"""),11)</f>
        <v>11</v>
      </c>
      <c r="I230" s="32"/>
      <c r="J230" s="32">
        <f ca="1">IFERROR(__xludf.DUMMYFUNCTION("""COMPUTED_VALUE"""),10)</f>
        <v>10</v>
      </c>
      <c r="K230" s="32"/>
      <c r="L230" s="32">
        <f ca="1">IFERROR(__xludf.DUMMYFUNCTION("""COMPUTED_VALUE"""),0)</f>
        <v>0</v>
      </c>
      <c r="M230" s="32"/>
      <c r="N230" s="31">
        <f ca="1">IFERROR(__xludf.DUMMYFUNCTION("""COMPUTED_VALUE"""),0)</f>
        <v>0</v>
      </c>
      <c r="O230" s="32">
        <f ca="1">IFERROR(__xludf.DUMMYFUNCTION("""COMPUTED_VALUE"""),0)</f>
        <v>0</v>
      </c>
      <c r="P230" s="32"/>
      <c r="Q230" s="32">
        <f ca="1">IFERROR(__xludf.DUMMYFUNCTION("""COMPUTED_VALUE"""),0)</f>
        <v>0</v>
      </c>
      <c r="R230" s="32"/>
      <c r="S230" s="31">
        <f ca="1">IFERROR(__xludf.DUMMYFUNCTION("""COMPUTED_VALUE"""),0)</f>
        <v>0</v>
      </c>
      <c r="T230" s="32">
        <f ca="1">IFERROR(__xludf.DUMMYFUNCTION("""COMPUTED_VALUE"""),0)</f>
        <v>0</v>
      </c>
      <c r="U230" s="32"/>
      <c r="V230" s="32">
        <f ca="1">IFERROR(__xludf.DUMMYFUNCTION("""COMPUTED_VALUE"""),0)</f>
        <v>0</v>
      </c>
      <c r="W230" s="32"/>
      <c r="X230" s="32">
        <f ca="1">IFERROR(__xludf.DUMMYFUNCTION("""COMPUTED_VALUE"""),0)</f>
        <v>0</v>
      </c>
      <c r="Y230" s="32"/>
      <c r="Z230" s="2"/>
      <c r="AA230" s="2"/>
      <c r="AB230" s="2"/>
      <c r="AC230" s="2"/>
      <c r="AD230" s="2"/>
      <c r="AE230" s="2"/>
    </row>
    <row r="231" spans="1:31" ht="12.75" x14ac:dyDescent="0.2">
      <c r="A231" s="28">
        <f ca="1">IFERROR(__xludf.DUMMYFUNCTION("""COMPUTED_VALUE"""),38)</f>
        <v>38</v>
      </c>
      <c r="B231" s="29" t="str">
        <f ca="1">IFERROR(__xludf.DUMMYFUNCTION("""COMPUTED_VALUE"""),"MN Hồ Ngọc Cẩn")</f>
        <v>MN Hồ Ngọc Cẩn</v>
      </c>
      <c r="C231" s="33" t="str">
        <f ca="1">IFERROR(__xludf.DUMMYFUNCTION("""COMPUTED_VALUE"""),"MN")</f>
        <v>MN</v>
      </c>
      <c r="D231" s="30" t="str">
        <f ca="1">IFERROR(__xludf.DUMMYFUNCTION("""COMPUTED_VALUE"""),"Tp. Thủ Đức")</f>
        <v>Tp. Thủ Đức</v>
      </c>
      <c r="E231" s="31">
        <f ca="1">IFERROR(__xludf.DUMMYFUNCTION("""COMPUTED_VALUE"""),33)</f>
        <v>33</v>
      </c>
      <c r="F231" s="32">
        <f ca="1">IFERROR(__xludf.DUMMYFUNCTION("""COMPUTED_VALUE"""),33)</f>
        <v>33</v>
      </c>
      <c r="G231" s="32"/>
      <c r="H231" s="32">
        <f ca="1">IFERROR(__xludf.DUMMYFUNCTION("""COMPUTED_VALUE"""),33)</f>
        <v>33</v>
      </c>
      <c r="I231" s="32"/>
      <c r="J231" s="32">
        <f ca="1">IFERROR(__xludf.DUMMYFUNCTION("""COMPUTED_VALUE"""),30)</f>
        <v>30</v>
      </c>
      <c r="K231" s="32"/>
      <c r="L231" s="32">
        <f ca="1">IFERROR(__xludf.DUMMYFUNCTION("""COMPUTED_VALUE"""),0)</f>
        <v>0</v>
      </c>
      <c r="M231" s="32"/>
      <c r="N231" s="31">
        <f ca="1">IFERROR(__xludf.DUMMYFUNCTION("""COMPUTED_VALUE"""),0)</f>
        <v>0</v>
      </c>
      <c r="O231" s="32">
        <f ca="1">IFERROR(__xludf.DUMMYFUNCTION("""COMPUTED_VALUE"""),0)</f>
        <v>0</v>
      </c>
      <c r="P231" s="32"/>
      <c r="Q231" s="32">
        <f ca="1">IFERROR(__xludf.DUMMYFUNCTION("""COMPUTED_VALUE"""),0)</f>
        <v>0</v>
      </c>
      <c r="R231" s="32"/>
      <c r="S231" s="31">
        <f ca="1">IFERROR(__xludf.DUMMYFUNCTION("""COMPUTED_VALUE"""),0)</f>
        <v>0</v>
      </c>
      <c r="T231" s="32">
        <f ca="1">IFERROR(__xludf.DUMMYFUNCTION("""COMPUTED_VALUE"""),0)</f>
        <v>0</v>
      </c>
      <c r="U231" s="32"/>
      <c r="V231" s="32">
        <f ca="1">IFERROR(__xludf.DUMMYFUNCTION("""COMPUTED_VALUE"""),0)</f>
        <v>0</v>
      </c>
      <c r="W231" s="32"/>
      <c r="X231" s="32">
        <f ca="1">IFERROR(__xludf.DUMMYFUNCTION("""COMPUTED_VALUE"""),0)</f>
        <v>0</v>
      </c>
      <c r="Y231" s="32"/>
      <c r="Z231" s="2"/>
      <c r="AA231" s="2"/>
      <c r="AB231" s="2"/>
      <c r="AC231" s="2"/>
      <c r="AD231" s="2"/>
      <c r="AE231" s="2"/>
    </row>
    <row r="232" spans="1:31" ht="12.75" x14ac:dyDescent="0.2">
      <c r="A232" s="28">
        <f ca="1">IFERROR(__xludf.DUMMYFUNCTION("""COMPUTED_VALUE"""),39)</f>
        <v>39</v>
      </c>
      <c r="B232" s="29" t="str">
        <f ca="1">IFERROR(__xludf.DUMMYFUNCTION("""COMPUTED_VALUE"""),"MN Hoàng Lê")</f>
        <v>MN Hoàng Lê</v>
      </c>
      <c r="C232" s="33" t="str">
        <f ca="1">IFERROR(__xludf.DUMMYFUNCTION("""COMPUTED_VALUE"""),"MN")</f>
        <v>MN</v>
      </c>
      <c r="D232" s="30" t="str">
        <f ca="1">IFERROR(__xludf.DUMMYFUNCTION("""COMPUTED_VALUE"""),"Tp. Thủ Đức")</f>
        <v>Tp. Thủ Đức</v>
      </c>
      <c r="E232" s="31">
        <f ca="1">IFERROR(__xludf.DUMMYFUNCTION("""COMPUTED_VALUE"""),16)</f>
        <v>16</v>
      </c>
      <c r="F232" s="32">
        <f ca="1">IFERROR(__xludf.DUMMYFUNCTION("""COMPUTED_VALUE"""),16)</f>
        <v>16</v>
      </c>
      <c r="G232" s="32"/>
      <c r="H232" s="32">
        <f ca="1">IFERROR(__xludf.DUMMYFUNCTION("""COMPUTED_VALUE"""),16)</f>
        <v>16</v>
      </c>
      <c r="I232" s="32"/>
      <c r="J232" s="32">
        <f ca="1">IFERROR(__xludf.DUMMYFUNCTION("""COMPUTED_VALUE"""),16)</f>
        <v>16</v>
      </c>
      <c r="K232" s="32"/>
      <c r="L232" s="32">
        <f ca="1">IFERROR(__xludf.DUMMYFUNCTION("""COMPUTED_VALUE"""),2)</f>
        <v>2</v>
      </c>
      <c r="M232" s="32"/>
      <c r="N232" s="31">
        <f ca="1">IFERROR(__xludf.DUMMYFUNCTION("""COMPUTED_VALUE"""),0)</f>
        <v>0</v>
      </c>
      <c r="O232" s="32">
        <f ca="1">IFERROR(__xludf.DUMMYFUNCTION("""COMPUTED_VALUE"""),0)</f>
        <v>0</v>
      </c>
      <c r="P232" s="32"/>
      <c r="Q232" s="32">
        <f ca="1">IFERROR(__xludf.DUMMYFUNCTION("""COMPUTED_VALUE"""),0)</f>
        <v>0</v>
      </c>
      <c r="R232" s="32"/>
      <c r="S232" s="31">
        <f ca="1">IFERROR(__xludf.DUMMYFUNCTION("""COMPUTED_VALUE"""),0)</f>
        <v>0</v>
      </c>
      <c r="T232" s="32">
        <f ca="1">IFERROR(__xludf.DUMMYFUNCTION("""COMPUTED_VALUE"""),0)</f>
        <v>0</v>
      </c>
      <c r="U232" s="32"/>
      <c r="V232" s="32">
        <f ca="1">IFERROR(__xludf.DUMMYFUNCTION("""COMPUTED_VALUE"""),0)</f>
        <v>0</v>
      </c>
      <c r="W232" s="32"/>
      <c r="X232" s="32">
        <f ca="1">IFERROR(__xludf.DUMMYFUNCTION("""COMPUTED_VALUE"""),0)</f>
        <v>0</v>
      </c>
      <c r="Y232" s="32"/>
      <c r="Z232" s="2"/>
      <c r="AA232" s="2"/>
      <c r="AB232" s="2"/>
      <c r="AC232" s="2"/>
      <c r="AD232" s="2"/>
      <c r="AE232" s="2"/>
    </row>
    <row r="233" spans="1:31" ht="12.75" x14ac:dyDescent="0.2">
      <c r="A233" s="28">
        <f ca="1">IFERROR(__xludf.DUMMYFUNCTION("""COMPUTED_VALUE"""),40)</f>
        <v>40</v>
      </c>
      <c r="B233" s="29" t="str">
        <f ca="1">IFERROR(__xludf.DUMMYFUNCTION("""COMPUTED_VALUE"""),"MN Miền Trẻ Thơ 2")</f>
        <v>MN Miền Trẻ Thơ 2</v>
      </c>
      <c r="C233" s="33" t="str">
        <f ca="1">IFERROR(__xludf.DUMMYFUNCTION("""COMPUTED_VALUE"""),"MN")</f>
        <v>MN</v>
      </c>
      <c r="D233" s="30" t="str">
        <f ca="1">IFERROR(__xludf.DUMMYFUNCTION("""COMPUTED_VALUE"""),"Tp. Thủ Đức")</f>
        <v>Tp. Thủ Đức</v>
      </c>
      <c r="E233" s="31">
        <f ca="1">IFERROR(__xludf.DUMMYFUNCTION("""COMPUTED_VALUE"""),12)</f>
        <v>12</v>
      </c>
      <c r="F233" s="32">
        <f ca="1">IFERROR(__xludf.DUMMYFUNCTION("""COMPUTED_VALUE"""),12)</f>
        <v>12</v>
      </c>
      <c r="G233" s="32"/>
      <c r="H233" s="32">
        <f ca="1">IFERROR(__xludf.DUMMYFUNCTION("""COMPUTED_VALUE"""),12)</f>
        <v>12</v>
      </c>
      <c r="I233" s="32"/>
      <c r="J233" s="32">
        <f ca="1">IFERROR(__xludf.DUMMYFUNCTION("""COMPUTED_VALUE"""),10)</f>
        <v>10</v>
      </c>
      <c r="K233" s="32"/>
      <c r="L233" s="32">
        <f ca="1">IFERROR(__xludf.DUMMYFUNCTION("""COMPUTED_VALUE"""),6)</f>
        <v>6</v>
      </c>
      <c r="M233" s="32"/>
      <c r="N233" s="31">
        <f ca="1">IFERROR(__xludf.DUMMYFUNCTION("""COMPUTED_VALUE"""),0)</f>
        <v>0</v>
      </c>
      <c r="O233" s="32">
        <f ca="1">IFERROR(__xludf.DUMMYFUNCTION("""COMPUTED_VALUE"""),0)</f>
        <v>0</v>
      </c>
      <c r="P233" s="32"/>
      <c r="Q233" s="32">
        <f ca="1">IFERROR(__xludf.DUMMYFUNCTION("""COMPUTED_VALUE"""),0)</f>
        <v>0</v>
      </c>
      <c r="R233" s="32"/>
      <c r="S233" s="31">
        <f ca="1">IFERROR(__xludf.DUMMYFUNCTION("""COMPUTED_VALUE"""),0)</f>
        <v>0</v>
      </c>
      <c r="T233" s="32">
        <f ca="1">IFERROR(__xludf.DUMMYFUNCTION("""COMPUTED_VALUE"""),0)</f>
        <v>0</v>
      </c>
      <c r="U233" s="32"/>
      <c r="V233" s="32">
        <f ca="1">IFERROR(__xludf.DUMMYFUNCTION("""COMPUTED_VALUE"""),0)</f>
        <v>0</v>
      </c>
      <c r="W233" s="32"/>
      <c r="X233" s="32">
        <f ca="1">IFERROR(__xludf.DUMMYFUNCTION("""COMPUTED_VALUE"""),0)</f>
        <v>0</v>
      </c>
      <c r="Y233" s="32"/>
      <c r="Z233" s="2"/>
      <c r="AA233" s="2"/>
      <c r="AB233" s="2"/>
      <c r="AC233" s="2"/>
      <c r="AD233" s="2"/>
      <c r="AE233" s="2"/>
    </row>
    <row r="234" spans="1:31" ht="12.75" x14ac:dyDescent="0.2">
      <c r="A234" s="28">
        <f ca="1">IFERROR(__xludf.DUMMYFUNCTION("""COMPUTED_VALUE"""),41)</f>
        <v>41</v>
      </c>
      <c r="B234" s="29" t="str">
        <f ca="1">IFERROR(__xludf.DUMMYFUNCTION("""COMPUTED_VALUE"""),"MN Con Mèo Vàng")</f>
        <v>MN Con Mèo Vàng</v>
      </c>
      <c r="C234" s="33" t="str">
        <f ca="1">IFERROR(__xludf.DUMMYFUNCTION("""COMPUTED_VALUE"""),"MN")</f>
        <v>MN</v>
      </c>
      <c r="D234" s="30" t="str">
        <f ca="1">IFERROR(__xludf.DUMMYFUNCTION("""COMPUTED_VALUE"""),"Tp. Thủ Đức")</f>
        <v>Tp. Thủ Đức</v>
      </c>
      <c r="E234" s="31">
        <f ca="1">IFERROR(__xludf.DUMMYFUNCTION("""COMPUTED_VALUE"""),20)</f>
        <v>20</v>
      </c>
      <c r="F234" s="32">
        <f ca="1">IFERROR(__xludf.DUMMYFUNCTION("""COMPUTED_VALUE"""),20)</f>
        <v>20</v>
      </c>
      <c r="G234" s="32"/>
      <c r="H234" s="32">
        <f ca="1">IFERROR(__xludf.DUMMYFUNCTION("""COMPUTED_VALUE"""),20)</f>
        <v>20</v>
      </c>
      <c r="I234" s="32"/>
      <c r="J234" s="32">
        <f ca="1">IFERROR(__xludf.DUMMYFUNCTION("""COMPUTED_VALUE"""),13)</f>
        <v>13</v>
      </c>
      <c r="K234" s="32"/>
      <c r="L234" s="32">
        <f ca="1">IFERROR(__xludf.DUMMYFUNCTION("""COMPUTED_VALUE"""),1)</f>
        <v>1</v>
      </c>
      <c r="M234" s="32"/>
      <c r="N234" s="31">
        <f ca="1">IFERROR(__xludf.DUMMYFUNCTION("""COMPUTED_VALUE"""),0)</f>
        <v>0</v>
      </c>
      <c r="O234" s="32">
        <f ca="1">IFERROR(__xludf.DUMMYFUNCTION("""COMPUTED_VALUE"""),0)</f>
        <v>0</v>
      </c>
      <c r="P234" s="32"/>
      <c r="Q234" s="32">
        <f ca="1">IFERROR(__xludf.DUMMYFUNCTION("""COMPUTED_VALUE"""),0)</f>
        <v>0</v>
      </c>
      <c r="R234" s="32"/>
      <c r="S234" s="31">
        <f ca="1">IFERROR(__xludf.DUMMYFUNCTION("""COMPUTED_VALUE"""),0)</f>
        <v>0</v>
      </c>
      <c r="T234" s="32">
        <f ca="1">IFERROR(__xludf.DUMMYFUNCTION("""COMPUTED_VALUE"""),0)</f>
        <v>0</v>
      </c>
      <c r="U234" s="32"/>
      <c r="V234" s="32">
        <f ca="1">IFERROR(__xludf.DUMMYFUNCTION("""COMPUTED_VALUE"""),0)</f>
        <v>0</v>
      </c>
      <c r="W234" s="32"/>
      <c r="X234" s="32">
        <f ca="1">IFERROR(__xludf.DUMMYFUNCTION("""COMPUTED_VALUE"""),0)</f>
        <v>0</v>
      </c>
      <c r="Y234" s="32"/>
      <c r="Z234" s="2"/>
      <c r="AA234" s="2"/>
      <c r="AB234" s="2"/>
      <c r="AC234" s="2"/>
      <c r="AD234" s="2"/>
      <c r="AE234" s="2"/>
    </row>
    <row r="235" spans="1:31" ht="12.75" x14ac:dyDescent="0.2">
      <c r="A235" s="28">
        <f ca="1">IFERROR(__xludf.DUMMYFUNCTION("""COMPUTED_VALUE"""),42)</f>
        <v>42</v>
      </c>
      <c r="B235" s="29" t="str">
        <f ca="1">IFERROR(__xludf.DUMMYFUNCTION("""COMPUTED_VALUE"""),"MN Bầu Trời Xanh 2")</f>
        <v>MN Bầu Trời Xanh 2</v>
      </c>
      <c r="C235" s="33" t="str">
        <f ca="1">IFERROR(__xludf.DUMMYFUNCTION("""COMPUTED_VALUE"""),"MN")</f>
        <v>MN</v>
      </c>
      <c r="D235" s="30" t="str">
        <f ca="1">IFERROR(__xludf.DUMMYFUNCTION("""COMPUTED_VALUE"""),"Tp. Thủ Đức")</f>
        <v>Tp. Thủ Đức</v>
      </c>
      <c r="E235" s="31">
        <f ca="1">IFERROR(__xludf.DUMMYFUNCTION("""COMPUTED_VALUE"""),21)</f>
        <v>21</v>
      </c>
      <c r="F235" s="32">
        <f ca="1">IFERROR(__xludf.DUMMYFUNCTION("""COMPUTED_VALUE"""),21)</f>
        <v>21</v>
      </c>
      <c r="G235" s="32"/>
      <c r="H235" s="32">
        <f ca="1">IFERROR(__xludf.DUMMYFUNCTION("""COMPUTED_VALUE"""),21)</f>
        <v>21</v>
      </c>
      <c r="I235" s="32"/>
      <c r="J235" s="32">
        <f ca="1">IFERROR(__xludf.DUMMYFUNCTION("""COMPUTED_VALUE"""),19)</f>
        <v>19</v>
      </c>
      <c r="K235" s="32"/>
      <c r="L235" s="32">
        <f ca="1">IFERROR(__xludf.DUMMYFUNCTION("""COMPUTED_VALUE"""),0)</f>
        <v>0</v>
      </c>
      <c r="M235" s="32"/>
      <c r="N235" s="31">
        <f ca="1">IFERROR(__xludf.DUMMYFUNCTION("""COMPUTED_VALUE"""),0)</f>
        <v>0</v>
      </c>
      <c r="O235" s="32">
        <f ca="1">IFERROR(__xludf.DUMMYFUNCTION("""COMPUTED_VALUE"""),0)</f>
        <v>0</v>
      </c>
      <c r="P235" s="32"/>
      <c r="Q235" s="32">
        <f ca="1">IFERROR(__xludf.DUMMYFUNCTION("""COMPUTED_VALUE"""),0)</f>
        <v>0</v>
      </c>
      <c r="R235" s="32"/>
      <c r="S235" s="31">
        <f ca="1">IFERROR(__xludf.DUMMYFUNCTION("""COMPUTED_VALUE"""),0)</f>
        <v>0</v>
      </c>
      <c r="T235" s="32">
        <f ca="1">IFERROR(__xludf.DUMMYFUNCTION("""COMPUTED_VALUE"""),0)</f>
        <v>0</v>
      </c>
      <c r="U235" s="32"/>
      <c r="V235" s="32">
        <f ca="1">IFERROR(__xludf.DUMMYFUNCTION("""COMPUTED_VALUE"""),0)</f>
        <v>0</v>
      </c>
      <c r="W235" s="32"/>
      <c r="X235" s="32">
        <f ca="1">IFERROR(__xludf.DUMMYFUNCTION("""COMPUTED_VALUE"""),0)</f>
        <v>0</v>
      </c>
      <c r="Y235" s="32"/>
      <c r="Z235" s="2"/>
      <c r="AA235" s="2"/>
      <c r="AB235" s="2"/>
      <c r="AC235" s="2"/>
      <c r="AD235" s="2"/>
      <c r="AE235" s="2"/>
    </row>
    <row r="236" spans="1:31" ht="12.75" x14ac:dyDescent="0.2">
      <c r="A236" s="28">
        <f ca="1">IFERROR(__xludf.DUMMYFUNCTION("""COMPUTED_VALUE"""),43)</f>
        <v>43</v>
      </c>
      <c r="B236" s="29" t="str">
        <f ca="1">IFERROR(__xludf.DUMMYFUNCTION("""COMPUTED_VALUE"""),"MN Thế Giới Xanh")</f>
        <v>MN Thế Giới Xanh</v>
      </c>
      <c r="C236" s="33" t="str">
        <f ca="1">IFERROR(__xludf.DUMMYFUNCTION("""COMPUTED_VALUE"""),"MN")</f>
        <v>MN</v>
      </c>
      <c r="D236" s="30" t="str">
        <f ca="1">IFERROR(__xludf.DUMMYFUNCTION("""COMPUTED_VALUE"""),"Tp. Thủ Đức")</f>
        <v>Tp. Thủ Đức</v>
      </c>
      <c r="E236" s="31">
        <f ca="1">IFERROR(__xludf.DUMMYFUNCTION("""COMPUTED_VALUE"""),15)</f>
        <v>15</v>
      </c>
      <c r="F236" s="32">
        <f ca="1">IFERROR(__xludf.DUMMYFUNCTION("""COMPUTED_VALUE"""),15)</f>
        <v>15</v>
      </c>
      <c r="G236" s="32"/>
      <c r="H236" s="32">
        <f ca="1">IFERROR(__xludf.DUMMYFUNCTION("""COMPUTED_VALUE"""),15)</f>
        <v>15</v>
      </c>
      <c r="I236" s="32"/>
      <c r="J236" s="32">
        <f ca="1">IFERROR(__xludf.DUMMYFUNCTION("""COMPUTED_VALUE"""),15)</f>
        <v>15</v>
      </c>
      <c r="K236" s="32"/>
      <c r="L236" s="32">
        <f ca="1">IFERROR(__xludf.DUMMYFUNCTION("""COMPUTED_VALUE"""),14)</f>
        <v>14</v>
      </c>
      <c r="M236" s="32"/>
      <c r="N236" s="31">
        <f ca="1">IFERROR(__xludf.DUMMYFUNCTION("""COMPUTED_VALUE"""),0)</f>
        <v>0</v>
      </c>
      <c r="O236" s="32">
        <f ca="1">IFERROR(__xludf.DUMMYFUNCTION("""COMPUTED_VALUE"""),0)</f>
        <v>0</v>
      </c>
      <c r="P236" s="32"/>
      <c r="Q236" s="32">
        <f ca="1">IFERROR(__xludf.DUMMYFUNCTION("""COMPUTED_VALUE"""),0)</f>
        <v>0</v>
      </c>
      <c r="R236" s="32"/>
      <c r="S236" s="31">
        <f ca="1">IFERROR(__xludf.DUMMYFUNCTION("""COMPUTED_VALUE"""),0)</f>
        <v>0</v>
      </c>
      <c r="T236" s="32">
        <f ca="1">IFERROR(__xludf.DUMMYFUNCTION("""COMPUTED_VALUE"""),0)</f>
        <v>0</v>
      </c>
      <c r="U236" s="32"/>
      <c r="V236" s="32">
        <f ca="1">IFERROR(__xludf.DUMMYFUNCTION("""COMPUTED_VALUE"""),0)</f>
        <v>0</v>
      </c>
      <c r="W236" s="32"/>
      <c r="X236" s="32">
        <f ca="1">IFERROR(__xludf.DUMMYFUNCTION("""COMPUTED_VALUE"""),0)</f>
        <v>0</v>
      </c>
      <c r="Y236" s="32"/>
      <c r="Z236" s="2"/>
      <c r="AA236" s="2"/>
      <c r="AB236" s="2"/>
      <c r="AC236" s="2"/>
      <c r="AD236" s="2"/>
      <c r="AE236" s="2"/>
    </row>
    <row r="237" spans="1:31" ht="12.75" x14ac:dyDescent="0.2">
      <c r="A237" s="28">
        <f ca="1">IFERROR(__xludf.DUMMYFUNCTION("""COMPUTED_VALUE"""),44)</f>
        <v>44</v>
      </c>
      <c r="B237" s="35" t="str">
        <f ca="1">IFERROR(__xludf.DUMMYFUNCTION("""COMPUTED_VALUE"""),"MN Cocoon Kén Nhỏ")</f>
        <v>MN Cocoon Kén Nhỏ</v>
      </c>
      <c r="C237" s="33" t="str">
        <f ca="1">IFERROR(__xludf.DUMMYFUNCTION("""COMPUTED_VALUE"""),"MN")</f>
        <v>MN</v>
      </c>
      <c r="D237" s="30" t="str">
        <f ca="1">IFERROR(__xludf.DUMMYFUNCTION("""COMPUTED_VALUE"""),"Tp. Thủ Đức")</f>
        <v>Tp. Thủ Đức</v>
      </c>
      <c r="E237" s="31">
        <f ca="1">IFERROR(__xludf.DUMMYFUNCTION("""COMPUTED_VALUE"""),9)</f>
        <v>9</v>
      </c>
      <c r="F237" s="32">
        <f ca="1">IFERROR(__xludf.DUMMYFUNCTION("""COMPUTED_VALUE"""),9)</f>
        <v>9</v>
      </c>
      <c r="G237" s="32"/>
      <c r="H237" s="32">
        <f ca="1">IFERROR(__xludf.DUMMYFUNCTION("""COMPUTED_VALUE"""),9)</f>
        <v>9</v>
      </c>
      <c r="I237" s="32"/>
      <c r="J237" s="32">
        <f ca="1">IFERROR(__xludf.DUMMYFUNCTION("""COMPUTED_VALUE"""),8)</f>
        <v>8</v>
      </c>
      <c r="K237" s="32"/>
      <c r="L237" s="32">
        <f ca="1">IFERROR(__xludf.DUMMYFUNCTION("""COMPUTED_VALUE"""),2)</f>
        <v>2</v>
      </c>
      <c r="M237" s="32"/>
      <c r="N237" s="31">
        <f ca="1">IFERROR(__xludf.DUMMYFUNCTION("""COMPUTED_VALUE"""),0)</f>
        <v>0</v>
      </c>
      <c r="O237" s="32">
        <f ca="1">IFERROR(__xludf.DUMMYFUNCTION("""COMPUTED_VALUE"""),0)</f>
        <v>0</v>
      </c>
      <c r="P237" s="32"/>
      <c r="Q237" s="32">
        <f ca="1">IFERROR(__xludf.DUMMYFUNCTION("""COMPUTED_VALUE"""),0)</f>
        <v>0</v>
      </c>
      <c r="R237" s="32"/>
      <c r="S237" s="31">
        <f ca="1">IFERROR(__xludf.DUMMYFUNCTION("""COMPUTED_VALUE"""),0)</f>
        <v>0</v>
      </c>
      <c r="T237" s="32">
        <f ca="1">IFERROR(__xludf.DUMMYFUNCTION("""COMPUTED_VALUE"""),0)</f>
        <v>0</v>
      </c>
      <c r="U237" s="32"/>
      <c r="V237" s="32">
        <f ca="1">IFERROR(__xludf.DUMMYFUNCTION("""COMPUTED_VALUE"""),0)</f>
        <v>0</v>
      </c>
      <c r="W237" s="32"/>
      <c r="X237" s="32">
        <f ca="1">IFERROR(__xludf.DUMMYFUNCTION("""COMPUTED_VALUE"""),0)</f>
        <v>0</v>
      </c>
      <c r="Y237" s="32"/>
      <c r="Z237" s="2"/>
      <c r="AA237" s="2"/>
      <c r="AB237" s="2"/>
      <c r="AC237" s="2"/>
      <c r="AD237" s="2"/>
      <c r="AE237" s="2"/>
    </row>
    <row r="238" spans="1:31" ht="12.75" x14ac:dyDescent="0.2">
      <c r="A238" s="28">
        <f ca="1">IFERROR(__xludf.DUMMYFUNCTION("""COMPUTED_VALUE"""),45)</f>
        <v>45</v>
      </c>
      <c r="B238" s="29" t="str">
        <f ca="1">IFERROR(__xludf.DUMMYFUNCTION("""COMPUTED_VALUE"""),"MN Sóc Nâu - PB")</f>
        <v>MN Sóc Nâu - PB</v>
      </c>
      <c r="C238" s="33" t="str">
        <f ca="1">IFERROR(__xludf.DUMMYFUNCTION("""COMPUTED_VALUE"""),"MN")</f>
        <v>MN</v>
      </c>
      <c r="D238" s="30" t="str">
        <f ca="1">IFERROR(__xludf.DUMMYFUNCTION("""COMPUTED_VALUE"""),"Tp. Thủ Đức")</f>
        <v>Tp. Thủ Đức</v>
      </c>
      <c r="E238" s="31">
        <f ca="1">IFERROR(__xludf.DUMMYFUNCTION("""COMPUTED_VALUE"""),21)</f>
        <v>21</v>
      </c>
      <c r="F238" s="32">
        <f ca="1">IFERROR(__xludf.DUMMYFUNCTION("""COMPUTED_VALUE"""),21)</f>
        <v>21</v>
      </c>
      <c r="G238" s="32"/>
      <c r="H238" s="32">
        <f ca="1">IFERROR(__xludf.DUMMYFUNCTION("""COMPUTED_VALUE"""),21)</f>
        <v>21</v>
      </c>
      <c r="I238" s="32"/>
      <c r="J238" s="32">
        <f ca="1">IFERROR(__xludf.DUMMYFUNCTION("""COMPUTED_VALUE"""),21)</f>
        <v>21</v>
      </c>
      <c r="K238" s="32"/>
      <c r="L238" s="32">
        <f ca="1">IFERROR(__xludf.DUMMYFUNCTION("""COMPUTED_VALUE"""),11)</f>
        <v>11</v>
      </c>
      <c r="M238" s="32"/>
      <c r="N238" s="31">
        <f ca="1">IFERROR(__xludf.DUMMYFUNCTION("""COMPUTED_VALUE"""),0)</f>
        <v>0</v>
      </c>
      <c r="O238" s="32">
        <f ca="1">IFERROR(__xludf.DUMMYFUNCTION("""COMPUTED_VALUE"""),0)</f>
        <v>0</v>
      </c>
      <c r="P238" s="32"/>
      <c r="Q238" s="32">
        <f ca="1">IFERROR(__xludf.DUMMYFUNCTION("""COMPUTED_VALUE"""),0)</f>
        <v>0</v>
      </c>
      <c r="R238" s="32"/>
      <c r="S238" s="31">
        <f ca="1">IFERROR(__xludf.DUMMYFUNCTION("""COMPUTED_VALUE"""),0)</f>
        <v>0</v>
      </c>
      <c r="T238" s="32">
        <f ca="1">IFERROR(__xludf.DUMMYFUNCTION("""COMPUTED_VALUE"""),0)</f>
        <v>0</v>
      </c>
      <c r="U238" s="32"/>
      <c r="V238" s="32">
        <f ca="1">IFERROR(__xludf.DUMMYFUNCTION("""COMPUTED_VALUE"""),0)</f>
        <v>0</v>
      </c>
      <c r="W238" s="32"/>
      <c r="X238" s="32">
        <f ca="1">IFERROR(__xludf.DUMMYFUNCTION("""COMPUTED_VALUE"""),0)</f>
        <v>0</v>
      </c>
      <c r="Y238" s="32"/>
      <c r="Z238" s="2"/>
      <c r="AA238" s="2"/>
      <c r="AB238" s="2"/>
      <c r="AC238" s="2"/>
      <c r="AD238" s="2"/>
      <c r="AE238" s="2"/>
    </row>
    <row r="239" spans="1:31" ht="12.75" x14ac:dyDescent="0.2">
      <c r="A239" s="34"/>
      <c r="B239" s="35" t="str">
        <f ca="1">IFERROR(__xludf.DUMMYFUNCTION("""COMPUTED_VALUE"""),"NHÓM LỚP NHÀ TRẺ - KHU VỰC 2")</f>
        <v>NHÓM LỚP NHÀ TRẺ - KHU VỰC 2</v>
      </c>
      <c r="C239" s="41" t="str">
        <f ca="1">IFERROR(__xludf.DUMMYFUNCTION("""COMPUTED_VALUE"""),"MN")</f>
        <v>MN</v>
      </c>
      <c r="D239" s="30" t="str">
        <f ca="1">IFERROR(__xludf.DUMMYFUNCTION("""COMPUTED_VALUE"""),"Tp. Thủ Đức")</f>
        <v>Tp. Thủ Đức</v>
      </c>
      <c r="E239" s="37"/>
      <c r="F239" s="38"/>
      <c r="G239" s="38"/>
      <c r="H239" s="38"/>
      <c r="I239" s="38"/>
      <c r="J239" s="38"/>
      <c r="K239" s="38"/>
      <c r="L239" s="38"/>
      <c r="M239" s="38"/>
      <c r="N239" s="42">
        <f ca="1">IFERROR(__xludf.DUMMYFUNCTION("""COMPUTED_VALUE"""),0)</f>
        <v>0</v>
      </c>
      <c r="O239" s="43">
        <f ca="1">IFERROR(__xludf.DUMMYFUNCTION("""COMPUTED_VALUE"""),0)</f>
        <v>0</v>
      </c>
      <c r="P239" s="43"/>
      <c r="Q239" s="43">
        <f ca="1">IFERROR(__xludf.DUMMYFUNCTION("""COMPUTED_VALUE"""),0)</f>
        <v>0</v>
      </c>
      <c r="R239" s="43"/>
      <c r="S239" s="42">
        <f ca="1">IFERROR(__xludf.DUMMYFUNCTION("""COMPUTED_VALUE"""),0)</f>
        <v>0</v>
      </c>
      <c r="T239" s="43">
        <f ca="1">IFERROR(__xludf.DUMMYFUNCTION("""COMPUTED_VALUE"""),0)</f>
        <v>0</v>
      </c>
      <c r="U239" s="43"/>
      <c r="V239" s="43">
        <f ca="1">IFERROR(__xludf.DUMMYFUNCTION("""COMPUTED_VALUE"""),0)</f>
        <v>0</v>
      </c>
      <c r="W239" s="43"/>
      <c r="X239" s="43">
        <f ca="1">IFERROR(__xludf.DUMMYFUNCTION("""COMPUTED_VALUE"""),0)</f>
        <v>0</v>
      </c>
      <c r="Y239" s="43"/>
      <c r="Z239" s="2"/>
      <c r="AA239" s="2"/>
      <c r="AB239" s="2"/>
      <c r="AC239" s="2"/>
      <c r="AD239" s="2"/>
      <c r="AE239" s="2"/>
    </row>
    <row r="240" spans="1:31" ht="12.75" x14ac:dyDescent="0.2">
      <c r="A240" s="28">
        <f ca="1">IFERROR(__xludf.DUMMYFUNCTION("""COMPUTED_VALUE"""),1)</f>
        <v>1</v>
      </c>
      <c r="B240" s="29" t="str">
        <f ca="1">IFERROR(__xludf.DUMMYFUNCTION("""COMPUTED_VALUE"""),"LMG Hoa Anh Đào")</f>
        <v>LMG Hoa Anh Đào</v>
      </c>
      <c r="C240" s="33" t="str">
        <f ca="1">IFERROR(__xludf.DUMMYFUNCTION("""COMPUTED_VALUE"""),"MN")</f>
        <v>MN</v>
      </c>
      <c r="D240" s="30" t="str">
        <f ca="1">IFERROR(__xludf.DUMMYFUNCTION("""COMPUTED_VALUE"""),"Tp. Thủ Đức")</f>
        <v>Tp. Thủ Đức</v>
      </c>
      <c r="E240" s="31">
        <f ca="1">IFERROR(__xludf.DUMMYFUNCTION("""COMPUTED_VALUE"""),5)</f>
        <v>5</v>
      </c>
      <c r="F240" s="32">
        <f ca="1">IFERROR(__xludf.DUMMYFUNCTION("""COMPUTED_VALUE"""),5)</f>
        <v>5</v>
      </c>
      <c r="G240" s="32"/>
      <c r="H240" s="32">
        <f ca="1">IFERROR(__xludf.DUMMYFUNCTION("""COMPUTED_VALUE"""),5)</f>
        <v>5</v>
      </c>
      <c r="I240" s="32"/>
      <c r="J240" s="32">
        <f ca="1">IFERROR(__xludf.DUMMYFUNCTION("""COMPUTED_VALUE"""),5)</f>
        <v>5</v>
      </c>
      <c r="K240" s="32"/>
      <c r="L240" s="32">
        <f ca="1">IFERROR(__xludf.DUMMYFUNCTION("""COMPUTED_VALUE"""),1)</f>
        <v>1</v>
      </c>
      <c r="M240" s="32"/>
      <c r="N240" s="31">
        <f ca="1">IFERROR(__xludf.DUMMYFUNCTION("""COMPUTED_VALUE"""),0)</f>
        <v>0</v>
      </c>
      <c r="O240" s="32">
        <f ca="1">IFERROR(__xludf.DUMMYFUNCTION("""COMPUTED_VALUE"""),0)</f>
        <v>0</v>
      </c>
      <c r="P240" s="32"/>
      <c r="Q240" s="32">
        <f ca="1">IFERROR(__xludf.DUMMYFUNCTION("""COMPUTED_VALUE"""),0)</f>
        <v>0</v>
      </c>
      <c r="R240" s="32"/>
      <c r="S240" s="31">
        <f ca="1">IFERROR(__xludf.DUMMYFUNCTION("""COMPUTED_VALUE"""),0)</f>
        <v>0</v>
      </c>
      <c r="T240" s="32">
        <f ca="1">IFERROR(__xludf.DUMMYFUNCTION("""COMPUTED_VALUE"""),0)</f>
        <v>0</v>
      </c>
      <c r="U240" s="32"/>
      <c r="V240" s="32">
        <f ca="1">IFERROR(__xludf.DUMMYFUNCTION("""COMPUTED_VALUE"""),0)</f>
        <v>0</v>
      </c>
      <c r="W240" s="32"/>
      <c r="X240" s="32">
        <f ca="1">IFERROR(__xludf.DUMMYFUNCTION("""COMPUTED_VALUE"""),0)</f>
        <v>0</v>
      </c>
      <c r="Y240" s="32"/>
      <c r="Z240" s="2"/>
      <c r="AA240" s="2"/>
      <c r="AB240" s="2"/>
      <c r="AC240" s="2"/>
      <c r="AD240" s="2"/>
      <c r="AE240" s="2"/>
    </row>
    <row r="241" spans="1:31" ht="12.75" x14ac:dyDescent="0.2">
      <c r="A241" s="28">
        <f ca="1">IFERROR(__xludf.DUMMYFUNCTION("""COMPUTED_VALUE"""),2)</f>
        <v>2</v>
      </c>
      <c r="B241" s="29" t="str">
        <f ca="1">IFERROR(__xludf.DUMMYFUNCTION("""COMPUTED_VALUE"""),"LMG Gấu Anh")</f>
        <v>LMG Gấu Anh</v>
      </c>
      <c r="C241" s="33" t="str">
        <f ca="1">IFERROR(__xludf.DUMMYFUNCTION("""COMPUTED_VALUE"""),"MN")</f>
        <v>MN</v>
      </c>
      <c r="D241" s="30" t="str">
        <f ca="1">IFERROR(__xludf.DUMMYFUNCTION("""COMPUTED_VALUE"""),"Tp. Thủ Đức")</f>
        <v>Tp. Thủ Đức</v>
      </c>
      <c r="E241" s="31">
        <f ca="1">IFERROR(__xludf.DUMMYFUNCTION("""COMPUTED_VALUE"""),9)</f>
        <v>9</v>
      </c>
      <c r="F241" s="32">
        <f ca="1">IFERROR(__xludf.DUMMYFUNCTION("""COMPUTED_VALUE"""),9)</f>
        <v>9</v>
      </c>
      <c r="G241" s="32"/>
      <c r="H241" s="32">
        <f ca="1">IFERROR(__xludf.DUMMYFUNCTION("""COMPUTED_VALUE"""),9)</f>
        <v>9</v>
      </c>
      <c r="I241" s="32"/>
      <c r="J241" s="32">
        <f ca="1">IFERROR(__xludf.DUMMYFUNCTION("""COMPUTED_VALUE"""),6)</f>
        <v>6</v>
      </c>
      <c r="K241" s="32"/>
      <c r="L241" s="32">
        <f ca="1">IFERROR(__xludf.DUMMYFUNCTION("""COMPUTED_VALUE"""),3)</f>
        <v>3</v>
      </c>
      <c r="M241" s="32"/>
      <c r="N241" s="31">
        <f ca="1">IFERROR(__xludf.DUMMYFUNCTION("""COMPUTED_VALUE"""),0)</f>
        <v>0</v>
      </c>
      <c r="O241" s="32">
        <f ca="1">IFERROR(__xludf.DUMMYFUNCTION("""COMPUTED_VALUE"""),0)</f>
        <v>0</v>
      </c>
      <c r="P241" s="32"/>
      <c r="Q241" s="32">
        <f ca="1">IFERROR(__xludf.DUMMYFUNCTION("""COMPUTED_VALUE"""),0)</f>
        <v>0</v>
      </c>
      <c r="R241" s="32"/>
      <c r="S241" s="31">
        <f ca="1">IFERROR(__xludf.DUMMYFUNCTION("""COMPUTED_VALUE"""),0)</f>
        <v>0</v>
      </c>
      <c r="T241" s="32">
        <f ca="1">IFERROR(__xludf.DUMMYFUNCTION("""COMPUTED_VALUE"""),0)</f>
        <v>0</v>
      </c>
      <c r="U241" s="32"/>
      <c r="V241" s="32">
        <f ca="1">IFERROR(__xludf.DUMMYFUNCTION("""COMPUTED_VALUE"""),0)</f>
        <v>0</v>
      </c>
      <c r="W241" s="32"/>
      <c r="X241" s="32">
        <f ca="1">IFERROR(__xludf.DUMMYFUNCTION("""COMPUTED_VALUE"""),0)</f>
        <v>0</v>
      </c>
      <c r="Y241" s="32"/>
      <c r="Z241" s="2"/>
      <c r="AA241" s="2"/>
      <c r="AB241" s="2"/>
      <c r="AC241" s="2"/>
      <c r="AD241" s="2"/>
      <c r="AE241" s="2"/>
    </row>
    <row r="242" spans="1:31" ht="12.75" x14ac:dyDescent="0.2">
      <c r="A242" s="28">
        <f ca="1">IFERROR(__xludf.DUMMYFUNCTION("""COMPUTED_VALUE"""),3)</f>
        <v>3</v>
      </c>
      <c r="B242" s="29" t="str">
        <f ca="1">IFERROR(__xludf.DUMMYFUNCTION("""COMPUTED_VALUE"""),"LMG Khai Minh Trí")</f>
        <v>LMG Khai Minh Trí</v>
      </c>
      <c r="C242" s="33" t="str">
        <f ca="1">IFERROR(__xludf.DUMMYFUNCTION("""COMPUTED_VALUE"""),"MN")</f>
        <v>MN</v>
      </c>
      <c r="D242" s="30" t="str">
        <f ca="1">IFERROR(__xludf.DUMMYFUNCTION("""COMPUTED_VALUE"""),"Tp. Thủ Đức")</f>
        <v>Tp. Thủ Đức</v>
      </c>
      <c r="E242" s="31">
        <f ca="1">IFERROR(__xludf.DUMMYFUNCTION("""COMPUTED_VALUE"""),14)</f>
        <v>14</v>
      </c>
      <c r="F242" s="32">
        <f ca="1">IFERROR(__xludf.DUMMYFUNCTION("""COMPUTED_VALUE"""),14)</f>
        <v>14</v>
      </c>
      <c r="G242" s="32"/>
      <c r="H242" s="32">
        <f ca="1">IFERROR(__xludf.DUMMYFUNCTION("""COMPUTED_VALUE"""),14)</f>
        <v>14</v>
      </c>
      <c r="I242" s="32"/>
      <c r="J242" s="32">
        <f ca="1">IFERROR(__xludf.DUMMYFUNCTION("""COMPUTED_VALUE"""),14)</f>
        <v>14</v>
      </c>
      <c r="K242" s="32"/>
      <c r="L242" s="32">
        <f ca="1">IFERROR(__xludf.DUMMYFUNCTION("""COMPUTED_VALUE"""),0)</f>
        <v>0</v>
      </c>
      <c r="M242" s="32"/>
      <c r="N242" s="31">
        <f ca="1">IFERROR(__xludf.DUMMYFUNCTION("""COMPUTED_VALUE"""),0)</f>
        <v>0</v>
      </c>
      <c r="O242" s="32">
        <f ca="1">IFERROR(__xludf.DUMMYFUNCTION("""COMPUTED_VALUE"""),0)</f>
        <v>0</v>
      </c>
      <c r="P242" s="32"/>
      <c r="Q242" s="32">
        <f ca="1">IFERROR(__xludf.DUMMYFUNCTION("""COMPUTED_VALUE"""),0)</f>
        <v>0</v>
      </c>
      <c r="R242" s="32"/>
      <c r="S242" s="31">
        <f ca="1">IFERROR(__xludf.DUMMYFUNCTION("""COMPUTED_VALUE"""),0)</f>
        <v>0</v>
      </c>
      <c r="T242" s="32">
        <f ca="1">IFERROR(__xludf.DUMMYFUNCTION("""COMPUTED_VALUE"""),0)</f>
        <v>0</v>
      </c>
      <c r="U242" s="32"/>
      <c r="V242" s="32">
        <f ca="1">IFERROR(__xludf.DUMMYFUNCTION("""COMPUTED_VALUE"""),0)</f>
        <v>0</v>
      </c>
      <c r="W242" s="32"/>
      <c r="X242" s="32">
        <f ca="1">IFERROR(__xludf.DUMMYFUNCTION("""COMPUTED_VALUE"""),0)</f>
        <v>0</v>
      </c>
      <c r="Y242" s="32"/>
      <c r="Z242" s="2"/>
      <c r="AA242" s="2"/>
      <c r="AB242" s="2"/>
      <c r="AC242" s="2"/>
      <c r="AD242" s="2"/>
      <c r="AE242" s="2"/>
    </row>
    <row r="243" spans="1:31" ht="12.75" x14ac:dyDescent="0.2">
      <c r="A243" s="28">
        <f ca="1">IFERROR(__xludf.DUMMYFUNCTION("""COMPUTED_VALUE"""),4)</f>
        <v>4</v>
      </c>
      <c r="B243" s="29" t="str">
        <f ca="1">IFERROR(__xludf.DUMMYFUNCTION("""COMPUTED_VALUE"""),"LMG Bồ Câu Trắng")</f>
        <v>LMG Bồ Câu Trắng</v>
      </c>
      <c r="C243" s="33" t="str">
        <f ca="1">IFERROR(__xludf.DUMMYFUNCTION("""COMPUTED_VALUE"""),"MN")</f>
        <v>MN</v>
      </c>
      <c r="D243" s="30" t="str">
        <f ca="1">IFERROR(__xludf.DUMMYFUNCTION("""COMPUTED_VALUE"""),"Tp. Thủ Đức")</f>
        <v>Tp. Thủ Đức</v>
      </c>
      <c r="E243" s="31">
        <f ca="1">IFERROR(__xludf.DUMMYFUNCTION("""COMPUTED_VALUE"""),11)</f>
        <v>11</v>
      </c>
      <c r="F243" s="32">
        <f ca="1">IFERROR(__xludf.DUMMYFUNCTION("""COMPUTED_VALUE"""),11)</f>
        <v>11</v>
      </c>
      <c r="G243" s="32"/>
      <c r="H243" s="32">
        <f ca="1">IFERROR(__xludf.DUMMYFUNCTION("""COMPUTED_VALUE"""),11)</f>
        <v>11</v>
      </c>
      <c r="I243" s="32"/>
      <c r="J243" s="32">
        <f ca="1">IFERROR(__xludf.DUMMYFUNCTION("""COMPUTED_VALUE"""),11)</f>
        <v>11</v>
      </c>
      <c r="K243" s="32"/>
      <c r="L243" s="32">
        <f ca="1">IFERROR(__xludf.DUMMYFUNCTION("""COMPUTED_VALUE"""),1)</f>
        <v>1</v>
      </c>
      <c r="M243" s="32"/>
      <c r="N243" s="31">
        <f ca="1">IFERROR(__xludf.DUMMYFUNCTION("""COMPUTED_VALUE"""),0)</f>
        <v>0</v>
      </c>
      <c r="O243" s="32">
        <f ca="1">IFERROR(__xludf.DUMMYFUNCTION("""COMPUTED_VALUE"""),0)</f>
        <v>0</v>
      </c>
      <c r="P243" s="32"/>
      <c r="Q243" s="32">
        <f ca="1">IFERROR(__xludf.DUMMYFUNCTION("""COMPUTED_VALUE"""),0)</f>
        <v>0</v>
      </c>
      <c r="R243" s="32"/>
      <c r="S243" s="31">
        <f ca="1">IFERROR(__xludf.DUMMYFUNCTION("""COMPUTED_VALUE"""),0)</f>
        <v>0</v>
      </c>
      <c r="T243" s="32">
        <f ca="1">IFERROR(__xludf.DUMMYFUNCTION("""COMPUTED_VALUE"""),0)</f>
        <v>0</v>
      </c>
      <c r="U243" s="32"/>
      <c r="V243" s="32">
        <f ca="1">IFERROR(__xludf.DUMMYFUNCTION("""COMPUTED_VALUE"""),0)</f>
        <v>0</v>
      </c>
      <c r="W243" s="32"/>
      <c r="X243" s="32">
        <f ca="1">IFERROR(__xludf.DUMMYFUNCTION("""COMPUTED_VALUE"""),0)</f>
        <v>0</v>
      </c>
      <c r="Y243" s="32"/>
      <c r="Z243" s="2"/>
      <c r="AA243" s="2"/>
      <c r="AB243" s="2"/>
      <c r="AC243" s="2"/>
      <c r="AD243" s="2"/>
      <c r="AE243" s="2"/>
    </row>
    <row r="244" spans="1:31" ht="12.75" x14ac:dyDescent="0.2">
      <c r="A244" s="28">
        <f ca="1">IFERROR(__xludf.DUMMYFUNCTION("""COMPUTED_VALUE"""),5)</f>
        <v>5</v>
      </c>
      <c r="B244" s="29" t="str">
        <f ca="1">IFERROR(__xludf.DUMMYFUNCTION("""COMPUTED_VALUE"""),"LMG Ngôi Sao Phương Nam")</f>
        <v>LMG Ngôi Sao Phương Nam</v>
      </c>
      <c r="C244" s="33" t="str">
        <f ca="1">IFERROR(__xludf.DUMMYFUNCTION("""COMPUTED_VALUE"""),"MN")</f>
        <v>MN</v>
      </c>
      <c r="D244" s="30" t="str">
        <f ca="1">IFERROR(__xludf.DUMMYFUNCTION("""COMPUTED_VALUE"""),"Tp. Thủ Đức")</f>
        <v>Tp. Thủ Đức</v>
      </c>
      <c r="E244" s="31">
        <f ca="1">IFERROR(__xludf.DUMMYFUNCTION("""COMPUTED_VALUE"""),5)</f>
        <v>5</v>
      </c>
      <c r="F244" s="32">
        <f ca="1">IFERROR(__xludf.DUMMYFUNCTION("""COMPUTED_VALUE"""),5)</f>
        <v>5</v>
      </c>
      <c r="G244" s="32"/>
      <c r="H244" s="32">
        <f ca="1">IFERROR(__xludf.DUMMYFUNCTION("""COMPUTED_VALUE"""),5)</f>
        <v>5</v>
      </c>
      <c r="I244" s="32"/>
      <c r="J244" s="32">
        <f ca="1">IFERROR(__xludf.DUMMYFUNCTION("""COMPUTED_VALUE"""),5)</f>
        <v>5</v>
      </c>
      <c r="K244" s="32"/>
      <c r="L244" s="32">
        <f ca="1">IFERROR(__xludf.DUMMYFUNCTION("""COMPUTED_VALUE"""),0)</f>
        <v>0</v>
      </c>
      <c r="M244" s="32"/>
      <c r="N244" s="31">
        <f ca="1">IFERROR(__xludf.DUMMYFUNCTION("""COMPUTED_VALUE"""),0)</f>
        <v>0</v>
      </c>
      <c r="O244" s="32">
        <f ca="1">IFERROR(__xludf.DUMMYFUNCTION("""COMPUTED_VALUE"""),0)</f>
        <v>0</v>
      </c>
      <c r="P244" s="32"/>
      <c r="Q244" s="32">
        <f ca="1">IFERROR(__xludf.DUMMYFUNCTION("""COMPUTED_VALUE"""),0)</f>
        <v>0</v>
      </c>
      <c r="R244" s="32"/>
      <c r="S244" s="31">
        <f ca="1">IFERROR(__xludf.DUMMYFUNCTION("""COMPUTED_VALUE"""),0)</f>
        <v>0</v>
      </c>
      <c r="T244" s="32">
        <f ca="1">IFERROR(__xludf.DUMMYFUNCTION("""COMPUTED_VALUE"""),0)</f>
        <v>0</v>
      </c>
      <c r="U244" s="32"/>
      <c r="V244" s="32">
        <f ca="1">IFERROR(__xludf.DUMMYFUNCTION("""COMPUTED_VALUE"""),0)</f>
        <v>0</v>
      </c>
      <c r="W244" s="32"/>
      <c r="X244" s="32">
        <f ca="1">IFERROR(__xludf.DUMMYFUNCTION("""COMPUTED_VALUE"""),0)</f>
        <v>0</v>
      </c>
      <c r="Y244" s="32"/>
      <c r="Z244" s="2"/>
      <c r="AA244" s="2"/>
      <c r="AB244" s="2"/>
      <c r="AC244" s="2"/>
      <c r="AD244" s="2"/>
      <c r="AE244" s="2"/>
    </row>
    <row r="245" spans="1:31" ht="12.75" x14ac:dyDescent="0.2">
      <c r="A245" s="28">
        <f ca="1">IFERROR(__xludf.DUMMYFUNCTION("""COMPUTED_VALUE"""),6)</f>
        <v>6</v>
      </c>
      <c r="B245" s="29" t="str">
        <f ca="1">IFERROR(__xludf.DUMMYFUNCTION("""COMPUTED_VALUE"""),"NT Nam Mỹ 2")</f>
        <v>NT Nam Mỹ 2</v>
      </c>
      <c r="C245" s="33" t="str">
        <f ca="1">IFERROR(__xludf.DUMMYFUNCTION("""COMPUTED_VALUE"""),"MN")</f>
        <v>MN</v>
      </c>
      <c r="D245" s="30" t="str">
        <f ca="1">IFERROR(__xludf.DUMMYFUNCTION("""COMPUTED_VALUE"""),"Tp. Thủ Đức")</f>
        <v>Tp. Thủ Đức</v>
      </c>
      <c r="E245" s="31">
        <f ca="1">IFERROR(__xludf.DUMMYFUNCTION("""COMPUTED_VALUE"""),4)</f>
        <v>4</v>
      </c>
      <c r="F245" s="32">
        <f ca="1">IFERROR(__xludf.DUMMYFUNCTION("""COMPUTED_VALUE"""),4)</f>
        <v>4</v>
      </c>
      <c r="G245" s="32"/>
      <c r="H245" s="32">
        <f ca="1">IFERROR(__xludf.DUMMYFUNCTION("""COMPUTED_VALUE"""),4)</f>
        <v>4</v>
      </c>
      <c r="I245" s="32"/>
      <c r="J245" s="32">
        <f ca="1">IFERROR(__xludf.DUMMYFUNCTION("""COMPUTED_VALUE"""),4)</f>
        <v>4</v>
      </c>
      <c r="K245" s="32"/>
      <c r="L245" s="32">
        <f ca="1">IFERROR(__xludf.DUMMYFUNCTION("""COMPUTED_VALUE"""),2)</f>
        <v>2</v>
      </c>
      <c r="M245" s="32"/>
      <c r="N245" s="31">
        <f ca="1">IFERROR(__xludf.DUMMYFUNCTION("""COMPUTED_VALUE"""),0)</f>
        <v>0</v>
      </c>
      <c r="O245" s="32">
        <f ca="1">IFERROR(__xludf.DUMMYFUNCTION("""COMPUTED_VALUE"""),0)</f>
        <v>0</v>
      </c>
      <c r="P245" s="32"/>
      <c r="Q245" s="32">
        <f ca="1">IFERROR(__xludf.DUMMYFUNCTION("""COMPUTED_VALUE"""),0)</f>
        <v>0</v>
      </c>
      <c r="R245" s="32"/>
      <c r="S245" s="31">
        <f ca="1">IFERROR(__xludf.DUMMYFUNCTION("""COMPUTED_VALUE"""),0)</f>
        <v>0</v>
      </c>
      <c r="T245" s="32">
        <f ca="1">IFERROR(__xludf.DUMMYFUNCTION("""COMPUTED_VALUE"""),0)</f>
        <v>0</v>
      </c>
      <c r="U245" s="32"/>
      <c r="V245" s="32">
        <f ca="1">IFERROR(__xludf.DUMMYFUNCTION("""COMPUTED_VALUE"""),0)</f>
        <v>0</v>
      </c>
      <c r="W245" s="32"/>
      <c r="X245" s="32">
        <f ca="1">IFERROR(__xludf.DUMMYFUNCTION("""COMPUTED_VALUE"""),0)</f>
        <v>0</v>
      </c>
      <c r="Y245" s="32"/>
      <c r="Z245" s="2"/>
      <c r="AA245" s="2"/>
      <c r="AB245" s="2"/>
      <c r="AC245" s="2"/>
      <c r="AD245" s="2"/>
      <c r="AE245" s="2"/>
    </row>
    <row r="246" spans="1:31" ht="12.75" x14ac:dyDescent="0.2">
      <c r="A246" s="28">
        <f ca="1">IFERROR(__xludf.DUMMYFUNCTION("""COMPUTED_VALUE"""),7)</f>
        <v>7</v>
      </c>
      <c r="B246" s="29" t="str">
        <f ca="1">IFERROR(__xludf.DUMMYFUNCTION("""COMPUTED_VALUE"""),"LMG Thiên Ân")</f>
        <v>LMG Thiên Ân</v>
      </c>
      <c r="C246" s="33" t="str">
        <f ca="1">IFERROR(__xludf.DUMMYFUNCTION("""COMPUTED_VALUE"""),"MN")</f>
        <v>MN</v>
      </c>
      <c r="D246" s="30" t="str">
        <f ca="1">IFERROR(__xludf.DUMMYFUNCTION("""COMPUTED_VALUE"""),"Tp. Thủ Đức")</f>
        <v>Tp. Thủ Đức</v>
      </c>
      <c r="E246" s="31">
        <f ca="1">IFERROR(__xludf.DUMMYFUNCTION("""COMPUTED_VALUE"""),6)</f>
        <v>6</v>
      </c>
      <c r="F246" s="32">
        <f ca="1">IFERROR(__xludf.DUMMYFUNCTION("""COMPUTED_VALUE"""),6)</f>
        <v>6</v>
      </c>
      <c r="G246" s="32"/>
      <c r="H246" s="32">
        <f ca="1">IFERROR(__xludf.DUMMYFUNCTION("""COMPUTED_VALUE"""),6)</f>
        <v>6</v>
      </c>
      <c r="I246" s="32"/>
      <c r="J246" s="32">
        <f ca="1">IFERROR(__xludf.DUMMYFUNCTION("""COMPUTED_VALUE"""),0)</f>
        <v>0</v>
      </c>
      <c r="K246" s="32"/>
      <c r="L246" s="32">
        <f ca="1">IFERROR(__xludf.DUMMYFUNCTION("""COMPUTED_VALUE"""),0)</f>
        <v>0</v>
      </c>
      <c r="M246" s="32"/>
      <c r="N246" s="31">
        <f ca="1">IFERROR(__xludf.DUMMYFUNCTION("""COMPUTED_VALUE"""),0)</f>
        <v>0</v>
      </c>
      <c r="O246" s="32">
        <f ca="1">IFERROR(__xludf.DUMMYFUNCTION("""COMPUTED_VALUE"""),0)</f>
        <v>0</v>
      </c>
      <c r="P246" s="32"/>
      <c r="Q246" s="32">
        <f ca="1">IFERROR(__xludf.DUMMYFUNCTION("""COMPUTED_VALUE"""),0)</f>
        <v>0</v>
      </c>
      <c r="R246" s="32"/>
      <c r="S246" s="31">
        <f ca="1">IFERROR(__xludf.DUMMYFUNCTION("""COMPUTED_VALUE"""),0)</f>
        <v>0</v>
      </c>
      <c r="T246" s="32">
        <f ca="1">IFERROR(__xludf.DUMMYFUNCTION("""COMPUTED_VALUE"""),0)</f>
        <v>0</v>
      </c>
      <c r="U246" s="32"/>
      <c r="V246" s="32">
        <f ca="1">IFERROR(__xludf.DUMMYFUNCTION("""COMPUTED_VALUE"""),0)</f>
        <v>0</v>
      </c>
      <c r="W246" s="32"/>
      <c r="X246" s="32">
        <f ca="1">IFERROR(__xludf.DUMMYFUNCTION("""COMPUTED_VALUE"""),0)</f>
        <v>0</v>
      </c>
      <c r="Y246" s="32"/>
      <c r="Z246" s="2"/>
      <c r="AA246" s="2"/>
      <c r="AB246" s="2"/>
      <c r="AC246" s="2"/>
      <c r="AD246" s="2"/>
      <c r="AE246" s="2"/>
    </row>
    <row r="247" spans="1:31" ht="12.75" x14ac:dyDescent="0.2">
      <c r="A247" s="28">
        <f ca="1">IFERROR(__xludf.DUMMYFUNCTION("""COMPUTED_VALUE"""),8)</f>
        <v>8</v>
      </c>
      <c r="B247" s="29" t="str">
        <f ca="1">IFERROR(__xludf.DUMMYFUNCTION("""COMPUTED_VALUE"""),"LMG Gia Hân")</f>
        <v>LMG Gia Hân</v>
      </c>
      <c r="C247" s="33" t="str">
        <f ca="1">IFERROR(__xludf.DUMMYFUNCTION("""COMPUTED_VALUE"""),"MN")</f>
        <v>MN</v>
      </c>
      <c r="D247" s="30" t="str">
        <f ca="1">IFERROR(__xludf.DUMMYFUNCTION("""COMPUTED_VALUE"""),"Tp. Thủ Đức")</f>
        <v>Tp. Thủ Đức</v>
      </c>
      <c r="E247" s="31">
        <f ca="1">IFERROR(__xludf.DUMMYFUNCTION("""COMPUTED_VALUE"""),5)</f>
        <v>5</v>
      </c>
      <c r="F247" s="32">
        <f ca="1">IFERROR(__xludf.DUMMYFUNCTION("""COMPUTED_VALUE"""),5)</f>
        <v>5</v>
      </c>
      <c r="G247" s="32"/>
      <c r="H247" s="32">
        <f ca="1">IFERROR(__xludf.DUMMYFUNCTION("""COMPUTED_VALUE"""),5)</f>
        <v>5</v>
      </c>
      <c r="I247" s="32"/>
      <c r="J247" s="32">
        <f ca="1">IFERROR(__xludf.DUMMYFUNCTION("""COMPUTED_VALUE"""),5)</f>
        <v>5</v>
      </c>
      <c r="K247" s="32"/>
      <c r="L247" s="32">
        <f ca="1">IFERROR(__xludf.DUMMYFUNCTION("""COMPUTED_VALUE"""),0)</f>
        <v>0</v>
      </c>
      <c r="M247" s="32"/>
      <c r="N247" s="31">
        <f ca="1">IFERROR(__xludf.DUMMYFUNCTION("""COMPUTED_VALUE"""),0)</f>
        <v>0</v>
      </c>
      <c r="O247" s="32">
        <f ca="1">IFERROR(__xludf.DUMMYFUNCTION("""COMPUTED_VALUE"""),0)</f>
        <v>0</v>
      </c>
      <c r="P247" s="32"/>
      <c r="Q247" s="32">
        <f ca="1">IFERROR(__xludf.DUMMYFUNCTION("""COMPUTED_VALUE"""),0)</f>
        <v>0</v>
      </c>
      <c r="R247" s="32"/>
      <c r="S247" s="31">
        <f ca="1">IFERROR(__xludf.DUMMYFUNCTION("""COMPUTED_VALUE"""),0)</f>
        <v>0</v>
      </c>
      <c r="T247" s="32">
        <f ca="1">IFERROR(__xludf.DUMMYFUNCTION("""COMPUTED_VALUE"""),0)</f>
        <v>0</v>
      </c>
      <c r="U247" s="32"/>
      <c r="V247" s="32">
        <f ca="1">IFERROR(__xludf.DUMMYFUNCTION("""COMPUTED_VALUE"""),0)</f>
        <v>0</v>
      </c>
      <c r="W247" s="32"/>
      <c r="X247" s="32">
        <f ca="1">IFERROR(__xludf.DUMMYFUNCTION("""COMPUTED_VALUE"""),0)</f>
        <v>0</v>
      </c>
      <c r="Y247" s="32"/>
      <c r="Z247" s="2"/>
      <c r="AA247" s="2"/>
      <c r="AB247" s="2"/>
      <c r="AC247" s="2"/>
      <c r="AD247" s="2"/>
      <c r="AE247" s="2"/>
    </row>
    <row r="248" spans="1:31" ht="12.75" x14ac:dyDescent="0.2">
      <c r="A248" s="28">
        <f ca="1">IFERROR(__xludf.DUMMYFUNCTION("""COMPUTED_VALUE"""),9)</f>
        <v>9</v>
      </c>
      <c r="B248" s="29" t="str">
        <f ca="1">IFERROR(__xludf.DUMMYFUNCTION("""COMPUTED_VALUE"""),"LMG Gấu Con")</f>
        <v>LMG Gấu Con</v>
      </c>
      <c r="C248" s="33" t="str">
        <f ca="1">IFERROR(__xludf.DUMMYFUNCTION("""COMPUTED_VALUE"""),"MN")</f>
        <v>MN</v>
      </c>
      <c r="D248" s="30" t="str">
        <f ca="1">IFERROR(__xludf.DUMMYFUNCTION("""COMPUTED_VALUE"""),"Tp. Thủ Đức")</f>
        <v>Tp. Thủ Đức</v>
      </c>
      <c r="E248" s="31">
        <f ca="1">IFERROR(__xludf.DUMMYFUNCTION("""COMPUTED_VALUE"""),6)</f>
        <v>6</v>
      </c>
      <c r="F248" s="32">
        <f ca="1">IFERROR(__xludf.DUMMYFUNCTION("""COMPUTED_VALUE"""),6)</f>
        <v>6</v>
      </c>
      <c r="G248" s="32"/>
      <c r="H248" s="32">
        <f ca="1">IFERROR(__xludf.DUMMYFUNCTION("""COMPUTED_VALUE"""),6)</f>
        <v>6</v>
      </c>
      <c r="I248" s="32"/>
      <c r="J248" s="32">
        <f ca="1">IFERROR(__xludf.DUMMYFUNCTION("""COMPUTED_VALUE"""),6)</f>
        <v>6</v>
      </c>
      <c r="K248" s="32"/>
      <c r="L248" s="32"/>
      <c r="M248" s="32"/>
      <c r="N248" s="31">
        <f ca="1">IFERROR(__xludf.DUMMYFUNCTION("""COMPUTED_VALUE"""),0)</f>
        <v>0</v>
      </c>
      <c r="O248" s="32">
        <f ca="1">IFERROR(__xludf.DUMMYFUNCTION("""COMPUTED_VALUE"""),0)</f>
        <v>0</v>
      </c>
      <c r="P248" s="32"/>
      <c r="Q248" s="32">
        <f ca="1">IFERROR(__xludf.DUMMYFUNCTION("""COMPUTED_VALUE"""),0)</f>
        <v>0</v>
      </c>
      <c r="R248" s="32"/>
      <c r="S248" s="31">
        <f ca="1">IFERROR(__xludf.DUMMYFUNCTION("""COMPUTED_VALUE"""),0)</f>
        <v>0</v>
      </c>
      <c r="T248" s="32">
        <f ca="1">IFERROR(__xludf.DUMMYFUNCTION("""COMPUTED_VALUE"""),0)</f>
        <v>0</v>
      </c>
      <c r="U248" s="32"/>
      <c r="V248" s="32">
        <f ca="1">IFERROR(__xludf.DUMMYFUNCTION("""COMPUTED_VALUE"""),0)</f>
        <v>0</v>
      </c>
      <c r="W248" s="32"/>
      <c r="X248" s="32">
        <f ca="1">IFERROR(__xludf.DUMMYFUNCTION("""COMPUTED_VALUE"""),0)</f>
        <v>0</v>
      </c>
      <c r="Y248" s="32"/>
      <c r="Z248" s="2"/>
      <c r="AA248" s="2"/>
      <c r="AB248" s="2"/>
      <c r="AC248" s="2"/>
      <c r="AD248" s="2"/>
      <c r="AE248" s="2"/>
    </row>
    <row r="249" spans="1:31" ht="12.75" x14ac:dyDescent="0.2">
      <c r="A249" s="28">
        <f ca="1">IFERROR(__xludf.DUMMYFUNCTION("""COMPUTED_VALUE"""),10)</f>
        <v>10</v>
      </c>
      <c r="B249" s="29" t="str">
        <f ca="1">IFERROR(__xludf.DUMMYFUNCTION("""COMPUTED_VALUE"""),"NT Chú Ta Tu Nhỏ")</f>
        <v>NT Chú Ta Tu Nhỏ</v>
      </c>
      <c r="C249" s="33" t="str">
        <f ca="1">IFERROR(__xludf.DUMMYFUNCTION("""COMPUTED_VALUE"""),"MN")</f>
        <v>MN</v>
      </c>
      <c r="D249" s="30" t="str">
        <f ca="1">IFERROR(__xludf.DUMMYFUNCTION("""COMPUTED_VALUE"""),"Tp. Thủ Đức")</f>
        <v>Tp. Thủ Đức</v>
      </c>
      <c r="E249" s="31">
        <f ca="1">IFERROR(__xludf.DUMMYFUNCTION("""COMPUTED_VALUE"""),6)</f>
        <v>6</v>
      </c>
      <c r="F249" s="32">
        <f ca="1">IFERROR(__xludf.DUMMYFUNCTION("""COMPUTED_VALUE"""),6)</f>
        <v>6</v>
      </c>
      <c r="G249" s="32"/>
      <c r="H249" s="32">
        <f ca="1">IFERROR(__xludf.DUMMYFUNCTION("""COMPUTED_VALUE"""),6)</f>
        <v>6</v>
      </c>
      <c r="I249" s="32"/>
      <c r="J249" s="32">
        <f ca="1">IFERROR(__xludf.DUMMYFUNCTION("""COMPUTED_VALUE"""),6)</f>
        <v>6</v>
      </c>
      <c r="K249" s="32"/>
      <c r="L249" s="32">
        <f ca="1">IFERROR(__xludf.DUMMYFUNCTION("""COMPUTED_VALUE"""),0)</f>
        <v>0</v>
      </c>
      <c r="M249" s="32"/>
      <c r="N249" s="31">
        <f ca="1">IFERROR(__xludf.DUMMYFUNCTION("""COMPUTED_VALUE"""),0)</f>
        <v>0</v>
      </c>
      <c r="O249" s="32">
        <f ca="1">IFERROR(__xludf.DUMMYFUNCTION("""COMPUTED_VALUE"""),0)</f>
        <v>0</v>
      </c>
      <c r="P249" s="32"/>
      <c r="Q249" s="32">
        <f ca="1">IFERROR(__xludf.DUMMYFUNCTION("""COMPUTED_VALUE"""),0)</f>
        <v>0</v>
      </c>
      <c r="R249" s="32"/>
      <c r="S249" s="31">
        <f ca="1">IFERROR(__xludf.DUMMYFUNCTION("""COMPUTED_VALUE"""),0)</f>
        <v>0</v>
      </c>
      <c r="T249" s="32">
        <f ca="1">IFERROR(__xludf.DUMMYFUNCTION("""COMPUTED_VALUE"""),0)</f>
        <v>0</v>
      </c>
      <c r="U249" s="32"/>
      <c r="V249" s="32">
        <f ca="1">IFERROR(__xludf.DUMMYFUNCTION("""COMPUTED_VALUE"""),0)</f>
        <v>0</v>
      </c>
      <c r="W249" s="32"/>
      <c r="X249" s="32">
        <f ca="1">IFERROR(__xludf.DUMMYFUNCTION("""COMPUTED_VALUE"""),0)</f>
        <v>0</v>
      </c>
      <c r="Y249" s="32"/>
      <c r="Z249" s="2"/>
      <c r="AA249" s="2"/>
      <c r="AB249" s="2"/>
      <c r="AC249" s="2"/>
      <c r="AD249" s="2"/>
      <c r="AE249" s="2"/>
    </row>
    <row r="250" spans="1:31" ht="12.75" x14ac:dyDescent="0.2">
      <c r="A250" s="28">
        <f ca="1">IFERROR(__xludf.DUMMYFUNCTION("""COMPUTED_VALUE"""),11)</f>
        <v>11</v>
      </c>
      <c r="B250" s="29" t="str">
        <f ca="1">IFERROR(__xludf.DUMMYFUNCTION("""COMPUTED_VALUE"""),"LMG Sen Hồng")</f>
        <v>LMG Sen Hồng</v>
      </c>
      <c r="C250" s="33" t="str">
        <f ca="1">IFERROR(__xludf.DUMMYFUNCTION("""COMPUTED_VALUE"""),"MN")</f>
        <v>MN</v>
      </c>
      <c r="D250" s="30" t="str">
        <f ca="1">IFERROR(__xludf.DUMMYFUNCTION("""COMPUTED_VALUE"""),"Tp. Thủ Đức")</f>
        <v>Tp. Thủ Đức</v>
      </c>
      <c r="E250" s="31">
        <f ca="1">IFERROR(__xludf.DUMMYFUNCTION("""COMPUTED_VALUE"""),3)</f>
        <v>3</v>
      </c>
      <c r="F250" s="32">
        <f ca="1">IFERROR(__xludf.DUMMYFUNCTION("""COMPUTED_VALUE"""),3)</f>
        <v>3</v>
      </c>
      <c r="G250" s="32"/>
      <c r="H250" s="32">
        <f ca="1">IFERROR(__xludf.DUMMYFUNCTION("""COMPUTED_VALUE"""),3)</f>
        <v>3</v>
      </c>
      <c r="I250" s="32"/>
      <c r="J250" s="32">
        <f ca="1">IFERROR(__xludf.DUMMYFUNCTION("""COMPUTED_VALUE"""),3)</f>
        <v>3</v>
      </c>
      <c r="K250" s="32"/>
      <c r="L250" s="32">
        <f ca="1">IFERROR(__xludf.DUMMYFUNCTION("""COMPUTED_VALUE"""),1)</f>
        <v>1</v>
      </c>
      <c r="M250" s="32"/>
      <c r="N250" s="31">
        <f ca="1">IFERROR(__xludf.DUMMYFUNCTION("""COMPUTED_VALUE"""),0)</f>
        <v>0</v>
      </c>
      <c r="O250" s="32">
        <f ca="1">IFERROR(__xludf.DUMMYFUNCTION("""COMPUTED_VALUE"""),0)</f>
        <v>0</v>
      </c>
      <c r="P250" s="32"/>
      <c r="Q250" s="32">
        <f ca="1">IFERROR(__xludf.DUMMYFUNCTION("""COMPUTED_VALUE"""),0)</f>
        <v>0</v>
      </c>
      <c r="R250" s="32"/>
      <c r="S250" s="31">
        <f ca="1">IFERROR(__xludf.DUMMYFUNCTION("""COMPUTED_VALUE"""),0)</f>
        <v>0</v>
      </c>
      <c r="T250" s="32">
        <f ca="1">IFERROR(__xludf.DUMMYFUNCTION("""COMPUTED_VALUE"""),0)</f>
        <v>0</v>
      </c>
      <c r="U250" s="32"/>
      <c r="V250" s="32">
        <f ca="1">IFERROR(__xludf.DUMMYFUNCTION("""COMPUTED_VALUE"""),0)</f>
        <v>0</v>
      </c>
      <c r="W250" s="32"/>
      <c r="X250" s="32">
        <f ca="1">IFERROR(__xludf.DUMMYFUNCTION("""COMPUTED_VALUE"""),0)</f>
        <v>0</v>
      </c>
      <c r="Y250" s="32"/>
      <c r="Z250" s="2"/>
      <c r="AA250" s="2"/>
      <c r="AB250" s="2"/>
      <c r="AC250" s="2"/>
      <c r="AD250" s="2"/>
      <c r="AE250" s="2"/>
    </row>
    <row r="251" spans="1:31" ht="12.75" x14ac:dyDescent="0.2">
      <c r="A251" s="28">
        <f ca="1">IFERROR(__xludf.DUMMYFUNCTION("""COMPUTED_VALUE"""),12)</f>
        <v>12</v>
      </c>
      <c r="B251" s="29" t="str">
        <f ca="1">IFERROR(__xludf.DUMMYFUNCTION("""COMPUTED_VALUE"""),"LMG Búp Măng Non")</f>
        <v>LMG Búp Măng Non</v>
      </c>
      <c r="C251" s="33" t="str">
        <f ca="1">IFERROR(__xludf.DUMMYFUNCTION("""COMPUTED_VALUE"""),"MN")</f>
        <v>MN</v>
      </c>
      <c r="D251" s="30" t="str">
        <f ca="1">IFERROR(__xludf.DUMMYFUNCTION("""COMPUTED_VALUE"""),"Tp. Thủ Đức")</f>
        <v>Tp. Thủ Đức</v>
      </c>
      <c r="E251" s="31">
        <f ca="1">IFERROR(__xludf.DUMMYFUNCTION("""COMPUTED_VALUE"""),7)</f>
        <v>7</v>
      </c>
      <c r="F251" s="32">
        <f ca="1">IFERROR(__xludf.DUMMYFUNCTION("""COMPUTED_VALUE"""),7)</f>
        <v>7</v>
      </c>
      <c r="G251" s="32"/>
      <c r="H251" s="32">
        <f ca="1">IFERROR(__xludf.DUMMYFUNCTION("""COMPUTED_VALUE"""),7)</f>
        <v>7</v>
      </c>
      <c r="I251" s="32"/>
      <c r="J251" s="32">
        <f ca="1">IFERROR(__xludf.DUMMYFUNCTION("""COMPUTED_VALUE"""),7)</f>
        <v>7</v>
      </c>
      <c r="K251" s="32"/>
      <c r="L251" s="32">
        <f ca="1">IFERROR(__xludf.DUMMYFUNCTION("""COMPUTED_VALUE"""),1)</f>
        <v>1</v>
      </c>
      <c r="M251" s="32"/>
      <c r="N251" s="31">
        <f ca="1">IFERROR(__xludf.DUMMYFUNCTION("""COMPUTED_VALUE"""),0)</f>
        <v>0</v>
      </c>
      <c r="O251" s="32">
        <f ca="1">IFERROR(__xludf.DUMMYFUNCTION("""COMPUTED_VALUE"""),0)</f>
        <v>0</v>
      </c>
      <c r="P251" s="32"/>
      <c r="Q251" s="32">
        <f ca="1">IFERROR(__xludf.DUMMYFUNCTION("""COMPUTED_VALUE"""),0)</f>
        <v>0</v>
      </c>
      <c r="R251" s="32"/>
      <c r="S251" s="31">
        <f ca="1">IFERROR(__xludf.DUMMYFUNCTION("""COMPUTED_VALUE"""),0)</f>
        <v>0</v>
      </c>
      <c r="T251" s="32">
        <f ca="1">IFERROR(__xludf.DUMMYFUNCTION("""COMPUTED_VALUE"""),0)</f>
        <v>0</v>
      </c>
      <c r="U251" s="32"/>
      <c r="V251" s="32">
        <f ca="1">IFERROR(__xludf.DUMMYFUNCTION("""COMPUTED_VALUE"""),0)</f>
        <v>0</v>
      </c>
      <c r="W251" s="32"/>
      <c r="X251" s="32">
        <f ca="1">IFERROR(__xludf.DUMMYFUNCTION("""COMPUTED_VALUE"""),0)</f>
        <v>0</v>
      </c>
      <c r="Y251" s="32"/>
      <c r="Z251" s="2"/>
      <c r="AA251" s="2"/>
      <c r="AB251" s="2"/>
      <c r="AC251" s="2"/>
      <c r="AD251" s="2"/>
      <c r="AE251" s="2"/>
    </row>
    <row r="252" spans="1:31" ht="12.75" x14ac:dyDescent="0.2">
      <c r="A252" s="28">
        <f ca="1">IFERROR(__xludf.DUMMYFUNCTION("""COMPUTED_VALUE"""),13)</f>
        <v>13</v>
      </c>
      <c r="B252" s="29" t="str">
        <f ca="1">IFERROR(__xludf.DUMMYFUNCTION("""COMPUTED_VALUE"""),"LMG Họa Mi")</f>
        <v>LMG Họa Mi</v>
      </c>
      <c r="C252" s="33" t="str">
        <f ca="1">IFERROR(__xludf.DUMMYFUNCTION("""COMPUTED_VALUE"""),"MN")</f>
        <v>MN</v>
      </c>
      <c r="D252" s="30" t="str">
        <f ca="1">IFERROR(__xludf.DUMMYFUNCTION("""COMPUTED_VALUE"""),"Tp. Thủ Đức")</f>
        <v>Tp. Thủ Đức</v>
      </c>
      <c r="E252" s="31">
        <f ca="1">IFERROR(__xludf.DUMMYFUNCTION("""COMPUTED_VALUE"""),5)</f>
        <v>5</v>
      </c>
      <c r="F252" s="32">
        <f ca="1">IFERROR(__xludf.DUMMYFUNCTION("""COMPUTED_VALUE"""),5)</f>
        <v>5</v>
      </c>
      <c r="G252" s="32"/>
      <c r="H252" s="32">
        <f ca="1">IFERROR(__xludf.DUMMYFUNCTION("""COMPUTED_VALUE"""),5)</f>
        <v>5</v>
      </c>
      <c r="I252" s="32"/>
      <c r="J252" s="32">
        <f ca="1">IFERROR(__xludf.DUMMYFUNCTION("""COMPUTED_VALUE"""),5)</f>
        <v>5</v>
      </c>
      <c r="K252" s="32"/>
      <c r="L252" s="32">
        <f ca="1">IFERROR(__xludf.DUMMYFUNCTION("""COMPUTED_VALUE"""),3)</f>
        <v>3</v>
      </c>
      <c r="M252" s="32"/>
      <c r="N252" s="31">
        <f ca="1">IFERROR(__xludf.DUMMYFUNCTION("""COMPUTED_VALUE"""),0)</f>
        <v>0</v>
      </c>
      <c r="O252" s="32">
        <f ca="1">IFERROR(__xludf.DUMMYFUNCTION("""COMPUTED_VALUE"""),0)</f>
        <v>0</v>
      </c>
      <c r="P252" s="32"/>
      <c r="Q252" s="32">
        <f ca="1">IFERROR(__xludf.DUMMYFUNCTION("""COMPUTED_VALUE"""),0)</f>
        <v>0</v>
      </c>
      <c r="R252" s="32"/>
      <c r="S252" s="31">
        <f ca="1">IFERROR(__xludf.DUMMYFUNCTION("""COMPUTED_VALUE"""),0)</f>
        <v>0</v>
      </c>
      <c r="T252" s="32">
        <f ca="1">IFERROR(__xludf.DUMMYFUNCTION("""COMPUTED_VALUE"""),0)</f>
        <v>0</v>
      </c>
      <c r="U252" s="32"/>
      <c r="V252" s="32">
        <f ca="1">IFERROR(__xludf.DUMMYFUNCTION("""COMPUTED_VALUE"""),0)</f>
        <v>0</v>
      </c>
      <c r="W252" s="32"/>
      <c r="X252" s="32">
        <f ca="1">IFERROR(__xludf.DUMMYFUNCTION("""COMPUTED_VALUE"""),0)</f>
        <v>0</v>
      </c>
      <c r="Y252" s="32"/>
      <c r="Z252" s="2"/>
      <c r="AA252" s="2"/>
      <c r="AB252" s="2"/>
      <c r="AC252" s="2"/>
      <c r="AD252" s="2"/>
      <c r="AE252" s="2"/>
    </row>
    <row r="253" spans="1:31" ht="12.75" x14ac:dyDescent="0.2">
      <c r="A253" s="28">
        <f ca="1">IFERROR(__xludf.DUMMYFUNCTION("""COMPUTED_VALUE"""),14)</f>
        <v>14</v>
      </c>
      <c r="B253" s="29" t="str">
        <f ca="1">IFERROR(__xludf.DUMMYFUNCTION("""COMPUTED_VALUE"""),"LMG Ánh Bình Minh")</f>
        <v>LMG Ánh Bình Minh</v>
      </c>
      <c r="C253" s="33" t="str">
        <f ca="1">IFERROR(__xludf.DUMMYFUNCTION("""COMPUTED_VALUE"""),"MN")</f>
        <v>MN</v>
      </c>
      <c r="D253" s="30" t="str">
        <f ca="1">IFERROR(__xludf.DUMMYFUNCTION("""COMPUTED_VALUE"""),"Tp. Thủ Đức")</f>
        <v>Tp. Thủ Đức</v>
      </c>
      <c r="E253" s="31">
        <f ca="1">IFERROR(__xludf.DUMMYFUNCTION("""COMPUTED_VALUE"""),12)</f>
        <v>12</v>
      </c>
      <c r="F253" s="32">
        <f ca="1">IFERROR(__xludf.DUMMYFUNCTION("""COMPUTED_VALUE"""),12)</f>
        <v>12</v>
      </c>
      <c r="G253" s="32"/>
      <c r="H253" s="32">
        <f ca="1">IFERROR(__xludf.DUMMYFUNCTION("""COMPUTED_VALUE"""),12)</f>
        <v>12</v>
      </c>
      <c r="I253" s="32"/>
      <c r="J253" s="32">
        <f ca="1">IFERROR(__xludf.DUMMYFUNCTION("""COMPUTED_VALUE"""),12)</f>
        <v>12</v>
      </c>
      <c r="K253" s="32"/>
      <c r="L253" s="32">
        <f ca="1">IFERROR(__xludf.DUMMYFUNCTION("""COMPUTED_VALUE"""),2)</f>
        <v>2</v>
      </c>
      <c r="M253" s="32"/>
      <c r="N253" s="31">
        <f ca="1">IFERROR(__xludf.DUMMYFUNCTION("""COMPUTED_VALUE"""),0)</f>
        <v>0</v>
      </c>
      <c r="O253" s="32">
        <f ca="1">IFERROR(__xludf.DUMMYFUNCTION("""COMPUTED_VALUE"""),0)</f>
        <v>0</v>
      </c>
      <c r="P253" s="32"/>
      <c r="Q253" s="32">
        <f ca="1">IFERROR(__xludf.DUMMYFUNCTION("""COMPUTED_VALUE"""),0)</f>
        <v>0</v>
      </c>
      <c r="R253" s="32"/>
      <c r="S253" s="31">
        <f ca="1">IFERROR(__xludf.DUMMYFUNCTION("""COMPUTED_VALUE"""),0)</f>
        <v>0</v>
      </c>
      <c r="T253" s="32">
        <f ca="1">IFERROR(__xludf.DUMMYFUNCTION("""COMPUTED_VALUE"""),0)</f>
        <v>0</v>
      </c>
      <c r="U253" s="32"/>
      <c r="V253" s="32">
        <f ca="1">IFERROR(__xludf.DUMMYFUNCTION("""COMPUTED_VALUE"""),0)</f>
        <v>0</v>
      </c>
      <c r="W253" s="32"/>
      <c r="X253" s="32">
        <f ca="1">IFERROR(__xludf.DUMMYFUNCTION("""COMPUTED_VALUE"""),0)</f>
        <v>0</v>
      </c>
      <c r="Y253" s="32"/>
      <c r="Z253" s="2"/>
      <c r="AA253" s="2"/>
      <c r="AB253" s="2"/>
      <c r="AC253" s="2"/>
      <c r="AD253" s="2"/>
      <c r="AE253" s="2"/>
    </row>
    <row r="254" spans="1:31" ht="12.75" x14ac:dyDescent="0.2">
      <c r="A254" s="28">
        <f ca="1">IFERROR(__xludf.DUMMYFUNCTION("""COMPUTED_VALUE"""),15)</f>
        <v>15</v>
      </c>
      <c r="B254" s="29" t="str">
        <f ca="1">IFERROR(__xludf.DUMMYFUNCTION("""COMPUTED_VALUE"""),"LMG Thanh Thảo")</f>
        <v>LMG Thanh Thảo</v>
      </c>
      <c r="C254" s="33" t="str">
        <f ca="1">IFERROR(__xludf.DUMMYFUNCTION("""COMPUTED_VALUE"""),"MN")</f>
        <v>MN</v>
      </c>
      <c r="D254" s="30" t="str">
        <f ca="1">IFERROR(__xludf.DUMMYFUNCTION("""COMPUTED_VALUE"""),"Tp. Thủ Đức")</f>
        <v>Tp. Thủ Đức</v>
      </c>
      <c r="E254" s="31">
        <f ca="1">IFERROR(__xludf.DUMMYFUNCTION("""COMPUTED_VALUE"""),4)</f>
        <v>4</v>
      </c>
      <c r="F254" s="32">
        <f ca="1">IFERROR(__xludf.DUMMYFUNCTION("""COMPUTED_VALUE"""),4)</f>
        <v>4</v>
      </c>
      <c r="G254" s="32"/>
      <c r="H254" s="32">
        <f ca="1">IFERROR(__xludf.DUMMYFUNCTION("""COMPUTED_VALUE"""),4)</f>
        <v>4</v>
      </c>
      <c r="I254" s="32"/>
      <c r="J254" s="32">
        <f ca="1">IFERROR(__xludf.DUMMYFUNCTION("""COMPUTED_VALUE"""),4)</f>
        <v>4</v>
      </c>
      <c r="K254" s="32"/>
      <c r="L254" s="32">
        <f ca="1">IFERROR(__xludf.DUMMYFUNCTION("""COMPUTED_VALUE"""),3)</f>
        <v>3</v>
      </c>
      <c r="M254" s="32"/>
      <c r="N254" s="31">
        <f ca="1">IFERROR(__xludf.DUMMYFUNCTION("""COMPUTED_VALUE"""),0)</f>
        <v>0</v>
      </c>
      <c r="O254" s="32">
        <f ca="1">IFERROR(__xludf.DUMMYFUNCTION("""COMPUTED_VALUE"""),0)</f>
        <v>0</v>
      </c>
      <c r="P254" s="32"/>
      <c r="Q254" s="32">
        <f ca="1">IFERROR(__xludf.DUMMYFUNCTION("""COMPUTED_VALUE"""),0)</f>
        <v>0</v>
      </c>
      <c r="R254" s="32"/>
      <c r="S254" s="31">
        <f ca="1">IFERROR(__xludf.DUMMYFUNCTION("""COMPUTED_VALUE"""),0)</f>
        <v>0</v>
      </c>
      <c r="T254" s="32">
        <f ca="1">IFERROR(__xludf.DUMMYFUNCTION("""COMPUTED_VALUE"""),0)</f>
        <v>0</v>
      </c>
      <c r="U254" s="32"/>
      <c r="V254" s="32">
        <f ca="1">IFERROR(__xludf.DUMMYFUNCTION("""COMPUTED_VALUE"""),0)</f>
        <v>0</v>
      </c>
      <c r="W254" s="32"/>
      <c r="X254" s="32">
        <f ca="1">IFERROR(__xludf.DUMMYFUNCTION("""COMPUTED_VALUE"""),0)</f>
        <v>0</v>
      </c>
      <c r="Y254" s="32"/>
      <c r="Z254" s="2"/>
      <c r="AA254" s="2"/>
      <c r="AB254" s="2"/>
      <c r="AC254" s="2"/>
      <c r="AD254" s="2"/>
      <c r="AE254" s="2"/>
    </row>
    <row r="255" spans="1:31" ht="12.75" x14ac:dyDescent="0.2">
      <c r="A255" s="28">
        <f ca="1">IFERROR(__xludf.DUMMYFUNCTION("""COMPUTED_VALUE"""),16)</f>
        <v>16</v>
      </c>
      <c r="B255" s="29" t="str">
        <f ca="1">IFERROR(__xludf.DUMMYFUNCTION("""COMPUTED_VALUE"""),"LMG Nắng Mai")</f>
        <v>LMG Nắng Mai</v>
      </c>
      <c r="C255" s="33" t="str">
        <f ca="1">IFERROR(__xludf.DUMMYFUNCTION("""COMPUTED_VALUE"""),"MN")</f>
        <v>MN</v>
      </c>
      <c r="D255" s="30" t="str">
        <f ca="1">IFERROR(__xludf.DUMMYFUNCTION("""COMPUTED_VALUE"""),"Tp. Thủ Đức")</f>
        <v>Tp. Thủ Đức</v>
      </c>
      <c r="E255" s="31">
        <f ca="1">IFERROR(__xludf.DUMMYFUNCTION("""COMPUTED_VALUE"""),6)</f>
        <v>6</v>
      </c>
      <c r="F255" s="32">
        <f ca="1">IFERROR(__xludf.DUMMYFUNCTION("""COMPUTED_VALUE"""),6)</f>
        <v>6</v>
      </c>
      <c r="G255" s="32"/>
      <c r="H255" s="32">
        <f ca="1">IFERROR(__xludf.DUMMYFUNCTION("""COMPUTED_VALUE"""),6)</f>
        <v>6</v>
      </c>
      <c r="I255" s="32"/>
      <c r="J255" s="32">
        <f ca="1">IFERROR(__xludf.DUMMYFUNCTION("""COMPUTED_VALUE"""),6)</f>
        <v>6</v>
      </c>
      <c r="K255" s="32"/>
      <c r="L255" s="32">
        <f ca="1">IFERROR(__xludf.DUMMYFUNCTION("""COMPUTED_VALUE"""),0)</f>
        <v>0</v>
      </c>
      <c r="M255" s="32"/>
      <c r="N255" s="31">
        <f ca="1">IFERROR(__xludf.DUMMYFUNCTION("""COMPUTED_VALUE"""),0)</f>
        <v>0</v>
      </c>
      <c r="O255" s="32">
        <f ca="1">IFERROR(__xludf.DUMMYFUNCTION("""COMPUTED_VALUE"""),0)</f>
        <v>0</v>
      </c>
      <c r="P255" s="32"/>
      <c r="Q255" s="32">
        <f ca="1">IFERROR(__xludf.DUMMYFUNCTION("""COMPUTED_VALUE"""),0)</f>
        <v>0</v>
      </c>
      <c r="R255" s="32"/>
      <c r="S255" s="31">
        <f ca="1">IFERROR(__xludf.DUMMYFUNCTION("""COMPUTED_VALUE"""),0)</f>
        <v>0</v>
      </c>
      <c r="T255" s="32">
        <f ca="1">IFERROR(__xludf.DUMMYFUNCTION("""COMPUTED_VALUE"""),0)</f>
        <v>0</v>
      </c>
      <c r="U255" s="32"/>
      <c r="V255" s="32">
        <f ca="1">IFERROR(__xludf.DUMMYFUNCTION("""COMPUTED_VALUE"""),0)</f>
        <v>0</v>
      </c>
      <c r="W255" s="32"/>
      <c r="X255" s="32">
        <f ca="1">IFERROR(__xludf.DUMMYFUNCTION("""COMPUTED_VALUE"""),0)</f>
        <v>0</v>
      </c>
      <c r="Y255" s="32"/>
      <c r="Z255" s="2"/>
      <c r="AA255" s="2"/>
      <c r="AB255" s="2"/>
      <c r="AC255" s="2"/>
      <c r="AD255" s="2"/>
      <c r="AE255" s="2"/>
    </row>
    <row r="256" spans="1:31" ht="12.75" x14ac:dyDescent="0.2">
      <c r="A256" s="28">
        <f ca="1">IFERROR(__xludf.DUMMYFUNCTION("""COMPUTED_VALUE"""),17)</f>
        <v>17</v>
      </c>
      <c r="B256" s="29" t="str">
        <f ca="1">IFERROR(__xludf.DUMMYFUNCTION("""COMPUTED_VALUE"""),"LMG Đô Rê Mi")</f>
        <v>LMG Đô Rê Mi</v>
      </c>
      <c r="C256" s="33" t="str">
        <f ca="1">IFERROR(__xludf.DUMMYFUNCTION("""COMPUTED_VALUE"""),"MN")</f>
        <v>MN</v>
      </c>
      <c r="D256" s="30" t="str">
        <f ca="1">IFERROR(__xludf.DUMMYFUNCTION("""COMPUTED_VALUE"""),"Tp. Thủ Đức")</f>
        <v>Tp. Thủ Đức</v>
      </c>
      <c r="E256" s="31">
        <f ca="1">IFERROR(__xludf.DUMMYFUNCTION("""COMPUTED_VALUE"""),4)</f>
        <v>4</v>
      </c>
      <c r="F256" s="32">
        <f ca="1">IFERROR(__xludf.DUMMYFUNCTION("""COMPUTED_VALUE"""),4)</f>
        <v>4</v>
      </c>
      <c r="G256" s="32"/>
      <c r="H256" s="32">
        <f ca="1">IFERROR(__xludf.DUMMYFUNCTION("""COMPUTED_VALUE"""),4)</f>
        <v>4</v>
      </c>
      <c r="I256" s="32"/>
      <c r="J256" s="32">
        <f ca="1">IFERROR(__xludf.DUMMYFUNCTION("""COMPUTED_VALUE"""),3)</f>
        <v>3</v>
      </c>
      <c r="K256" s="32"/>
      <c r="L256" s="32">
        <f ca="1">IFERROR(__xludf.DUMMYFUNCTION("""COMPUTED_VALUE"""),2)</f>
        <v>2</v>
      </c>
      <c r="M256" s="32"/>
      <c r="N256" s="31">
        <f ca="1">IFERROR(__xludf.DUMMYFUNCTION("""COMPUTED_VALUE"""),0)</f>
        <v>0</v>
      </c>
      <c r="O256" s="32">
        <f ca="1">IFERROR(__xludf.DUMMYFUNCTION("""COMPUTED_VALUE"""),0)</f>
        <v>0</v>
      </c>
      <c r="P256" s="32"/>
      <c r="Q256" s="32">
        <f ca="1">IFERROR(__xludf.DUMMYFUNCTION("""COMPUTED_VALUE"""),0)</f>
        <v>0</v>
      </c>
      <c r="R256" s="32"/>
      <c r="S256" s="31">
        <f ca="1">IFERROR(__xludf.DUMMYFUNCTION("""COMPUTED_VALUE"""),0)</f>
        <v>0</v>
      </c>
      <c r="T256" s="32">
        <f ca="1">IFERROR(__xludf.DUMMYFUNCTION("""COMPUTED_VALUE"""),0)</f>
        <v>0</v>
      </c>
      <c r="U256" s="32"/>
      <c r="V256" s="32">
        <f ca="1">IFERROR(__xludf.DUMMYFUNCTION("""COMPUTED_VALUE"""),0)</f>
        <v>0</v>
      </c>
      <c r="W256" s="32"/>
      <c r="X256" s="32">
        <f ca="1">IFERROR(__xludf.DUMMYFUNCTION("""COMPUTED_VALUE"""),0)</f>
        <v>0</v>
      </c>
      <c r="Y256" s="32"/>
      <c r="Z256" s="2"/>
      <c r="AA256" s="2"/>
      <c r="AB256" s="2"/>
      <c r="AC256" s="2"/>
      <c r="AD256" s="2"/>
      <c r="AE256" s="2"/>
    </row>
    <row r="257" spans="1:31" ht="12.75" x14ac:dyDescent="0.2">
      <c r="A257" s="28">
        <f ca="1">IFERROR(__xludf.DUMMYFUNCTION("""COMPUTED_VALUE"""),18)</f>
        <v>18</v>
      </c>
      <c r="B257" s="29" t="str">
        <f ca="1">IFERROR(__xludf.DUMMYFUNCTION("""COMPUTED_VALUE"""),"LMG Gấu MiSa")</f>
        <v>LMG Gấu MiSa</v>
      </c>
      <c r="C257" s="33" t="str">
        <f ca="1">IFERROR(__xludf.DUMMYFUNCTION("""COMPUTED_VALUE"""),"MN")</f>
        <v>MN</v>
      </c>
      <c r="D257" s="30" t="str">
        <f ca="1">IFERROR(__xludf.DUMMYFUNCTION("""COMPUTED_VALUE"""),"Tp. Thủ Đức")</f>
        <v>Tp. Thủ Đức</v>
      </c>
      <c r="E257" s="31">
        <f ca="1">IFERROR(__xludf.DUMMYFUNCTION("""COMPUTED_VALUE"""),4)</f>
        <v>4</v>
      </c>
      <c r="F257" s="32">
        <f ca="1">IFERROR(__xludf.DUMMYFUNCTION("""COMPUTED_VALUE"""),4)</f>
        <v>4</v>
      </c>
      <c r="G257" s="32"/>
      <c r="H257" s="32">
        <f ca="1">IFERROR(__xludf.DUMMYFUNCTION("""COMPUTED_VALUE"""),4)</f>
        <v>4</v>
      </c>
      <c r="I257" s="32"/>
      <c r="J257" s="32">
        <f ca="1">IFERROR(__xludf.DUMMYFUNCTION("""COMPUTED_VALUE"""),4)</f>
        <v>4</v>
      </c>
      <c r="K257" s="32"/>
      <c r="L257" s="32">
        <f ca="1">IFERROR(__xludf.DUMMYFUNCTION("""COMPUTED_VALUE"""),0)</f>
        <v>0</v>
      </c>
      <c r="M257" s="32"/>
      <c r="N257" s="31">
        <f ca="1">IFERROR(__xludf.DUMMYFUNCTION("""COMPUTED_VALUE"""),0)</f>
        <v>0</v>
      </c>
      <c r="O257" s="32">
        <f ca="1">IFERROR(__xludf.DUMMYFUNCTION("""COMPUTED_VALUE"""),0)</f>
        <v>0</v>
      </c>
      <c r="P257" s="32"/>
      <c r="Q257" s="32">
        <f ca="1">IFERROR(__xludf.DUMMYFUNCTION("""COMPUTED_VALUE"""),0)</f>
        <v>0</v>
      </c>
      <c r="R257" s="32"/>
      <c r="S257" s="31">
        <f ca="1">IFERROR(__xludf.DUMMYFUNCTION("""COMPUTED_VALUE"""),0)</f>
        <v>0</v>
      </c>
      <c r="T257" s="32">
        <f ca="1">IFERROR(__xludf.DUMMYFUNCTION("""COMPUTED_VALUE"""),0)</f>
        <v>0</v>
      </c>
      <c r="U257" s="32"/>
      <c r="V257" s="32">
        <f ca="1">IFERROR(__xludf.DUMMYFUNCTION("""COMPUTED_VALUE"""),0)</f>
        <v>0</v>
      </c>
      <c r="W257" s="32"/>
      <c r="X257" s="32">
        <f ca="1">IFERROR(__xludf.DUMMYFUNCTION("""COMPUTED_VALUE"""),0)</f>
        <v>0</v>
      </c>
      <c r="Y257" s="32"/>
      <c r="Z257" s="2"/>
      <c r="AA257" s="2"/>
      <c r="AB257" s="2"/>
      <c r="AC257" s="2"/>
      <c r="AD257" s="2"/>
      <c r="AE257" s="2"/>
    </row>
    <row r="258" spans="1:31" ht="12.75" x14ac:dyDescent="0.2">
      <c r="A258" s="28">
        <f ca="1">IFERROR(__xludf.DUMMYFUNCTION("""COMPUTED_VALUE"""),19)</f>
        <v>19</v>
      </c>
      <c r="B258" s="29" t="str">
        <f ca="1">IFERROR(__xludf.DUMMYFUNCTION("""COMPUTED_VALUE"""),"LMG Tâm Đức")</f>
        <v>LMG Tâm Đức</v>
      </c>
      <c r="C258" s="33" t="str">
        <f ca="1">IFERROR(__xludf.DUMMYFUNCTION("""COMPUTED_VALUE"""),"MN")</f>
        <v>MN</v>
      </c>
      <c r="D258" s="30" t="str">
        <f ca="1">IFERROR(__xludf.DUMMYFUNCTION("""COMPUTED_VALUE"""),"Tp. Thủ Đức")</f>
        <v>Tp. Thủ Đức</v>
      </c>
      <c r="E258" s="31">
        <f ca="1">IFERROR(__xludf.DUMMYFUNCTION("""COMPUTED_VALUE"""),10)</f>
        <v>10</v>
      </c>
      <c r="F258" s="32">
        <f ca="1">IFERROR(__xludf.DUMMYFUNCTION("""COMPUTED_VALUE"""),10)</f>
        <v>10</v>
      </c>
      <c r="G258" s="32"/>
      <c r="H258" s="32">
        <f ca="1">IFERROR(__xludf.DUMMYFUNCTION("""COMPUTED_VALUE"""),10)</f>
        <v>10</v>
      </c>
      <c r="I258" s="32"/>
      <c r="J258" s="32">
        <f ca="1">IFERROR(__xludf.DUMMYFUNCTION("""COMPUTED_VALUE"""),10)</f>
        <v>10</v>
      </c>
      <c r="K258" s="32"/>
      <c r="L258" s="32">
        <f ca="1">IFERROR(__xludf.DUMMYFUNCTION("""COMPUTED_VALUE"""),0)</f>
        <v>0</v>
      </c>
      <c r="M258" s="32"/>
      <c r="N258" s="31">
        <f ca="1">IFERROR(__xludf.DUMMYFUNCTION("""COMPUTED_VALUE"""),0)</f>
        <v>0</v>
      </c>
      <c r="O258" s="32">
        <f ca="1">IFERROR(__xludf.DUMMYFUNCTION("""COMPUTED_VALUE"""),0)</f>
        <v>0</v>
      </c>
      <c r="P258" s="32"/>
      <c r="Q258" s="32">
        <f ca="1">IFERROR(__xludf.DUMMYFUNCTION("""COMPUTED_VALUE"""),0)</f>
        <v>0</v>
      </c>
      <c r="R258" s="32"/>
      <c r="S258" s="31">
        <f ca="1">IFERROR(__xludf.DUMMYFUNCTION("""COMPUTED_VALUE"""),0)</f>
        <v>0</v>
      </c>
      <c r="T258" s="32">
        <f ca="1">IFERROR(__xludf.DUMMYFUNCTION("""COMPUTED_VALUE"""),0)</f>
        <v>0</v>
      </c>
      <c r="U258" s="32"/>
      <c r="V258" s="32">
        <f ca="1">IFERROR(__xludf.DUMMYFUNCTION("""COMPUTED_VALUE"""),0)</f>
        <v>0</v>
      </c>
      <c r="W258" s="32"/>
      <c r="X258" s="32">
        <f ca="1">IFERROR(__xludf.DUMMYFUNCTION("""COMPUTED_VALUE"""),0)</f>
        <v>0</v>
      </c>
      <c r="Y258" s="32"/>
      <c r="Z258" s="2"/>
      <c r="AA258" s="2"/>
      <c r="AB258" s="2"/>
      <c r="AC258" s="2"/>
      <c r="AD258" s="2"/>
      <c r="AE258" s="2"/>
    </row>
    <row r="259" spans="1:31" ht="12.75" x14ac:dyDescent="0.2">
      <c r="A259" s="28">
        <f ca="1">IFERROR(__xludf.DUMMYFUNCTION("""COMPUTED_VALUE"""),20)</f>
        <v>20</v>
      </c>
      <c r="B259" s="29" t="str">
        <f ca="1">IFERROR(__xludf.DUMMYFUNCTION("""COMPUTED_VALUE"""),"LMG Thăng Long")</f>
        <v>LMG Thăng Long</v>
      </c>
      <c r="C259" s="33" t="str">
        <f ca="1">IFERROR(__xludf.DUMMYFUNCTION("""COMPUTED_VALUE"""),"MN")</f>
        <v>MN</v>
      </c>
      <c r="D259" s="30" t="str">
        <f ca="1">IFERROR(__xludf.DUMMYFUNCTION("""COMPUTED_VALUE"""),"Tp. Thủ Đức")</f>
        <v>Tp. Thủ Đức</v>
      </c>
      <c r="E259" s="31">
        <f ca="1">IFERROR(__xludf.DUMMYFUNCTION("""COMPUTED_VALUE"""),16)</f>
        <v>16</v>
      </c>
      <c r="F259" s="32">
        <f ca="1">IFERROR(__xludf.DUMMYFUNCTION("""COMPUTED_VALUE"""),16)</f>
        <v>16</v>
      </c>
      <c r="G259" s="32"/>
      <c r="H259" s="32">
        <f ca="1">IFERROR(__xludf.DUMMYFUNCTION("""COMPUTED_VALUE"""),16)</f>
        <v>16</v>
      </c>
      <c r="I259" s="32"/>
      <c r="J259" s="32">
        <f ca="1">IFERROR(__xludf.DUMMYFUNCTION("""COMPUTED_VALUE"""),15)</f>
        <v>15</v>
      </c>
      <c r="K259" s="32"/>
      <c r="L259" s="32">
        <f ca="1">IFERROR(__xludf.DUMMYFUNCTION("""COMPUTED_VALUE"""),0)</f>
        <v>0</v>
      </c>
      <c r="M259" s="32"/>
      <c r="N259" s="31">
        <f ca="1">IFERROR(__xludf.DUMMYFUNCTION("""COMPUTED_VALUE"""),0)</f>
        <v>0</v>
      </c>
      <c r="O259" s="32">
        <f ca="1">IFERROR(__xludf.DUMMYFUNCTION("""COMPUTED_VALUE"""),0)</f>
        <v>0</v>
      </c>
      <c r="P259" s="32"/>
      <c r="Q259" s="32">
        <f ca="1">IFERROR(__xludf.DUMMYFUNCTION("""COMPUTED_VALUE"""),0)</f>
        <v>0</v>
      </c>
      <c r="R259" s="32"/>
      <c r="S259" s="31">
        <f ca="1">IFERROR(__xludf.DUMMYFUNCTION("""COMPUTED_VALUE"""),0)</f>
        <v>0</v>
      </c>
      <c r="T259" s="32">
        <f ca="1">IFERROR(__xludf.DUMMYFUNCTION("""COMPUTED_VALUE"""),0)</f>
        <v>0</v>
      </c>
      <c r="U259" s="32"/>
      <c r="V259" s="32">
        <f ca="1">IFERROR(__xludf.DUMMYFUNCTION("""COMPUTED_VALUE"""),0)</f>
        <v>0</v>
      </c>
      <c r="W259" s="32"/>
      <c r="X259" s="32">
        <f ca="1">IFERROR(__xludf.DUMMYFUNCTION("""COMPUTED_VALUE"""),0)</f>
        <v>0</v>
      </c>
      <c r="Y259" s="32"/>
      <c r="Z259" s="2"/>
      <c r="AA259" s="2"/>
      <c r="AB259" s="2"/>
      <c r="AC259" s="2"/>
      <c r="AD259" s="2"/>
      <c r="AE259" s="2"/>
    </row>
    <row r="260" spans="1:31" ht="12.75" x14ac:dyDescent="0.2">
      <c r="A260" s="28">
        <f ca="1">IFERROR(__xludf.DUMMYFUNCTION("""COMPUTED_VALUE"""),21)</f>
        <v>21</v>
      </c>
      <c r="B260" s="29" t="str">
        <f ca="1">IFERROR(__xludf.DUMMYFUNCTION("""COMPUTED_VALUE"""),"LMG Yêu Trẻ")</f>
        <v>LMG Yêu Trẻ</v>
      </c>
      <c r="C260" s="33" t="str">
        <f ca="1">IFERROR(__xludf.DUMMYFUNCTION("""COMPUTED_VALUE"""),"MN")</f>
        <v>MN</v>
      </c>
      <c r="D260" s="30" t="str">
        <f ca="1">IFERROR(__xludf.DUMMYFUNCTION("""COMPUTED_VALUE"""),"Tp. Thủ Đức")</f>
        <v>Tp. Thủ Đức</v>
      </c>
      <c r="E260" s="31">
        <f ca="1">IFERROR(__xludf.DUMMYFUNCTION("""COMPUTED_VALUE"""),9)</f>
        <v>9</v>
      </c>
      <c r="F260" s="32">
        <f ca="1">IFERROR(__xludf.DUMMYFUNCTION("""COMPUTED_VALUE"""),9)</f>
        <v>9</v>
      </c>
      <c r="G260" s="32"/>
      <c r="H260" s="32">
        <f ca="1">IFERROR(__xludf.DUMMYFUNCTION("""COMPUTED_VALUE"""),9)</f>
        <v>9</v>
      </c>
      <c r="I260" s="32"/>
      <c r="J260" s="32">
        <f ca="1">IFERROR(__xludf.DUMMYFUNCTION("""COMPUTED_VALUE"""),9)</f>
        <v>9</v>
      </c>
      <c r="K260" s="32"/>
      <c r="L260" s="32">
        <f ca="1">IFERROR(__xludf.DUMMYFUNCTION("""COMPUTED_VALUE"""),1)</f>
        <v>1</v>
      </c>
      <c r="M260" s="32"/>
      <c r="N260" s="31">
        <f ca="1">IFERROR(__xludf.DUMMYFUNCTION("""COMPUTED_VALUE"""),0)</f>
        <v>0</v>
      </c>
      <c r="O260" s="32">
        <f ca="1">IFERROR(__xludf.DUMMYFUNCTION("""COMPUTED_VALUE"""),0)</f>
        <v>0</v>
      </c>
      <c r="P260" s="32"/>
      <c r="Q260" s="32">
        <f ca="1">IFERROR(__xludf.DUMMYFUNCTION("""COMPUTED_VALUE"""),0)</f>
        <v>0</v>
      </c>
      <c r="R260" s="32"/>
      <c r="S260" s="31">
        <f ca="1">IFERROR(__xludf.DUMMYFUNCTION("""COMPUTED_VALUE"""),0)</f>
        <v>0</v>
      </c>
      <c r="T260" s="32">
        <f ca="1">IFERROR(__xludf.DUMMYFUNCTION("""COMPUTED_VALUE"""),0)</f>
        <v>0</v>
      </c>
      <c r="U260" s="32"/>
      <c r="V260" s="32">
        <f ca="1">IFERROR(__xludf.DUMMYFUNCTION("""COMPUTED_VALUE"""),0)</f>
        <v>0</v>
      </c>
      <c r="W260" s="32"/>
      <c r="X260" s="32">
        <f ca="1">IFERROR(__xludf.DUMMYFUNCTION("""COMPUTED_VALUE"""),0)</f>
        <v>0</v>
      </c>
      <c r="Y260" s="32"/>
      <c r="Z260" s="2"/>
      <c r="AA260" s="2"/>
      <c r="AB260" s="2"/>
      <c r="AC260" s="2"/>
      <c r="AD260" s="2"/>
      <c r="AE260" s="2"/>
    </row>
    <row r="261" spans="1:31" ht="12.75" x14ac:dyDescent="0.2">
      <c r="A261" s="28">
        <f ca="1">IFERROR(__xludf.DUMMYFUNCTION("""COMPUTED_VALUE"""),22)</f>
        <v>22</v>
      </c>
      <c r="B261" s="29" t="str">
        <f ca="1">IFERROR(__xludf.DUMMYFUNCTION("""COMPUTED_VALUE"""),"LMG Nam Long")</f>
        <v>LMG Nam Long</v>
      </c>
      <c r="C261" s="33" t="str">
        <f ca="1">IFERROR(__xludf.DUMMYFUNCTION("""COMPUTED_VALUE"""),"MN")</f>
        <v>MN</v>
      </c>
      <c r="D261" s="30" t="str">
        <f ca="1">IFERROR(__xludf.DUMMYFUNCTION("""COMPUTED_VALUE"""),"Tp. Thủ Đức")</f>
        <v>Tp. Thủ Đức</v>
      </c>
      <c r="E261" s="31">
        <f ca="1">IFERROR(__xludf.DUMMYFUNCTION("""COMPUTED_VALUE"""),8)</f>
        <v>8</v>
      </c>
      <c r="F261" s="32">
        <f ca="1">IFERROR(__xludf.DUMMYFUNCTION("""COMPUTED_VALUE"""),8)</f>
        <v>8</v>
      </c>
      <c r="G261" s="32"/>
      <c r="H261" s="32">
        <f ca="1">IFERROR(__xludf.DUMMYFUNCTION("""COMPUTED_VALUE"""),8)</f>
        <v>8</v>
      </c>
      <c r="I261" s="32"/>
      <c r="J261" s="32">
        <f ca="1">IFERROR(__xludf.DUMMYFUNCTION("""COMPUTED_VALUE"""),8)</f>
        <v>8</v>
      </c>
      <c r="K261" s="32"/>
      <c r="L261" s="32">
        <f ca="1">IFERROR(__xludf.DUMMYFUNCTION("""COMPUTED_VALUE"""),0)</f>
        <v>0</v>
      </c>
      <c r="M261" s="32"/>
      <c r="N261" s="31">
        <f ca="1">IFERROR(__xludf.DUMMYFUNCTION("""COMPUTED_VALUE"""),0)</f>
        <v>0</v>
      </c>
      <c r="O261" s="32">
        <f ca="1">IFERROR(__xludf.DUMMYFUNCTION("""COMPUTED_VALUE"""),0)</f>
        <v>0</v>
      </c>
      <c r="P261" s="32"/>
      <c r="Q261" s="32">
        <f ca="1">IFERROR(__xludf.DUMMYFUNCTION("""COMPUTED_VALUE"""),0)</f>
        <v>0</v>
      </c>
      <c r="R261" s="32"/>
      <c r="S261" s="31">
        <f ca="1">IFERROR(__xludf.DUMMYFUNCTION("""COMPUTED_VALUE"""),0)</f>
        <v>0</v>
      </c>
      <c r="T261" s="32">
        <f ca="1">IFERROR(__xludf.DUMMYFUNCTION("""COMPUTED_VALUE"""),0)</f>
        <v>0</v>
      </c>
      <c r="U261" s="32"/>
      <c r="V261" s="32">
        <f ca="1">IFERROR(__xludf.DUMMYFUNCTION("""COMPUTED_VALUE"""),0)</f>
        <v>0</v>
      </c>
      <c r="W261" s="32"/>
      <c r="X261" s="32">
        <f ca="1">IFERROR(__xludf.DUMMYFUNCTION("""COMPUTED_VALUE"""),0)</f>
        <v>0</v>
      </c>
      <c r="Y261" s="32"/>
      <c r="Z261" s="2"/>
      <c r="AA261" s="2"/>
      <c r="AB261" s="2"/>
      <c r="AC261" s="2"/>
      <c r="AD261" s="2"/>
      <c r="AE261" s="2"/>
    </row>
    <row r="262" spans="1:31" ht="12.75" x14ac:dyDescent="0.2">
      <c r="A262" s="28">
        <f ca="1">IFERROR(__xludf.DUMMYFUNCTION("""COMPUTED_VALUE"""),23)</f>
        <v>23</v>
      </c>
      <c r="B262" s="29" t="str">
        <f ca="1">IFERROR(__xludf.DUMMYFUNCTION("""COMPUTED_VALUE"""),"LMG Tài Năng Á Châu")</f>
        <v>LMG Tài Năng Á Châu</v>
      </c>
      <c r="C262" s="33" t="str">
        <f ca="1">IFERROR(__xludf.DUMMYFUNCTION("""COMPUTED_VALUE"""),"MN")</f>
        <v>MN</v>
      </c>
      <c r="D262" s="30" t="str">
        <f ca="1">IFERROR(__xludf.DUMMYFUNCTION("""COMPUTED_VALUE"""),"Tp. Thủ Đức")</f>
        <v>Tp. Thủ Đức</v>
      </c>
      <c r="E262" s="31">
        <f ca="1">IFERROR(__xludf.DUMMYFUNCTION("""COMPUTED_VALUE"""),9)</f>
        <v>9</v>
      </c>
      <c r="F262" s="32">
        <f ca="1">IFERROR(__xludf.DUMMYFUNCTION("""COMPUTED_VALUE"""),9)</f>
        <v>9</v>
      </c>
      <c r="G262" s="32"/>
      <c r="H262" s="32">
        <f ca="1">IFERROR(__xludf.DUMMYFUNCTION("""COMPUTED_VALUE"""),9)</f>
        <v>9</v>
      </c>
      <c r="I262" s="32"/>
      <c r="J262" s="32">
        <f ca="1">IFERROR(__xludf.DUMMYFUNCTION("""COMPUTED_VALUE"""),9)</f>
        <v>9</v>
      </c>
      <c r="K262" s="32"/>
      <c r="L262" s="32">
        <f ca="1">IFERROR(__xludf.DUMMYFUNCTION("""COMPUTED_VALUE"""),4)</f>
        <v>4</v>
      </c>
      <c r="M262" s="32"/>
      <c r="N262" s="31">
        <f ca="1">IFERROR(__xludf.DUMMYFUNCTION("""COMPUTED_VALUE"""),0)</f>
        <v>0</v>
      </c>
      <c r="O262" s="32">
        <f ca="1">IFERROR(__xludf.DUMMYFUNCTION("""COMPUTED_VALUE"""),0)</f>
        <v>0</v>
      </c>
      <c r="P262" s="32"/>
      <c r="Q262" s="32">
        <f ca="1">IFERROR(__xludf.DUMMYFUNCTION("""COMPUTED_VALUE"""),0)</f>
        <v>0</v>
      </c>
      <c r="R262" s="32"/>
      <c r="S262" s="31">
        <f ca="1">IFERROR(__xludf.DUMMYFUNCTION("""COMPUTED_VALUE"""),0)</f>
        <v>0</v>
      </c>
      <c r="T262" s="32">
        <f ca="1">IFERROR(__xludf.DUMMYFUNCTION("""COMPUTED_VALUE"""),0)</f>
        <v>0</v>
      </c>
      <c r="U262" s="32"/>
      <c r="V262" s="32">
        <f ca="1">IFERROR(__xludf.DUMMYFUNCTION("""COMPUTED_VALUE"""),0)</f>
        <v>0</v>
      </c>
      <c r="W262" s="32"/>
      <c r="X262" s="32">
        <f ca="1">IFERROR(__xludf.DUMMYFUNCTION("""COMPUTED_VALUE"""),0)</f>
        <v>0</v>
      </c>
      <c r="Y262" s="32"/>
      <c r="Z262" s="2"/>
      <c r="AA262" s="2"/>
      <c r="AB262" s="2"/>
      <c r="AC262" s="2"/>
      <c r="AD262" s="2"/>
      <c r="AE262" s="2"/>
    </row>
    <row r="263" spans="1:31" ht="12.75" x14ac:dyDescent="0.2">
      <c r="A263" s="28">
        <f ca="1">IFERROR(__xludf.DUMMYFUNCTION("""COMPUTED_VALUE"""),24)</f>
        <v>24</v>
      </c>
      <c r="B263" s="29" t="str">
        <f ca="1">IFERROR(__xludf.DUMMYFUNCTION("""COMPUTED_VALUE"""),"LMG Vườn Kiwi")</f>
        <v>LMG Vườn Kiwi</v>
      </c>
      <c r="C263" s="33" t="str">
        <f ca="1">IFERROR(__xludf.DUMMYFUNCTION("""COMPUTED_VALUE"""),"MN")</f>
        <v>MN</v>
      </c>
      <c r="D263" s="30" t="str">
        <f ca="1">IFERROR(__xludf.DUMMYFUNCTION("""COMPUTED_VALUE"""),"Tp. Thủ Đức")</f>
        <v>Tp. Thủ Đức</v>
      </c>
      <c r="E263" s="31">
        <f ca="1">IFERROR(__xludf.DUMMYFUNCTION("""COMPUTED_VALUE"""),7)</f>
        <v>7</v>
      </c>
      <c r="F263" s="32">
        <f ca="1">IFERROR(__xludf.DUMMYFUNCTION("""COMPUTED_VALUE"""),7)</f>
        <v>7</v>
      </c>
      <c r="G263" s="32"/>
      <c r="H263" s="32">
        <f ca="1">IFERROR(__xludf.DUMMYFUNCTION("""COMPUTED_VALUE"""),7)</f>
        <v>7</v>
      </c>
      <c r="I263" s="32"/>
      <c r="J263" s="32">
        <f ca="1">IFERROR(__xludf.DUMMYFUNCTION("""COMPUTED_VALUE"""),7)</f>
        <v>7</v>
      </c>
      <c r="K263" s="32"/>
      <c r="L263" s="32">
        <f ca="1">IFERROR(__xludf.DUMMYFUNCTION("""COMPUTED_VALUE"""),0)</f>
        <v>0</v>
      </c>
      <c r="M263" s="32"/>
      <c r="N263" s="31">
        <f ca="1">IFERROR(__xludf.DUMMYFUNCTION("""COMPUTED_VALUE"""),0)</f>
        <v>0</v>
      </c>
      <c r="O263" s="32">
        <f ca="1">IFERROR(__xludf.DUMMYFUNCTION("""COMPUTED_VALUE"""),0)</f>
        <v>0</v>
      </c>
      <c r="P263" s="32"/>
      <c r="Q263" s="32">
        <f ca="1">IFERROR(__xludf.DUMMYFUNCTION("""COMPUTED_VALUE"""),0)</f>
        <v>0</v>
      </c>
      <c r="R263" s="32"/>
      <c r="S263" s="31">
        <f ca="1">IFERROR(__xludf.DUMMYFUNCTION("""COMPUTED_VALUE"""),0)</f>
        <v>0</v>
      </c>
      <c r="T263" s="32">
        <f ca="1">IFERROR(__xludf.DUMMYFUNCTION("""COMPUTED_VALUE"""),0)</f>
        <v>0</v>
      </c>
      <c r="U263" s="32"/>
      <c r="V263" s="32">
        <f ca="1">IFERROR(__xludf.DUMMYFUNCTION("""COMPUTED_VALUE"""),0)</f>
        <v>0</v>
      </c>
      <c r="W263" s="32"/>
      <c r="X263" s="32">
        <f ca="1">IFERROR(__xludf.DUMMYFUNCTION("""COMPUTED_VALUE"""),0)</f>
        <v>0</v>
      </c>
      <c r="Y263" s="32"/>
      <c r="Z263" s="2"/>
      <c r="AA263" s="2"/>
      <c r="AB263" s="2"/>
      <c r="AC263" s="2"/>
      <c r="AD263" s="2"/>
      <c r="AE263" s="2"/>
    </row>
    <row r="264" spans="1:31" ht="12.75" x14ac:dyDescent="0.2">
      <c r="A264" s="28">
        <f ca="1">IFERROR(__xludf.DUMMYFUNCTION("""COMPUTED_VALUE"""),25)</f>
        <v>25</v>
      </c>
      <c r="B264" s="29" t="str">
        <f ca="1">IFERROR(__xludf.DUMMYFUNCTION("""COMPUTED_VALUE"""),"NT Con Cưng")</f>
        <v>NT Con Cưng</v>
      </c>
      <c r="C264" s="33" t="str">
        <f ca="1">IFERROR(__xludf.DUMMYFUNCTION("""COMPUTED_VALUE"""),"MN")</f>
        <v>MN</v>
      </c>
      <c r="D264" s="30" t="str">
        <f ca="1">IFERROR(__xludf.DUMMYFUNCTION("""COMPUTED_VALUE"""),"Tp. Thủ Đức")</f>
        <v>Tp. Thủ Đức</v>
      </c>
      <c r="E264" s="31">
        <f ca="1">IFERROR(__xludf.DUMMYFUNCTION("""COMPUTED_VALUE"""),10)</f>
        <v>10</v>
      </c>
      <c r="F264" s="32">
        <f ca="1">IFERROR(__xludf.DUMMYFUNCTION("""COMPUTED_VALUE"""),10)</f>
        <v>10</v>
      </c>
      <c r="G264" s="32"/>
      <c r="H264" s="32">
        <f ca="1">IFERROR(__xludf.DUMMYFUNCTION("""COMPUTED_VALUE"""),10)</f>
        <v>10</v>
      </c>
      <c r="I264" s="32"/>
      <c r="J264" s="32">
        <f ca="1">IFERROR(__xludf.DUMMYFUNCTION("""COMPUTED_VALUE"""),10)</f>
        <v>10</v>
      </c>
      <c r="K264" s="32"/>
      <c r="L264" s="32">
        <f ca="1">IFERROR(__xludf.DUMMYFUNCTION("""COMPUTED_VALUE"""),0)</f>
        <v>0</v>
      </c>
      <c r="M264" s="32"/>
      <c r="N264" s="31">
        <f ca="1">IFERROR(__xludf.DUMMYFUNCTION("""COMPUTED_VALUE"""),0)</f>
        <v>0</v>
      </c>
      <c r="O264" s="32">
        <f ca="1">IFERROR(__xludf.DUMMYFUNCTION("""COMPUTED_VALUE"""),0)</f>
        <v>0</v>
      </c>
      <c r="P264" s="32"/>
      <c r="Q264" s="32">
        <f ca="1">IFERROR(__xludf.DUMMYFUNCTION("""COMPUTED_VALUE"""),0)</f>
        <v>0</v>
      </c>
      <c r="R264" s="32"/>
      <c r="S264" s="31">
        <f ca="1">IFERROR(__xludf.DUMMYFUNCTION("""COMPUTED_VALUE"""),0)</f>
        <v>0</v>
      </c>
      <c r="T264" s="32">
        <f ca="1">IFERROR(__xludf.DUMMYFUNCTION("""COMPUTED_VALUE"""),0)</f>
        <v>0</v>
      </c>
      <c r="U264" s="32"/>
      <c r="V264" s="32">
        <f ca="1">IFERROR(__xludf.DUMMYFUNCTION("""COMPUTED_VALUE"""),0)</f>
        <v>0</v>
      </c>
      <c r="W264" s="32"/>
      <c r="X264" s="32">
        <f ca="1">IFERROR(__xludf.DUMMYFUNCTION("""COMPUTED_VALUE"""),0)</f>
        <v>0</v>
      </c>
      <c r="Y264" s="32"/>
      <c r="Z264" s="2"/>
      <c r="AA264" s="2"/>
      <c r="AB264" s="2"/>
      <c r="AC264" s="2"/>
      <c r="AD264" s="2"/>
      <c r="AE264" s="2"/>
    </row>
    <row r="265" spans="1:31" ht="12.75" x14ac:dyDescent="0.2">
      <c r="A265" s="28">
        <f ca="1">IFERROR(__xludf.DUMMYFUNCTION("""COMPUTED_VALUE"""),26)</f>
        <v>26</v>
      </c>
      <c r="B265" s="29" t="str">
        <f ca="1">IFERROR(__xludf.DUMMYFUNCTION("""COMPUTED_VALUE"""),"NT Bé Thông Minh")</f>
        <v>NT Bé Thông Minh</v>
      </c>
      <c r="C265" s="33" t="str">
        <f ca="1">IFERROR(__xludf.DUMMYFUNCTION("""COMPUTED_VALUE"""),"MN")</f>
        <v>MN</v>
      </c>
      <c r="D265" s="30" t="str">
        <f ca="1">IFERROR(__xludf.DUMMYFUNCTION("""COMPUTED_VALUE"""),"Tp. Thủ Đức")</f>
        <v>Tp. Thủ Đức</v>
      </c>
      <c r="E265" s="31">
        <f ca="1">IFERROR(__xludf.DUMMYFUNCTION("""COMPUTED_VALUE"""),8)</f>
        <v>8</v>
      </c>
      <c r="F265" s="32">
        <f ca="1">IFERROR(__xludf.DUMMYFUNCTION("""COMPUTED_VALUE"""),8)</f>
        <v>8</v>
      </c>
      <c r="G265" s="32"/>
      <c r="H265" s="32">
        <f ca="1">IFERROR(__xludf.DUMMYFUNCTION("""COMPUTED_VALUE"""),8)</f>
        <v>8</v>
      </c>
      <c r="I265" s="32"/>
      <c r="J265" s="32">
        <f ca="1">IFERROR(__xludf.DUMMYFUNCTION("""COMPUTED_VALUE"""),8)</f>
        <v>8</v>
      </c>
      <c r="K265" s="32"/>
      <c r="L265" s="32">
        <f ca="1">IFERROR(__xludf.DUMMYFUNCTION("""COMPUTED_VALUE"""),3)</f>
        <v>3</v>
      </c>
      <c r="M265" s="32"/>
      <c r="N265" s="31">
        <f ca="1">IFERROR(__xludf.DUMMYFUNCTION("""COMPUTED_VALUE"""),0)</f>
        <v>0</v>
      </c>
      <c r="O265" s="32">
        <f ca="1">IFERROR(__xludf.DUMMYFUNCTION("""COMPUTED_VALUE"""),0)</f>
        <v>0</v>
      </c>
      <c r="P265" s="32"/>
      <c r="Q265" s="32">
        <f ca="1">IFERROR(__xludf.DUMMYFUNCTION("""COMPUTED_VALUE"""),0)</f>
        <v>0</v>
      </c>
      <c r="R265" s="32"/>
      <c r="S265" s="31">
        <f ca="1">IFERROR(__xludf.DUMMYFUNCTION("""COMPUTED_VALUE"""),0)</f>
        <v>0</v>
      </c>
      <c r="T265" s="32">
        <f ca="1">IFERROR(__xludf.DUMMYFUNCTION("""COMPUTED_VALUE"""),0)</f>
        <v>0</v>
      </c>
      <c r="U265" s="32"/>
      <c r="V265" s="32">
        <f ca="1">IFERROR(__xludf.DUMMYFUNCTION("""COMPUTED_VALUE"""),0)</f>
        <v>0</v>
      </c>
      <c r="W265" s="32"/>
      <c r="X265" s="32">
        <f ca="1">IFERROR(__xludf.DUMMYFUNCTION("""COMPUTED_VALUE"""),0)</f>
        <v>0</v>
      </c>
      <c r="Y265" s="32"/>
      <c r="Z265" s="2"/>
      <c r="AA265" s="2"/>
      <c r="AB265" s="2"/>
      <c r="AC265" s="2"/>
      <c r="AD265" s="2"/>
      <c r="AE265" s="2"/>
    </row>
    <row r="266" spans="1:31" ht="12.75" x14ac:dyDescent="0.2">
      <c r="A266" s="28">
        <f ca="1">IFERROR(__xludf.DUMMYFUNCTION("""COMPUTED_VALUE"""),27)</f>
        <v>27</v>
      </c>
      <c r="B266" s="29" t="str">
        <f ca="1">IFERROR(__xludf.DUMMYFUNCTION("""COMPUTED_VALUE"""),"NT Hoàng Oanh")</f>
        <v>NT Hoàng Oanh</v>
      </c>
      <c r="C266" s="33" t="str">
        <f ca="1">IFERROR(__xludf.DUMMYFUNCTION("""COMPUTED_VALUE"""),"MN")</f>
        <v>MN</v>
      </c>
      <c r="D266" s="30" t="str">
        <f ca="1">IFERROR(__xludf.DUMMYFUNCTION("""COMPUTED_VALUE"""),"Tp. Thủ Đức")</f>
        <v>Tp. Thủ Đức</v>
      </c>
      <c r="E266" s="31">
        <f ca="1">IFERROR(__xludf.DUMMYFUNCTION("""COMPUTED_VALUE"""),8)</f>
        <v>8</v>
      </c>
      <c r="F266" s="32">
        <f ca="1">IFERROR(__xludf.DUMMYFUNCTION("""COMPUTED_VALUE"""),8)</f>
        <v>8</v>
      </c>
      <c r="G266" s="32"/>
      <c r="H266" s="32">
        <f ca="1">IFERROR(__xludf.DUMMYFUNCTION("""COMPUTED_VALUE"""),8)</f>
        <v>8</v>
      </c>
      <c r="I266" s="32"/>
      <c r="J266" s="32">
        <f ca="1">IFERROR(__xludf.DUMMYFUNCTION("""COMPUTED_VALUE"""),8)</f>
        <v>8</v>
      </c>
      <c r="K266" s="32"/>
      <c r="L266" s="32">
        <f ca="1">IFERROR(__xludf.DUMMYFUNCTION("""COMPUTED_VALUE"""),8)</f>
        <v>8</v>
      </c>
      <c r="M266" s="32"/>
      <c r="N266" s="31">
        <f ca="1">IFERROR(__xludf.DUMMYFUNCTION("""COMPUTED_VALUE"""),0)</f>
        <v>0</v>
      </c>
      <c r="O266" s="32">
        <f ca="1">IFERROR(__xludf.DUMMYFUNCTION("""COMPUTED_VALUE"""),0)</f>
        <v>0</v>
      </c>
      <c r="P266" s="32"/>
      <c r="Q266" s="32">
        <f ca="1">IFERROR(__xludf.DUMMYFUNCTION("""COMPUTED_VALUE"""),0)</f>
        <v>0</v>
      </c>
      <c r="R266" s="32"/>
      <c r="S266" s="31">
        <f ca="1">IFERROR(__xludf.DUMMYFUNCTION("""COMPUTED_VALUE"""),0)</f>
        <v>0</v>
      </c>
      <c r="T266" s="32">
        <f ca="1">IFERROR(__xludf.DUMMYFUNCTION("""COMPUTED_VALUE"""),0)</f>
        <v>0</v>
      </c>
      <c r="U266" s="32"/>
      <c r="V266" s="32">
        <f ca="1">IFERROR(__xludf.DUMMYFUNCTION("""COMPUTED_VALUE"""),0)</f>
        <v>0</v>
      </c>
      <c r="W266" s="32"/>
      <c r="X266" s="32">
        <f ca="1">IFERROR(__xludf.DUMMYFUNCTION("""COMPUTED_VALUE"""),0)</f>
        <v>0</v>
      </c>
      <c r="Y266" s="32"/>
      <c r="Z266" s="2"/>
      <c r="AA266" s="2"/>
      <c r="AB266" s="2"/>
      <c r="AC266" s="2"/>
      <c r="AD266" s="2"/>
      <c r="AE266" s="2"/>
    </row>
    <row r="267" spans="1:31" ht="12.75" x14ac:dyDescent="0.2">
      <c r="A267" s="28">
        <f ca="1">IFERROR(__xludf.DUMMYFUNCTION("""COMPUTED_VALUE"""),28)</f>
        <v>28</v>
      </c>
      <c r="B267" s="29" t="str">
        <f ca="1">IFERROR(__xludf.DUMMYFUNCTION("""COMPUTED_VALUE"""),"LMG Hạt Đậu Nhỏ")</f>
        <v>LMG Hạt Đậu Nhỏ</v>
      </c>
      <c r="C267" s="33" t="str">
        <f ca="1">IFERROR(__xludf.DUMMYFUNCTION("""COMPUTED_VALUE"""),"MN")</f>
        <v>MN</v>
      </c>
      <c r="D267" s="30" t="str">
        <f ca="1">IFERROR(__xludf.DUMMYFUNCTION("""COMPUTED_VALUE"""),"Tp. Thủ Đức")</f>
        <v>Tp. Thủ Đức</v>
      </c>
      <c r="E267" s="31">
        <f ca="1">IFERROR(__xludf.DUMMYFUNCTION("""COMPUTED_VALUE"""),12)</f>
        <v>12</v>
      </c>
      <c r="F267" s="32">
        <f ca="1">IFERROR(__xludf.DUMMYFUNCTION("""COMPUTED_VALUE"""),12)</f>
        <v>12</v>
      </c>
      <c r="G267" s="32"/>
      <c r="H267" s="32">
        <f ca="1">IFERROR(__xludf.DUMMYFUNCTION("""COMPUTED_VALUE"""),12)</f>
        <v>12</v>
      </c>
      <c r="I267" s="32"/>
      <c r="J267" s="32">
        <f ca="1">IFERROR(__xludf.DUMMYFUNCTION("""COMPUTED_VALUE"""),12)</f>
        <v>12</v>
      </c>
      <c r="K267" s="32"/>
      <c r="L267" s="32">
        <f ca="1">IFERROR(__xludf.DUMMYFUNCTION("""COMPUTED_VALUE"""),12)</f>
        <v>12</v>
      </c>
      <c r="M267" s="32"/>
      <c r="N267" s="31">
        <f ca="1">IFERROR(__xludf.DUMMYFUNCTION("""COMPUTED_VALUE"""),0)</f>
        <v>0</v>
      </c>
      <c r="O267" s="32">
        <f ca="1">IFERROR(__xludf.DUMMYFUNCTION("""COMPUTED_VALUE"""),0)</f>
        <v>0</v>
      </c>
      <c r="P267" s="32"/>
      <c r="Q267" s="32">
        <f ca="1">IFERROR(__xludf.DUMMYFUNCTION("""COMPUTED_VALUE"""),0)</f>
        <v>0</v>
      </c>
      <c r="R267" s="32"/>
      <c r="S267" s="31">
        <f ca="1">IFERROR(__xludf.DUMMYFUNCTION("""COMPUTED_VALUE"""),0)</f>
        <v>0</v>
      </c>
      <c r="T267" s="32">
        <f ca="1">IFERROR(__xludf.DUMMYFUNCTION("""COMPUTED_VALUE"""),0)</f>
        <v>0</v>
      </c>
      <c r="U267" s="32"/>
      <c r="V267" s="32">
        <f ca="1">IFERROR(__xludf.DUMMYFUNCTION("""COMPUTED_VALUE"""),0)</f>
        <v>0</v>
      </c>
      <c r="W267" s="32"/>
      <c r="X267" s="32">
        <f ca="1">IFERROR(__xludf.DUMMYFUNCTION("""COMPUTED_VALUE"""),0)</f>
        <v>0</v>
      </c>
      <c r="Y267" s="32"/>
      <c r="Z267" s="2"/>
      <c r="AA267" s="2"/>
      <c r="AB267" s="2"/>
      <c r="AC267" s="2"/>
      <c r="AD267" s="2"/>
      <c r="AE267" s="2"/>
    </row>
    <row r="268" spans="1:31" ht="12.75" x14ac:dyDescent="0.2">
      <c r="A268" s="28">
        <f ca="1">IFERROR(__xludf.DUMMYFUNCTION("""COMPUTED_VALUE"""),29)</f>
        <v>29</v>
      </c>
      <c r="B268" s="29" t="str">
        <f ca="1">IFERROR(__xludf.DUMMYFUNCTION("""COMPUTED_VALUE"""),"LMG Những Ngôi Sao Nhỏ")</f>
        <v>LMG Những Ngôi Sao Nhỏ</v>
      </c>
      <c r="C268" s="33" t="str">
        <f ca="1">IFERROR(__xludf.DUMMYFUNCTION("""COMPUTED_VALUE"""),"MN")</f>
        <v>MN</v>
      </c>
      <c r="D268" s="30" t="str">
        <f ca="1">IFERROR(__xludf.DUMMYFUNCTION("""COMPUTED_VALUE"""),"Tp. Thủ Đức")</f>
        <v>Tp. Thủ Đức</v>
      </c>
      <c r="E268" s="31">
        <f ca="1">IFERROR(__xludf.DUMMYFUNCTION("""COMPUTED_VALUE"""),11)</f>
        <v>11</v>
      </c>
      <c r="F268" s="32">
        <f ca="1">IFERROR(__xludf.DUMMYFUNCTION("""COMPUTED_VALUE"""),11)</f>
        <v>11</v>
      </c>
      <c r="G268" s="32"/>
      <c r="H268" s="32">
        <f ca="1">IFERROR(__xludf.DUMMYFUNCTION("""COMPUTED_VALUE"""),11)</f>
        <v>11</v>
      </c>
      <c r="I268" s="32"/>
      <c r="J268" s="32">
        <f ca="1">IFERROR(__xludf.DUMMYFUNCTION("""COMPUTED_VALUE"""),8)</f>
        <v>8</v>
      </c>
      <c r="K268" s="32"/>
      <c r="L268" s="32">
        <f ca="1">IFERROR(__xludf.DUMMYFUNCTION("""COMPUTED_VALUE"""),6)</f>
        <v>6</v>
      </c>
      <c r="M268" s="32"/>
      <c r="N268" s="31">
        <f ca="1">IFERROR(__xludf.DUMMYFUNCTION("""COMPUTED_VALUE"""),0)</f>
        <v>0</v>
      </c>
      <c r="O268" s="32">
        <f ca="1">IFERROR(__xludf.DUMMYFUNCTION("""COMPUTED_VALUE"""),0)</f>
        <v>0</v>
      </c>
      <c r="P268" s="32"/>
      <c r="Q268" s="32">
        <f ca="1">IFERROR(__xludf.DUMMYFUNCTION("""COMPUTED_VALUE"""),0)</f>
        <v>0</v>
      </c>
      <c r="R268" s="32"/>
      <c r="S268" s="31">
        <f ca="1">IFERROR(__xludf.DUMMYFUNCTION("""COMPUTED_VALUE"""),0)</f>
        <v>0</v>
      </c>
      <c r="T268" s="32">
        <f ca="1">IFERROR(__xludf.DUMMYFUNCTION("""COMPUTED_VALUE"""),0)</f>
        <v>0</v>
      </c>
      <c r="U268" s="32"/>
      <c r="V268" s="32">
        <f ca="1">IFERROR(__xludf.DUMMYFUNCTION("""COMPUTED_VALUE"""),0)</f>
        <v>0</v>
      </c>
      <c r="W268" s="32"/>
      <c r="X268" s="32">
        <f ca="1">IFERROR(__xludf.DUMMYFUNCTION("""COMPUTED_VALUE"""),0)</f>
        <v>0</v>
      </c>
      <c r="Y268" s="32"/>
      <c r="Z268" s="2"/>
      <c r="AA268" s="2"/>
      <c r="AB268" s="2"/>
      <c r="AC268" s="2"/>
      <c r="AD268" s="2"/>
      <c r="AE268" s="2"/>
    </row>
    <row r="269" spans="1:31" ht="12.75" x14ac:dyDescent="0.2">
      <c r="A269" s="28">
        <f ca="1">IFERROR(__xludf.DUMMYFUNCTION("""COMPUTED_VALUE"""),30)</f>
        <v>30</v>
      </c>
      <c r="B269" s="29" t="str">
        <f ca="1">IFERROR(__xludf.DUMMYFUNCTION("""COMPUTED_VALUE"""),"LMG Thuận Thiên")</f>
        <v>LMG Thuận Thiên</v>
      </c>
      <c r="C269" s="33" t="str">
        <f ca="1">IFERROR(__xludf.DUMMYFUNCTION("""COMPUTED_VALUE"""),"MN")</f>
        <v>MN</v>
      </c>
      <c r="D269" s="30" t="str">
        <f ca="1">IFERROR(__xludf.DUMMYFUNCTION("""COMPUTED_VALUE"""),"Tp. Thủ Đức")</f>
        <v>Tp. Thủ Đức</v>
      </c>
      <c r="E269" s="31">
        <f ca="1">IFERROR(__xludf.DUMMYFUNCTION("""COMPUTED_VALUE"""),9)</f>
        <v>9</v>
      </c>
      <c r="F269" s="32">
        <f ca="1">IFERROR(__xludf.DUMMYFUNCTION("""COMPUTED_VALUE"""),9)</f>
        <v>9</v>
      </c>
      <c r="G269" s="32"/>
      <c r="H269" s="32">
        <f ca="1">IFERROR(__xludf.DUMMYFUNCTION("""COMPUTED_VALUE"""),9)</f>
        <v>9</v>
      </c>
      <c r="I269" s="32"/>
      <c r="J269" s="32">
        <f ca="1">IFERROR(__xludf.DUMMYFUNCTION("""COMPUTED_VALUE"""),9)</f>
        <v>9</v>
      </c>
      <c r="K269" s="32"/>
      <c r="L269" s="32">
        <f ca="1">IFERROR(__xludf.DUMMYFUNCTION("""COMPUTED_VALUE"""),0)</f>
        <v>0</v>
      </c>
      <c r="M269" s="32"/>
      <c r="N269" s="31">
        <f ca="1">IFERROR(__xludf.DUMMYFUNCTION("""COMPUTED_VALUE"""),0)</f>
        <v>0</v>
      </c>
      <c r="O269" s="32">
        <f ca="1">IFERROR(__xludf.DUMMYFUNCTION("""COMPUTED_VALUE"""),0)</f>
        <v>0</v>
      </c>
      <c r="P269" s="32"/>
      <c r="Q269" s="32">
        <f ca="1">IFERROR(__xludf.DUMMYFUNCTION("""COMPUTED_VALUE"""),0)</f>
        <v>0</v>
      </c>
      <c r="R269" s="32"/>
      <c r="S269" s="31">
        <f ca="1">IFERROR(__xludf.DUMMYFUNCTION("""COMPUTED_VALUE"""),0)</f>
        <v>0</v>
      </c>
      <c r="T269" s="32">
        <f ca="1">IFERROR(__xludf.DUMMYFUNCTION("""COMPUTED_VALUE"""),0)</f>
        <v>0</v>
      </c>
      <c r="U269" s="32"/>
      <c r="V269" s="32">
        <f ca="1">IFERROR(__xludf.DUMMYFUNCTION("""COMPUTED_VALUE"""),0)</f>
        <v>0</v>
      </c>
      <c r="W269" s="32"/>
      <c r="X269" s="32">
        <f ca="1">IFERROR(__xludf.DUMMYFUNCTION("""COMPUTED_VALUE"""),0)</f>
        <v>0</v>
      </c>
      <c r="Y269" s="32"/>
      <c r="Z269" s="2"/>
      <c r="AA269" s="2"/>
      <c r="AB269" s="2"/>
      <c r="AC269" s="2"/>
      <c r="AD269" s="2"/>
      <c r="AE269" s="2"/>
    </row>
    <row r="270" spans="1:31" ht="12.75" x14ac:dyDescent="0.2">
      <c r="A270" s="28">
        <f ca="1">IFERROR(__xludf.DUMMYFUNCTION("""COMPUTED_VALUE"""),31)</f>
        <v>31</v>
      </c>
      <c r="B270" s="29" t="str">
        <f ca="1">IFERROR(__xludf.DUMMYFUNCTION("""COMPUTED_VALUE"""),"LMG Ngôi Nhà Hạnh Phúc")</f>
        <v>LMG Ngôi Nhà Hạnh Phúc</v>
      </c>
      <c r="C270" s="33" t="str">
        <f ca="1">IFERROR(__xludf.DUMMYFUNCTION("""COMPUTED_VALUE"""),"MN")</f>
        <v>MN</v>
      </c>
      <c r="D270" s="30" t="str">
        <f ca="1">IFERROR(__xludf.DUMMYFUNCTION("""COMPUTED_VALUE"""),"Tp. Thủ Đức")</f>
        <v>Tp. Thủ Đức</v>
      </c>
      <c r="E270" s="31">
        <f ca="1">IFERROR(__xludf.DUMMYFUNCTION("""COMPUTED_VALUE"""),6)</f>
        <v>6</v>
      </c>
      <c r="F270" s="32">
        <f ca="1">IFERROR(__xludf.DUMMYFUNCTION("""COMPUTED_VALUE"""),6)</f>
        <v>6</v>
      </c>
      <c r="G270" s="32"/>
      <c r="H270" s="32">
        <f ca="1">IFERROR(__xludf.DUMMYFUNCTION("""COMPUTED_VALUE"""),6)</f>
        <v>6</v>
      </c>
      <c r="I270" s="32"/>
      <c r="J270" s="32">
        <f ca="1">IFERROR(__xludf.DUMMYFUNCTION("""COMPUTED_VALUE"""),4)</f>
        <v>4</v>
      </c>
      <c r="K270" s="32"/>
      <c r="L270" s="32">
        <f ca="1">IFERROR(__xludf.DUMMYFUNCTION("""COMPUTED_VALUE"""),3)</f>
        <v>3</v>
      </c>
      <c r="M270" s="32"/>
      <c r="N270" s="31">
        <f ca="1">IFERROR(__xludf.DUMMYFUNCTION("""COMPUTED_VALUE"""),0)</f>
        <v>0</v>
      </c>
      <c r="O270" s="32">
        <f ca="1">IFERROR(__xludf.DUMMYFUNCTION("""COMPUTED_VALUE"""),0)</f>
        <v>0</v>
      </c>
      <c r="P270" s="32"/>
      <c r="Q270" s="32">
        <f ca="1">IFERROR(__xludf.DUMMYFUNCTION("""COMPUTED_VALUE"""),0)</f>
        <v>0</v>
      </c>
      <c r="R270" s="32"/>
      <c r="S270" s="31">
        <f ca="1">IFERROR(__xludf.DUMMYFUNCTION("""COMPUTED_VALUE"""),0)</f>
        <v>0</v>
      </c>
      <c r="T270" s="32">
        <f ca="1">IFERROR(__xludf.DUMMYFUNCTION("""COMPUTED_VALUE"""),0)</f>
        <v>0</v>
      </c>
      <c r="U270" s="32"/>
      <c r="V270" s="32">
        <f ca="1">IFERROR(__xludf.DUMMYFUNCTION("""COMPUTED_VALUE"""),0)</f>
        <v>0</v>
      </c>
      <c r="W270" s="32"/>
      <c r="X270" s="32">
        <f ca="1">IFERROR(__xludf.DUMMYFUNCTION("""COMPUTED_VALUE"""),0)</f>
        <v>0</v>
      </c>
      <c r="Y270" s="32"/>
      <c r="Z270" s="2"/>
      <c r="AA270" s="2"/>
      <c r="AB270" s="2"/>
      <c r="AC270" s="2"/>
      <c r="AD270" s="2"/>
      <c r="AE270" s="2"/>
    </row>
    <row r="271" spans="1:31" ht="12.75" x14ac:dyDescent="0.2">
      <c r="A271" s="28">
        <f ca="1">IFERROR(__xludf.DUMMYFUNCTION("""COMPUTED_VALUE"""),32)</f>
        <v>32</v>
      </c>
      <c r="B271" s="29" t="str">
        <f ca="1">IFERROR(__xludf.DUMMYFUNCTION("""COMPUTED_VALUE"""),"LMG Bé Cưng")</f>
        <v>LMG Bé Cưng</v>
      </c>
      <c r="C271" s="33" t="str">
        <f ca="1">IFERROR(__xludf.DUMMYFUNCTION("""COMPUTED_VALUE"""),"MN")</f>
        <v>MN</v>
      </c>
      <c r="D271" s="30" t="str">
        <f ca="1">IFERROR(__xludf.DUMMYFUNCTION("""COMPUTED_VALUE"""),"Tp. Thủ Đức")</f>
        <v>Tp. Thủ Đức</v>
      </c>
      <c r="E271" s="31">
        <f ca="1">IFERROR(__xludf.DUMMYFUNCTION("""COMPUTED_VALUE"""),6)</f>
        <v>6</v>
      </c>
      <c r="F271" s="32">
        <f ca="1">IFERROR(__xludf.DUMMYFUNCTION("""COMPUTED_VALUE"""),6)</f>
        <v>6</v>
      </c>
      <c r="G271" s="32"/>
      <c r="H271" s="32">
        <f ca="1">IFERROR(__xludf.DUMMYFUNCTION("""COMPUTED_VALUE"""),6)</f>
        <v>6</v>
      </c>
      <c r="I271" s="32"/>
      <c r="J271" s="32">
        <f ca="1">IFERROR(__xludf.DUMMYFUNCTION("""COMPUTED_VALUE"""),6)</f>
        <v>6</v>
      </c>
      <c r="K271" s="32"/>
      <c r="L271" s="32">
        <f ca="1">IFERROR(__xludf.DUMMYFUNCTION("""COMPUTED_VALUE"""),0)</f>
        <v>0</v>
      </c>
      <c r="M271" s="32"/>
      <c r="N271" s="31">
        <f ca="1">IFERROR(__xludf.DUMMYFUNCTION("""COMPUTED_VALUE"""),0)</f>
        <v>0</v>
      </c>
      <c r="O271" s="32">
        <f ca="1">IFERROR(__xludf.DUMMYFUNCTION("""COMPUTED_VALUE"""),0)</f>
        <v>0</v>
      </c>
      <c r="P271" s="32"/>
      <c r="Q271" s="32">
        <f ca="1">IFERROR(__xludf.DUMMYFUNCTION("""COMPUTED_VALUE"""),0)</f>
        <v>0</v>
      </c>
      <c r="R271" s="32"/>
      <c r="S271" s="31">
        <f ca="1">IFERROR(__xludf.DUMMYFUNCTION("""COMPUTED_VALUE"""),0)</f>
        <v>0</v>
      </c>
      <c r="T271" s="32">
        <f ca="1">IFERROR(__xludf.DUMMYFUNCTION("""COMPUTED_VALUE"""),0)</f>
        <v>0</v>
      </c>
      <c r="U271" s="32"/>
      <c r="V271" s="32">
        <f ca="1">IFERROR(__xludf.DUMMYFUNCTION("""COMPUTED_VALUE"""),0)</f>
        <v>0</v>
      </c>
      <c r="W271" s="32"/>
      <c r="X271" s="32">
        <f ca="1">IFERROR(__xludf.DUMMYFUNCTION("""COMPUTED_VALUE"""),0)</f>
        <v>0</v>
      </c>
      <c r="Y271" s="32"/>
      <c r="Z271" s="2"/>
      <c r="AA271" s="2"/>
      <c r="AB271" s="2"/>
      <c r="AC271" s="2"/>
      <c r="AD271" s="2"/>
      <c r="AE271" s="2"/>
    </row>
    <row r="272" spans="1:31" ht="12.75" x14ac:dyDescent="0.2">
      <c r="A272" s="28">
        <f ca="1">IFERROR(__xludf.DUMMYFUNCTION("""COMPUTED_VALUE"""),33)</f>
        <v>33</v>
      </c>
      <c r="B272" s="29" t="str">
        <f ca="1">IFERROR(__xludf.DUMMYFUNCTION("""COMPUTED_VALUE"""),"LMG Khu Vườn Kiwi")</f>
        <v>LMG Khu Vườn Kiwi</v>
      </c>
      <c r="C272" s="33" t="str">
        <f ca="1">IFERROR(__xludf.DUMMYFUNCTION("""COMPUTED_VALUE"""),"MN")</f>
        <v>MN</v>
      </c>
      <c r="D272" s="30" t="str">
        <f ca="1">IFERROR(__xludf.DUMMYFUNCTION("""COMPUTED_VALUE"""),"Tp. Thủ Đức")</f>
        <v>Tp. Thủ Đức</v>
      </c>
      <c r="E272" s="31">
        <f ca="1">IFERROR(__xludf.DUMMYFUNCTION("""COMPUTED_VALUE"""),11)</f>
        <v>11</v>
      </c>
      <c r="F272" s="32">
        <f ca="1">IFERROR(__xludf.DUMMYFUNCTION("""COMPUTED_VALUE"""),11)</f>
        <v>11</v>
      </c>
      <c r="G272" s="32"/>
      <c r="H272" s="32">
        <f ca="1">IFERROR(__xludf.DUMMYFUNCTION("""COMPUTED_VALUE"""),11)</f>
        <v>11</v>
      </c>
      <c r="I272" s="32"/>
      <c r="J272" s="32">
        <f ca="1">IFERROR(__xludf.DUMMYFUNCTION("""COMPUTED_VALUE"""),10)</f>
        <v>10</v>
      </c>
      <c r="K272" s="32"/>
      <c r="L272" s="32">
        <f ca="1">IFERROR(__xludf.DUMMYFUNCTION("""COMPUTED_VALUE"""),1)</f>
        <v>1</v>
      </c>
      <c r="M272" s="32"/>
      <c r="N272" s="31">
        <f ca="1">IFERROR(__xludf.DUMMYFUNCTION("""COMPUTED_VALUE"""),0)</f>
        <v>0</v>
      </c>
      <c r="O272" s="32">
        <f ca="1">IFERROR(__xludf.DUMMYFUNCTION("""COMPUTED_VALUE"""),0)</f>
        <v>0</v>
      </c>
      <c r="P272" s="32"/>
      <c r="Q272" s="32">
        <f ca="1">IFERROR(__xludf.DUMMYFUNCTION("""COMPUTED_VALUE"""),0)</f>
        <v>0</v>
      </c>
      <c r="R272" s="32"/>
      <c r="S272" s="31">
        <f ca="1">IFERROR(__xludf.DUMMYFUNCTION("""COMPUTED_VALUE"""),0)</f>
        <v>0</v>
      </c>
      <c r="T272" s="32">
        <f ca="1">IFERROR(__xludf.DUMMYFUNCTION("""COMPUTED_VALUE"""),0)</f>
        <v>0</v>
      </c>
      <c r="U272" s="32"/>
      <c r="V272" s="32">
        <f ca="1">IFERROR(__xludf.DUMMYFUNCTION("""COMPUTED_VALUE"""),0)</f>
        <v>0</v>
      </c>
      <c r="W272" s="32"/>
      <c r="X272" s="32">
        <f ca="1">IFERROR(__xludf.DUMMYFUNCTION("""COMPUTED_VALUE"""),0)</f>
        <v>0</v>
      </c>
      <c r="Y272" s="32"/>
      <c r="Z272" s="2"/>
      <c r="AA272" s="2"/>
      <c r="AB272" s="2"/>
      <c r="AC272" s="2"/>
      <c r="AD272" s="2"/>
      <c r="AE272" s="2"/>
    </row>
    <row r="273" spans="1:31" ht="12.75" x14ac:dyDescent="0.2">
      <c r="A273" s="28">
        <f ca="1">IFERROR(__xludf.DUMMYFUNCTION("""COMPUTED_VALUE"""),34)</f>
        <v>34</v>
      </c>
      <c r="B273" s="29" t="str">
        <f ca="1">IFERROR(__xludf.DUMMYFUNCTION("""COMPUTED_VALUE"""),"LMG Sao Việt Mỹ")</f>
        <v>LMG Sao Việt Mỹ</v>
      </c>
      <c r="C273" s="33" t="str">
        <f ca="1">IFERROR(__xludf.DUMMYFUNCTION("""COMPUTED_VALUE"""),"MN")</f>
        <v>MN</v>
      </c>
      <c r="D273" s="30" t="str">
        <f ca="1">IFERROR(__xludf.DUMMYFUNCTION("""COMPUTED_VALUE"""),"Tp. Thủ Đức")</f>
        <v>Tp. Thủ Đức</v>
      </c>
      <c r="E273" s="31">
        <f ca="1">IFERROR(__xludf.DUMMYFUNCTION("""COMPUTED_VALUE"""),7)</f>
        <v>7</v>
      </c>
      <c r="F273" s="32">
        <f ca="1">IFERROR(__xludf.DUMMYFUNCTION("""COMPUTED_VALUE"""),7)</f>
        <v>7</v>
      </c>
      <c r="G273" s="32"/>
      <c r="H273" s="32">
        <f ca="1">IFERROR(__xludf.DUMMYFUNCTION("""COMPUTED_VALUE"""),7)</f>
        <v>7</v>
      </c>
      <c r="I273" s="32"/>
      <c r="J273" s="32">
        <f ca="1">IFERROR(__xludf.DUMMYFUNCTION("""COMPUTED_VALUE"""),7)</f>
        <v>7</v>
      </c>
      <c r="K273" s="32"/>
      <c r="L273" s="32">
        <f ca="1">IFERROR(__xludf.DUMMYFUNCTION("""COMPUTED_VALUE"""),7)</f>
        <v>7</v>
      </c>
      <c r="M273" s="32"/>
      <c r="N273" s="31">
        <f ca="1">IFERROR(__xludf.DUMMYFUNCTION("""COMPUTED_VALUE"""),0)</f>
        <v>0</v>
      </c>
      <c r="O273" s="32">
        <f ca="1">IFERROR(__xludf.DUMMYFUNCTION("""COMPUTED_VALUE"""),0)</f>
        <v>0</v>
      </c>
      <c r="P273" s="32"/>
      <c r="Q273" s="32">
        <f ca="1">IFERROR(__xludf.DUMMYFUNCTION("""COMPUTED_VALUE"""),0)</f>
        <v>0</v>
      </c>
      <c r="R273" s="32"/>
      <c r="S273" s="31">
        <f ca="1">IFERROR(__xludf.DUMMYFUNCTION("""COMPUTED_VALUE"""),0)</f>
        <v>0</v>
      </c>
      <c r="T273" s="32">
        <f ca="1">IFERROR(__xludf.DUMMYFUNCTION("""COMPUTED_VALUE"""),0)</f>
        <v>0</v>
      </c>
      <c r="U273" s="32"/>
      <c r="V273" s="32">
        <f ca="1">IFERROR(__xludf.DUMMYFUNCTION("""COMPUTED_VALUE"""),0)</f>
        <v>0</v>
      </c>
      <c r="W273" s="32"/>
      <c r="X273" s="32">
        <f ca="1">IFERROR(__xludf.DUMMYFUNCTION("""COMPUTED_VALUE"""),0)</f>
        <v>0</v>
      </c>
      <c r="Y273" s="32"/>
      <c r="Z273" s="2"/>
      <c r="AA273" s="2"/>
      <c r="AB273" s="2"/>
      <c r="AC273" s="2"/>
      <c r="AD273" s="2"/>
      <c r="AE273" s="2"/>
    </row>
    <row r="274" spans="1:31" ht="12.75" x14ac:dyDescent="0.2">
      <c r="A274" s="28">
        <f ca="1">IFERROR(__xludf.DUMMYFUNCTION("""COMPUTED_VALUE"""),35)</f>
        <v>35</v>
      </c>
      <c r="B274" s="29" t="str">
        <f ca="1">IFERROR(__xludf.DUMMYFUNCTION("""COMPUTED_VALUE"""),"LMG Mai Anh Đào")</f>
        <v>LMG Mai Anh Đào</v>
      </c>
      <c r="C274" s="33" t="str">
        <f ca="1">IFERROR(__xludf.DUMMYFUNCTION("""COMPUTED_VALUE"""),"MN")</f>
        <v>MN</v>
      </c>
      <c r="D274" s="30" t="str">
        <f ca="1">IFERROR(__xludf.DUMMYFUNCTION("""COMPUTED_VALUE"""),"Tp. Thủ Đức")</f>
        <v>Tp. Thủ Đức</v>
      </c>
      <c r="E274" s="31">
        <f ca="1">IFERROR(__xludf.DUMMYFUNCTION("""COMPUTED_VALUE"""),5)</f>
        <v>5</v>
      </c>
      <c r="F274" s="32">
        <f ca="1">IFERROR(__xludf.DUMMYFUNCTION("""COMPUTED_VALUE"""),5)</f>
        <v>5</v>
      </c>
      <c r="G274" s="32"/>
      <c r="H274" s="32">
        <f ca="1">IFERROR(__xludf.DUMMYFUNCTION("""COMPUTED_VALUE"""),5)</f>
        <v>5</v>
      </c>
      <c r="I274" s="32"/>
      <c r="J274" s="32">
        <f ca="1">IFERROR(__xludf.DUMMYFUNCTION("""COMPUTED_VALUE"""),5)</f>
        <v>5</v>
      </c>
      <c r="K274" s="32"/>
      <c r="L274" s="32">
        <f ca="1">IFERROR(__xludf.DUMMYFUNCTION("""COMPUTED_VALUE"""),0)</f>
        <v>0</v>
      </c>
      <c r="M274" s="32"/>
      <c r="N274" s="31">
        <f ca="1">IFERROR(__xludf.DUMMYFUNCTION("""COMPUTED_VALUE"""),0)</f>
        <v>0</v>
      </c>
      <c r="O274" s="32">
        <f ca="1">IFERROR(__xludf.DUMMYFUNCTION("""COMPUTED_VALUE"""),0)</f>
        <v>0</v>
      </c>
      <c r="P274" s="32"/>
      <c r="Q274" s="32">
        <f ca="1">IFERROR(__xludf.DUMMYFUNCTION("""COMPUTED_VALUE"""),0)</f>
        <v>0</v>
      </c>
      <c r="R274" s="32"/>
      <c r="S274" s="31">
        <f ca="1">IFERROR(__xludf.DUMMYFUNCTION("""COMPUTED_VALUE"""),0)</f>
        <v>0</v>
      </c>
      <c r="T274" s="32">
        <f ca="1">IFERROR(__xludf.DUMMYFUNCTION("""COMPUTED_VALUE"""),0)</f>
        <v>0</v>
      </c>
      <c r="U274" s="32"/>
      <c r="V274" s="32">
        <f ca="1">IFERROR(__xludf.DUMMYFUNCTION("""COMPUTED_VALUE"""),0)</f>
        <v>0</v>
      </c>
      <c r="W274" s="32"/>
      <c r="X274" s="32">
        <f ca="1">IFERROR(__xludf.DUMMYFUNCTION("""COMPUTED_VALUE"""),0)</f>
        <v>0</v>
      </c>
      <c r="Y274" s="32"/>
      <c r="Z274" s="2"/>
      <c r="AA274" s="2"/>
      <c r="AB274" s="2"/>
      <c r="AC274" s="2"/>
      <c r="AD274" s="2"/>
      <c r="AE274" s="2"/>
    </row>
    <row r="275" spans="1:31" ht="12.75" x14ac:dyDescent="0.2">
      <c r="A275" s="28">
        <f ca="1">IFERROR(__xludf.DUMMYFUNCTION("""COMPUTED_VALUE"""),36)</f>
        <v>36</v>
      </c>
      <c r="B275" s="29" t="str">
        <f ca="1">IFERROR(__xludf.DUMMYFUNCTION("""COMPUTED_VALUE"""),"NT Ngôi Nhà Tuổi Thơ")</f>
        <v>NT Ngôi Nhà Tuổi Thơ</v>
      </c>
      <c r="C275" s="33" t="str">
        <f ca="1">IFERROR(__xludf.DUMMYFUNCTION("""COMPUTED_VALUE"""),"MN")</f>
        <v>MN</v>
      </c>
      <c r="D275" s="30" t="str">
        <f ca="1">IFERROR(__xludf.DUMMYFUNCTION("""COMPUTED_VALUE"""),"Tp. Thủ Đức")</f>
        <v>Tp. Thủ Đức</v>
      </c>
      <c r="E275" s="31">
        <f ca="1">IFERROR(__xludf.DUMMYFUNCTION("""COMPUTED_VALUE"""),4)</f>
        <v>4</v>
      </c>
      <c r="F275" s="32">
        <f ca="1">IFERROR(__xludf.DUMMYFUNCTION("""COMPUTED_VALUE"""),4)</f>
        <v>4</v>
      </c>
      <c r="G275" s="32"/>
      <c r="H275" s="32">
        <f ca="1">IFERROR(__xludf.DUMMYFUNCTION("""COMPUTED_VALUE"""),4)</f>
        <v>4</v>
      </c>
      <c r="I275" s="32"/>
      <c r="J275" s="32">
        <f ca="1">IFERROR(__xludf.DUMMYFUNCTION("""COMPUTED_VALUE"""),3)</f>
        <v>3</v>
      </c>
      <c r="K275" s="32"/>
      <c r="L275" s="32">
        <f ca="1">IFERROR(__xludf.DUMMYFUNCTION("""COMPUTED_VALUE"""),2)</f>
        <v>2</v>
      </c>
      <c r="M275" s="32"/>
      <c r="N275" s="31">
        <f ca="1">IFERROR(__xludf.DUMMYFUNCTION("""COMPUTED_VALUE"""),0)</f>
        <v>0</v>
      </c>
      <c r="O275" s="32">
        <f ca="1">IFERROR(__xludf.DUMMYFUNCTION("""COMPUTED_VALUE"""),0)</f>
        <v>0</v>
      </c>
      <c r="P275" s="32"/>
      <c r="Q275" s="32">
        <f ca="1">IFERROR(__xludf.DUMMYFUNCTION("""COMPUTED_VALUE"""),0)</f>
        <v>0</v>
      </c>
      <c r="R275" s="32"/>
      <c r="S275" s="31">
        <f ca="1">IFERROR(__xludf.DUMMYFUNCTION("""COMPUTED_VALUE"""),0)</f>
        <v>0</v>
      </c>
      <c r="T275" s="32">
        <f ca="1">IFERROR(__xludf.DUMMYFUNCTION("""COMPUTED_VALUE"""),0)</f>
        <v>0</v>
      </c>
      <c r="U275" s="32"/>
      <c r="V275" s="32">
        <f ca="1">IFERROR(__xludf.DUMMYFUNCTION("""COMPUTED_VALUE"""),0)</f>
        <v>0</v>
      </c>
      <c r="W275" s="32"/>
      <c r="X275" s="32">
        <f ca="1">IFERROR(__xludf.DUMMYFUNCTION("""COMPUTED_VALUE"""),0)</f>
        <v>0</v>
      </c>
      <c r="Y275" s="32"/>
      <c r="Z275" s="2"/>
      <c r="AA275" s="2"/>
      <c r="AB275" s="2"/>
      <c r="AC275" s="2"/>
      <c r="AD275" s="2"/>
      <c r="AE275" s="2"/>
    </row>
    <row r="276" spans="1:31" ht="12.75" x14ac:dyDescent="0.2">
      <c r="A276" s="28">
        <f ca="1">IFERROR(__xludf.DUMMYFUNCTION("""COMPUTED_VALUE"""),37)</f>
        <v>37</v>
      </c>
      <c r="B276" s="29" t="str">
        <f ca="1">IFERROR(__xludf.DUMMYFUNCTION("""COMPUTED_VALUE"""),"NT Việt Mỹ")</f>
        <v>NT Việt Mỹ</v>
      </c>
      <c r="C276" s="33" t="str">
        <f ca="1">IFERROR(__xludf.DUMMYFUNCTION("""COMPUTED_VALUE"""),"MN")</f>
        <v>MN</v>
      </c>
      <c r="D276" s="30" t="str">
        <f ca="1">IFERROR(__xludf.DUMMYFUNCTION("""COMPUTED_VALUE"""),"Tp. Thủ Đức")</f>
        <v>Tp. Thủ Đức</v>
      </c>
      <c r="E276" s="31">
        <f ca="1">IFERROR(__xludf.DUMMYFUNCTION("""COMPUTED_VALUE"""),7)</f>
        <v>7</v>
      </c>
      <c r="F276" s="32">
        <f ca="1">IFERROR(__xludf.DUMMYFUNCTION("""COMPUTED_VALUE"""),7)</f>
        <v>7</v>
      </c>
      <c r="G276" s="32"/>
      <c r="H276" s="32">
        <f ca="1">IFERROR(__xludf.DUMMYFUNCTION("""COMPUTED_VALUE"""),7)</f>
        <v>7</v>
      </c>
      <c r="I276" s="32"/>
      <c r="J276" s="32">
        <f ca="1">IFERROR(__xludf.DUMMYFUNCTION("""COMPUTED_VALUE"""),7)</f>
        <v>7</v>
      </c>
      <c r="K276" s="32"/>
      <c r="L276" s="32">
        <f ca="1">IFERROR(__xludf.DUMMYFUNCTION("""COMPUTED_VALUE"""),7)</f>
        <v>7</v>
      </c>
      <c r="M276" s="32"/>
      <c r="N276" s="31">
        <f ca="1">IFERROR(__xludf.DUMMYFUNCTION("""COMPUTED_VALUE"""),0)</f>
        <v>0</v>
      </c>
      <c r="O276" s="32">
        <f ca="1">IFERROR(__xludf.DUMMYFUNCTION("""COMPUTED_VALUE"""),0)</f>
        <v>0</v>
      </c>
      <c r="P276" s="32"/>
      <c r="Q276" s="32">
        <f ca="1">IFERROR(__xludf.DUMMYFUNCTION("""COMPUTED_VALUE"""),0)</f>
        <v>0</v>
      </c>
      <c r="R276" s="32"/>
      <c r="S276" s="31">
        <f ca="1">IFERROR(__xludf.DUMMYFUNCTION("""COMPUTED_VALUE"""),0)</f>
        <v>0</v>
      </c>
      <c r="T276" s="32">
        <f ca="1">IFERROR(__xludf.DUMMYFUNCTION("""COMPUTED_VALUE"""),0)</f>
        <v>0</v>
      </c>
      <c r="U276" s="32"/>
      <c r="V276" s="32">
        <f ca="1">IFERROR(__xludf.DUMMYFUNCTION("""COMPUTED_VALUE"""),0)</f>
        <v>0</v>
      </c>
      <c r="W276" s="32"/>
      <c r="X276" s="32">
        <f ca="1">IFERROR(__xludf.DUMMYFUNCTION("""COMPUTED_VALUE"""),0)</f>
        <v>0</v>
      </c>
      <c r="Y276" s="32"/>
      <c r="Z276" s="2"/>
      <c r="AA276" s="2"/>
      <c r="AB276" s="2"/>
      <c r="AC276" s="2"/>
      <c r="AD276" s="2"/>
      <c r="AE276" s="2"/>
    </row>
    <row r="277" spans="1:31" ht="12.75" x14ac:dyDescent="0.2">
      <c r="A277" s="28">
        <f ca="1">IFERROR(__xludf.DUMMYFUNCTION("""COMPUTED_VALUE"""),38)</f>
        <v>38</v>
      </c>
      <c r="B277" s="29" t="str">
        <f ca="1">IFERROR(__xludf.DUMMYFUNCTION("""COMPUTED_VALUE"""),"LMG Hoa Hướng Dương")</f>
        <v>LMG Hoa Hướng Dương</v>
      </c>
      <c r="C277" s="33" t="str">
        <f ca="1">IFERROR(__xludf.DUMMYFUNCTION("""COMPUTED_VALUE"""),"MN")</f>
        <v>MN</v>
      </c>
      <c r="D277" s="30" t="str">
        <f ca="1">IFERROR(__xludf.DUMMYFUNCTION("""COMPUTED_VALUE"""),"Tp. Thủ Đức")</f>
        <v>Tp. Thủ Đức</v>
      </c>
      <c r="E277" s="31">
        <f ca="1">IFERROR(__xludf.DUMMYFUNCTION("""COMPUTED_VALUE"""),5)</f>
        <v>5</v>
      </c>
      <c r="F277" s="32">
        <f ca="1">IFERROR(__xludf.DUMMYFUNCTION("""COMPUTED_VALUE"""),5)</f>
        <v>5</v>
      </c>
      <c r="G277" s="32"/>
      <c r="H277" s="32">
        <f ca="1">IFERROR(__xludf.DUMMYFUNCTION("""COMPUTED_VALUE"""),5)</f>
        <v>5</v>
      </c>
      <c r="I277" s="32"/>
      <c r="J277" s="32">
        <f ca="1">IFERROR(__xludf.DUMMYFUNCTION("""COMPUTED_VALUE"""),5)</f>
        <v>5</v>
      </c>
      <c r="K277" s="32"/>
      <c r="L277" s="32">
        <f ca="1">IFERROR(__xludf.DUMMYFUNCTION("""COMPUTED_VALUE"""),4)</f>
        <v>4</v>
      </c>
      <c r="M277" s="32"/>
      <c r="N277" s="31">
        <f ca="1">IFERROR(__xludf.DUMMYFUNCTION("""COMPUTED_VALUE"""),0)</f>
        <v>0</v>
      </c>
      <c r="O277" s="32">
        <f ca="1">IFERROR(__xludf.DUMMYFUNCTION("""COMPUTED_VALUE"""),0)</f>
        <v>0</v>
      </c>
      <c r="P277" s="32"/>
      <c r="Q277" s="32">
        <f ca="1">IFERROR(__xludf.DUMMYFUNCTION("""COMPUTED_VALUE"""),0)</f>
        <v>0</v>
      </c>
      <c r="R277" s="32"/>
      <c r="S277" s="31">
        <f ca="1">IFERROR(__xludf.DUMMYFUNCTION("""COMPUTED_VALUE"""),0)</f>
        <v>0</v>
      </c>
      <c r="T277" s="32">
        <f ca="1">IFERROR(__xludf.DUMMYFUNCTION("""COMPUTED_VALUE"""),0)</f>
        <v>0</v>
      </c>
      <c r="U277" s="32"/>
      <c r="V277" s="32">
        <f ca="1">IFERROR(__xludf.DUMMYFUNCTION("""COMPUTED_VALUE"""),0)</f>
        <v>0</v>
      </c>
      <c r="W277" s="32"/>
      <c r="X277" s="32">
        <f ca="1">IFERROR(__xludf.DUMMYFUNCTION("""COMPUTED_VALUE"""),0)</f>
        <v>0</v>
      </c>
      <c r="Y277" s="32"/>
      <c r="Z277" s="2"/>
      <c r="AA277" s="2"/>
      <c r="AB277" s="2"/>
      <c r="AC277" s="2"/>
      <c r="AD277" s="2"/>
      <c r="AE277" s="2"/>
    </row>
    <row r="278" spans="1:31" ht="12.75" x14ac:dyDescent="0.2">
      <c r="A278" s="28">
        <f ca="1">IFERROR(__xludf.DUMMYFUNCTION("""COMPUTED_VALUE"""),39)</f>
        <v>39</v>
      </c>
      <c r="B278" s="29" t="str">
        <f ca="1">IFERROR(__xludf.DUMMYFUNCTION("""COMPUTED_VALUE"""),"LMG Hoàng Long")</f>
        <v>LMG Hoàng Long</v>
      </c>
      <c r="C278" s="33" t="str">
        <f ca="1">IFERROR(__xludf.DUMMYFUNCTION("""COMPUTED_VALUE"""),"MN")</f>
        <v>MN</v>
      </c>
      <c r="D278" s="30" t="str">
        <f ca="1">IFERROR(__xludf.DUMMYFUNCTION("""COMPUTED_VALUE"""),"Tp. Thủ Đức")</f>
        <v>Tp. Thủ Đức</v>
      </c>
      <c r="E278" s="31">
        <f ca="1">IFERROR(__xludf.DUMMYFUNCTION("""COMPUTED_VALUE"""),7)</f>
        <v>7</v>
      </c>
      <c r="F278" s="32">
        <f ca="1">IFERROR(__xludf.DUMMYFUNCTION("""COMPUTED_VALUE"""),7)</f>
        <v>7</v>
      </c>
      <c r="G278" s="32"/>
      <c r="H278" s="32">
        <f ca="1">IFERROR(__xludf.DUMMYFUNCTION("""COMPUTED_VALUE"""),7)</f>
        <v>7</v>
      </c>
      <c r="I278" s="32"/>
      <c r="J278" s="32">
        <f ca="1">IFERROR(__xludf.DUMMYFUNCTION("""COMPUTED_VALUE"""),7)</f>
        <v>7</v>
      </c>
      <c r="K278" s="32"/>
      <c r="L278" s="32">
        <f ca="1">IFERROR(__xludf.DUMMYFUNCTION("""COMPUTED_VALUE"""),0)</f>
        <v>0</v>
      </c>
      <c r="M278" s="32"/>
      <c r="N278" s="31">
        <f ca="1">IFERROR(__xludf.DUMMYFUNCTION("""COMPUTED_VALUE"""),0)</f>
        <v>0</v>
      </c>
      <c r="O278" s="32">
        <f ca="1">IFERROR(__xludf.DUMMYFUNCTION("""COMPUTED_VALUE"""),0)</f>
        <v>0</v>
      </c>
      <c r="P278" s="32"/>
      <c r="Q278" s="32">
        <f ca="1">IFERROR(__xludf.DUMMYFUNCTION("""COMPUTED_VALUE"""),0)</f>
        <v>0</v>
      </c>
      <c r="R278" s="32"/>
      <c r="S278" s="31">
        <f ca="1">IFERROR(__xludf.DUMMYFUNCTION("""COMPUTED_VALUE"""),0)</f>
        <v>0</v>
      </c>
      <c r="T278" s="32">
        <f ca="1">IFERROR(__xludf.DUMMYFUNCTION("""COMPUTED_VALUE"""),0)</f>
        <v>0</v>
      </c>
      <c r="U278" s="32"/>
      <c r="V278" s="32">
        <f ca="1">IFERROR(__xludf.DUMMYFUNCTION("""COMPUTED_VALUE"""),0)</f>
        <v>0</v>
      </c>
      <c r="W278" s="32"/>
      <c r="X278" s="32">
        <f ca="1">IFERROR(__xludf.DUMMYFUNCTION("""COMPUTED_VALUE"""),0)</f>
        <v>0</v>
      </c>
      <c r="Y278" s="32"/>
      <c r="Z278" s="2"/>
      <c r="AA278" s="2"/>
      <c r="AB278" s="2"/>
      <c r="AC278" s="2"/>
      <c r="AD278" s="2"/>
      <c r="AE278" s="2"/>
    </row>
    <row r="279" spans="1:31" ht="12.75" x14ac:dyDescent="0.2">
      <c r="A279" s="28">
        <f ca="1">IFERROR(__xludf.DUMMYFUNCTION("""COMPUTED_VALUE"""),40)</f>
        <v>40</v>
      </c>
      <c r="B279" s="29" t="str">
        <f ca="1">IFERROR(__xludf.DUMMYFUNCTION("""COMPUTED_VALUE"""),"NT Hoa Bình Minh")</f>
        <v>NT Hoa Bình Minh</v>
      </c>
      <c r="C279" s="33" t="str">
        <f ca="1">IFERROR(__xludf.DUMMYFUNCTION("""COMPUTED_VALUE"""),"MN")</f>
        <v>MN</v>
      </c>
      <c r="D279" s="30" t="str">
        <f ca="1">IFERROR(__xludf.DUMMYFUNCTION("""COMPUTED_VALUE"""),"Tp. Thủ Đức")</f>
        <v>Tp. Thủ Đức</v>
      </c>
      <c r="E279" s="31">
        <f ca="1">IFERROR(__xludf.DUMMYFUNCTION("""COMPUTED_VALUE"""),3)</f>
        <v>3</v>
      </c>
      <c r="F279" s="32">
        <f ca="1">IFERROR(__xludf.DUMMYFUNCTION("""COMPUTED_VALUE"""),3)</f>
        <v>3</v>
      </c>
      <c r="G279" s="32"/>
      <c r="H279" s="32">
        <f ca="1">IFERROR(__xludf.DUMMYFUNCTION("""COMPUTED_VALUE"""),3)</f>
        <v>3</v>
      </c>
      <c r="I279" s="32"/>
      <c r="J279" s="32">
        <f ca="1">IFERROR(__xludf.DUMMYFUNCTION("""COMPUTED_VALUE"""),2)</f>
        <v>2</v>
      </c>
      <c r="K279" s="32"/>
      <c r="L279" s="32">
        <f ca="1">IFERROR(__xludf.DUMMYFUNCTION("""COMPUTED_VALUE"""),2)</f>
        <v>2</v>
      </c>
      <c r="M279" s="32"/>
      <c r="N279" s="31">
        <f ca="1">IFERROR(__xludf.DUMMYFUNCTION("""COMPUTED_VALUE"""),0)</f>
        <v>0</v>
      </c>
      <c r="O279" s="32">
        <f ca="1">IFERROR(__xludf.DUMMYFUNCTION("""COMPUTED_VALUE"""),0)</f>
        <v>0</v>
      </c>
      <c r="P279" s="32"/>
      <c r="Q279" s="32">
        <f ca="1">IFERROR(__xludf.DUMMYFUNCTION("""COMPUTED_VALUE"""),0)</f>
        <v>0</v>
      </c>
      <c r="R279" s="32"/>
      <c r="S279" s="31">
        <f ca="1">IFERROR(__xludf.DUMMYFUNCTION("""COMPUTED_VALUE"""),0)</f>
        <v>0</v>
      </c>
      <c r="T279" s="32">
        <f ca="1">IFERROR(__xludf.DUMMYFUNCTION("""COMPUTED_VALUE"""),0)</f>
        <v>0</v>
      </c>
      <c r="U279" s="32"/>
      <c r="V279" s="32">
        <f ca="1">IFERROR(__xludf.DUMMYFUNCTION("""COMPUTED_VALUE"""),0)</f>
        <v>0</v>
      </c>
      <c r="W279" s="32"/>
      <c r="X279" s="32">
        <f ca="1">IFERROR(__xludf.DUMMYFUNCTION("""COMPUTED_VALUE"""),0)</f>
        <v>0</v>
      </c>
      <c r="Y279" s="32"/>
      <c r="Z279" s="2"/>
      <c r="AA279" s="2"/>
      <c r="AB279" s="2"/>
      <c r="AC279" s="2"/>
      <c r="AD279" s="2"/>
      <c r="AE279" s="2"/>
    </row>
    <row r="280" spans="1:31" ht="12.75" x14ac:dyDescent="0.2">
      <c r="A280" s="28">
        <f ca="1">IFERROR(__xludf.DUMMYFUNCTION("""COMPUTED_VALUE"""),41)</f>
        <v>41</v>
      </c>
      <c r="B280" s="29" t="str">
        <f ca="1">IFERROR(__xludf.DUMMYFUNCTION("""COMPUTED_VALUE"""),"NT Đậu Nhỏ")</f>
        <v>NT Đậu Nhỏ</v>
      </c>
      <c r="C280" s="33" t="str">
        <f ca="1">IFERROR(__xludf.DUMMYFUNCTION("""COMPUTED_VALUE"""),"MN")</f>
        <v>MN</v>
      </c>
      <c r="D280" s="30" t="str">
        <f ca="1">IFERROR(__xludf.DUMMYFUNCTION("""COMPUTED_VALUE"""),"Tp. Thủ Đức")</f>
        <v>Tp. Thủ Đức</v>
      </c>
      <c r="E280" s="31">
        <f ca="1">IFERROR(__xludf.DUMMYFUNCTION("""COMPUTED_VALUE"""),10)</f>
        <v>10</v>
      </c>
      <c r="F280" s="32">
        <f ca="1">IFERROR(__xludf.DUMMYFUNCTION("""COMPUTED_VALUE"""),10)</f>
        <v>10</v>
      </c>
      <c r="G280" s="32"/>
      <c r="H280" s="32">
        <f ca="1">IFERROR(__xludf.DUMMYFUNCTION("""COMPUTED_VALUE"""),10)</f>
        <v>10</v>
      </c>
      <c r="I280" s="32"/>
      <c r="J280" s="32">
        <f ca="1">IFERROR(__xludf.DUMMYFUNCTION("""COMPUTED_VALUE"""),10)</f>
        <v>10</v>
      </c>
      <c r="K280" s="32"/>
      <c r="L280" s="32">
        <f ca="1">IFERROR(__xludf.DUMMYFUNCTION("""COMPUTED_VALUE"""),0)</f>
        <v>0</v>
      </c>
      <c r="M280" s="32"/>
      <c r="N280" s="31">
        <f ca="1">IFERROR(__xludf.DUMMYFUNCTION("""COMPUTED_VALUE"""),0)</f>
        <v>0</v>
      </c>
      <c r="O280" s="32">
        <f ca="1">IFERROR(__xludf.DUMMYFUNCTION("""COMPUTED_VALUE"""),0)</f>
        <v>0</v>
      </c>
      <c r="P280" s="32"/>
      <c r="Q280" s="32">
        <f ca="1">IFERROR(__xludf.DUMMYFUNCTION("""COMPUTED_VALUE"""),0)</f>
        <v>0</v>
      </c>
      <c r="R280" s="32"/>
      <c r="S280" s="31">
        <f ca="1">IFERROR(__xludf.DUMMYFUNCTION("""COMPUTED_VALUE"""),0)</f>
        <v>0</v>
      </c>
      <c r="T280" s="32">
        <f ca="1">IFERROR(__xludf.DUMMYFUNCTION("""COMPUTED_VALUE"""),0)</f>
        <v>0</v>
      </c>
      <c r="U280" s="32"/>
      <c r="V280" s="32">
        <f ca="1">IFERROR(__xludf.DUMMYFUNCTION("""COMPUTED_VALUE"""),0)</f>
        <v>0</v>
      </c>
      <c r="W280" s="32"/>
      <c r="X280" s="32">
        <f ca="1">IFERROR(__xludf.DUMMYFUNCTION("""COMPUTED_VALUE"""),0)</f>
        <v>0</v>
      </c>
      <c r="Y280" s="32"/>
      <c r="Z280" s="2"/>
      <c r="AA280" s="2"/>
      <c r="AB280" s="2"/>
      <c r="AC280" s="2"/>
      <c r="AD280" s="2"/>
      <c r="AE280" s="2"/>
    </row>
    <row r="281" spans="1:31" ht="12.75" x14ac:dyDescent="0.2">
      <c r="A281" s="28">
        <f ca="1">IFERROR(__xludf.DUMMYFUNCTION("""COMPUTED_VALUE"""),42)</f>
        <v>42</v>
      </c>
      <c r="B281" s="29" t="str">
        <f ca="1">IFERROR(__xludf.DUMMYFUNCTION("""COMPUTED_VALUE"""),"LMG Làng Hạnh Phúc")</f>
        <v>LMG Làng Hạnh Phúc</v>
      </c>
      <c r="C281" s="33" t="str">
        <f ca="1">IFERROR(__xludf.DUMMYFUNCTION("""COMPUTED_VALUE"""),"MN")</f>
        <v>MN</v>
      </c>
      <c r="D281" s="30" t="str">
        <f ca="1">IFERROR(__xludf.DUMMYFUNCTION("""COMPUTED_VALUE"""),"Tp. Thủ Đức")</f>
        <v>Tp. Thủ Đức</v>
      </c>
      <c r="E281" s="31">
        <f ca="1">IFERROR(__xludf.DUMMYFUNCTION("""COMPUTED_VALUE"""),9)</f>
        <v>9</v>
      </c>
      <c r="F281" s="32">
        <f ca="1">IFERROR(__xludf.DUMMYFUNCTION("""COMPUTED_VALUE"""),9)</f>
        <v>9</v>
      </c>
      <c r="G281" s="32"/>
      <c r="H281" s="32">
        <f ca="1">IFERROR(__xludf.DUMMYFUNCTION("""COMPUTED_VALUE"""),9)</f>
        <v>9</v>
      </c>
      <c r="I281" s="32"/>
      <c r="J281" s="32">
        <f ca="1">IFERROR(__xludf.DUMMYFUNCTION("""COMPUTED_VALUE"""),9)</f>
        <v>9</v>
      </c>
      <c r="K281" s="32"/>
      <c r="L281" s="32">
        <f ca="1">IFERROR(__xludf.DUMMYFUNCTION("""COMPUTED_VALUE"""),0)</f>
        <v>0</v>
      </c>
      <c r="M281" s="32"/>
      <c r="N281" s="31">
        <f ca="1">IFERROR(__xludf.DUMMYFUNCTION("""COMPUTED_VALUE"""),0)</f>
        <v>0</v>
      </c>
      <c r="O281" s="32">
        <f ca="1">IFERROR(__xludf.DUMMYFUNCTION("""COMPUTED_VALUE"""),0)</f>
        <v>0</v>
      </c>
      <c r="P281" s="32"/>
      <c r="Q281" s="32">
        <f ca="1">IFERROR(__xludf.DUMMYFUNCTION("""COMPUTED_VALUE"""),0)</f>
        <v>0</v>
      </c>
      <c r="R281" s="32"/>
      <c r="S281" s="31">
        <f ca="1">IFERROR(__xludf.DUMMYFUNCTION("""COMPUTED_VALUE"""),0)</f>
        <v>0</v>
      </c>
      <c r="T281" s="32">
        <f ca="1">IFERROR(__xludf.DUMMYFUNCTION("""COMPUTED_VALUE"""),0)</f>
        <v>0</v>
      </c>
      <c r="U281" s="32"/>
      <c r="V281" s="32">
        <f ca="1">IFERROR(__xludf.DUMMYFUNCTION("""COMPUTED_VALUE"""),0)</f>
        <v>0</v>
      </c>
      <c r="W281" s="32"/>
      <c r="X281" s="32">
        <f ca="1">IFERROR(__xludf.DUMMYFUNCTION("""COMPUTED_VALUE"""),0)</f>
        <v>0</v>
      </c>
      <c r="Y281" s="32"/>
      <c r="Z281" s="2"/>
      <c r="AA281" s="2"/>
      <c r="AB281" s="2"/>
      <c r="AC281" s="2"/>
      <c r="AD281" s="2"/>
      <c r="AE281" s="2"/>
    </row>
    <row r="282" spans="1:31" ht="12.75" x14ac:dyDescent="0.2">
      <c r="A282" s="28">
        <f ca="1">IFERROR(__xludf.DUMMYFUNCTION("""COMPUTED_VALUE"""),43)</f>
        <v>43</v>
      </c>
      <c r="B282" s="29" t="str">
        <f ca="1">IFERROR(__xludf.DUMMYFUNCTION("""COMPUTED_VALUE"""),"LMG Hươu Cao Cổ")</f>
        <v>LMG Hươu Cao Cổ</v>
      </c>
      <c r="C282" s="33" t="str">
        <f ca="1">IFERROR(__xludf.DUMMYFUNCTION("""COMPUTED_VALUE"""),"MN")</f>
        <v>MN</v>
      </c>
      <c r="D282" s="30" t="str">
        <f ca="1">IFERROR(__xludf.DUMMYFUNCTION("""COMPUTED_VALUE"""),"Tp. Thủ Đức")</f>
        <v>Tp. Thủ Đức</v>
      </c>
      <c r="E282" s="31">
        <f ca="1">IFERROR(__xludf.DUMMYFUNCTION("""COMPUTED_VALUE"""),6)</f>
        <v>6</v>
      </c>
      <c r="F282" s="32">
        <f ca="1">IFERROR(__xludf.DUMMYFUNCTION("""COMPUTED_VALUE"""),6)</f>
        <v>6</v>
      </c>
      <c r="G282" s="32"/>
      <c r="H282" s="32">
        <f ca="1">IFERROR(__xludf.DUMMYFUNCTION("""COMPUTED_VALUE"""),6)</f>
        <v>6</v>
      </c>
      <c r="I282" s="32"/>
      <c r="J282" s="32">
        <f ca="1">IFERROR(__xludf.DUMMYFUNCTION("""COMPUTED_VALUE"""),6)</f>
        <v>6</v>
      </c>
      <c r="K282" s="32"/>
      <c r="L282" s="32">
        <f ca="1">IFERROR(__xludf.DUMMYFUNCTION("""COMPUTED_VALUE"""),0)</f>
        <v>0</v>
      </c>
      <c r="M282" s="32"/>
      <c r="N282" s="31">
        <f ca="1">IFERROR(__xludf.DUMMYFUNCTION("""COMPUTED_VALUE"""),0)</f>
        <v>0</v>
      </c>
      <c r="O282" s="32">
        <f ca="1">IFERROR(__xludf.DUMMYFUNCTION("""COMPUTED_VALUE"""),0)</f>
        <v>0</v>
      </c>
      <c r="P282" s="32"/>
      <c r="Q282" s="32">
        <f ca="1">IFERROR(__xludf.DUMMYFUNCTION("""COMPUTED_VALUE"""),0)</f>
        <v>0</v>
      </c>
      <c r="R282" s="32"/>
      <c r="S282" s="31">
        <f ca="1">IFERROR(__xludf.DUMMYFUNCTION("""COMPUTED_VALUE"""),0)</f>
        <v>0</v>
      </c>
      <c r="T282" s="32">
        <f ca="1">IFERROR(__xludf.DUMMYFUNCTION("""COMPUTED_VALUE"""),0)</f>
        <v>0</v>
      </c>
      <c r="U282" s="32"/>
      <c r="V282" s="32">
        <f ca="1">IFERROR(__xludf.DUMMYFUNCTION("""COMPUTED_VALUE"""),0)</f>
        <v>0</v>
      </c>
      <c r="W282" s="32"/>
      <c r="X282" s="32">
        <f ca="1">IFERROR(__xludf.DUMMYFUNCTION("""COMPUTED_VALUE"""),0)</f>
        <v>0</v>
      </c>
      <c r="Y282" s="32"/>
      <c r="Z282" s="2"/>
      <c r="AA282" s="2"/>
      <c r="AB282" s="2"/>
      <c r="AC282" s="2"/>
      <c r="AD282" s="2"/>
      <c r="AE282" s="2"/>
    </row>
    <row r="283" spans="1:31" ht="12.75" x14ac:dyDescent="0.2">
      <c r="A283" s="28">
        <f ca="1">IFERROR(__xludf.DUMMYFUNCTION("""COMPUTED_VALUE"""),44)</f>
        <v>44</v>
      </c>
      <c r="B283" s="29" t="str">
        <f ca="1">IFERROR(__xludf.DUMMYFUNCTION("""COMPUTED_VALUE"""),"NT Sao Việt Nam Long")</f>
        <v>NT Sao Việt Nam Long</v>
      </c>
      <c r="C283" s="33" t="str">
        <f ca="1">IFERROR(__xludf.DUMMYFUNCTION("""COMPUTED_VALUE"""),"MN")</f>
        <v>MN</v>
      </c>
      <c r="D283" s="30" t="str">
        <f ca="1">IFERROR(__xludf.DUMMYFUNCTION("""COMPUTED_VALUE"""),"Tp. Thủ Đức")</f>
        <v>Tp. Thủ Đức</v>
      </c>
      <c r="E283" s="31">
        <f ca="1">IFERROR(__xludf.DUMMYFUNCTION("""COMPUTED_VALUE"""),6)</f>
        <v>6</v>
      </c>
      <c r="F283" s="32">
        <f ca="1">IFERROR(__xludf.DUMMYFUNCTION("""COMPUTED_VALUE"""),6)</f>
        <v>6</v>
      </c>
      <c r="G283" s="32"/>
      <c r="H283" s="32">
        <f ca="1">IFERROR(__xludf.DUMMYFUNCTION("""COMPUTED_VALUE"""),6)</f>
        <v>6</v>
      </c>
      <c r="I283" s="32"/>
      <c r="J283" s="32">
        <f ca="1">IFERROR(__xludf.DUMMYFUNCTION("""COMPUTED_VALUE"""),6)</f>
        <v>6</v>
      </c>
      <c r="K283" s="32"/>
      <c r="L283" s="32">
        <f ca="1">IFERROR(__xludf.DUMMYFUNCTION("""COMPUTED_VALUE"""),0)</f>
        <v>0</v>
      </c>
      <c r="M283" s="32"/>
      <c r="N283" s="31">
        <f ca="1">IFERROR(__xludf.DUMMYFUNCTION("""COMPUTED_VALUE"""),0)</f>
        <v>0</v>
      </c>
      <c r="O283" s="32">
        <f ca="1">IFERROR(__xludf.DUMMYFUNCTION("""COMPUTED_VALUE"""),0)</f>
        <v>0</v>
      </c>
      <c r="P283" s="32"/>
      <c r="Q283" s="32">
        <f ca="1">IFERROR(__xludf.DUMMYFUNCTION("""COMPUTED_VALUE"""),0)</f>
        <v>0</v>
      </c>
      <c r="R283" s="32"/>
      <c r="S283" s="31">
        <f ca="1">IFERROR(__xludf.DUMMYFUNCTION("""COMPUTED_VALUE"""),0)</f>
        <v>0</v>
      </c>
      <c r="T283" s="32">
        <f ca="1">IFERROR(__xludf.DUMMYFUNCTION("""COMPUTED_VALUE"""),0)</f>
        <v>0</v>
      </c>
      <c r="U283" s="32"/>
      <c r="V283" s="32">
        <f ca="1">IFERROR(__xludf.DUMMYFUNCTION("""COMPUTED_VALUE"""),0)</f>
        <v>0</v>
      </c>
      <c r="W283" s="32"/>
      <c r="X283" s="32">
        <f ca="1">IFERROR(__xludf.DUMMYFUNCTION("""COMPUTED_VALUE"""),0)</f>
        <v>0</v>
      </c>
      <c r="Y283" s="32"/>
      <c r="Z283" s="2"/>
      <c r="AA283" s="2"/>
      <c r="AB283" s="2"/>
      <c r="AC283" s="2"/>
      <c r="AD283" s="2"/>
      <c r="AE283" s="2"/>
    </row>
    <row r="284" spans="1:31" ht="12.75" x14ac:dyDescent="0.2">
      <c r="A284" s="28">
        <f ca="1">IFERROR(__xludf.DUMMYFUNCTION("""COMPUTED_VALUE"""),45)</f>
        <v>45</v>
      </c>
      <c r="B284" s="29" t="str">
        <f ca="1">IFERROR(__xludf.DUMMYFUNCTION("""COMPUTED_VALUE"""),"NT Ước Mơ Xanh")</f>
        <v>NT Ước Mơ Xanh</v>
      </c>
      <c r="C284" s="33" t="str">
        <f ca="1">IFERROR(__xludf.DUMMYFUNCTION("""COMPUTED_VALUE"""),"MN")</f>
        <v>MN</v>
      </c>
      <c r="D284" s="30" t="str">
        <f ca="1">IFERROR(__xludf.DUMMYFUNCTION("""COMPUTED_VALUE"""),"Tp. Thủ Đức")</f>
        <v>Tp. Thủ Đức</v>
      </c>
      <c r="E284" s="31">
        <f ca="1">IFERROR(__xludf.DUMMYFUNCTION("""COMPUTED_VALUE"""),6)</f>
        <v>6</v>
      </c>
      <c r="F284" s="32">
        <f ca="1">IFERROR(__xludf.DUMMYFUNCTION("""COMPUTED_VALUE"""),6)</f>
        <v>6</v>
      </c>
      <c r="G284" s="32"/>
      <c r="H284" s="32">
        <f ca="1">IFERROR(__xludf.DUMMYFUNCTION("""COMPUTED_VALUE"""),6)</f>
        <v>6</v>
      </c>
      <c r="I284" s="32"/>
      <c r="J284" s="32">
        <f ca="1">IFERROR(__xludf.DUMMYFUNCTION("""COMPUTED_VALUE"""),6)</f>
        <v>6</v>
      </c>
      <c r="K284" s="32"/>
      <c r="L284" s="32">
        <f ca="1">IFERROR(__xludf.DUMMYFUNCTION("""COMPUTED_VALUE"""),0)</f>
        <v>0</v>
      </c>
      <c r="M284" s="32"/>
      <c r="N284" s="31">
        <f ca="1">IFERROR(__xludf.DUMMYFUNCTION("""COMPUTED_VALUE"""),0)</f>
        <v>0</v>
      </c>
      <c r="O284" s="32">
        <f ca="1">IFERROR(__xludf.DUMMYFUNCTION("""COMPUTED_VALUE"""),0)</f>
        <v>0</v>
      </c>
      <c r="P284" s="32"/>
      <c r="Q284" s="32">
        <f ca="1">IFERROR(__xludf.DUMMYFUNCTION("""COMPUTED_VALUE"""),0)</f>
        <v>0</v>
      </c>
      <c r="R284" s="32"/>
      <c r="S284" s="31">
        <f ca="1">IFERROR(__xludf.DUMMYFUNCTION("""COMPUTED_VALUE"""),0)</f>
        <v>0</v>
      </c>
      <c r="T284" s="32">
        <f ca="1">IFERROR(__xludf.DUMMYFUNCTION("""COMPUTED_VALUE"""),0)</f>
        <v>0</v>
      </c>
      <c r="U284" s="32"/>
      <c r="V284" s="32">
        <f ca="1">IFERROR(__xludf.DUMMYFUNCTION("""COMPUTED_VALUE"""),0)</f>
        <v>0</v>
      </c>
      <c r="W284" s="32"/>
      <c r="X284" s="32">
        <f ca="1">IFERROR(__xludf.DUMMYFUNCTION("""COMPUTED_VALUE"""),0)</f>
        <v>0</v>
      </c>
      <c r="Y284" s="32"/>
      <c r="Z284" s="2"/>
      <c r="AA284" s="2"/>
      <c r="AB284" s="2"/>
      <c r="AC284" s="2"/>
      <c r="AD284" s="2"/>
      <c r="AE284" s="2"/>
    </row>
    <row r="285" spans="1:31" ht="12.75" x14ac:dyDescent="0.2">
      <c r="A285" s="28">
        <f ca="1">IFERROR(__xludf.DUMMYFUNCTION("""COMPUTED_VALUE"""),46)</f>
        <v>46</v>
      </c>
      <c r="B285" s="29" t="str">
        <f ca="1">IFERROR(__xludf.DUMMYFUNCTION("""COMPUTED_VALUE"""),"NT Vườn Ươm Nụ Cười")</f>
        <v>NT Vườn Ươm Nụ Cười</v>
      </c>
      <c r="C285" s="33" t="str">
        <f ca="1">IFERROR(__xludf.DUMMYFUNCTION("""COMPUTED_VALUE"""),"MN")</f>
        <v>MN</v>
      </c>
      <c r="D285" s="30" t="str">
        <f ca="1">IFERROR(__xludf.DUMMYFUNCTION("""COMPUTED_VALUE"""),"Tp. Thủ Đức")</f>
        <v>Tp. Thủ Đức</v>
      </c>
      <c r="E285" s="31">
        <f ca="1">IFERROR(__xludf.DUMMYFUNCTION("""COMPUTED_VALUE"""),7)</f>
        <v>7</v>
      </c>
      <c r="F285" s="32">
        <f ca="1">IFERROR(__xludf.DUMMYFUNCTION("""COMPUTED_VALUE"""),7)</f>
        <v>7</v>
      </c>
      <c r="G285" s="32"/>
      <c r="H285" s="32">
        <f ca="1">IFERROR(__xludf.DUMMYFUNCTION("""COMPUTED_VALUE"""),7)</f>
        <v>7</v>
      </c>
      <c r="I285" s="32"/>
      <c r="J285" s="32">
        <f ca="1">IFERROR(__xludf.DUMMYFUNCTION("""COMPUTED_VALUE"""),7)</f>
        <v>7</v>
      </c>
      <c r="K285" s="32"/>
      <c r="L285" s="40"/>
      <c r="M285" s="40"/>
      <c r="N285" s="31">
        <f ca="1">IFERROR(__xludf.DUMMYFUNCTION("""COMPUTED_VALUE"""),0)</f>
        <v>0</v>
      </c>
      <c r="O285" s="32">
        <f ca="1">IFERROR(__xludf.DUMMYFUNCTION("""COMPUTED_VALUE"""),0)</f>
        <v>0</v>
      </c>
      <c r="P285" s="32"/>
      <c r="Q285" s="32">
        <f ca="1">IFERROR(__xludf.DUMMYFUNCTION("""COMPUTED_VALUE"""),0)</f>
        <v>0</v>
      </c>
      <c r="R285" s="32"/>
      <c r="S285" s="31">
        <f ca="1">IFERROR(__xludf.DUMMYFUNCTION("""COMPUTED_VALUE"""),0)</f>
        <v>0</v>
      </c>
      <c r="T285" s="32">
        <f ca="1">IFERROR(__xludf.DUMMYFUNCTION("""COMPUTED_VALUE"""),0)</f>
        <v>0</v>
      </c>
      <c r="U285" s="32"/>
      <c r="V285" s="32">
        <f ca="1">IFERROR(__xludf.DUMMYFUNCTION("""COMPUTED_VALUE"""),0)</f>
        <v>0</v>
      </c>
      <c r="W285" s="32"/>
      <c r="X285" s="32">
        <f ca="1">IFERROR(__xludf.DUMMYFUNCTION("""COMPUTED_VALUE"""),0)</f>
        <v>0</v>
      </c>
      <c r="Y285" s="32"/>
      <c r="Z285" s="2"/>
      <c r="AA285" s="2"/>
      <c r="AB285" s="2"/>
      <c r="AC285" s="2"/>
      <c r="AD285" s="2"/>
      <c r="AE285" s="2"/>
    </row>
    <row r="286" spans="1:31" ht="12.75" x14ac:dyDescent="0.2">
      <c r="A286" s="28">
        <f ca="1">IFERROR(__xludf.DUMMYFUNCTION("""COMPUTED_VALUE"""),47)</f>
        <v>47</v>
      </c>
      <c r="B286" s="29" t="str">
        <f ca="1">IFERROR(__xludf.DUMMYFUNCTION("""COMPUTED_VALUE"""),"NT Nhà Ong Vàng")</f>
        <v>NT Nhà Ong Vàng</v>
      </c>
      <c r="C286" s="33" t="str">
        <f ca="1">IFERROR(__xludf.DUMMYFUNCTION("""COMPUTED_VALUE"""),"MN")</f>
        <v>MN</v>
      </c>
      <c r="D286" s="30" t="str">
        <f ca="1">IFERROR(__xludf.DUMMYFUNCTION("""COMPUTED_VALUE"""),"Tp. Thủ Đức")</f>
        <v>Tp. Thủ Đức</v>
      </c>
      <c r="E286" s="31">
        <f ca="1">IFERROR(__xludf.DUMMYFUNCTION("""COMPUTED_VALUE"""),4)</f>
        <v>4</v>
      </c>
      <c r="F286" s="32">
        <f ca="1">IFERROR(__xludf.DUMMYFUNCTION("""COMPUTED_VALUE"""),4)</f>
        <v>4</v>
      </c>
      <c r="G286" s="32"/>
      <c r="H286" s="32">
        <f ca="1">IFERROR(__xludf.DUMMYFUNCTION("""COMPUTED_VALUE"""),4)</f>
        <v>4</v>
      </c>
      <c r="I286" s="32"/>
      <c r="J286" s="32">
        <f ca="1">IFERROR(__xludf.DUMMYFUNCTION("""COMPUTED_VALUE"""),4)</f>
        <v>4</v>
      </c>
      <c r="K286" s="32"/>
      <c r="L286" s="32">
        <f ca="1">IFERROR(__xludf.DUMMYFUNCTION("""COMPUTED_VALUE"""),0)</f>
        <v>0</v>
      </c>
      <c r="M286" s="32"/>
      <c r="N286" s="31">
        <f ca="1">IFERROR(__xludf.DUMMYFUNCTION("""COMPUTED_VALUE"""),0)</f>
        <v>0</v>
      </c>
      <c r="O286" s="32">
        <f ca="1">IFERROR(__xludf.DUMMYFUNCTION("""COMPUTED_VALUE"""),0)</f>
        <v>0</v>
      </c>
      <c r="P286" s="32"/>
      <c r="Q286" s="32">
        <f ca="1">IFERROR(__xludf.DUMMYFUNCTION("""COMPUTED_VALUE"""),0)</f>
        <v>0</v>
      </c>
      <c r="R286" s="32"/>
      <c r="S286" s="31">
        <f ca="1">IFERROR(__xludf.DUMMYFUNCTION("""COMPUTED_VALUE"""),0)</f>
        <v>0</v>
      </c>
      <c r="T286" s="32">
        <f ca="1">IFERROR(__xludf.DUMMYFUNCTION("""COMPUTED_VALUE"""),0)</f>
        <v>0</v>
      </c>
      <c r="U286" s="32"/>
      <c r="V286" s="32">
        <f ca="1">IFERROR(__xludf.DUMMYFUNCTION("""COMPUTED_VALUE"""),0)</f>
        <v>0</v>
      </c>
      <c r="W286" s="32"/>
      <c r="X286" s="32">
        <f ca="1">IFERROR(__xludf.DUMMYFUNCTION("""COMPUTED_VALUE"""),0)</f>
        <v>0</v>
      </c>
      <c r="Y286" s="32"/>
      <c r="Z286" s="2"/>
      <c r="AA286" s="2"/>
      <c r="AB286" s="2"/>
      <c r="AC286" s="2"/>
      <c r="AD286" s="2"/>
      <c r="AE286" s="2"/>
    </row>
    <row r="287" spans="1:31" ht="12.75" x14ac:dyDescent="0.2">
      <c r="A287" s="28">
        <f ca="1">IFERROR(__xludf.DUMMYFUNCTION("""COMPUTED_VALUE"""),48)</f>
        <v>48</v>
      </c>
      <c r="B287" s="29" t="str">
        <f ca="1">IFERROR(__xludf.DUMMYFUNCTION("""COMPUTED_VALUE"""),"LMG Cầu Vồng - KV 2")</f>
        <v>LMG Cầu Vồng - KV 2</v>
      </c>
      <c r="C287" s="33" t="str">
        <f ca="1">IFERROR(__xludf.DUMMYFUNCTION("""COMPUTED_VALUE"""),"MN")</f>
        <v>MN</v>
      </c>
      <c r="D287" s="30" t="str">
        <f ca="1">IFERROR(__xludf.DUMMYFUNCTION("""COMPUTED_VALUE"""),"Tp. Thủ Đức")</f>
        <v>Tp. Thủ Đức</v>
      </c>
      <c r="E287" s="31">
        <f ca="1">IFERROR(__xludf.DUMMYFUNCTION("""COMPUTED_VALUE"""),12)</f>
        <v>12</v>
      </c>
      <c r="F287" s="32">
        <f ca="1">IFERROR(__xludf.DUMMYFUNCTION("""COMPUTED_VALUE"""),12)</f>
        <v>12</v>
      </c>
      <c r="G287" s="32"/>
      <c r="H287" s="32">
        <f ca="1">IFERROR(__xludf.DUMMYFUNCTION("""COMPUTED_VALUE"""),12)</f>
        <v>12</v>
      </c>
      <c r="I287" s="32"/>
      <c r="J287" s="32">
        <f ca="1">IFERROR(__xludf.DUMMYFUNCTION("""COMPUTED_VALUE"""),11)</f>
        <v>11</v>
      </c>
      <c r="K287" s="32"/>
      <c r="L287" s="32">
        <f ca="1">IFERROR(__xludf.DUMMYFUNCTION("""COMPUTED_VALUE"""),0)</f>
        <v>0</v>
      </c>
      <c r="M287" s="32"/>
      <c r="N287" s="31">
        <f ca="1">IFERROR(__xludf.DUMMYFUNCTION("""COMPUTED_VALUE"""),0)</f>
        <v>0</v>
      </c>
      <c r="O287" s="32">
        <f ca="1">IFERROR(__xludf.DUMMYFUNCTION("""COMPUTED_VALUE"""),0)</f>
        <v>0</v>
      </c>
      <c r="P287" s="32"/>
      <c r="Q287" s="32">
        <f ca="1">IFERROR(__xludf.DUMMYFUNCTION("""COMPUTED_VALUE"""),0)</f>
        <v>0</v>
      </c>
      <c r="R287" s="32"/>
      <c r="S287" s="31">
        <f ca="1">IFERROR(__xludf.DUMMYFUNCTION("""COMPUTED_VALUE"""),0)</f>
        <v>0</v>
      </c>
      <c r="T287" s="32">
        <f ca="1">IFERROR(__xludf.DUMMYFUNCTION("""COMPUTED_VALUE"""),0)</f>
        <v>0</v>
      </c>
      <c r="U287" s="32"/>
      <c r="V287" s="32">
        <f ca="1">IFERROR(__xludf.DUMMYFUNCTION("""COMPUTED_VALUE"""),0)</f>
        <v>0</v>
      </c>
      <c r="W287" s="32"/>
      <c r="X287" s="32">
        <f ca="1">IFERROR(__xludf.DUMMYFUNCTION("""COMPUTED_VALUE"""),0)</f>
        <v>0</v>
      </c>
      <c r="Y287" s="32"/>
      <c r="Z287" s="2"/>
      <c r="AA287" s="2"/>
      <c r="AB287" s="2"/>
      <c r="AC287" s="2"/>
      <c r="AD287" s="2"/>
      <c r="AE287" s="2"/>
    </row>
    <row r="288" spans="1:31" ht="12.75" x14ac:dyDescent="0.2">
      <c r="A288" s="28">
        <f ca="1">IFERROR(__xludf.DUMMYFUNCTION("""COMPUTED_VALUE"""),49)</f>
        <v>49</v>
      </c>
      <c r="B288" s="29" t="str">
        <f ca="1">IFERROR(__xludf.DUMMYFUNCTION("""COMPUTED_VALUE"""),"MG Tuổi Thơ 2")</f>
        <v>MG Tuổi Thơ 2</v>
      </c>
      <c r="C288" s="33" t="str">
        <f ca="1">IFERROR(__xludf.DUMMYFUNCTION("""COMPUTED_VALUE"""),"MN")</f>
        <v>MN</v>
      </c>
      <c r="D288" s="30" t="str">
        <f ca="1">IFERROR(__xludf.DUMMYFUNCTION("""COMPUTED_VALUE"""),"Tp. Thủ Đức")</f>
        <v>Tp. Thủ Đức</v>
      </c>
      <c r="E288" s="31">
        <f ca="1">IFERROR(__xludf.DUMMYFUNCTION("""COMPUTED_VALUE"""),8)</f>
        <v>8</v>
      </c>
      <c r="F288" s="32">
        <f ca="1">IFERROR(__xludf.DUMMYFUNCTION("""COMPUTED_VALUE"""),8)</f>
        <v>8</v>
      </c>
      <c r="G288" s="32"/>
      <c r="H288" s="32">
        <f ca="1">IFERROR(__xludf.DUMMYFUNCTION("""COMPUTED_VALUE"""),8)</f>
        <v>8</v>
      </c>
      <c r="I288" s="32"/>
      <c r="J288" s="32">
        <f ca="1">IFERROR(__xludf.DUMMYFUNCTION("""COMPUTED_VALUE"""),7)</f>
        <v>7</v>
      </c>
      <c r="K288" s="32"/>
      <c r="L288" s="32">
        <f ca="1">IFERROR(__xludf.DUMMYFUNCTION("""COMPUTED_VALUE"""),6)</f>
        <v>6</v>
      </c>
      <c r="M288" s="32"/>
      <c r="N288" s="31">
        <f ca="1">IFERROR(__xludf.DUMMYFUNCTION("""COMPUTED_VALUE"""),0)</f>
        <v>0</v>
      </c>
      <c r="O288" s="32">
        <f ca="1">IFERROR(__xludf.DUMMYFUNCTION("""COMPUTED_VALUE"""),0)</f>
        <v>0</v>
      </c>
      <c r="P288" s="32"/>
      <c r="Q288" s="32">
        <f ca="1">IFERROR(__xludf.DUMMYFUNCTION("""COMPUTED_VALUE"""),0)</f>
        <v>0</v>
      </c>
      <c r="R288" s="32"/>
      <c r="S288" s="31">
        <f ca="1">IFERROR(__xludf.DUMMYFUNCTION("""COMPUTED_VALUE"""),0)</f>
        <v>0</v>
      </c>
      <c r="T288" s="32">
        <f ca="1">IFERROR(__xludf.DUMMYFUNCTION("""COMPUTED_VALUE"""),0)</f>
        <v>0</v>
      </c>
      <c r="U288" s="32"/>
      <c r="V288" s="32">
        <f ca="1">IFERROR(__xludf.DUMMYFUNCTION("""COMPUTED_VALUE"""),0)</f>
        <v>0</v>
      </c>
      <c r="W288" s="32"/>
      <c r="X288" s="32">
        <f ca="1">IFERROR(__xludf.DUMMYFUNCTION("""COMPUTED_VALUE"""),0)</f>
        <v>0</v>
      </c>
      <c r="Y288" s="32"/>
      <c r="Z288" s="2"/>
      <c r="AA288" s="2"/>
      <c r="AB288" s="2"/>
      <c r="AC288" s="2"/>
      <c r="AD288" s="2"/>
      <c r="AE288" s="2"/>
    </row>
    <row r="289" spans="1:31" ht="12.75" x14ac:dyDescent="0.2">
      <c r="A289" s="28">
        <f ca="1">IFERROR(__xludf.DUMMYFUNCTION("""COMPUTED_VALUE"""),50)</f>
        <v>50</v>
      </c>
      <c r="B289" s="29" t="str">
        <f ca="1">IFERROR(__xludf.DUMMYFUNCTION("""COMPUTED_VALUE"""),"LMG Thần Đồng Việt")</f>
        <v>LMG Thần Đồng Việt</v>
      </c>
      <c r="C289" s="33" t="str">
        <f ca="1">IFERROR(__xludf.DUMMYFUNCTION("""COMPUTED_VALUE"""),"MN")</f>
        <v>MN</v>
      </c>
      <c r="D289" s="30" t="str">
        <f ca="1">IFERROR(__xludf.DUMMYFUNCTION("""COMPUTED_VALUE"""),"Tp. Thủ Đức")</f>
        <v>Tp. Thủ Đức</v>
      </c>
      <c r="E289" s="31">
        <f ca="1">IFERROR(__xludf.DUMMYFUNCTION("""COMPUTED_VALUE"""),7)</f>
        <v>7</v>
      </c>
      <c r="F289" s="32">
        <f ca="1">IFERROR(__xludf.DUMMYFUNCTION("""COMPUTED_VALUE"""),7)</f>
        <v>7</v>
      </c>
      <c r="G289" s="32"/>
      <c r="H289" s="32">
        <f ca="1">IFERROR(__xludf.DUMMYFUNCTION("""COMPUTED_VALUE"""),7)</f>
        <v>7</v>
      </c>
      <c r="I289" s="32"/>
      <c r="J289" s="32">
        <f ca="1">IFERROR(__xludf.DUMMYFUNCTION("""COMPUTED_VALUE"""),7)</f>
        <v>7</v>
      </c>
      <c r="K289" s="32"/>
      <c r="L289" s="32">
        <f ca="1">IFERROR(__xludf.DUMMYFUNCTION("""COMPUTED_VALUE"""),0)</f>
        <v>0</v>
      </c>
      <c r="M289" s="32"/>
      <c r="N289" s="31">
        <f ca="1">IFERROR(__xludf.DUMMYFUNCTION("""COMPUTED_VALUE"""),0)</f>
        <v>0</v>
      </c>
      <c r="O289" s="32">
        <f ca="1">IFERROR(__xludf.DUMMYFUNCTION("""COMPUTED_VALUE"""),0)</f>
        <v>0</v>
      </c>
      <c r="P289" s="32"/>
      <c r="Q289" s="32">
        <f ca="1">IFERROR(__xludf.DUMMYFUNCTION("""COMPUTED_VALUE"""),0)</f>
        <v>0</v>
      </c>
      <c r="R289" s="32"/>
      <c r="S289" s="31">
        <f ca="1">IFERROR(__xludf.DUMMYFUNCTION("""COMPUTED_VALUE"""),0)</f>
        <v>0</v>
      </c>
      <c r="T289" s="32">
        <f ca="1">IFERROR(__xludf.DUMMYFUNCTION("""COMPUTED_VALUE"""),0)</f>
        <v>0</v>
      </c>
      <c r="U289" s="32"/>
      <c r="V289" s="32">
        <f ca="1">IFERROR(__xludf.DUMMYFUNCTION("""COMPUTED_VALUE"""),0)</f>
        <v>0</v>
      </c>
      <c r="W289" s="32"/>
      <c r="X289" s="32">
        <f ca="1">IFERROR(__xludf.DUMMYFUNCTION("""COMPUTED_VALUE"""),0)</f>
        <v>0</v>
      </c>
      <c r="Y289" s="32"/>
      <c r="Z289" s="2"/>
      <c r="AA289" s="2"/>
      <c r="AB289" s="2"/>
      <c r="AC289" s="2"/>
      <c r="AD289" s="2"/>
      <c r="AE289" s="2"/>
    </row>
    <row r="290" spans="1:31" ht="12.75" x14ac:dyDescent="0.2">
      <c r="A290" s="28">
        <f ca="1">IFERROR(__xludf.DUMMYFUNCTION("""COMPUTED_VALUE"""),51)</f>
        <v>51</v>
      </c>
      <c r="B290" s="29" t="str">
        <f ca="1">IFERROR(__xludf.DUMMYFUNCTION("""COMPUTED_VALUE"""),"LMG Bé Ngoan")</f>
        <v>LMG Bé Ngoan</v>
      </c>
      <c r="C290" s="33" t="str">
        <f ca="1">IFERROR(__xludf.DUMMYFUNCTION("""COMPUTED_VALUE"""),"MN")</f>
        <v>MN</v>
      </c>
      <c r="D290" s="30" t="str">
        <f ca="1">IFERROR(__xludf.DUMMYFUNCTION("""COMPUTED_VALUE"""),"Tp. Thủ Đức")</f>
        <v>Tp. Thủ Đức</v>
      </c>
      <c r="E290" s="31">
        <f ca="1">IFERROR(__xludf.DUMMYFUNCTION("""COMPUTED_VALUE"""),7)</f>
        <v>7</v>
      </c>
      <c r="F290" s="32">
        <f ca="1">IFERROR(__xludf.DUMMYFUNCTION("""COMPUTED_VALUE"""),7)</f>
        <v>7</v>
      </c>
      <c r="G290" s="32"/>
      <c r="H290" s="32">
        <f ca="1">IFERROR(__xludf.DUMMYFUNCTION("""COMPUTED_VALUE"""),7)</f>
        <v>7</v>
      </c>
      <c r="I290" s="32"/>
      <c r="J290" s="32">
        <f ca="1">IFERROR(__xludf.DUMMYFUNCTION("""COMPUTED_VALUE"""),6)</f>
        <v>6</v>
      </c>
      <c r="K290" s="32"/>
      <c r="L290" s="32">
        <f ca="1">IFERROR(__xludf.DUMMYFUNCTION("""COMPUTED_VALUE"""),1)</f>
        <v>1</v>
      </c>
      <c r="M290" s="32"/>
      <c r="N290" s="31">
        <f ca="1">IFERROR(__xludf.DUMMYFUNCTION("""COMPUTED_VALUE"""),0)</f>
        <v>0</v>
      </c>
      <c r="O290" s="32">
        <f ca="1">IFERROR(__xludf.DUMMYFUNCTION("""COMPUTED_VALUE"""),0)</f>
        <v>0</v>
      </c>
      <c r="P290" s="32"/>
      <c r="Q290" s="32">
        <f ca="1">IFERROR(__xludf.DUMMYFUNCTION("""COMPUTED_VALUE"""),0)</f>
        <v>0</v>
      </c>
      <c r="R290" s="32"/>
      <c r="S290" s="31">
        <f ca="1">IFERROR(__xludf.DUMMYFUNCTION("""COMPUTED_VALUE"""),0)</f>
        <v>0</v>
      </c>
      <c r="T290" s="32">
        <f ca="1">IFERROR(__xludf.DUMMYFUNCTION("""COMPUTED_VALUE"""),0)</f>
        <v>0</v>
      </c>
      <c r="U290" s="32"/>
      <c r="V290" s="32">
        <f ca="1">IFERROR(__xludf.DUMMYFUNCTION("""COMPUTED_VALUE"""),0)</f>
        <v>0</v>
      </c>
      <c r="W290" s="32"/>
      <c r="X290" s="32">
        <f ca="1">IFERROR(__xludf.DUMMYFUNCTION("""COMPUTED_VALUE"""),0)</f>
        <v>0</v>
      </c>
      <c r="Y290" s="32"/>
      <c r="Z290" s="2"/>
      <c r="AA290" s="2"/>
      <c r="AB290" s="2"/>
      <c r="AC290" s="2"/>
      <c r="AD290" s="2"/>
      <c r="AE290" s="2"/>
    </row>
    <row r="291" spans="1:31" ht="12.75" x14ac:dyDescent="0.2">
      <c r="A291" s="28">
        <f ca="1">IFERROR(__xludf.DUMMYFUNCTION("""COMPUTED_VALUE"""),52)</f>
        <v>52</v>
      </c>
      <c r="B291" s="29" t="str">
        <f ca="1">IFERROR(__xludf.DUMMYFUNCTION("""COMPUTED_VALUE"""),"LMG Nụ Cười Hồng")</f>
        <v>LMG Nụ Cười Hồng</v>
      </c>
      <c r="C291" s="33" t="str">
        <f ca="1">IFERROR(__xludf.DUMMYFUNCTION("""COMPUTED_VALUE"""),"MN")</f>
        <v>MN</v>
      </c>
      <c r="D291" s="30" t="str">
        <f ca="1">IFERROR(__xludf.DUMMYFUNCTION("""COMPUTED_VALUE"""),"Tp. Thủ Đức")</f>
        <v>Tp. Thủ Đức</v>
      </c>
      <c r="E291" s="31">
        <f ca="1">IFERROR(__xludf.DUMMYFUNCTION("""COMPUTED_VALUE"""),10)</f>
        <v>10</v>
      </c>
      <c r="F291" s="32">
        <f ca="1">IFERROR(__xludf.DUMMYFUNCTION("""COMPUTED_VALUE"""),10)</f>
        <v>10</v>
      </c>
      <c r="G291" s="32"/>
      <c r="H291" s="32">
        <f ca="1">IFERROR(__xludf.DUMMYFUNCTION("""COMPUTED_VALUE"""),10)</f>
        <v>10</v>
      </c>
      <c r="I291" s="32"/>
      <c r="J291" s="32">
        <f ca="1">IFERROR(__xludf.DUMMYFUNCTION("""COMPUTED_VALUE"""),8)</f>
        <v>8</v>
      </c>
      <c r="K291" s="32"/>
      <c r="L291" s="32">
        <f ca="1">IFERROR(__xludf.DUMMYFUNCTION("""COMPUTED_VALUE"""),0)</f>
        <v>0</v>
      </c>
      <c r="M291" s="32"/>
      <c r="N291" s="31">
        <f ca="1">IFERROR(__xludf.DUMMYFUNCTION("""COMPUTED_VALUE"""),0)</f>
        <v>0</v>
      </c>
      <c r="O291" s="32">
        <f ca="1">IFERROR(__xludf.DUMMYFUNCTION("""COMPUTED_VALUE"""),0)</f>
        <v>0</v>
      </c>
      <c r="P291" s="32"/>
      <c r="Q291" s="32">
        <f ca="1">IFERROR(__xludf.DUMMYFUNCTION("""COMPUTED_VALUE"""),0)</f>
        <v>0</v>
      </c>
      <c r="R291" s="32"/>
      <c r="S291" s="31">
        <f ca="1">IFERROR(__xludf.DUMMYFUNCTION("""COMPUTED_VALUE"""),0)</f>
        <v>0</v>
      </c>
      <c r="T291" s="32">
        <f ca="1">IFERROR(__xludf.DUMMYFUNCTION("""COMPUTED_VALUE"""),0)</f>
        <v>0</v>
      </c>
      <c r="U291" s="32"/>
      <c r="V291" s="32">
        <f ca="1">IFERROR(__xludf.DUMMYFUNCTION("""COMPUTED_VALUE"""),0)</f>
        <v>0</v>
      </c>
      <c r="W291" s="32"/>
      <c r="X291" s="32">
        <f ca="1">IFERROR(__xludf.DUMMYFUNCTION("""COMPUTED_VALUE"""),0)</f>
        <v>0</v>
      </c>
      <c r="Y291" s="32"/>
      <c r="Z291" s="2"/>
      <c r="AA291" s="2"/>
      <c r="AB291" s="2"/>
      <c r="AC291" s="2"/>
      <c r="AD291" s="2"/>
      <c r="AE291" s="2"/>
    </row>
    <row r="292" spans="1:31" ht="12.75" x14ac:dyDescent="0.2">
      <c r="A292" s="28">
        <f ca="1">IFERROR(__xludf.DUMMYFUNCTION("""COMPUTED_VALUE"""),53)</f>
        <v>53</v>
      </c>
      <c r="B292" s="29" t="str">
        <f ca="1">IFERROR(__xludf.DUMMYFUNCTION("""COMPUTED_VALUE"""),"LMG Mặt Trời Đỏ")</f>
        <v>LMG Mặt Trời Đỏ</v>
      </c>
      <c r="C292" s="33" t="str">
        <f ca="1">IFERROR(__xludf.DUMMYFUNCTION("""COMPUTED_VALUE"""),"MN")</f>
        <v>MN</v>
      </c>
      <c r="D292" s="30" t="str">
        <f ca="1">IFERROR(__xludf.DUMMYFUNCTION("""COMPUTED_VALUE"""),"Tp. Thủ Đức")</f>
        <v>Tp. Thủ Đức</v>
      </c>
      <c r="E292" s="31">
        <f ca="1">IFERROR(__xludf.DUMMYFUNCTION("""COMPUTED_VALUE"""),5)</f>
        <v>5</v>
      </c>
      <c r="F292" s="32">
        <f ca="1">IFERROR(__xludf.DUMMYFUNCTION("""COMPUTED_VALUE"""),5)</f>
        <v>5</v>
      </c>
      <c r="G292" s="32"/>
      <c r="H292" s="32">
        <f ca="1">IFERROR(__xludf.DUMMYFUNCTION("""COMPUTED_VALUE"""),5)</f>
        <v>5</v>
      </c>
      <c r="I292" s="32"/>
      <c r="J292" s="32">
        <f ca="1">IFERROR(__xludf.DUMMYFUNCTION("""COMPUTED_VALUE"""),5)</f>
        <v>5</v>
      </c>
      <c r="K292" s="32"/>
      <c r="L292" s="32">
        <f ca="1">IFERROR(__xludf.DUMMYFUNCTION("""COMPUTED_VALUE"""),0)</f>
        <v>0</v>
      </c>
      <c r="M292" s="32"/>
      <c r="N292" s="31">
        <f ca="1">IFERROR(__xludf.DUMMYFUNCTION("""COMPUTED_VALUE"""),0)</f>
        <v>0</v>
      </c>
      <c r="O292" s="32">
        <f ca="1">IFERROR(__xludf.DUMMYFUNCTION("""COMPUTED_VALUE"""),0)</f>
        <v>0</v>
      </c>
      <c r="P292" s="32"/>
      <c r="Q292" s="32">
        <f ca="1">IFERROR(__xludf.DUMMYFUNCTION("""COMPUTED_VALUE"""),0)</f>
        <v>0</v>
      </c>
      <c r="R292" s="32"/>
      <c r="S292" s="31">
        <f ca="1">IFERROR(__xludf.DUMMYFUNCTION("""COMPUTED_VALUE"""),0)</f>
        <v>0</v>
      </c>
      <c r="T292" s="32">
        <f ca="1">IFERROR(__xludf.DUMMYFUNCTION("""COMPUTED_VALUE"""),0)</f>
        <v>0</v>
      </c>
      <c r="U292" s="32"/>
      <c r="V292" s="32">
        <f ca="1">IFERROR(__xludf.DUMMYFUNCTION("""COMPUTED_VALUE"""),0)</f>
        <v>0</v>
      </c>
      <c r="W292" s="32"/>
      <c r="X292" s="32">
        <f ca="1">IFERROR(__xludf.DUMMYFUNCTION("""COMPUTED_VALUE"""),0)</f>
        <v>0</v>
      </c>
      <c r="Y292" s="32"/>
      <c r="Z292" s="2"/>
      <c r="AA292" s="2"/>
      <c r="AB292" s="2"/>
      <c r="AC292" s="2"/>
      <c r="AD292" s="2"/>
      <c r="AE292" s="2"/>
    </row>
    <row r="293" spans="1:31" ht="12.75" x14ac:dyDescent="0.2">
      <c r="A293" s="28">
        <f ca="1">IFERROR(__xludf.DUMMYFUNCTION("""COMPUTED_VALUE"""),54)</f>
        <v>54</v>
      </c>
      <c r="B293" s="29" t="str">
        <f ca="1">IFERROR(__xludf.DUMMYFUNCTION("""COMPUTED_VALUE"""),"NT Tuyết Vân")</f>
        <v>NT Tuyết Vân</v>
      </c>
      <c r="C293" s="33" t="str">
        <f ca="1">IFERROR(__xludf.DUMMYFUNCTION("""COMPUTED_VALUE"""),"MN")</f>
        <v>MN</v>
      </c>
      <c r="D293" s="30" t="str">
        <f ca="1">IFERROR(__xludf.DUMMYFUNCTION("""COMPUTED_VALUE"""),"Tp. Thủ Đức")</f>
        <v>Tp. Thủ Đức</v>
      </c>
      <c r="E293" s="31">
        <f ca="1">IFERROR(__xludf.DUMMYFUNCTION("""COMPUTED_VALUE"""),3)</f>
        <v>3</v>
      </c>
      <c r="F293" s="32">
        <f ca="1">IFERROR(__xludf.DUMMYFUNCTION("""COMPUTED_VALUE"""),3)</f>
        <v>3</v>
      </c>
      <c r="G293" s="32"/>
      <c r="H293" s="32">
        <f ca="1">IFERROR(__xludf.DUMMYFUNCTION("""COMPUTED_VALUE"""),3)</f>
        <v>3</v>
      </c>
      <c r="I293" s="32"/>
      <c r="J293" s="32">
        <f ca="1">IFERROR(__xludf.DUMMYFUNCTION("""COMPUTED_VALUE"""),1)</f>
        <v>1</v>
      </c>
      <c r="K293" s="32"/>
      <c r="L293" s="32">
        <f ca="1">IFERROR(__xludf.DUMMYFUNCTION("""COMPUTED_VALUE"""),2)</f>
        <v>2</v>
      </c>
      <c r="M293" s="32"/>
      <c r="N293" s="31">
        <f ca="1">IFERROR(__xludf.DUMMYFUNCTION("""COMPUTED_VALUE"""),0)</f>
        <v>0</v>
      </c>
      <c r="O293" s="32">
        <f ca="1">IFERROR(__xludf.DUMMYFUNCTION("""COMPUTED_VALUE"""),0)</f>
        <v>0</v>
      </c>
      <c r="P293" s="32"/>
      <c r="Q293" s="32">
        <f ca="1">IFERROR(__xludf.DUMMYFUNCTION("""COMPUTED_VALUE"""),0)</f>
        <v>0</v>
      </c>
      <c r="R293" s="32"/>
      <c r="S293" s="31">
        <f ca="1">IFERROR(__xludf.DUMMYFUNCTION("""COMPUTED_VALUE"""),0)</f>
        <v>0</v>
      </c>
      <c r="T293" s="32">
        <f ca="1">IFERROR(__xludf.DUMMYFUNCTION("""COMPUTED_VALUE"""),0)</f>
        <v>0</v>
      </c>
      <c r="U293" s="32"/>
      <c r="V293" s="32">
        <f ca="1">IFERROR(__xludf.DUMMYFUNCTION("""COMPUTED_VALUE"""),0)</f>
        <v>0</v>
      </c>
      <c r="W293" s="32"/>
      <c r="X293" s="32">
        <f ca="1">IFERROR(__xludf.DUMMYFUNCTION("""COMPUTED_VALUE"""),0)</f>
        <v>0</v>
      </c>
      <c r="Y293" s="32"/>
      <c r="Z293" s="2"/>
      <c r="AA293" s="2"/>
      <c r="AB293" s="2"/>
      <c r="AC293" s="2"/>
      <c r="AD293" s="2"/>
      <c r="AE293" s="2"/>
    </row>
    <row r="294" spans="1:31" ht="12.75" x14ac:dyDescent="0.2">
      <c r="A294" s="28">
        <f ca="1">IFERROR(__xludf.DUMMYFUNCTION("""COMPUTED_VALUE"""),55)</f>
        <v>55</v>
      </c>
      <c r="B294" s="29" t="str">
        <f ca="1">IFERROR(__xludf.DUMMYFUNCTION("""COMPUTED_VALUE"""),"LMG Gấu Trúc")</f>
        <v>LMG Gấu Trúc</v>
      </c>
      <c r="C294" s="33" t="str">
        <f ca="1">IFERROR(__xludf.DUMMYFUNCTION("""COMPUTED_VALUE"""),"MN")</f>
        <v>MN</v>
      </c>
      <c r="D294" s="30" t="str">
        <f ca="1">IFERROR(__xludf.DUMMYFUNCTION("""COMPUTED_VALUE"""),"Tp. Thủ Đức")</f>
        <v>Tp. Thủ Đức</v>
      </c>
      <c r="E294" s="31">
        <f ca="1">IFERROR(__xludf.DUMMYFUNCTION("""COMPUTED_VALUE"""),5)</f>
        <v>5</v>
      </c>
      <c r="F294" s="32">
        <f ca="1">IFERROR(__xludf.DUMMYFUNCTION("""COMPUTED_VALUE"""),5)</f>
        <v>5</v>
      </c>
      <c r="G294" s="32"/>
      <c r="H294" s="32">
        <f ca="1">IFERROR(__xludf.DUMMYFUNCTION("""COMPUTED_VALUE"""),5)</f>
        <v>5</v>
      </c>
      <c r="I294" s="32"/>
      <c r="J294" s="32">
        <f ca="1">IFERROR(__xludf.DUMMYFUNCTION("""COMPUTED_VALUE"""),5)</f>
        <v>5</v>
      </c>
      <c r="K294" s="32"/>
      <c r="L294" s="32">
        <f ca="1">IFERROR(__xludf.DUMMYFUNCTION("""COMPUTED_VALUE"""),0)</f>
        <v>0</v>
      </c>
      <c r="M294" s="32"/>
      <c r="N294" s="31">
        <f ca="1">IFERROR(__xludf.DUMMYFUNCTION("""COMPUTED_VALUE"""),0)</f>
        <v>0</v>
      </c>
      <c r="O294" s="32">
        <f ca="1">IFERROR(__xludf.DUMMYFUNCTION("""COMPUTED_VALUE"""),0)</f>
        <v>0</v>
      </c>
      <c r="P294" s="32"/>
      <c r="Q294" s="32">
        <f ca="1">IFERROR(__xludf.DUMMYFUNCTION("""COMPUTED_VALUE"""),0)</f>
        <v>0</v>
      </c>
      <c r="R294" s="32"/>
      <c r="S294" s="31">
        <f ca="1">IFERROR(__xludf.DUMMYFUNCTION("""COMPUTED_VALUE"""),0)</f>
        <v>0</v>
      </c>
      <c r="T294" s="32">
        <f ca="1">IFERROR(__xludf.DUMMYFUNCTION("""COMPUTED_VALUE"""),0)</f>
        <v>0</v>
      </c>
      <c r="U294" s="32"/>
      <c r="V294" s="32">
        <f ca="1">IFERROR(__xludf.DUMMYFUNCTION("""COMPUTED_VALUE"""),0)</f>
        <v>0</v>
      </c>
      <c r="W294" s="32"/>
      <c r="X294" s="32">
        <f ca="1">IFERROR(__xludf.DUMMYFUNCTION("""COMPUTED_VALUE"""),0)</f>
        <v>0</v>
      </c>
      <c r="Y294" s="32"/>
      <c r="Z294" s="2"/>
      <c r="AA294" s="2"/>
      <c r="AB294" s="2"/>
      <c r="AC294" s="2"/>
      <c r="AD294" s="2"/>
      <c r="AE294" s="2"/>
    </row>
    <row r="295" spans="1:31" ht="12.75" x14ac:dyDescent="0.2">
      <c r="A295" s="28">
        <f ca="1">IFERROR(__xludf.DUMMYFUNCTION("""COMPUTED_VALUE"""),56)</f>
        <v>56</v>
      </c>
      <c r="B295" s="29" t="str">
        <f ca="1">IFERROR(__xludf.DUMMYFUNCTION("""COMPUTED_VALUE"""),"LMG Sao Việt IOC")</f>
        <v>LMG Sao Việt IOC</v>
      </c>
      <c r="C295" s="33" t="str">
        <f ca="1">IFERROR(__xludf.DUMMYFUNCTION("""COMPUTED_VALUE"""),"MN")</f>
        <v>MN</v>
      </c>
      <c r="D295" s="30" t="str">
        <f ca="1">IFERROR(__xludf.DUMMYFUNCTION("""COMPUTED_VALUE"""),"Tp. Thủ Đức")</f>
        <v>Tp. Thủ Đức</v>
      </c>
      <c r="E295" s="31">
        <f ca="1">IFERROR(__xludf.DUMMYFUNCTION("""COMPUTED_VALUE"""),6)</f>
        <v>6</v>
      </c>
      <c r="F295" s="32">
        <f ca="1">IFERROR(__xludf.DUMMYFUNCTION("""COMPUTED_VALUE"""),6)</f>
        <v>6</v>
      </c>
      <c r="G295" s="32"/>
      <c r="H295" s="32">
        <f ca="1">IFERROR(__xludf.DUMMYFUNCTION("""COMPUTED_VALUE"""),6)</f>
        <v>6</v>
      </c>
      <c r="I295" s="32"/>
      <c r="J295" s="32">
        <f ca="1">IFERROR(__xludf.DUMMYFUNCTION("""COMPUTED_VALUE"""),5)</f>
        <v>5</v>
      </c>
      <c r="K295" s="32"/>
      <c r="L295" s="32">
        <f ca="1">IFERROR(__xludf.DUMMYFUNCTION("""COMPUTED_VALUE"""),0)</f>
        <v>0</v>
      </c>
      <c r="M295" s="32"/>
      <c r="N295" s="31">
        <f ca="1">IFERROR(__xludf.DUMMYFUNCTION("""COMPUTED_VALUE"""),0)</f>
        <v>0</v>
      </c>
      <c r="O295" s="32">
        <f ca="1">IFERROR(__xludf.DUMMYFUNCTION("""COMPUTED_VALUE"""),0)</f>
        <v>0</v>
      </c>
      <c r="P295" s="32"/>
      <c r="Q295" s="32">
        <f ca="1">IFERROR(__xludf.DUMMYFUNCTION("""COMPUTED_VALUE"""),0)</f>
        <v>0</v>
      </c>
      <c r="R295" s="32"/>
      <c r="S295" s="31">
        <f ca="1">IFERROR(__xludf.DUMMYFUNCTION("""COMPUTED_VALUE"""),0)</f>
        <v>0</v>
      </c>
      <c r="T295" s="32">
        <f ca="1">IFERROR(__xludf.DUMMYFUNCTION("""COMPUTED_VALUE"""),0)</f>
        <v>0</v>
      </c>
      <c r="U295" s="32"/>
      <c r="V295" s="32">
        <f ca="1">IFERROR(__xludf.DUMMYFUNCTION("""COMPUTED_VALUE"""),0)</f>
        <v>0</v>
      </c>
      <c r="W295" s="32"/>
      <c r="X295" s="32">
        <f ca="1">IFERROR(__xludf.DUMMYFUNCTION("""COMPUTED_VALUE"""),0)</f>
        <v>0</v>
      </c>
      <c r="Y295" s="32"/>
      <c r="Z295" s="2"/>
      <c r="AA295" s="2"/>
      <c r="AB295" s="2"/>
      <c r="AC295" s="2"/>
      <c r="AD295" s="2"/>
      <c r="AE295" s="2"/>
    </row>
    <row r="296" spans="1:31" ht="12.75" x14ac:dyDescent="0.2">
      <c r="A296" s="28">
        <f ca="1">IFERROR(__xludf.DUMMYFUNCTION("""COMPUTED_VALUE"""),57)</f>
        <v>57</v>
      </c>
      <c r="B296" s="29" t="str">
        <f ca="1">IFERROR(__xludf.DUMMYFUNCTION("""COMPUTED_VALUE"""),"NT Cá Mập Con")</f>
        <v>NT Cá Mập Con</v>
      </c>
      <c r="C296" s="33" t="str">
        <f ca="1">IFERROR(__xludf.DUMMYFUNCTION("""COMPUTED_VALUE"""),"MN")</f>
        <v>MN</v>
      </c>
      <c r="D296" s="30" t="str">
        <f ca="1">IFERROR(__xludf.DUMMYFUNCTION("""COMPUTED_VALUE"""),"Tp. Thủ Đức")</f>
        <v>Tp. Thủ Đức</v>
      </c>
      <c r="E296" s="31">
        <f ca="1">IFERROR(__xludf.DUMMYFUNCTION("""COMPUTED_VALUE"""),9)</f>
        <v>9</v>
      </c>
      <c r="F296" s="32">
        <f ca="1">IFERROR(__xludf.DUMMYFUNCTION("""COMPUTED_VALUE"""),9)</f>
        <v>9</v>
      </c>
      <c r="G296" s="32"/>
      <c r="H296" s="32">
        <f ca="1">IFERROR(__xludf.DUMMYFUNCTION("""COMPUTED_VALUE"""),9)</f>
        <v>9</v>
      </c>
      <c r="I296" s="32"/>
      <c r="J296" s="32">
        <f ca="1">IFERROR(__xludf.DUMMYFUNCTION("""COMPUTED_VALUE"""),9)</f>
        <v>9</v>
      </c>
      <c r="K296" s="32"/>
      <c r="L296" s="32">
        <f ca="1">IFERROR(__xludf.DUMMYFUNCTION("""COMPUTED_VALUE"""),0)</f>
        <v>0</v>
      </c>
      <c r="M296" s="32"/>
      <c r="N296" s="31">
        <f ca="1">IFERROR(__xludf.DUMMYFUNCTION("""COMPUTED_VALUE"""),0)</f>
        <v>0</v>
      </c>
      <c r="O296" s="32">
        <f ca="1">IFERROR(__xludf.DUMMYFUNCTION("""COMPUTED_VALUE"""),0)</f>
        <v>0</v>
      </c>
      <c r="P296" s="32"/>
      <c r="Q296" s="32">
        <f ca="1">IFERROR(__xludf.DUMMYFUNCTION("""COMPUTED_VALUE"""),0)</f>
        <v>0</v>
      </c>
      <c r="R296" s="32"/>
      <c r="S296" s="31">
        <f ca="1">IFERROR(__xludf.DUMMYFUNCTION("""COMPUTED_VALUE"""),0)</f>
        <v>0</v>
      </c>
      <c r="T296" s="32">
        <f ca="1">IFERROR(__xludf.DUMMYFUNCTION("""COMPUTED_VALUE"""),0)</f>
        <v>0</v>
      </c>
      <c r="U296" s="32"/>
      <c r="V296" s="32">
        <f ca="1">IFERROR(__xludf.DUMMYFUNCTION("""COMPUTED_VALUE"""),0)</f>
        <v>0</v>
      </c>
      <c r="W296" s="32"/>
      <c r="X296" s="32">
        <f ca="1">IFERROR(__xludf.DUMMYFUNCTION("""COMPUTED_VALUE"""),0)</f>
        <v>0</v>
      </c>
      <c r="Y296" s="32"/>
      <c r="Z296" s="2"/>
      <c r="AA296" s="2"/>
      <c r="AB296" s="2"/>
      <c r="AC296" s="2"/>
      <c r="AD296" s="2"/>
      <c r="AE296" s="2"/>
    </row>
    <row r="297" spans="1:31" ht="12.75" x14ac:dyDescent="0.2">
      <c r="A297" s="28">
        <f ca="1">IFERROR(__xludf.DUMMYFUNCTION("""COMPUTED_VALUE"""),58)</f>
        <v>58</v>
      </c>
      <c r="B297" s="29" t="str">
        <f ca="1">IFERROR(__xludf.DUMMYFUNCTION("""COMPUTED_VALUE"""),"LMG Siêu Nhóc")</f>
        <v>LMG Siêu Nhóc</v>
      </c>
      <c r="C297" s="33" t="str">
        <f ca="1">IFERROR(__xludf.DUMMYFUNCTION("""COMPUTED_VALUE"""),"MN")</f>
        <v>MN</v>
      </c>
      <c r="D297" s="30" t="str">
        <f ca="1">IFERROR(__xludf.DUMMYFUNCTION("""COMPUTED_VALUE"""),"Tp. Thủ Đức")</f>
        <v>Tp. Thủ Đức</v>
      </c>
      <c r="E297" s="31">
        <f ca="1">IFERROR(__xludf.DUMMYFUNCTION("""COMPUTED_VALUE"""),20)</f>
        <v>20</v>
      </c>
      <c r="F297" s="32">
        <f ca="1">IFERROR(__xludf.DUMMYFUNCTION("""COMPUTED_VALUE"""),20)</f>
        <v>20</v>
      </c>
      <c r="G297" s="32"/>
      <c r="H297" s="32">
        <f ca="1">IFERROR(__xludf.DUMMYFUNCTION("""COMPUTED_VALUE"""),20)</f>
        <v>20</v>
      </c>
      <c r="I297" s="32"/>
      <c r="J297" s="32">
        <f ca="1">IFERROR(__xludf.DUMMYFUNCTION("""COMPUTED_VALUE"""),19)</f>
        <v>19</v>
      </c>
      <c r="K297" s="32"/>
      <c r="L297" s="32">
        <f ca="1">IFERROR(__xludf.DUMMYFUNCTION("""COMPUTED_VALUE"""),1)</f>
        <v>1</v>
      </c>
      <c r="M297" s="32"/>
      <c r="N297" s="31">
        <f ca="1">IFERROR(__xludf.DUMMYFUNCTION("""COMPUTED_VALUE"""),0)</f>
        <v>0</v>
      </c>
      <c r="O297" s="32">
        <f ca="1">IFERROR(__xludf.DUMMYFUNCTION("""COMPUTED_VALUE"""),0)</f>
        <v>0</v>
      </c>
      <c r="P297" s="32"/>
      <c r="Q297" s="32">
        <f ca="1">IFERROR(__xludf.DUMMYFUNCTION("""COMPUTED_VALUE"""),0)</f>
        <v>0</v>
      </c>
      <c r="R297" s="32"/>
      <c r="S297" s="31">
        <f ca="1">IFERROR(__xludf.DUMMYFUNCTION("""COMPUTED_VALUE"""),0)</f>
        <v>0</v>
      </c>
      <c r="T297" s="32">
        <f ca="1">IFERROR(__xludf.DUMMYFUNCTION("""COMPUTED_VALUE"""),0)</f>
        <v>0</v>
      </c>
      <c r="U297" s="32"/>
      <c r="V297" s="32">
        <f ca="1">IFERROR(__xludf.DUMMYFUNCTION("""COMPUTED_VALUE"""),0)</f>
        <v>0</v>
      </c>
      <c r="W297" s="32"/>
      <c r="X297" s="32">
        <f ca="1">IFERROR(__xludf.DUMMYFUNCTION("""COMPUTED_VALUE"""),0)</f>
        <v>0</v>
      </c>
      <c r="Y297" s="32"/>
      <c r="Z297" s="2"/>
      <c r="AA297" s="2"/>
      <c r="AB297" s="2"/>
      <c r="AC297" s="2"/>
      <c r="AD297" s="2"/>
      <c r="AE297" s="2"/>
    </row>
    <row r="298" spans="1:31" ht="12.75" x14ac:dyDescent="0.2">
      <c r="A298" s="28">
        <f ca="1">IFERROR(__xludf.DUMMYFUNCTION("""COMPUTED_VALUE"""),59)</f>
        <v>59</v>
      </c>
      <c r="B298" s="29" t="str">
        <f ca="1">IFERROR(__xludf.DUMMYFUNCTION("""COMPUTED_VALUE"""),"LMG Thiên Thần")</f>
        <v>LMG Thiên Thần</v>
      </c>
      <c r="C298" s="33" t="str">
        <f ca="1">IFERROR(__xludf.DUMMYFUNCTION("""COMPUTED_VALUE"""),"MN")</f>
        <v>MN</v>
      </c>
      <c r="D298" s="30" t="str">
        <f ca="1">IFERROR(__xludf.DUMMYFUNCTION("""COMPUTED_VALUE"""),"Tp. Thủ Đức")</f>
        <v>Tp. Thủ Đức</v>
      </c>
      <c r="E298" s="31">
        <f ca="1">IFERROR(__xludf.DUMMYFUNCTION("""COMPUTED_VALUE"""),6)</f>
        <v>6</v>
      </c>
      <c r="F298" s="32">
        <f ca="1">IFERROR(__xludf.DUMMYFUNCTION("""COMPUTED_VALUE"""),6)</f>
        <v>6</v>
      </c>
      <c r="G298" s="32"/>
      <c r="H298" s="32">
        <f ca="1">IFERROR(__xludf.DUMMYFUNCTION("""COMPUTED_VALUE"""),6)</f>
        <v>6</v>
      </c>
      <c r="I298" s="32"/>
      <c r="J298" s="32">
        <f ca="1">IFERROR(__xludf.DUMMYFUNCTION("""COMPUTED_VALUE"""),6)</f>
        <v>6</v>
      </c>
      <c r="K298" s="32"/>
      <c r="L298" s="32">
        <f ca="1">IFERROR(__xludf.DUMMYFUNCTION("""COMPUTED_VALUE"""),0)</f>
        <v>0</v>
      </c>
      <c r="M298" s="32"/>
      <c r="N298" s="31">
        <f ca="1">IFERROR(__xludf.DUMMYFUNCTION("""COMPUTED_VALUE"""),0)</f>
        <v>0</v>
      </c>
      <c r="O298" s="32">
        <f ca="1">IFERROR(__xludf.DUMMYFUNCTION("""COMPUTED_VALUE"""),0)</f>
        <v>0</v>
      </c>
      <c r="P298" s="32"/>
      <c r="Q298" s="32">
        <f ca="1">IFERROR(__xludf.DUMMYFUNCTION("""COMPUTED_VALUE"""),0)</f>
        <v>0</v>
      </c>
      <c r="R298" s="32"/>
      <c r="S298" s="31">
        <f ca="1">IFERROR(__xludf.DUMMYFUNCTION("""COMPUTED_VALUE"""),0)</f>
        <v>0</v>
      </c>
      <c r="T298" s="32">
        <f ca="1">IFERROR(__xludf.DUMMYFUNCTION("""COMPUTED_VALUE"""),0)</f>
        <v>0</v>
      </c>
      <c r="U298" s="32"/>
      <c r="V298" s="32">
        <f ca="1">IFERROR(__xludf.DUMMYFUNCTION("""COMPUTED_VALUE"""),0)</f>
        <v>0</v>
      </c>
      <c r="W298" s="32"/>
      <c r="X298" s="32">
        <f ca="1">IFERROR(__xludf.DUMMYFUNCTION("""COMPUTED_VALUE"""),0)</f>
        <v>0</v>
      </c>
      <c r="Y298" s="32"/>
      <c r="Z298" s="2"/>
      <c r="AA298" s="2"/>
      <c r="AB298" s="2"/>
      <c r="AC298" s="2"/>
      <c r="AD298" s="2"/>
      <c r="AE298" s="2"/>
    </row>
    <row r="299" spans="1:31" ht="12.75" x14ac:dyDescent="0.2">
      <c r="A299" s="28">
        <f ca="1">IFERROR(__xludf.DUMMYFUNCTION("""COMPUTED_VALUE"""),60)</f>
        <v>60</v>
      </c>
      <c r="B299" s="29" t="str">
        <f ca="1">IFERROR(__xludf.DUMMYFUNCTION("""COMPUTED_VALUE"""),"LMG Gấu Panda")</f>
        <v>LMG Gấu Panda</v>
      </c>
      <c r="C299" s="33" t="str">
        <f ca="1">IFERROR(__xludf.DUMMYFUNCTION("""COMPUTED_VALUE"""),"MN")</f>
        <v>MN</v>
      </c>
      <c r="D299" s="30" t="str">
        <f ca="1">IFERROR(__xludf.DUMMYFUNCTION("""COMPUTED_VALUE"""),"Tp. Thủ Đức")</f>
        <v>Tp. Thủ Đức</v>
      </c>
      <c r="E299" s="39"/>
      <c r="F299" s="40"/>
      <c r="G299" s="40"/>
      <c r="H299" s="40"/>
      <c r="I299" s="40"/>
      <c r="J299" s="40"/>
      <c r="K299" s="40"/>
      <c r="L299" s="40"/>
      <c r="M299" s="40"/>
      <c r="N299" s="31">
        <f ca="1">IFERROR(__xludf.DUMMYFUNCTION("""COMPUTED_VALUE"""),0)</f>
        <v>0</v>
      </c>
      <c r="O299" s="32">
        <f ca="1">IFERROR(__xludf.DUMMYFUNCTION("""COMPUTED_VALUE"""),0)</f>
        <v>0</v>
      </c>
      <c r="P299" s="32"/>
      <c r="Q299" s="32">
        <f ca="1">IFERROR(__xludf.DUMMYFUNCTION("""COMPUTED_VALUE"""),0)</f>
        <v>0</v>
      </c>
      <c r="R299" s="32"/>
      <c r="S299" s="31">
        <f ca="1">IFERROR(__xludf.DUMMYFUNCTION("""COMPUTED_VALUE"""),0)</f>
        <v>0</v>
      </c>
      <c r="T299" s="32">
        <f ca="1">IFERROR(__xludf.DUMMYFUNCTION("""COMPUTED_VALUE"""),0)</f>
        <v>0</v>
      </c>
      <c r="U299" s="32"/>
      <c r="V299" s="32">
        <f ca="1">IFERROR(__xludf.DUMMYFUNCTION("""COMPUTED_VALUE"""),0)</f>
        <v>0</v>
      </c>
      <c r="W299" s="32"/>
      <c r="X299" s="32">
        <f ca="1">IFERROR(__xludf.DUMMYFUNCTION("""COMPUTED_VALUE"""),0)</f>
        <v>0</v>
      </c>
      <c r="Y299" s="32"/>
      <c r="Z299" s="2"/>
      <c r="AA299" s="2"/>
      <c r="AB299" s="2"/>
      <c r="AC299" s="2"/>
      <c r="AD299" s="2"/>
      <c r="AE299" s="2"/>
    </row>
    <row r="300" spans="1:31" ht="12.75" x14ac:dyDescent="0.2">
      <c r="A300" s="28">
        <f ca="1">IFERROR(__xludf.DUMMYFUNCTION("""COMPUTED_VALUE"""),61)</f>
        <v>61</v>
      </c>
      <c r="B300" s="29" t="str">
        <f ca="1">IFERROR(__xludf.DUMMYFUNCTION("""COMPUTED_VALUE"""),"LMG Hoa Huệ Trắng")</f>
        <v>LMG Hoa Huệ Trắng</v>
      </c>
      <c r="C300" s="33" t="str">
        <f ca="1">IFERROR(__xludf.DUMMYFUNCTION("""COMPUTED_VALUE"""),"MN")</f>
        <v>MN</v>
      </c>
      <c r="D300" s="30" t="str">
        <f ca="1">IFERROR(__xludf.DUMMYFUNCTION("""COMPUTED_VALUE"""),"Tp. Thủ Đức")</f>
        <v>Tp. Thủ Đức</v>
      </c>
      <c r="E300" s="31">
        <f ca="1">IFERROR(__xludf.DUMMYFUNCTION("""COMPUTED_VALUE"""),7)</f>
        <v>7</v>
      </c>
      <c r="F300" s="32">
        <f ca="1">IFERROR(__xludf.DUMMYFUNCTION("""COMPUTED_VALUE"""),7)</f>
        <v>7</v>
      </c>
      <c r="G300" s="32"/>
      <c r="H300" s="32">
        <f ca="1">IFERROR(__xludf.DUMMYFUNCTION("""COMPUTED_VALUE"""),7)</f>
        <v>7</v>
      </c>
      <c r="I300" s="32"/>
      <c r="J300" s="32">
        <f ca="1">IFERROR(__xludf.DUMMYFUNCTION("""COMPUTED_VALUE"""),7)</f>
        <v>7</v>
      </c>
      <c r="K300" s="32"/>
      <c r="L300" s="32">
        <f ca="1">IFERROR(__xludf.DUMMYFUNCTION("""COMPUTED_VALUE"""),0)</f>
        <v>0</v>
      </c>
      <c r="M300" s="32"/>
      <c r="N300" s="31">
        <f ca="1">IFERROR(__xludf.DUMMYFUNCTION("""COMPUTED_VALUE"""),0)</f>
        <v>0</v>
      </c>
      <c r="O300" s="32">
        <f ca="1">IFERROR(__xludf.DUMMYFUNCTION("""COMPUTED_VALUE"""),0)</f>
        <v>0</v>
      </c>
      <c r="P300" s="32"/>
      <c r="Q300" s="32">
        <f ca="1">IFERROR(__xludf.DUMMYFUNCTION("""COMPUTED_VALUE"""),0)</f>
        <v>0</v>
      </c>
      <c r="R300" s="32"/>
      <c r="S300" s="31">
        <f ca="1">IFERROR(__xludf.DUMMYFUNCTION("""COMPUTED_VALUE"""),0)</f>
        <v>0</v>
      </c>
      <c r="T300" s="32">
        <f ca="1">IFERROR(__xludf.DUMMYFUNCTION("""COMPUTED_VALUE"""),0)</f>
        <v>0</v>
      </c>
      <c r="U300" s="32"/>
      <c r="V300" s="32">
        <f ca="1">IFERROR(__xludf.DUMMYFUNCTION("""COMPUTED_VALUE"""),0)</f>
        <v>0</v>
      </c>
      <c r="W300" s="32"/>
      <c r="X300" s="32">
        <f ca="1">IFERROR(__xludf.DUMMYFUNCTION("""COMPUTED_VALUE"""),0)</f>
        <v>0</v>
      </c>
      <c r="Y300" s="32"/>
      <c r="Z300" s="2"/>
      <c r="AA300" s="2"/>
      <c r="AB300" s="2"/>
      <c r="AC300" s="2"/>
      <c r="AD300" s="2"/>
      <c r="AE300" s="2"/>
    </row>
    <row r="301" spans="1:31" ht="12.75" x14ac:dyDescent="0.2">
      <c r="A301" s="28">
        <f ca="1">IFERROR(__xludf.DUMMYFUNCTION("""COMPUTED_VALUE"""),62)</f>
        <v>62</v>
      </c>
      <c r="B301" s="29" t="str">
        <f ca="1">IFERROR(__xludf.DUMMYFUNCTION("""COMPUTED_VALUE"""),"LMG Nhân Phú")</f>
        <v>LMG Nhân Phú</v>
      </c>
      <c r="C301" s="33" t="str">
        <f ca="1">IFERROR(__xludf.DUMMYFUNCTION("""COMPUTED_VALUE"""),"MN")</f>
        <v>MN</v>
      </c>
      <c r="D301" s="30" t="str">
        <f ca="1">IFERROR(__xludf.DUMMYFUNCTION("""COMPUTED_VALUE"""),"Tp. Thủ Đức")</f>
        <v>Tp. Thủ Đức</v>
      </c>
      <c r="E301" s="31">
        <f ca="1">IFERROR(__xludf.DUMMYFUNCTION("""COMPUTED_VALUE"""),0)</f>
        <v>0</v>
      </c>
      <c r="F301" s="32">
        <f ca="1">IFERROR(__xludf.DUMMYFUNCTION("""COMPUTED_VALUE"""),0)</f>
        <v>0</v>
      </c>
      <c r="G301" s="32"/>
      <c r="H301" s="32">
        <f ca="1">IFERROR(__xludf.DUMMYFUNCTION("""COMPUTED_VALUE"""),0)</f>
        <v>0</v>
      </c>
      <c r="I301" s="32"/>
      <c r="J301" s="32">
        <f ca="1">IFERROR(__xludf.DUMMYFUNCTION("""COMPUTED_VALUE"""),0)</f>
        <v>0</v>
      </c>
      <c r="K301" s="32"/>
      <c r="L301" s="32">
        <f ca="1">IFERROR(__xludf.DUMMYFUNCTION("""COMPUTED_VALUE"""),0)</f>
        <v>0</v>
      </c>
      <c r="M301" s="32"/>
      <c r="N301" s="31">
        <f ca="1">IFERROR(__xludf.DUMMYFUNCTION("""COMPUTED_VALUE"""),0)</f>
        <v>0</v>
      </c>
      <c r="O301" s="32">
        <f ca="1">IFERROR(__xludf.DUMMYFUNCTION("""COMPUTED_VALUE"""),0)</f>
        <v>0</v>
      </c>
      <c r="P301" s="32"/>
      <c r="Q301" s="32">
        <f ca="1">IFERROR(__xludf.DUMMYFUNCTION("""COMPUTED_VALUE"""),0)</f>
        <v>0</v>
      </c>
      <c r="R301" s="32"/>
      <c r="S301" s="31">
        <f ca="1">IFERROR(__xludf.DUMMYFUNCTION("""COMPUTED_VALUE"""),0)</f>
        <v>0</v>
      </c>
      <c r="T301" s="32">
        <f ca="1">IFERROR(__xludf.DUMMYFUNCTION("""COMPUTED_VALUE"""),0)</f>
        <v>0</v>
      </c>
      <c r="U301" s="32"/>
      <c r="V301" s="32">
        <f ca="1">IFERROR(__xludf.DUMMYFUNCTION("""COMPUTED_VALUE"""),0)</f>
        <v>0</v>
      </c>
      <c r="W301" s="32"/>
      <c r="X301" s="32">
        <f ca="1">IFERROR(__xludf.DUMMYFUNCTION("""COMPUTED_VALUE"""),0)</f>
        <v>0</v>
      </c>
      <c r="Y301" s="32"/>
      <c r="Z301" s="2"/>
      <c r="AA301" s="2"/>
      <c r="AB301" s="2"/>
      <c r="AC301" s="2"/>
      <c r="AD301" s="2"/>
      <c r="AE301" s="2"/>
    </row>
    <row r="302" spans="1:31" ht="12.75" x14ac:dyDescent="0.2">
      <c r="A302" s="28">
        <f ca="1">IFERROR(__xludf.DUMMYFUNCTION("""COMPUTED_VALUE"""),63)</f>
        <v>63</v>
      </c>
      <c r="B302" s="29" t="str">
        <f ca="1">IFERROR(__xludf.DUMMYFUNCTION("""COMPUTED_VALUE"""),"LMG Lê Minh")</f>
        <v>LMG Lê Minh</v>
      </c>
      <c r="C302" s="33" t="str">
        <f ca="1">IFERROR(__xludf.DUMMYFUNCTION("""COMPUTED_VALUE"""),"MN")</f>
        <v>MN</v>
      </c>
      <c r="D302" s="30" t="str">
        <f ca="1">IFERROR(__xludf.DUMMYFUNCTION("""COMPUTED_VALUE"""),"Tp. Thủ Đức")</f>
        <v>Tp. Thủ Đức</v>
      </c>
      <c r="E302" s="31">
        <f ca="1">IFERROR(__xludf.DUMMYFUNCTION("""COMPUTED_VALUE"""),7)</f>
        <v>7</v>
      </c>
      <c r="F302" s="32">
        <f ca="1">IFERROR(__xludf.DUMMYFUNCTION("""COMPUTED_VALUE"""),7)</f>
        <v>7</v>
      </c>
      <c r="G302" s="32"/>
      <c r="H302" s="32">
        <f ca="1">IFERROR(__xludf.DUMMYFUNCTION("""COMPUTED_VALUE"""),7)</f>
        <v>7</v>
      </c>
      <c r="I302" s="32"/>
      <c r="J302" s="32">
        <f ca="1">IFERROR(__xludf.DUMMYFUNCTION("""COMPUTED_VALUE"""),7)</f>
        <v>7</v>
      </c>
      <c r="K302" s="32"/>
      <c r="L302" s="32">
        <f ca="1">IFERROR(__xludf.DUMMYFUNCTION("""COMPUTED_VALUE"""),2)</f>
        <v>2</v>
      </c>
      <c r="M302" s="32"/>
      <c r="N302" s="31">
        <f ca="1">IFERROR(__xludf.DUMMYFUNCTION("""COMPUTED_VALUE"""),0)</f>
        <v>0</v>
      </c>
      <c r="O302" s="32">
        <f ca="1">IFERROR(__xludf.DUMMYFUNCTION("""COMPUTED_VALUE"""),0)</f>
        <v>0</v>
      </c>
      <c r="P302" s="32"/>
      <c r="Q302" s="32">
        <f ca="1">IFERROR(__xludf.DUMMYFUNCTION("""COMPUTED_VALUE"""),0)</f>
        <v>0</v>
      </c>
      <c r="R302" s="32"/>
      <c r="S302" s="31">
        <f ca="1">IFERROR(__xludf.DUMMYFUNCTION("""COMPUTED_VALUE"""),0)</f>
        <v>0</v>
      </c>
      <c r="T302" s="32">
        <f ca="1">IFERROR(__xludf.DUMMYFUNCTION("""COMPUTED_VALUE"""),0)</f>
        <v>0</v>
      </c>
      <c r="U302" s="32"/>
      <c r="V302" s="32">
        <f ca="1">IFERROR(__xludf.DUMMYFUNCTION("""COMPUTED_VALUE"""),0)</f>
        <v>0</v>
      </c>
      <c r="W302" s="32"/>
      <c r="X302" s="32">
        <f ca="1">IFERROR(__xludf.DUMMYFUNCTION("""COMPUTED_VALUE"""),0)</f>
        <v>0</v>
      </c>
      <c r="Y302" s="32"/>
      <c r="Z302" s="2"/>
      <c r="AA302" s="2"/>
      <c r="AB302" s="2"/>
      <c r="AC302" s="2"/>
      <c r="AD302" s="2"/>
      <c r="AE302" s="2"/>
    </row>
    <row r="303" spans="1:31" ht="12.75" x14ac:dyDescent="0.2">
      <c r="A303" s="28">
        <f ca="1">IFERROR(__xludf.DUMMYFUNCTION("""COMPUTED_VALUE"""),64)</f>
        <v>64</v>
      </c>
      <c r="B303" s="29" t="str">
        <f ca="1">IFERROR(__xludf.DUMMYFUNCTION("""COMPUTED_VALUE"""),"LMG Lan Ngọc")</f>
        <v>LMG Lan Ngọc</v>
      </c>
      <c r="C303" s="33" t="str">
        <f ca="1">IFERROR(__xludf.DUMMYFUNCTION("""COMPUTED_VALUE"""),"MN")</f>
        <v>MN</v>
      </c>
      <c r="D303" s="30" t="str">
        <f ca="1">IFERROR(__xludf.DUMMYFUNCTION("""COMPUTED_VALUE"""),"Tp. Thủ Đức")</f>
        <v>Tp. Thủ Đức</v>
      </c>
      <c r="E303" s="31">
        <f ca="1">IFERROR(__xludf.DUMMYFUNCTION("""COMPUTED_VALUE"""),5)</f>
        <v>5</v>
      </c>
      <c r="F303" s="32">
        <f ca="1">IFERROR(__xludf.DUMMYFUNCTION("""COMPUTED_VALUE"""),5)</f>
        <v>5</v>
      </c>
      <c r="G303" s="32"/>
      <c r="H303" s="32">
        <f ca="1">IFERROR(__xludf.DUMMYFUNCTION("""COMPUTED_VALUE"""),5)</f>
        <v>5</v>
      </c>
      <c r="I303" s="32"/>
      <c r="J303" s="32">
        <f ca="1">IFERROR(__xludf.DUMMYFUNCTION("""COMPUTED_VALUE"""),4)</f>
        <v>4</v>
      </c>
      <c r="K303" s="32"/>
      <c r="L303" s="32">
        <f ca="1">IFERROR(__xludf.DUMMYFUNCTION("""COMPUTED_VALUE"""),2)</f>
        <v>2</v>
      </c>
      <c r="M303" s="32"/>
      <c r="N303" s="31">
        <f ca="1">IFERROR(__xludf.DUMMYFUNCTION("""COMPUTED_VALUE"""),0)</f>
        <v>0</v>
      </c>
      <c r="O303" s="32">
        <f ca="1">IFERROR(__xludf.DUMMYFUNCTION("""COMPUTED_VALUE"""),0)</f>
        <v>0</v>
      </c>
      <c r="P303" s="32"/>
      <c r="Q303" s="32">
        <f ca="1">IFERROR(__xludf.DUMMYFUNCTION("""COMPUTED_VALUE"""),0)</f>
        <v>0</v>
      </c>
      <c r="R303" s="32"/>
      <c r="S303" s="31">
        <f ca="1">IFERROR(__xludf.DUMMYFUNCTION("""COMPUTED_VALUE"""),0)</f>
        <v>0</v>
      </c>
      <c r="T303" s="32">
        <f ca="1">IFERROR(__xludf.DUMMYFUNCTION("""COMPUTED_VALUE"""),0)</f>
        <v>0</v>
      </c>
      <c r="U303" s="32"/>
      <c r="V303" s="32">
        <f ca="1">IFERROR(__xludf.DUMMYFUNCTION("""COMPUTED_VALUE"""),0)</f>
        <v>0</v>
      </c>
      <c r="W303" s="32"/>
      <c r="X303" s="32">
        <f ca="1">IFERROR(__xludf.DUMMYFUNCTION("""COMPUTED_VALUE"""),0)</f>
        <v>0</v>
      </c>
      <c r="Y303" s="32"/>
      <c r="Z303" s="2"/>
      <c r="AA303" s="2"/>
      <c r="AB303" s="2"/>
      <c r="AC303" s="2"/>
      <c r="AD303" s="2"/>
      <c r="AE303" s="2"/>
    </row>
    <row r="304" spans="1:31" ht="12.75" x14ac:dyDescent="0.2">
      <c r="A304" s="28">
        <f ca="1">IFERROR(__xludf.DUMMYFUNCTION("""COMPUTED_VALUE"""),65)</f>
        <v>65</v>
      </c>
      <c r="B304" s="29" t="str">
        <f ca="1">IFERROR(__xludf.DUMMYFUNCTION("""COMPUTED_VALUE"""),"LMG Ngôi Sao May Mắn")</f>
        <v>LMG Ngôi Sao May Mắn</v>
      </c>
      <c r="C304" s="33" t="str">
        <f ca="1">IFERROR(__xludf.DUMMYFUNCTION("""COMPUTED_VALUE"""),"MN")</f>
        <v>MN</v>
      </c>
      <c r="D304" s="30" t="str">
        <f ca="1">IFERROR(__xludf.DUMMYFUNCTION("""COMPUTED_VALUE"""),"Tp. Thủ Đức")</f>
        <v>Tp. Thủ Đức</v>
      </c>
      <c r="E304" s="31">
        <f ca="1">IFERROR(__xludf.DUMMYFUNCTION("""COMPUTED_VALUE"""),9)</f>
        <v>9</v>
      </c>
      <c r="F304" s="32">
        <f ca="1">IFERROR(__xludf.DUMMYFUNCTION("""COMPUTED_VALUE"""),9)</f>
        <v>9</v>
      </c>
      <c r="G304" s="32"/>
      <c r="H304" s="32">
        <f ca="1">IFERROR(__xludf.DUMMYFUNCTION("""COMPUTED_VALUE"""),9)</f>
        <v>9</v>
      </c>
      <c r="I304" s="32"/>
      <c r="J304" s="32">
        <f ca="1">IFERROR(__xludf.DUMMYFUNCTION("""COMPUTED_VALUE"""),6)</f>
        <v>6</v>
      </c>
      <c r="K304" s="32"/>
      <c r="L304" s="32">
        <f ca="1">IFERROR(__xludf.DUMMYFUNCTION("""COMPUTED_VALUE"""),0)</f>
        <v>0</v>
      </c>
      <c r="M304" s="32"/>
      <c r="N304" s="31">
        <f ca="1">IFERROR(__xludf.DUMMYFUNCTION("""COMPUTED_VALUE"""),0)</f>
        <v>0</v>
      </c>
      <c r="O304" s="32">
        <f ca="1">IFERROR(__xludf.DUMMYFUNCTION("""COMPUTED_VALUE"""),0)</f>
        <v>0</v>
      </c>
      <c r="P304" s="32"/>
      <c r="Q304" s="32">
        <f ca="1">IFERROR(__xludf.DUMMYFUNCTION("""COMPUTED_VALUE"""),0)</f>
        <v>0</v>
      </c>
      <c r="R304" s="32"/>
      <c r="S304" s="31">
        <f ca="1">IFERROR(__xludf.DUMMYFUNCTION("""COMPUTED_VALUE"""),0)</f>
        <v>0</v>
      </c>
      <c r="T304" s="32">
        <f ca="1">IFERROR(__xludf.DUMMYFUNCTION("""COMPUTED_VALUE"""),0)</f>
        <v>0</v>
      </c>
      <c r="U304" s="32"/>
      <c r="V304" s="32">
        <f ca="1">IFERROR(__xludf.DUMMYFUNCTION("""COMPUTED_VALUE"""),0)</f>
        <v>0</v>
      </c>
      <c r="W304" s="32"/>
      <c r="X304" s="32">
        <f ca="1">IFERROR(__xludf.DUMMYFUNCTION("""COMPUTED_VALUE"""),0)</f>
        <v>0</v>
      </c>
      <c r="Y304" s="32"/>
      <c r="Z304" s="2"/>
      <c r="AA304" s="2"/>
      <c r="AB304" s="2"/>
      <c r="AC304" s="2"/>
      <c r="AD304" s="2"/>
      <c r="AE304" s="2"/>
    </row>
    <row r="305" spans="1:31" ht="12.75" x14ac:dyDescent="0.2">
      <c r="A305" s="28">
        <f ca="1">IFERROR(__xludf.DUMMYFUNCTION("""COMPUTED_VALUE"""),66)</f>
        <v>66</v>
      </c>
      <c r="B305" s="29" t="str">
        <f ca="1">IFERROR(__xludf.DUMMYFUNCTION("""COMPUTED_VALUE"""),"LMG Rồng Vàng")</f>
        <v>LMG Rồng Vàng</v>
      </c>
      <c r="C305" s="33" t="str">
        <f ca="1">IFERROR(__xludf.DUMMYFUNCTION("""COMPUTED_VALUE"""),"MN")</f>
        <v>MN</v>
      </c>
      <c r="D305" s="30" t="str">
        <f ca="1">IFERROR(__xludf.DUMMYFUNCTION("""COMPUTED_VALUE"""),"Tp. Thủ Đức")</f>
        <v>Tp. Thủ Đức</v>
      </c>
      <c r="E305" s="31">
        <f ca="1">IFERROR(__xludf.DUMMYFUNCTION("""COMPUTED_VALUE"""),8)</f>
        <v>8</v>
      </c>
      <c r="F305" s="32">
        <f ca="1">IFERROR(__xludf.DUMMYFUNCTION("""COMPUTED_VALUE"""),8)</f>
        <v>8</v>
      </c>
      <c r="G305" s="32"/>
      <c r="H305" s="32">
        <f ca="1">IFERROR(__xludf.DUMMYFUNCTION("""COMPUTED_VALUE"""),8)</f>
        <v>8</v>
      </c>
      <c r="I305" s="32"/>
      <c r="J305" s="32">
        <f ca="1">IFERROR(__xludf.DUMMYFUNCTION("""COMPUTED_VALUE"""),8)</f>
        <v>8</v>
      </c>
      <c r="K305" s="32"/>
      <c r="L305" s="32">
        <f ca="1">IFERROR(__xludf.DUMMYFUNCTION("""COMPUTED_VALUE"""),6)</f>
        <v>6</v>
      </c>
      <c r="M305" s="32"/>
      <c r="N305" s="31">
        <f ca="1">IFERROR(__xludf.DUMMYFUNCTION("""COMPUTED_VALUE"""),0)</f>
        <v>0</v>
      </c>
      <c r="O305" s="32">
        <f ca="1">IFERROR(__xludf.DUMMYFUNCTION("""COMPUTED_VALUE"""),0)</f>
        <v>0</v>
      </c>
      <c r="P305" s="32"/>
      <c r="Q305" s="32">
        <f ca="1">IFERROR(__xludf.DUMMYFUNCTION("""COMPUTED_VALUE"""),0)</f>
        <v>0</v>
      </c>
      <c r="R305" s="32"/>
      <c r="S305" s="31">
        <f ca="1">IFERROR(__xludf.DUMMYFUNCTION("""COMPUTED_VALUE"""),0)</f>
        <v>0</v>
      </c>
      <c r="T305" s="32">
        <f ca="1">IFERROR(__xludf.DUMMYFUNCTION("""COMPUTED_VALUE"""),0)</f>
        <v>0</v>
      </c>
      <c r="U305" s="32"/>
      <c r="V305" s="32">
        <f ca="1">IFERROR(__xludf.DUMMYFUNCTION("""COMPUTED_VALUE"""),0)</f>
        <v>0</v>
      </c>
      <c r="W305" s="32"/>
      <c r="X305" s="32">
        <f ca="1">IFERROR(__xludf.DUMMYFUNCTION("""COMPUTED_VALUE"""),0)</f>
        <v>0</v>
      </c>
      <c r="Y305" s="32"/>
      <c r="Z305" s="2"/>
      <c r="AA305" s="2"/>
      <c r="AB305" s="2"/>
      <c r="AC305" s="2"/>
      <c r="AD305" s="2"/>
      <c r="AE305" s="2"/>
    </row>
    <row r="306" spans="1:31" ht="12.75" x14ac:dyDescent="0.2">
      <c r="A306" s="28">
        <f ca="1">IFERROR(__xludf.DUMMYFUNCTION("""COMPUTED_VALUE"""),67)</f>
        <v>67</v>
      </c>
      <c r="B306" s="29" t="str">
        <f ca="1">IFERROR(__xludf.DUMMYFUNCTION("""COMPUTED_VALUE"""),"Nhóm trẻ Hồng Kim")</f>
        <v>Nhóm trẻ Hồng Kim</v>
      </c>
      <c r="C306" s="33" t="str">
        <f ca="1">IFERROR(__xludf.DUMMYFUNCTION("""COMPUTED_VALUE"""),"MN")</f>
        <v>MN</v>
      </c>
      <c r="D306" s="30" t="str">
        <f ca="1">IFERROR(__xludf.DUMMYFUNCTION("""COMPUTED_VALUE"""),"Tp. Thủ Đức")</f>
        <v>Tp. Thủ Đức</v>
      </c>
      <c r="E306" s="31">
        <f ca="1">IFERROR(__xludf.DUMMYFUNCTION("""COMPUTED_VALUE"""),4)</f>
        <v>4</v>
      </c>
      <c r="F306" s="32">
        <f ca="1">IFERROR(__xludf.DUMMYFUNCTION("""COMPUTED_VALUE"""),4)</f>
        <v>4</v>
      </c>
      <c r="G306" s="32"/>
      <c r="H306" s="32">
        <f ca="1">IFERROR(__xludf.DUMMYFUNCTION("""COMPUTED_VALUE"""),4)</f>
        <v>4</v>
      </c>
      <c r="I306" s="32"/>
      <c r="J306" s="32">
        <f ca="1">IFERROR(__xludf.DUMMYFUNCTION("""COMPUTED_VALUE"""),2)</f>
        <v>2</v>
      </c>
      <c r="K306" s="32"/>
      <c r="L306" s="32">
        <f ca="1">IFERROR(__xludf.DUMMYFUNCTION("""COMPUTED_VALUE"""),1)</f>
        <v>1</v>
      </c>
      <c r="M306" s="32"/>
      <c r="N306" s="31">
        <f ca="1">IFERROR(__xludf.DUMMYFUNCTION("""COMPUTED_VALUE"""),0)</f>
        <v>0</v>
      </c>
      <c r="O306" s="32">
        <f ca="1">IFERROR(__xludf.DUMMYFUNCTION("""COMPUTED_VALUE"""),0)</f>
        <v>0</v>
      </c>
      <c r="P306" s="32"/>
      <c r="Q306" s="32">
        <f ca="1">IFERROR(__xludf.DUMMYFUNCTION("""COMPUTED_VALUE"""),0)</f>
        <v>0</v>
      </c>
      <c r="R306" s="32"/>
      <c r="S306" s="31">
        <f ca="1">IFERROR(__xludf.DUMMYFUNCTION("""COMPUTED_VALUE"""),0)</f>
        <v>0</v>
      </c>
      <c r="T306" s="32">
        <f ca="1">IFERROR(__xludf.DUMMYFUNCTION("""COMPUTED_VALUE"""),0)</f>
        <v>0</v>
      </c>
      <c r="U306" s="32"/>
      <c r="V306" s="32">
        <f ca="1">IFERROR(__xludf.DUMMYFUNCTION("""COMPUTED_VALUE"""),0)</f>
        <v>0</v>
      </c>
      <c r="W306" s="32"/>
      <c r="X306" s="32">
        <f ca="1">IFERROR(__xludf.DUMMYFUNCTION("""COMPUTED_VALUE"""),0)</f>
        <v>0</v>
      </c>
      <c r="Y306" s="32"/>
      <c r="Z306" s="2"/>
      <c r="AA306" s="2"/>
      <c r="AB306" s="2"/>
      <c r="AC306" s="2"/>
      <c r="AD306" s="2"/>
      <c r="AE306" s="2"/>
    </row>
    <row r="307" spans="1:31" ht="12.75" x14ac:dyDescent="0.2">
      <c r="A307" s="28">
        <f ca="1">IFERROR(__xludf.DUMMYFUNCTION("""COMPUTED_VALUE"""),68)</f>
        <v>68</v>
      </c>
      <c r="B307" s="29" t="str">
        <f ca="1">IFERROR(__xludf.DUMMYFUNCTION("""COMPUTED_VALUE"""),"Nhóm trẻ 151")</f>
        <v>Nhóm trẻ 151</v>
      </c>
      <c r="C307" s="33" t="str">
        <f ca="1">IFERROR(__xludf.DUMMYFUNCTION("""COMPUTED_VALUE"""),"MN")</f>
        <v>MN</v>
      </c>
      <c r="D307" s="30" t="str">
        <f ca="1">IFERROR(__xludf.DUMMYFUNCTION("""COMPUTED_VALUE"""),"Tp. Thủ Đức")</f>
        <v>Tp. Thủ Đức</v>
      </c>
      <c r="E307" s="31">
        <f ca="1">IFERROR(__xludf.DUMMYFUNCTION("""COMPUTED_VALUE"""),3)</f>
        <v>3</v>
      </c>
      <c r="F307" s="32">
        <f ca="1">IFERROR(__xludf.DUMMYFUNCTION("""COMPUTED_VALUE"""),3)</f>
        <v>3</v>
      </c>
      <c r="G307" s="32"/>
      <c r="H307" s="32">
        <f ca="1">IFERROR(__xludf.DUMMYFUNCTION("""COMPUTED_VALUE"""),3)</f>
        <v>3</v>
      </c>
      <c r="I307" s="32"/>
      <c r="J307" s="32">
        <f ca="1">IFERROR(__xludf.DUMMYFUNCTION("""COMPUTED_VALUE"""),2)</f>
        <v>2</v>
      </c>
      <c r="K307" s="32"/>
      <c r="L307" s="32">
        <f ca="1">IFERROR(__xludf.DUMMYFUNCTION("""COMPUTED_VALUE"""),1)</f>
        <v>1</v>
      </c>
      <c r="M307" s="32"/>
      <c r="N307" s="31">
        <f ca="1">IFERROR(__xludf.DUMMYFUNCTION("""COMPUTED_VALUE"""),0)</f>
        <v>0</v>
      </c>
      <c r="O307" s="32">
        <f ca="1">IFERROR(__xludf.DUMMYFUNCTION("""COMPUTED_VALUE"""),0)</f>
        <v>0</v>
      </c>
      <c r="P307" s="32"/>
      <c r="Q307" s="32">
        <f ca="1">IFERROR(__xludf.DUMMYFUNCTION("""COMPUTED_VALUE"""),0)</f>
        <v>0</v>
      </c>
      <c r="R307" s="32"/>
      <c r="S307" s="31">
        <f ca="1">IFERROR(__xludf.DUMMYFUNCTION("""COMPUTED_VALUE"""),0)</f>
        <v>0</v>
      </c>
      <c r="T307" s="32">
        <f ca="1">IFERROR(__xludf.DUMMYFUNCTION("""COMPUTED_VALUE"""),0)</f>
        <v>0</v>
      </c>
      <c r="U307" s="32"/>
      <c r="V307" s="32">
        <f ca="1">IFERROR(__xludf.DUMMYFUNCTION("""COMPUTED_VALUE"""),0)</f>
        <v>0</v>
      </c>
      <c r="W307" s="32"/>
      <c r="X307" s="32">
        <f ca="1">IFERROR(__xludf.DUMMYFUNCTION("""COMPUTED_VALUE"""),0)</f>
        <v>0</v>
      </c>
      <c r="Y307" s="32"/>
      <c r="Z307" s="2"/>
      <c r="AA307" s="2"/>
      <c r="AB307" s="2"/>
      <c r="AC307" s="2"/>
      <c r="AD307" s="2"/>
      <c r="AE307" s="2"/>
    </row>
    <row r="308" spans="1:31" ht="12.75" x14ac:dyDescent="0.2">
      <c r="A308" s="28">
        <f ca="1">IFERROR(__xludf.DUMMYFUNCTION("""COMPUTED_VALUE"""),69)</f>
        <v>69</v>
      </c>
      <c r="B308" s="29" t="str">
        <f ca="1">IFERROR(__xludf.DUMMYFUNCTION("""COMPUTED_VALUE"""),"NT Ban Mai Xanh")</f>
        <v>NT Ban Mai Xanh</v>
      </c>
      <c r="C308" s="33" t="str">
        <f ca="1">IFERROR(__xludf.DUMMYFUNCTION("""COMPUTED_VALUE"""),"MN")</f>
        <v>MN</v>
      </c>
      <c r="D308" s="30" t="str">
        <f ca="1">IFERROR(__xludf.DUMMYFUNCTION("""COMPUTED_VALUE"""),"Tp. Thủ Đức")</f>
        <v>Tp. Thủ Đức</v>
      </c>
      <c r="E308" s="31">
        <f ca="1">IFERROR(__xludf.DUMMYFUNCTION("""COMPUTED_VALUE"""),3)</f>
        <v>3</v>
      </c>
      <c r="F308" s="32">
        <f ca="1">IFERROR(__xludf.DUMMYFUNCTION("""COMPUTED_VALUE"""),3)</f>
        <v>3</v>
      </c>
      <c r="G308" s="32"/>
      <c r="H308" s="32">
        <f ca="1">IFERROR(__xludf.DUMMYFUNCTION("""COMPUTED_VALUE"""),3)</f>
        <v>3</v>
      </c>
      <c r="I308" s="32"/>
      <c r="J308" s="32">
        <f ca="1">IFERROR(__xludf.DUMMYFUNCTION("""COMPUTED_VALUE"""),2)</f>
        <v>2</v>
      </c>
      <c r="K308" s="32"/>
      <c r="L308" s="32">
        <f ca="1">IFERROR(__xludf.DUMMYFUNCTION("""COMPUTED_VALUE"""),0)</f>
        <v>0</v>
      </c>
      <c r="M308" s="32"/>
      <c r="N308" s="31">
        <f ca="1">IFERROR(__xludf.DUMMYFUNCTION("""COMPUTED_VALUE"""),0)</f>
        <v>0</v>
      </c>
      <c r="O308" s="32">
        <f ca="1">IFERROR(__xludf.DUMMYFUNCTION("""COMPUTED_VALUE"""),0)</f>
        <v>0</v>
      </c>
      <c r="P308" s="32"/>
      <c r="Q308" s="32">
        <f ca="1">IFERROR(__xludf.DUMMYFUNCTION("""COMPUTED_VALUE"""),0)</f>
        <v>0</v>
      </c>
      <c r="R308" s="32"/>
      <c r="S308" s="31">
        <f ca="1">IFERROR(__xludf.DUMMYFUNCTION("""COMPUTED_VALUE"""),0)</f>
        <v>0</v>
      </c>
      <c r="T308" s="32">
        <f ca="1">IFERROR(__xludf.DUMMYFUNCTION("""COMPUTED_VALUE"""),0)</f>
        <v>0</v>
      </c>
      <c r="U308" s="32"/>
      <c r="V308" s="32">
        <f ca="1">IFERROR(__xludf.DUMMYFUNCTION("""COMPUTED_VALUE"""),0)</f>
        <v>0</v>
      </c>
      <c r="W308" s="32"/>
      <c r="X308" s="32">
        <f ca="1">IFERROR(__xludf.DUMMYFUNCTION("""COMPUTED_VALUE"""),0)</f>
        <v>0</v>
      </c>
      <c r="Y308" s="32"/>
      <c r="Z308" s="2"/>
      <c r="AA308" s="2"/>
      <c r="AB308" s="2"/>
      <c r="AC308" s="2"/>
      <c r="AD308" s="2"/>
      <c r="AE308" s="2"/>
    </row>
    <row r="309" spans="1:31" ht="12.75" x14ac:dyDescent="0.2">
      <c r="A309" s="28">
        <f ca="1">IFERROR(__xludf.DUMMYFUNCTION("""COMPUTED_VALUE"""),70)</f>
        <v>70</v>
      </c>
      <c r="B309" s="29" t="str">
        <f ca="1">IFERROR(__xludf.DUMMYFUNCTION("""COMPUTED_VALUE"""),"LMG Ngôi Sao Sáng")</f>
        <v>LMG Ngôi Sao Sáng</v>
      </c>
      <c r="C309" s="33" t="str">
        <f ca="1">IFERROR(__xludf.DUMMYFUNCTION("""COMPUTED_VALUE"""),"MN")</f>
        <v>MN</v>
      </c>
      <c r="D309" s="30" t="str">
        <f ca="1">IFERROR(__xludf.DUMMYFUNCTION("""COMPUTED_VALUE"""),"Tp. Thủ Đức")</f>
        <v>Tp. Thủ Đức</v>
      </c>
      <c r="E309" s="31">
        <f ca="1">IFERROR(__xludf.DUMMYFUNCTION("""COMPUTED_VALUE"""),7)</f>
        <v>7</v>
      </c>
      <c r="F309" s="32">
        <f ca="1">IFERROR(__xludf.DUMMYFUNCTION("""COMPUTED_VALUE"""),7)</f>
        <v>7</v>
      </c>
      <c r="G309" s="32"/>
      <c r="H309" s="32">
        <f ca="1">IFERROR(__xludf.DUMMYFUNCTION("""COMPUTED_VALUE"""),7)</f>
        <v>7</v>
      </c>
      <c r="I309" s="32"/>
      <c r="J309" s="32">
        <f ca="1">IFERROR(__xludf.DUMMYFUNCTION("""COMPUTED_VALUE"""),4)</f>
        <v>4</v>
      </c>
      <c r="K309" s="32"/>
      <c r="L309" s="32">
        <f ca="1">IFERROR(__xludf.DUMMYFUNCTION("""COMPUTED_VALUE"""),1)</f>
        <v>1</v>
      </c>
      <c r="M309" s="32"/>
      <c r="N309" s="31">
        <f ca="1">IFERROR(__xludf.DUMMYFUNCTION("""COMPUTED_VALUE"""),0)</f>
        <v>0</v>
      </c>
      <c r="O309" s="32">
        <f ca="1">IFERROR(__xludf.DUMMYFUNCTION("""COMPUTED_VALUE"""),0)</f>
        <v>0</v>
      </c>
      <c r="P309" s="32"/>
      <c r="Q309" s="32">
        <f ca="1">IFERROR(__xludf.DUMMYFUNCTION("""COMPUTED_VALUE"""),0)</f>
        <v>0</v>
      </c>
      <c r="R309" s="32"/>
      <c r="S309" s="31">
        <f ca="1">IFERROR(__xludf.DUMMYFUNCTION("""COMPUTED_VALUE"""),0)</f>
        <v>0</v>
      </c>
      <c r="T309" s="32">
        <f ca="1">IFERROR(__xludf.DUMMYFUNCTION("""COMPUTED_VALUE"""),0)</f>
        <v>0</v>
      </c>
      <c r="U309" s="32"/>
      <c r="V309" s="32">
        <f ca="1">IFERROR(__xludf.DUMMYFUNCTION("""COMPUTED_VALUE"""),0)</f>
        <v>0</v>
      </c>
      <c r="W309" s="32"/>
      <c r="X309" s="32">
        <f ca="1">IFERROR(__xludf.DUMMYFUNCTION("""COMPUTED_VALUE"""),0)</f>
        <v>0</v>
      </c>
      <c r="Y309" s="32"/>
      <c r="Z309" s="2"/>
      <c r="AA309" s="2"/>
      <c r="AB309" s="2"/>
      <c r="AC309" s="2"/>
      <c r="AD309" s="2"/>
      <c r="AE309" s="2"/>
    </row>
    <row r="310" spans="1:31" ht="12.75" x14ac:dyDescent="0.2">
      <c r="A310" s="28">
        <f ca="1">IFERROR(__xludf.DUMMYFUNCTION("""COMPUTED_VALUE"""),71)</f>
        <v>71</v>
      </c>
      <c r="B310" s="29" t="str">
        <f ca="1">IFERROR(__xludf.DUMMYFUNCTION("""COMPUTED_VALUE"""),"LMG Chuông Vàng")</f>
        <v>LMG Chuông Vàng</v>
      </c>
      <c r="C310" s="33" t="str">
        <f ca="1">IFERROR(__xludf.DUMMYFUNCTION("""COMPUTED_VALUE"""),"MN")</f>
        <v>MN</v>
      </c>
      <c r="D310" s="30" t="str">
        <f ca="1">IFERROR(__xludf.DUMMYFUNCTION("""COMPUTED_VALUE"""),"Tp. Thủ Đức")</f>
        <v>Tp. Thủ Đức</v>
      </c>
      <c r="E310" s="31">
        <f ca="1">IFERROR(__xludf.DUMMYFUNCTION("""COMPUTED_VALUE"""),5)</f>
        <v>5</v>
      </c>
      <c r="F310" s="32">
        <f ca="1">IFERROR(__xludf.DUMMYFUNCTION("""COMPUTED_VALUE"""),5)</f>
        <v>5</v>
      </c>
      <c r="G310" s="32"/>
      <c r="H310" s="32">
        <f ca="1">IFERROR(__xludf.DUMMYFUNCTION("""COMPUTED_VALUE"""),5)</f>
        <v>5</v>
      </c>
      <c r="I310" s="32"/>
      <c r="J310" s="32">
        <f ca="1">IFERROR(__xludf.DUMMYFUNCTION("""COMPUTED_VALUE"""),5)</f>
        <v>5</v>
      </c>
      <c r="K310" s="32"/>
      <c r="L310" s="32">
        <f ca="1">IFERROR(__xludf.DUMMYFUNCTION("""COMPUTED_VALUE"""),0)</f>
        <v>0</v>
      </c>
      <c r="M310" s="32"/>
      <c r="N310" s="31">
        <f ca="1">IFERROR(__xludf.DUMMYFUNCTION("""COMPUTED_VALUE"""),0)</f>
        <v>0</v>
      </c>
      <c r="O310" s="32">
        <f ca="1">IFERROR(__xludf.DUMMYFUNCTION("""COMPUTED_VALUE"""),0)</f>
        <v>0</v>
      </c>
      <c r="P310" s="32"/>
      <c r="Q310" s="32">
        <f ca="1">IFERROR(__xludf.DUMMYFUNCTION("""COMPUTED_VALUE"""),0)</f>
        <v>0</v>
      </c>
      <c r="R310" s="32"/>
      <c r="S310" s="31">
        <f ca="1">IFERROR(__xludf.DUMMYFUNCTION("""COMPUTED_VALUE"""),0)</f>
        <v>0</v>
      </c>
      <c r="T310" s="32">
        <f ca="1">IFERROR(__xludf.DUMMYFUNCTION("""COMPUTED_VALUE"""),0)</f>
        <v>0</v>
      </c>
      <c r="U310" s="32"/>
      <c r="V310" s="32">
        <f ca="1">IFERROR(__xludf.DUMMYFUNCTION("""COMPUTED_VALUE"""),0)</f>
        <v>0</v>
      </c>
      <c r="W310" s="32"/>
      <c r="X310" s="32">
        <f ca="1">IFERROR(__xludf.DUMMYFUNCTION("""COMPUTED_VALUE"""),0)</f>
        <v>0</v>
      </c>
      <c r="Y310" s="32"/>
      <c r="Z310" s="2"/>
      <c r="AA310" s="2"/>
      <c r="AB310" s="2"/>
      <c r="AC310" s="2"/>
      <c r="AD310" s="2"/>
      <c r="AE310" s="2"/>
    </row>
    <row r="311" spans="1:31" ht="12.75" x14ac:dyDescent="0.2">
      <c r="A311" s="28">
        <f ca="1">IFERROR(__xludf.DUMMYFUNCTION("""COMPUTED_VALUE"""),72)</f>
        <v>72</v>
      </c>
      <c r="B311" s="29" t="str">
        <f ca="1">IFERROR(__xludf.DUMMYFUNCTION("""COMPUTED_VALUE"""),"LMG Bình Minh Nguyên")</f>
        <v>LMG Bình Minh Nguyên</v>
      </c>
      <c r="C311" s="33" t="str">
        <f ca="1">IFERROR(__xludf.DUMMYFUNCTION("""COMPUTED_VALUE"""),"MN")</f>
        <v>MN</v>
      </c>
      <c r="D311" s="30" t="str">
        <f ca="1">IFERROR(__xludf.DUMMYFUNCTION("""COMPUTED_VALUE"""),"Tp. Thủ Đức")</f>
        <v>Tp. Thủ Đức</v>
      </c>
      <c r="E311" s="31">
        <f ca="1">IFERROR(__xludf.DUMMYFUNCTION("""COMPUTED_VALUE"""),4)</f>
        <v>4</v>
      </c>
      <c r="F311" s="32">
        <f ca="1">IFERROR(__xludf.DUMMYFUNCTION("""COMPUTED_VALUE"""),4)</f>
        <v>4</v>
      </c>
      <c r="G311" s="32"/>
      <c r="H311" s="32">
        <f ca="1">IFERROR(__xludf.DUMMYFUNCTION("""COMPUTED_VALUE"""),4)</f>
        <v>4</v>
      </c>
      <c r="I311" s="32"/>
      <c r="J311" s="32">
        <f ca="1">IFERROR(__xludf.DUMMYFUNCTION("""COMPUTED_VALUE"""),3)</f>
        <v>3</v>
      </c>
      <c r="K311" s="32"/>
      <c r="L311" s="32">
        <f ca="1">IFERROR(__xludf.DUMMYFUNCTION("""COMPUTED_VALUE"""),2)</f>
        <v>2</v>
      </c>
      <c r="M311" s="32"/>
      <c r="N311" s="31">
        <f ca="1">IFERROR(__xludf.DUMMYFUNCTION("""COMPUTED_VALUE"""),0)</f>
        <v>0</v>
      </c>
      <c r="O311" s="32">
        <f ca="1">IFERROR(__xludf.DUMMYFUNCTION("""COMPUTED_VALUE"""),0)</f>
        <v>0</v>
      </c>
      <c r="P311" s="32"/>
      <c r="Q311" s="32">
        <f ca="1">IFERROR(__xludf.DUMMYFUNCTION("""COMPUTED_VALUE"""),0)</f>
        <v>0</v>
      </c>
      <c r="R311" s="32"/>
      <c r="S311" s="31">
        <f ca="1">IFERROR(__xludf.DUMMYFUNCTION("""COMPUTED_VALUE"""),0)</f>
        <v>0</v>
      </c>
      <c r="T311" s="32">
        <f ca="1">IFERROR(__xludf.DUMMYFUNCTION("""COMPUTED_VALUE"""),0)</f>
        <v>0</v>
      </c>
      <c r="U311" s="32"/>
      <c r="V311" s="32">
        <f ca="1">IFERROR(__xludf.DUMMYFUNCTION("""COMPUTED_VALUE"""),0)</f>
        <v>0</v>
      </c>
      <c r="W311" s="32"/>
      <c r="X311" s="32">
        <f ca="1">IFERROR(__xludf.DUMMYFUNCTION("""COMPUTED_VALUE"""),0)</f>
        <v>0</v>
      </c>
      <c r="Y311" s="32"/>
      <c r="Z311" s="2"/>
      <c r="AA311" s="2"/>
      <c r="AB311" s="2"/>
      <c r="AC311" s="2"/>
      <c r="AD311" s="2"/>
      <c r="AE311" s="2"/>
    </row>
    <row r="312" spans="1:31" ht="12.75" x14ac:dyDescent="0.2">
      <c r="A312" s="28">
        <f ca="1">IFERROR(__xludf.DUMMYFUNCTION("""COMPUTED_VALUE"""),73)</f>
        <v>73</v>
      </c>
      <c r="B312" s="29" t="str">
        <f ca="1">IFERROR(__xludf.DUMMYFUNCTION("""COMPUTED_VALUE"""),"LMG Hoa Thiên Phú")</f>
        <v>LMG Hoa Thiên Phú</v>
      </c>
      <c r="C312" s="33" t="str">
        <f ca="1">IFERROR(__xludf.DUMMYFUNCTION("""COMPUTED_VALUE"""),"MN")</f>
        <v>MN</v>
      </c>
      <c r="D312" s="30" t="str">
        <f ca="1">IFERROR(__xludf.DUMMYFUNCTION("""COMPUTED_VALUE"""),"Tp. Thủ Đức")</f>
        <v>Tp. Thủ Đức</v>
      </c>
      <c r="E312" s="31">
        <f ca="1">IFERROR(__xludf.DUMMYFUNCTION("""COMPUTED_VALUE"""),4)</f>
        <v>4</v>
      </c>
      <c r="F312" s="32">
        <f ca="1">IFERROR(__xludf.DUMMYFUNCTION("""COMPUTED_VALUE"""),4)</f>
        <v>4</v>
      </c>
      <c r="G312" s="32"/>
      <c r="H312" s="32">
        <f ca="1">IFERROR(__xludf.DUMMYFUNCTION("""COMPUTED_VALUE"""),4)</f>
        <v>4</v>
      </c>
      <c r="I312" s="32"/>
      <c r="J312" s="32">
        <f ca="1">IFERROR(__xludf.DUMMYFUNCTION("""COMPUTED_VALUE"""),4)</f>
        <v>4</v>
      </c>
      <c r="K312" s="32"/>
      <c r="L312" s="32">
        <f ca="1">IFERROR(__xludf.DUMMYFUNCTION("""COMPUTED_VALUE"""),0)</f>
        <v>0</v>
      </c>
      <c r="M312" s="32"/>
      <c r="N312" s="31">
        <f ca="1">IFERROR(__xludf.DUMMYFUNCTION("""COMPUTED_VALUE"""),0)</f>
        <v>0</v>
      </c>
      <c r="O312" s="32">
        <f ca="1">IFERROR(__xludf.DUMMYFUNCTION("""COMPUTED_VALUE"""),0)</f>
        <v>0</v>
      </c>
      <c r="P312" s="32"/>
      <c r="Q312" s="32">
        <f ca="1">IFERROR(__xludf.DUMMYFUNCTION("""COMPUTED_VALUE"""),0)</f>
        <v>0</v>
      </c>
      <c r="R312" s="32"/>
      <c r="S312" s="31">
        <f ca="1">IFERROR(__xludf.DUMMYFUNCTION("""COMPUTED_VALUE"""),0)</f>
        <v>0</v>
      </c>
      <c r="T312" s="32">
        <f ca="1">IFERROR(__xludf.DUMMYFUNCTION("""COMPUTED_VALUE"""),0)</f>
        <v>0</v>
      </c>
      <c r="U312" s="32"/>
      <c r="V312" s="32">
        <f ca="1">IFERROR(__xludf.DUMMYFUNCTION("""COMPUTED_VALUE"""),0)</f>
        <v>0</v>
      </c>
      <c r="W312" s="32"/>
      <c r="X312" s="32">
        <f ca="1">IFERROR(__xludf.DUMMYFUNCTION("""COMPUTED_VALUE"""),0)</f>
        <v>0</v>
      </c>
      <c r="Y312" s="32"/>
      <c r="Z312" s="2"/>
      <c r="AA312" s="2"/>
      <c r="AB312" s="2"/>
      <c r="AC312" s="2"/>
      <c r="AD312" s="2"/>
      <c r="AE312" s="2"/>
    </row>
    <row r="313" spans="1:31" ht="12.75" x14ac:dyDescent="0.2">
      <c r="A313" s="28">
        <f ca="1">IFERROR(__xludf.DUMMYFUNCTION("""COMPUTED_VALUE"""),74)</f>
        <v>74</v>
      </c>
      <c r="B313" s="29" t="str">
        <f ca="1">IFERROR(__xludf.DUMMYFUNCTION("""COMPUTED_VALUE"""),"NT Long Thiện Mỹ")</f>
        <v>NT Long Thiện Mỹ</v>
      </c>
      <c r="C313" s="33" t="str">
        <f ca="1">IFERROR(__xludf.DUMMYFUNCTION("""COMPUTED_VALUE"""),"MN")</f>
        <v>MN</v>
      </c>
      <c r="D313" s="30" t="str">
        <f ca="1">IFERROR(__xludf.DUMMYFUNCTION("""COMPUTED_VALUE"""),"Tp. Thủ Đức")</f>
        <v>Tp. Thủ Đức</v>
      </c>
      <c r="E313" s="31">
        <f ca="1">IFERROR(__xludf.DUMMYFUNCTION("""COMPUTED_VALUE"""),3)</f>
        <v>3</v>
      </c>
      <c r="F313" s="32">
        <f ca="1">IFERROR(__xludf.DUMMYFUNCTION("""COMPUTED_VALUE"""),3)</f>
        <v>3</v>
      </c>
      <c r="G313" s="32"/>
      <c r="H313" s="32">
        <f ca="1">IFERROR(__xludf.DUMMYFUNCTION("""COMPUTED_VALUE"""),3)</f>
        <v>3</v>
      </c>
      <c r="I313" s="32"/>
      <c r="J313" s="32">
        <f ca="1">IFERROR(__xludf.DUMMYFUNCTION("""COMPUTED_VALUE"""),2)</f>
        <v>2</v>
      </c>
      <c r="K313" s="32"/>
      <c r="L313" s="32">
        <f ca="1">IFERROR(__xludf.DUMMYFUNCTION("""COMPUTED_VALUE"""),1)</f>
        <v>1</v>
      </c>
      <c r="M313" s="32"/>
      <c r="N313" s="31">
        <f ca="1">IFERROR(__xludf.DUMMYFUNCTION("""COMPUTED_VALUE"""),0)</f>
        <v>0</v>
      </c>
      <c r="O313" s="32">
        <f ca="1">IFERROR(__xludf.DUMMYFUNCTION("""COMPUTED_VALUE"""),0)</f>
        <v>0</v>
      </c>
      <c r="P313" s="32"/>
      <c r="Q313" s="32">
        <f ca="1">IFERROR(__xludf.DUMMYFUNCTION("""COMPUTED_VALUE"""),0)</f>
        <v>0</v>
      </c>
      <c r="R313" s="32"/>
      <c r="S313" s="31">
        <f ca="1">IFERROR(__xludf.DUMMYFUNCTION("""COMPUTED_VALUE"""),0)</f>
        <v>0</v>
      </c>
      <c r="T313" s="32">
        <f ca="1">IFERROR(__xludf.DUMMYFUNCTION("""COMPUTED_VALUE"""),0)</f>
        <v>0</v>
      </c>
      <c r="U313" s="32"/>
      <c r="V313" s="32">
        <f ca="1">IFERROR(__xludf.DUMMYFUNCTION("""COMPUTED_VALUE"""),0)</f>
        <v>0</v>
      </c>
      <c r="W313" s="32"/>
      <c r="X313" s="32">
        <f ca="1">IFERROR(__xludf.DUMMYFUNCTION("""COMPUTED_VALUE"""),0)</f>
        <v>0</v>
      </c>
      <c r="Y313" s="32"/>
      <c r="Z313" s="2"/>
      <c r="AA313" s="2"/>
      <c r="AB313" s="2"/>
      <c r="AC313" s="2"/>
      <c r="AD313" s="2"/>
      <c r="AE313" s="2"/>
    </row>
    <row r="314" spans="1:31" ht="12.75" x14ac:dyDescent="0.2">
      <c r="A314" s="28">
        <f ca="1">IFERROR(__xludf.DUMMYFUNCTION("""COMPUTED_VALUE"""),75)</f>
        <v>75</v>
      </c>
      <c r="B314" s="29" t="str">
        <f ca="1">IFERROR(__xludf.DUMMYFUNCTION("""COMPUTED_VALUE"""),"LMG Ánh Dương")</f>
        <v>LMG Ánh Dương</v>
      </c>
      <c r="C314" s="33" t="str">
        <f ca="1">IFERROR(__xludf.DUMMYFUNCTION("""COMPUTED_VALUE"""),"MN")</f>
        <v>MN</v>
      </c>
      <c r="D314" s="30" t="str">
        <f ca="1">IFERROR(__xludf.DUMMYFUNCTION("""COMPUTED_VALUE"""),"Tp. Thủ Đức")</f>
        <v>Tp. Thủ Đức</v>
      </c>
      <c r="E314" s="31">
        <f ca="1">IFERROR(__xludf.DUMMYFUNCTION("""COMPUTED_VALUE"""),2)</f>
        <v>2</v>
      </c>
      <c r="F314" s="32">
        <f ca="1">IFERROR(__xludf.DUMMYFUNCTION("""COMPUTED_VALUE"""),2)</f>
        <v>2</v>
      </c>
      <c r="G314" s="32"/>
      <c r="H314" s="32">
        <f ca="1">IFERROR(__xludf.DUMMYFUNCTION("""COMPUTED_VALUE"""),2)</f>
        <v>2</v>
      </c>
      <c r="I314" s="32"/>
      <c r="J314" s="32">
        <f ca="1">IFERROR(__xludf.DUMMYFUNCTION("""COMPUTED_VALUE"""),1)</f>
        <v>1</v>
      </c>
      <c r="K314" s="32"/>
      <c r="L314" s="32">
        <f ca="1">IFERROR(__xludf.DUMMYFUNCTION("""COMPUTED_VALUE"""),1)</f>
        <v>1</v>
      </c>
      <c r="M314" s="32"/>
      <c r="N314" s="31">
        <f ca="1">IFERROR(__xludf.DUMMYFUNCTION("""COMPUTED_VALUE"""),0)</f>
        <v>0</v>
      </c>
      <c r="O314" s="32">
        <f ca="1">IFERROR(__xludf.DUMMYFUNCTION("""COMPUTED_VALUE"""),0)</f>
        <v>0</v>
      </c>
      <c r="P314" s="32"/>
      <c r="Q314" s="32">
        <f ca="1">IFERROR(__xludf.DUMMYFUNCTION("""COMPUTED_VALUE"""),0)</f>
        <v>0</v>
      </c>
      <c r="R314" s="32"/>
      <c r="S314" s="31">
        <f ca="1">IFERROR(__xludf.DUMMYFUNCTION("""COMPUTED_VALUE"""),0)</f>
        <v>0</v>
      </c>
      <c r="T314" s="32">
        <f ca="1">IFERROR(__xludf.DUMMYFUNCTION("""COMPUTED_VALUE"""),0)</f>
        <v>0</v>
      </c>
      <c r="U314" s="32"/>
      <c r="V314" s="32">
        <f ca="1">IFERROR(__xludf.DUMMYFUNCTION("""COMPUTED_VALUE"""),0)</f>
        <v>0</v>
      </c>
      <c r="W314" s="32"/>
      <c r="X314" s="32">
        <f ca="1">IFERROR(__xludf.DUMMYFUNCTION("""COMPUTED_VALUE"""),0)</f>
        <v>0</v>
      </c>
      <c r="Y314" s="32"/>
      <c r="Z314" s="2"/>
      <c r="AA314" s="2"/>
      <c r="AB314" s="2"/>
      <c r="AC314" s="2"/>
      <c r="AD314" s="2"/>
      <c r="AE314" s="2"/>
    </row>
    <row r="315" spans="1:31" ht="12.75" x14ac:dyDescent="0.2">
      <c r="A315" s="28">
        <f ca="1">IFERROR(__xludf.DUMMYFUNCTION("""COMPUTED_VALUE"""),76)</f>
        <v>76</v>
      </c>
      <c r="B315" s="29" t="str">
        <f ca="1">IFERROR(__xludf.DUMMYFUNCTION("""COMPUTED_VALUE"""),"LMG Tuổi Thần Tiên")</f>
        <v>LMG Tuổi Thần Tiên</v>
      </c>
      <c r="C315" s="33" t="str">
        <f ca="1">IFERROR(__xludf.DUMMYFUNCTION("""COMPUTED_VALUE"""),"MN")</f>
        <v>MN</v>
      </c>
      <c r="D315" s="30" t="str">
        <f ca="1">IFERROR(__xludf.DUMMYFUNCTION("""COMPUTED_VALUE"""),"Tp. Thủ Đức")</f>
        <v>Tp. Thủ Đức</v>
      </c>
      <c r="E315" s="31">
        <f ca="1">IFERROR(__xludf.DUMMYFUNCTION("""COMPUTED_VALUE"""),5)</f>
        <v>5</v>
      </c>
      <c r="F315" s="32">
        <f ca="1">IFERROR(__xludf.DUMMYFUNCTION("""COMPUTED_VALUE"""),5)</f>
        <v>5</v>
      </c>
      <c r="G315" s="32"/>
      <c r="H315" s="32">
        <f ca="1">IFERROR(__xludf.DUMMYFUNCTION("""COMPUTED_VALUE"""),5)</f>
        <v>5</v>
      </c>
      <c r="I315" s="32"/>
      <c r="J315" s="32">
        <f ca="1">IFERROR(__xludf.DUMMYFUNCTION("""COMPUTED_VALUE"""),5)</f>
        <v>5</v>
      </c>
      <c r="K315" s="32"/>
      <c r="L315" s="32">
        <f ca="1">IFERROR(__xludf.DUMMYFUNCTION("""COMPUTED_VALUE"""),0)</f>
        <v>0</v>
      </c>
      <c r="M315" s="32"/>
      <c r="N315" s="31">
        <f ca="1">IFERROR(__xludf.DUMMYFUNCTION("""COMPUTED_VALUE"""),0)</f>
        <v>0</v>
      </c>
      <c r="O315" s="32">
        <f ca="1">IFERROR(__xludf.DUMMYFUNCTION("""COMPUTED_VALUE"""),0)</f>
        <v>0</v>
      </c>
      <c r="P315" s="32"/>
      <c r="Q315" s="32">
        <f ca="1">IFERROR(__xludf.DUMMYFUNCTION("""COMPUTED_VALUE"""),0)</f>
        <v>0</v>
      </c>
      <c r="R315" s="32"/>
      <c r="S315" s="31">
        <f ca="1">IFERROR(__xludf.DUMMYFUNCTION("""COMPUTED_VALUE"""),0)</f>
        <v>0</v>
      </c>
      <c r="T315" s="32">
        <f ca="1">IFERROR(__xludf.DUMMYFUNCTION("""COMPUTED_VALUE"""),0)</f>
        <v>0</v>
      </c>
      <c r="U315" s="32"/>
      <c r="V315" s="32">
        <f ca="1">IFERROR(__xludf.DUMMYFUNCTION("""COMPUTED_VALUE"""),0)</f>
        <v>0</v>
      </c>
      <c r="W315" s="32"/>
      <c r="X315" s="32">
        <f ca="1">IFERROR(__xludf.DUMMYFUNCTION("""COMPUTED_VALUE"""),0)</f>
        <v>0</v>
      </c>
      <c r="Y315" s="32"/>
      <c r="Z315" s="2"/>
      <c r="AA315" s="2"/>
      <c r="AB315" s="2"/>
      <c r="AC315" s="2"/>
      <c r="AD315" s="2"/>
      <c r="AE315" s="2"/>
    </row>
    <row r="316" spans="1:31" ht="12.75" x14ac:dyDescent="0.2">
      <c r="A316" s="28">
        <f ca="1">IFERROR(__xludf.DUMMYFUNCTION("""COMPUTED_VALUE"""),77)</f>
        <v>77</v>
      </c>
      <c r="B316" s="29" t="str">
        <f ca="1">IFERROR(__xludf.DUMMYFUNCTION("""COMPUTED_VALUE"""),"LMG Phương Đông")</f>
        <v>LMG Phương Đông</v>
      </c>
      <c r="C316" s="33" t="str">
        <f ca="1">IFERROR(__xludf.DUMMYFUNCTION("""COMPUTED_VALUE"""),"MN")</f>
        <v>MN</v>
      </c>
      <c r="D316" s="30" t="str">
        <f ca="1">IFERROR(__xludf.DUMMYFUNCTION("""COMPUTED_VALUE"""),"Tp. Thủ Đức")</f>
        <v>Tp. Thủ Đức</v>
      </c>
      <c r="E316" s="31">
        <f ca="1">IFERROR(__xludf.DUMMYFUNCTION("""COMPUTED_VALUE"""),5)</f>
        <v>5</v>
      </c>
      <c r="F316" s="32">
        <f ca="1">IFERROR(__xludf.DUMMYFUNCTION("""COMPUTED_VALUE"""),5)</f>
        <v>5</v>
      </c>
      <c r="G316" s="32"/>
      <c r="H316" s="32">
        <f ca="1">IFERROR(__xludf.DUMMYFUNCTION("""COMPUTED_VALUE"""),5)</f>
        <v>5</v>
      </c>
      <c r="I316" s="32"/>
      <c r="J316" s="32">
        <f ca="1">IFERROR(__xludf.DUMMYFUNCTION("""COMPUTED_VALUE"""),5)</f>
        <v>5</v>
      </c>
      <c r="K316" s="32"/>
      <c r="L316" s="32">
        <f ca="1">IFERROR(__xludf.DUMMYFUNCTION("""COMPUTED_VALUE"""),0)</f>
        <v>0</v>
      </c>
      <c r="M316" s="32"/>
      <c r="N316" s="31">
        <f ca="1">IFERROR(__xludf.DUMMYFUNCTION("""COMPUTED_VALUE"""),0)</f>
        <v>0</v>
      </c>
      <c r="O316" s="32">
        <f ca="1">IFERROR(__xludf.DUMMYFUNCTION("""COMPUTED_VALUE"""),0)</f>
        <v>0</v>
      </c>
      <c r="P316" s="32"/>
      <c r="Q316" s="32">
        <f ca="1">IFERROR(__xludf.DUMMYFUNCTION("""COMPUTED_VALUE"""),0)</f>
        <v>0</v>
      </c>
      <c r="R316" s="32"/>
      <c r="S316" s="31">
        <f ca="1">IFERROR(__xludf.DUMMYFUNCTION("""COMPUTED_VALUE"""),0)</f>
        <v>0</v>
      </c>
      <c r="T316" s="32">
        <f ca="1">IFERROR(__xludf.DUMMYFUNCTION("""COMPUTED_VALUE"""),0)</f>
        <v>0</v>
      </c>
      <c r="U316" s="32"/>
      <c r="V316" s="32">
        <f ca="1">IFERROR(__xludf.DUMMYFUNCTION("""COMPUTED_VALUE"""),0)</f>
        <v>0</v>
      </c>
      <c r="W316" s="32"/>
      <c r="X316" s="32">
        <f ca="1">IFERROR(__xludf.DUMMYFUNCTION("""COMPUTED_VALUE"""),0)</f>
        <v>0</v>
      </c>
      <c r="Y316" s="32"/>
      <c r="Z316" s="2"/>
      <c r="AA316" s="2"/>
      <c r="AB316" s="2"/>
      <c r="AC316" s="2"/>
      <c r="AD316" s="2"/>
      <c r="AE316" s="2"/>
    </row>
    <row r="317" spans="1:31" ht="12.75" x14ac:dyDescent="0.2">
      <c r="A317" s="28">
        <f ca="1">IFERROR(__xludf.DUMMYFUNCTION("""COMPUTED_VALUE"""),78)</f>
        <v>78</v>
      </c>
      <c r="B317" s="29" t="str">
        <f ca="1">IFERROR(__xludf.DUMMYFUNCTION("""COMPUTED_VALUE"""),"LMG Ngôi Sao Nhỏ")</f>
        <v>LMG Ngôi Sao Nhỏ</v>
      </c>
      <c r="C317" s="33" t="str">
        <f ca="1">IFERROR(__xludf.DUMMYFUNCTION("""COMPUTED_VALUE"""),"MN")</f>
        <v>MN</v>
      </c>
      <c r="D317" s="30" t="str">
        <f ca="1">IFERROR(__xludf.DUMMYFUNCTION("""COMPUTED_VALUE"""),"Tp. Thủ Đức")</f>
        <v>Tp. Thủ Đức</v>
      </c>
      <c r="E317" s="31">
        <f ca="1">IFERROR(__xludf.DUMMYFUNCTION("""COMPUTED_VALUE"""),4)</f>
        <v>4</v>
      </c>
      <c r="F317" s="32">
        <f ca="1">IFERROR(__xludf.DUMMYFUNCTION("""COMPUTED_VALUE"""),4)</f>
        <v>4</v>
      </c>
      <c r="G317" s="32"/>
      <c r="H317" s="32">
        <f ca="1">IFERROR(__xludf.DUMMYFUNCTION("""COMPUTED_VALUE"""),4)</f>
        <v>4</v>
      </c>
      <c r="I317" s="32"/>
      <c r="J317" s="32">
        <f ca="1">IFERROR(__xludf.DUMMYFUNCTION("""COMPUTED_VALUE"""),4)</f>
        <v>4</v>
      </c>
      <c r="K317" s="32"/>
      <c r="L317" s="32">
        <f ca="1">IFERROR(__xludf.DUMMYFUNCTION("""COMPUTED_VALUE"""),0)</f>
        <v>0</v>
      </c>
      <c r="M317" s="32"/>
      <c r="N317" s="31">
        <f ca="1">IFERROR(__xludf.DUMMYFUNCTION("""COMPUTED_VALUE"""),0)</f>
        <v>0</v>
      </c>
      <c r="O317" s="32">
        <f ca="1">IFERROR(__xludf.DUMMYFUNCTION("""COMPUTED_VALUE"""),0)</f>
        <v>0</v>
      </c>
      <c r="P317" s="32"/>
      <c r="Q317" s="32">
        <f ca="1">IFERROR(__xludf.DUMMYFUNCTION("""COMPUTED_VALUE"""),0)</f>
        <v>0</v>
      </c>
      <c r="R317" s="32"/>
      <c r="S317" s="31">
        <f ca="1">IFERROR(__xludf.DUMMYFUNCTION("""COMPUTED_VALUE"""),0)</f>
        <v>0</v>
      </c>
      <c r="T317" s="32">
        <f ca="1">IFERROR(__xludf.DUMMYFUNCTION("""COMPUTED_VALUE"""),0)</f>
        <v>0</v>
      </c>
      <c r="U317" s="32"/>
      <c r="V317" s="32">
        <f ca="1">IFERROR(__xludf.DUMMYFUNCTION("""COMPUTED_VALUE"""),0)</f>
        <v>0</v>
      </c>
      <c r="W317" s="32"/>
      <c r="X317" s="32">
        <f ca="1">IFERROR(__xludf.DUMMYFUNCTION("""COMPUTED_VALUE"""),0)</f>
        <v>0</v>
      </c>
      <c r="Y317" s="32"/>
      <c r="Z317" s="2"/>
      <c r="AA317" s="2"/>
      <c r="AB317" s="2"/>
      <c r="AC317" s="2"/>
      <c r="AD317" s="2"/>
      <c r="AE317" s="2"/>
    </row>
    <row r="318" spans="1:31" ht="12.75" x14ac:dyDescent="0.2">
      <c r="A318" s="28">
        <f ca="1">IFERROR(__xludf.DUMMYFUNCTION("""COMPUTED_VALUE"""),79)</f>
        <v>79</v>
      </c>
      <c r="B318" s="29" t="str">
        <f ca="1">IFERROR(__xludf.DUMMYFUNCTION("""COMPUTED_VALUE"""),"LMG Minh Anh")</f>
        <v>LMG Minh Anh</v>
      </c>
      <c r="C318" s="33" t="str">
        <f ca="1">IFERROR(__xludf.DUMMYFUNCTION("""COMPUTED_VALUE"""),"MN")</f>
        <v>MN</v>
      </c>
      <c r="D318" s="30" t="str">
        <f ca="1">IFERROR(__xludf.DUMMYFUNCTION("""COMPUTED_VALUE"""),"Tp. Thủ Đức")</f>
        <v>Tp. Thủ Đức</v>
      </c>
      <c r="E318" s="31">
        <f ca="1">IFERROR(__xludf.DUMMYFUNCTION("""COMPUTED_VALUE"""),2)</f>
        <v>2</v>
      </c>
      <c r="F318" s="32">
        <f ca="1">IFERROR(__xludf.DUMMYFUNCTION("""COMPUTED_VALUE"""),2)</f>
        <v>2</v>
      </c>
      <c r="G318" s="32"/>
      <c r="H318" s="32">
        <f ca="1">IFERROR(__xludf.DUMMYFUNCTION("""COMPUTED_VALUE"""),2)</f>
        <v>2</v>
      </c>
      <c r="I318" s="32"/>
      <c r="J318" s="32">
        <f ca="1">IFERROR(__xludf.DUMMYFUNCTION("""COMPUTED_VALUE"""),1)</f>
        <v>1</v>
      </c>
      <c r="K318" s="32"/>
      <c r="L318" s="32">
        <f ca="1">IFERROR(__xludf.DUMMYFUNCTION("""COMPUTED_VALUE"""),1)</f>
        <v>1</v>
      </c>
      <c r="M318" s="32"/>
      <c r="N318" s="31">
        <f ca="1">IFERROR(__xludf.DUMMYFUNCTION("""COMPUTED_VALUE"""),0)</f>
        <v>0</v>
      </c>
      <c r="O318" s="32">
        <f ca="1">IFERROR(__xludf.DUMMYFUNCTION("""COMPUTED_VALUE"""),0)</f>
        <v>0</v>
      </c>
      <c r="P318" s="32"/>
      <c r="Q318" s="32">
        <f ca="1">IFERROR(__xludf.DUMMYFUNCTION("""COMPUTED_VALUE"""),0)</f>
        <v>0</v>
      </c>
      <c r="R318" s="32"/>
      <c r="S318" s="31">
        <f ca="1">IFERROR(__xludf.DUMMYFUNCTION("""COMPUTED_VALUE"""),0)</f>
        <v>0</v>
      </c>
      <c r="T318" s="32">
        <f ca="1">IFERROR(__xludf.DUMMYFUNCTION("""COMPUTED_VALUE"""),0)</f>
        <v>0</v>
      </c>
      <c r="U318" s="32"/>
      <c r="V318" s="32">
        <f ca="1">IFERROR(__xludf.DUMMYFUNCTION("""COMPUTED_VALUE"""),0)</f>
        <v>0</v>
      </c>
      <c r="W318" s="32"/>
      <c r="X318" s="32">
        <f ca="1">IFERROR(__xludf.DUMMYFUNCTION("""COMPUTED_VALUE"""),0)</f>
        <v>0</v>
      </c>
      <c r="Y318" s="32"/>
      <c r="Z318" s="2"/>
      <c r="AA318" s="2"/>
      <c r="AB318" s="2"/>
      <c r="AC318" s="2"/>
      <c r="AD318" s="2"/>
      <c r="AE318" s="2"/>
    </row>
    <row r="319" spans="1:31" ht="12.75" x14ac:dyDescent="0.2">
      <c r="A319" s="28">
        <f ca="1">IFERROR(__xludf.DUMMYFUNCTION("""COMPUTED_VALUE"""),80)</f>
        <v>80</v>
      </c>
      <c r="B319" s="29" t="str">
        <f ca="1">IFERROR(__xludf.DUMMYFUNCTION("""COMPUTED_VALUE"""),"LMG Ngôi Sao Việt")</f>
        <v>LMG Ngôi Sao Việt</v>
      </c>
      <c r="C319" s="33" t="str">
        <f ca="1">IFERROR(__xludf.DUMMYFUNCTION("""COMPUTED_VALUE"""),"MN")</f>
        <v>MN</v>
      </c>
      <c r="D319" s="30" t="str">
        <f ca="1">IFERROR(__xludf.DUMMYFUNCTION("""COMPUTED_VALUE"""),"Tp. Thủ Đức")</f>
        <v>Tp. Thủ Đức</v>
      </c>
      <c r="E319" s="31">
        <f ca="1">IFERROR(__xludf.DUMMYFUNCTION("""COMPUTED_VALUE"""),3)</f>
        <v>3</v>
      </c>
      <c r="F319" s="32">
        <f ca="1">IFERROR(__xludf.DUMMYFUNCTION("""COMPUTED_VALUE"""),3)</f>
        <v>3</v>
      </c>
      <c r="G319" s="32"/>
      <c r="H319" s="32">
        <f ca="1">IFERROR(__xludf.DUMMYFUNCTION("""COMPUTED_VALUE"""),3)</f>
        <v>3</v>
      </c>
      <c r="I319" s="32"/>
      <c r="J319" s="32">
        <f ca="1">IFERROR(__xludf.DUMMYFUNCTION("""COMPUTED_VALUE"""),2)</f>
        <v>2</v>
      </c>
      <c r="K319" s="32"/>
      <c r="L319" s="32">
        <f ca="1">IFERROR(__xludf.DUMMYFUNCTION("""COMPUTED_VALUE"""),2)</f>
        <v>2</v>
      </c>
      <c r="M319" s="32"/>
      <c r="N319" s="31">
        <f ca="1">IFERROR(__xludf.DUMMYFUNCTION("""COMPUTED_VALUE"""),0)</f>
        <v>0</v>
      </c>
      <c r="O319" s="32">
        <f ca="1">IFERROR(__xludf.DUMMYFUNCTION("""COMPUTED_VALUE"""),0)</f>
        <v>0</v>
      </c>
      <c r="P319" s="32"/>
      <c r="Q319" s="32">
        <f ca="1">IFERROR(__xludf.DUMMYFUNCTION("""COMPUTED_VALUE"""),0)</f>
        <v>0</v>
      </c>
      <c r="R319" s="32"/>
      <c r="S319" s="31">
        <f ca="1">IFERROR(__xludf.DUMMYFUNCTION("""COMPUTED_VALUE"""),0)</f>
        <v>0</v>
      </c>
      <c r="T319" s="32">
        <f ca="1">IFERROR(__xludf.DUMMYFUNCTION("""COMPUTED_VALUE"""),0)</f>
        <v>0</v>
      </c>
      <c r="U319" s="32"/>
      <c r="V319" s="32">
        <f ca="1">IFERROR(__xludf.DUMMYFUNCTION("""COMPUTED_VALUE"""),0)</f>
        <v>0</v>
      </c>
      <c r="W319" s="32"/>
      <c r="X319" s="32">
        <f ca="1">IFERROR(__xludf.DUMMYFUNCTION("""COMPUTED_VALUE"""),0)</f>
        <v>0</v>
      </c>
      <c r="Y319" s="32"/>
      <c r="Z319" s="2"/>
      <c r="AA319" s="2"/>
      <c r="AB319" s="2"/>
      <c r="AC319" s="2"/>
      <c r="AD319" s="2"/>
      <c r="AE319" s="2"/>
    </row>
    <row r="320" spans="1:31" ht="12.75" x14ac:dyDescent="0.2">
      <c r="A320" s="28">
        <f ca="1">IFERROR(__xludf.DUMMYFUNCTION("""COMPUTED_VALUE"""),81)</f>
        <v>81</v>
      </c>
      <c r="B320" s="29" t="str">
        <f ca="1">IFERROR(__xludf.DUMMYFUNCTION("""COMPUTED_VALUE"""),"LMG Hoa Hồng")</f>
        <v>LMG Hoa Hồng</v>
      </c>
      <c r="C320" s="33" t="str">
        <f ca="1">IFERROR(__xludf.DUMMYFUNCTION("""COMPUTED_VALUE"""),"MN")</f>
        <v>MN</v>
      </c>
      <c r="D320" s="30" t="str">
        <f ca="1">IFERROR(__xludf.DUMMYFUNCTION("""COMPUTED_VALUE"""),"Tp. Thủ Đức")</f>
        <v>Tp. Thủ Đức</v>
      </c>
      <c r="E320" s="31">
        <f ca="1">IFERROR(__xludf.DUMMYFUNCTION("""COMPUTED_VALUE"""),4)</f>
        <v>4</v>
      </c>
      <c r="F320" s="32">
        <f ca="1">IFERROR(__xludf.DUMMYFUNCTION("""COMPUTED_VALUE"""),4)</f>
        <v>4</v>
      </c>
      <c r="G320" s="32"/>
      <c r="H320" s="32">
        <f ca="1">IFERROR(__xludf.DUMMYFUNCTION("""COMPUTED_VALUE"""),4)</f>
        <v>4</v>
      </c>
      <c r="I320" s="32"/>
      <c r="J320" s="32">
        <f ca="1">IFERROR(__xludf.DUMMYFUNCTION("""COMPUTED_VALUE"""),3)</f>
        <v>3</v>
      </c>
      <c r="K320" s="32"/>
      <c r="L320" s="32">
        <f ca="1">IFERROR(__xludf.DUMMYFUNCTION("""COMPUTED_VALUE"""),1)</f>
        <v>1</v>
      </c>
      <c r="M320" s="32"/>
      <c r="N320" s="31">
        <f ca="1">IFERROR(__xludf.DUMMYFUNCTION("""COMPUTED_VALUE"""),0)</f>
        <v>0</v>
      </c>
      <c r="O320" s="32">
        <f ca="1">IFERROR(__xludf.DUMMYFUNCTION("""COMPUTED_VALUE"""),0)</f>
        <v>0</v>
      </c>
      <c r="P320" s="32"/>
      <c r="Q320" s="32">
        <f ca="1">IFERROR(__xludf.DUMMYFUNCTION("""COMPUTED_VALUE"""),0)</f>
        <v>0</v>
      </c>
      <c r="R320" s="32"/>
      <c r="S320" s="31">
        <f ca="1">IFERROR(__xludf.DUMMYFUNCTION("""COMPUTED_VALUE"""),0)</f>
        <v>0</v>
      </c>
      <c r="T320" s="32">
        <f ca="1">IFERROR(__xludf.DUMMYFUNCTION("""COMPUTED_VALUE"""),0)</f>
        <v>0</v>
      </c>
      <c r="U320" s="32"/>
      <c r="V320" s="32">
        <f ca="1">IFERROR(__xludf.DUMMYFUNCTION("""COMPUTED_VALUE"""),0)</f>
        <v>0</v>
      </c>
      <c r="W320" s="32"/>
      <c r="X320" s="32">
        <f ca="1">IFERROR(__xludf.DUMMYFUNCTION("""COMPUTED_VALUE"""),0)</f>
        <v>0</v>
      </c>
      <c r="Y320" s="32"/>
      <c r="Z320" s="2"/>
      <c r="AA320" s="2"/>
      <c r="AB320" s="2"/>
      <c r="AC320" s="2"/>
      <c r="AD320" s="2"/>
      <c r="AE320" s="2"/>
    </row>
    <row r="321" spans="1:31" ht="12.75" x14ac:dyDescent="0.2">
      <c r="A321" s="28">
        <f ca="1">IFERROR(__xludf.DUMMYFUNCTION("""COMPUTED_VALUE"""),82)</f>
        <v>82</v>
      </c>
      <c r="B321" s="29" t="str">
        <f ca="1">IFERROR(__xludf.DUMMYFUNCTION("""COMPUTED_VALUE"""),"LMG Nai Vàng 2")</f>
        <v>LMG Nai Vàng 2</v>
      </c>
      <c r="C321" s="33" t="str">
        <f ca="1">IFERROR(__xludf.DUMMYFUNCTION("""COMPUTED_VALUE"""),"MN")</f>
        <v>MN</v>
      </c>
      <c r="D321" s="30" t="str">
        <f ca="1">IFERROR(__xludf.DUMMYFUNCTION("""COMPUTED_VALUE"""),"Tp. Thủ Đức")</f>
        <v>Tp. Thủ Đức</v>
      </c>
      <c r="E321" s="31">
        <f ca="1">IFERROR(__xludf.DUMMYFUNCTION("""COMPUTED_VALUE"""),8)</f>
        <v>8</v>
      </c>
      <c r="F321" s="32">
        <f ca="1">IFERROR(__xludf.DUMMYFUNCTION("""COMPUTED_VALUE"""),8)</f>
        <v>8</v>
      </c>
      <c r="G321" s="32"/>
      <c r="H321" s="32">
        <f ca="1">IFERROR(__xludf.DUMMYFUNCTION("""COMPUTED_VALUE"""),8)</f>
        <v>8</v>
      </c>
      <c r="I321" s="32"/>
      <c r="J321" s="32">
        <f ca="1">IFERROR(__xludf.DUMMYFUNCTION("""COMPUTED_VALUE"""),8)</f>
        <v>8</v>
      </c>
      <c r="K321" s="32"/>
      <c r="L321" s="32">
        <f ca="1">IFERROR(__xludf.DUMMYFUNCTION("""COMPUTED_VALUE"""),0)</f>
        <v>0</v>
      </c>
      <c r="M321" s="32"/>
      <c r="N321" s="31">
        <f ca="1">IFERROR(__xludf.DUMMYFUNCTION("""COMPUTED_VALUE"""),0)</f>
        <v>0</v>
      </c>
      <c r="O321" s="32">
        <f ca="1">IFERROR(__xludf.DUMMYFUNCTION("""COMPUTED_VALUE"""),0)</f>
        <v>0</v>
      </c>
      <c r="P321" s="32"/>
      <c r="Q321" s="32">
        <f ca="1">IFERROR(__xludf.DUMMYFUNCTION("""COMPUTED_VALUE"""),0)</f>
        <v>0</v>
      </c>
      <c r="R321" s="32"/>
      <c r="S321" s="31">
        <f ca="1">IFERROR(__xludf.DUMMYFUNCTION("""COMPUTED_VALUE"""),0)</f>
        <v>0</v>
      </c>
      <c r="T321" s="32">
        <f ca="1">IFERROR(__xludf.DUMMYFUNCTION("""COMPUTED_VALUE"""),0)</f>
        <v>0</v>
      </c>
      <c r="U321" s="32"/>
      <c r="V321" s="32">
        <f ca="1">IFERROR(__xludf.DUMMYFUNCTION("""COMPUTED_VALUE"""),0)</f>
        <v>0</v>
      </c>
      <c r="W321" s="32"/>
      <c r="X321" s="32">
        <f ca="1">IFERROR(__xludf.DUMMYFUNCTION("""COMPUTED_VALUE"""),0)</f>
        <v>0</v>
      </c>
      <c r="Y321" s="32"/>
      <c r="Z321" s="2"/>
      <c r="AA321" s="2"/>
      <c r="AB321" s="2"/>
      <c r="AC321" s="2"/>
      <c r="AD321" s="2"/>
      <c r="AE321" s="2"/>
    </row>
    <row r="322" spans="1:31" ht="12.75" x14ac:dyDescent="0.2">
      <c r="A322" s="28">
        <f ca="1">IFERROR(__xludf.DUMMYFUNCTION("""COMPUTED_VALUE"""),83)</f>
        <v>83</v>
      </c>
      <c r="B322" s="29" t="str">
        <f ca="1">IFERROR(__xludf.DUMMYFUNCTION("""COMPUTED_VALUE"""),"LMG Ánh Sao")</f>
        <v>LMG Ánh Sao</v>
      </c>
      <c r="C322" s="33" t="str">
        <f ca="1">IFERROR(__xludf.DUMMYFUNCTION("""COMPUTED_VALUE"""),"MN")</f>
        <v>MN</v>
      </c>
      <c r="D322" s="30" t="str">
        <f ca="1">IFERROR(__xludf.DUMMYFUNCTION("""COMPUTED_VALUE"""),"Tp. Thủ Đức")</f>
        <v>Tp. Thủ Đức</v>
      </c>
      <c r="E322" s="31">
        <f ca="1">IFERROR(__xludf.DUMMYFUNCTION("""COMPUTED_VALUE"""),6)</f>
        <v>6</v>
      </c>
      <c r="F322" s="32">
        <f ca="1">IFERROR(__xludf.DUMMYFUNCTION("""COMPUTED_VALUE"""),6)</f>
        <v>6</v>
      </c>
      <c r="G322" s="32"/>
      <c r="H322" s="32">
        <f ca="1">IFERROR(__xludf.DUMMYFUNCTION("""COMPUTED_VALUE"""),6)</f>
        <v>6</v>
      </c>
      <c r="I322" s="32"/>
      <c r="J322" s="32">
        <f ca="1">IFERROR(__xludf.DUMMYFUNCTION("""COMPUTED_VALUE"""),6)</f>
        <v>6</v>
      </c>
      <c r="K322" s="32"/>
      <c r="L322" s="32">
        <f ca="1">IFERROR(__xludf.DUMMYFUNCTION("""COMPUTED_VALUE"""),0)</f>
        <v>0</v>
      </c>
      <c r="M322" s="32"/>
      <c r="N322" s="31">
        <f ca="1">IFERROR(__xludf.DUMMYFUNCTION("""COMPUTED_VALUE"""),0)</f>
        <v>0</v>
      </c>
      <c r="O322" s="32">
        <f ca="1">IFERROR(__xludf.DUMMYFUNCTION("""COMPUTED_VALUE"""),0)</f>
        <v>0</v>
      </c>
      <c r="P322" s="32"/>
      <c r="Q322" s="32">
        <f ca="1">IFERROR(__xludf.DUMMYFUNCTION("""COMPUTED_VALUE"""),0)</f>
        <v>0</v>
      </c>
      <c r="R322" s="32"/>
      <c r="S322" s="31">
        <f ca="1">IFERROR(__xludf.DUMMYFUNCTION("""COMPUTED_VALUE"""),0)</f>
        <v>0</v>
      </c>
      <c r="T322" s="32">
        <f ca="1">IFERROR(__xludf.DUMMYFUNCTION("""COMPUTED_VALUE"""),0)</f>
        <v>0</v>
      </c>
      <c r="U322" s="32"/>
      <c r="V322" s="32">
        <f ca="1">IFERROR(__xludf.DUMMYFUNCTION("""COMPUTED_VALUE"""),0)</f>
        <v>0</v>
      </c>
      <c r="W322" s="32"/>
      <c r="X322" s="32">
        <f ca="1">IFERROR(__xludf.DUMMYFUNCTION("""COMPUTED_VALUE"""),0)</f>
        <v>0</v>
      </c>
      <c r="Y322" s="32"/>
      <c r="Z322" s="2"/>
      <c r="AA322" s="2"/>
      <c r="AB322" s="2"/>
      <c r="AC322" s="2"/>
      <c r="AD322" s="2"/>
      <c r="AE322" s="2"/>
    </row>
    <row r="323" spans="1:31" ht="12.75" x14ac:dyDescent="0.2">
      <c r="A323" s="28">
        <f ca="1">IFERROR(__xludf.DUMMYFUNCTION("""COMPUTED_VALUE"""),84)</f>
        <v>84</v>
      </c>
      <c r="B323" s="29" t="str">
        <f ca="1">IFERROR(__xludf.DUMMYFUNCTION("""COMPUTED_VALUE"""),"LMG Hoa Mai")</f>
        <v>LMG Hoa Mai</v>
      </c>
      <c r="C323" s="33" t="str">
        <f ca="1">IFERROR(__xludf.DUMMYFUNCTION("""COMPUTED_VALUE"""),"MN")</f>
        <v>MN</v>
      </c>
      <c r="D323" s="30" t="str">
        <f ca="1">IFERROR(__xludf.DUMMYFUNCTION("""COMPUTED_VALUE"""),"Tp. Thủ Đức")</f>
        <v>Tp. Thủ Đức</v>
      </c>
      <c r="E323" s="31">
        <f ca="1">IFERROR(__xludf.DUMMYFUNCTION("""COMPUTED_VALUE"""),4)</f>
        <v>4</v>
      </c>
      <c r="F323" s="32">
        <f ca="1">IFERROR(__xludf.DUMMYFUNCTION("""COMPUTED_VALUE"""),4)</f>
        <v>4</v>
      </c>
      <c r="G323" s="32"/>
      <c r="H323" s="32">
        <f ca="1">IFERROR(__xludf.DUMMYFUNCTION("""COMPUTED_VALUE"""),3)</f>
        <v>3</v>
      </c>
      <c r="I323" s="32"/>
      <c r="J323" s="32">
        <f ca="1">IFERROR(__xludf.DUMMYFUNCTION("""COMPUTED_VALUE"""),2)</f>
        <v>2</v>
      </c>
      <c r="K323" s="32"/>
      <c r="L323" s="32">
        <f ca="1">IFERROR(__xludf.DUMMYFUNCTION("""COMPUTED_VALUE"""),1)</f>
        <v>1</v>
      </c>
      <c r="M323" s="32"/>
      <c r="N323" s="31">
        <f ca="1">IFERROR(__xludf.DUMMYFUNCTION("""COMPUTED_VALUE"""),0)</f>
        <v>0</v>
      </c>
      <c r="O323" s="32">
        <f ca="1">IFERROR(__xludf.DUMMYFUNCTION("""COMPUTED_VALUE"""),0)</f>
        <v>0</v>
      </c>
      <c r="P323" s="32"/>
      <c r="Q323" s="32">
        <f ca="1">IFERROR(__xludf.DUMMYFUNCTION("""COMPUTED_VALUE"""),0)</f>
        <v>0</v>
      </c>
      <c r="R323" s="32"/>
      <c r="S323" s="31">
        <f ca="1">IFERROR(__xludf.DUMMYFUNCTION("""COMPUTED_VALUE"""),0)</f>
        <v>0</v>
      </c>
      <c r="T323" s="32">
        <f ca="1">IFERROR(__xludf.DUMMYFUNCTION("""COMPUTED_VALUE"""),0)</f>
        <v>0</v>
      </c>
      <c r="U323" s="32"/>
      <c r="V323" s="32">
        <f ca="1">IFERROR(__xludf.DUMMYFUNCTION("""COMPUTED_VALUE"""),0)</f>
        <v>0</v>
      </c>
      <c r="W323" s="32"/>
      <c r="X323" s="32">
        <f ca="1">IFERROR(__xludf.DUMMYFUNCTION("""COMPUTED_VALUE"""),0)</f>
        <v>0</v>
      </c>
      <c r="Y323" s="32"/>
      <c r="Z323" s="2"/>
      <c r="AA323" s="2"/>
      <c r="AB323" s="2"/>
      <c r="AC323" s="2"/>
      <c r="AD323" s="2"/>
      <c r="AE323" s="2"/>
    </row>
    <row r="324" spans="1:31" ht="12.75" x14ac:dyDescent="0.2">
      <c r="A324" s="28">
        <f ca="1">IFERROR(__xludf.DUMMYFUNCTION("""COMPUTED_VALUE"""),85)</f>
        <v>85</v>
      </c>
      <c r="B324" s="29" t="str">
        <f ca="1">IFERROR(__xludf.DUMMYFUNCTION("""COMPUTED_VALUE"""),"LMG Nụ Cười Trẻ Thơ")</f>
        <v>LMG Nụ Cười Trẻ Thơ</v>
      </c>
      <c r="C324" s="33" t="str">
        <f ca="1">IFERROR(__xludf.DUMMYFUNCTION("""COMPUTED_VALUE"""),"MN")</f>
        <v>MN</v>
      </c>
      <c r="D324" s="30" t="str">
        <f ca="1">IFERROR(__xludf.DUMMYFUNCTION("""COMPUTED_VALUE"""),"Tp. Thủ Đức")</f>
        <v>Tp. Thủ Đức</v>
      </c>
      <c r="E324" s="31">
        <f ca="1">IFERROR(__xludf.DUMMYFUNCTION("""COMPUTED_VALUE"""),15)</f>
        <v>15</v>
      </c>
      <c r="F324" s="32">
        <f ca="1">IFERROR(__xludf.DUMMYFUNCTION("""COMPUTED_VALUE"""),15)</f>
        <v>15</v>
      </c>
      <c r="G324" s="32"/>
      <c r="H324" s="32">
        <f ca="1">IFERROR(__xludf.DUMMYFUNCTION("""COMPUTED_VALUE"""),15)</f>
        <v>15</v>
      </c>
      <c r="I324" s="32"/>
      <c r="J324" s="32">
        <f ca="1">IFERROR(__xludf.DUMMYFUNCTION("""COMPUTED_VALUE"""),15)</f>
        <v>15</v>
      </c>
      <c r="K324" s="32"/>
      <c r="L324" s="32">
        <f ca="1">IFERROR(__xludf.DUMMYFUNCTION("""COMPUTED_VALUE"""),1)</f>
        <v>1</v>
      </c>
      <c r="M324" s="32"/>
      <c r="N324" s="31">
        <f ca="1">IFERROR(__xludf.DUMMYFUNCTION("""COMPUTED_VALUE"""),0)</f>
        <v>0</v>
      </c>
      <c r="O324" s="32">
        <f ca="1">IFERROR(__xludf.DUMMYFUNCTION("""COMPUTED_VALUE"""),0)</f>
        <v>0</v>
      </c>
      <c r="P324" s="32"/>
      <c r="Q324" s="32">
        <f ca="1">IFERROR(__xludf.DUMMYFUNCTION("""COMPUTED_VALUE"""),0)</f>
        <v>0</v>
      </c>
      <c r="R324" s="32"/>
      <c r="S324" s="31">
        <f ca="1">IFERROR(__xludf.DUMMYFUNCTION("""COMPUTED_VALUE"""),0)</f>
        <v>0</v>
      </c>
      <c r="T324" s="32">
        <f ca="1">IFERROR(__xludf.DUMMYFUNCTION("""COMPUTED_VALUE"""),0)</f>
        <v>0</v>
      </c>
      <c r="U324" s="32"/>
      <c r="V324" s="32">
        <f ca="1">IFERROR(__xludf.DUMMYFUNCTION("""COMPUTED_VALUE"""),0)</f>
        <v>0</v>
      </c>
      <c r="W324" s="32"/>
      <c r="X324" s="32">
        <f ca="1">IFERROR(__xludf.DUMMYFUNCTION("""COMPUTED_VALUE"""),0)</f>
        <v>0</v>
      </c>
      <c r="Y324" s="32"/>
      <c r="Z324" s="2"/>
      <c r="AA324" s="2"/>
      <c r="AB324" s="2"/>
      <c r="AC324" s="2"/>
      <c r="AD324" s="2"/>
      <c r="AE324" s="2"/>
    </row>
    <row r="325" spans="1:31" ht="12.75" x14ac:dyDescent="0.2">
      <c r="A325" s="28">
        <f ca="1">IFERROR(__xludf.DUMMYFUNCTION("""COMPUTED_VALUE"""),86)</f>
        <v>86</v>
      </c>
      <c r="B325" s="29" t="str">
        <f ca="1">IFERROR(__xludf.DUMMYFUNCTION("""COMPUTED_VALUE"""),"LMG Mầm Non Việt")</f>
        <v>LMG Mầm Non Việt</v>
      </c>
      <c r="C325" s="33" t="str">
        <f ca="1">IFERROR(__xludf.DUMMYFUNCTION("""COMPUTED_VALUE"""),"MN")</f>
        <v>MN</v>
      </c>
      <c r="D325" s="30" t="str">
        <f ca="1">IFERROR(__xludf.DUMMYFUNCTION("""COMPUTED_VALUE"""),"Tp. Thủ Đức")</f>
        <v>Tp. Thủ Đức</v>
      </c>
      <c r="E325" s="31">
        <f ca="1">IFERROR(__xludf.DUMMYFUNCTION("""COMPUTED_VALUE"""),7)</f>
        <v>7</v>
      </c>
      <c r="F325" s="32">
        <f ca="1">IFERROR(__xludf.DUMMYFUNCTION("""COMPUTED_VALUE"""),7)</f>
        <v>7</v>
      </c>
      <c r="G325" s="32"/>
      <c r="H325" s="32">
        <f ca="1">IFERROR(__xludf.DUMMYFUNCTION("""COMPUTED_VALUE"""),7)</f>
        <v>7</v>
      </c>
      <c r="I325" s="32"/>
      <c r="J325" s="32">
        <f ca="1">IFERROR(__xludf.DUMMYFUNCTION("""COMPUTED_VALUE"""),4)</f>
        <v>4</v>
      </c>
      <c r="K325" s="32"/>
      <c r="L325" s="32">
        <f ca="1">IFERROR(__xludf.DUMMYFUNCTION("""COMPUTED_VALUE"""),1)</f>
        <v>1</v>
      </c>
      <c r="M325" s="32"/>
      <c r="N325" s="31">
        <f ca="1">IFERROR(__xludf.DUMMYFUNCTION("""COMPUTED_VALUE"""),0)</f>
        <v>0</v>
      </c>
      <c r="O325" s="32">
        <f ca="1">IFERROR(__xludf.DUMMYFUNCTION("""COMPUTED_VALUE"""),0)</f>
        <v>0</v>
      </c>
      <c r="P325" s="32"/>
      <c r="Q325" s="32">
        <f ca="1">IFERROR(__xludf.DUMMYFUNCTION("""COMPUTED_VALUE"""),0)</f>
        <v>0</v>
      </c>
      <c r="R325" s="32"/>
      <c r="S325" s="31">
        <f ca="1">IFERROR(__xludf.DUMMYFUNCTION("""COMPUTED_VALUE"""),0)</f>
        <v>0</v>
      </c>
      <c r="T325" s="32">
        <f ca="1">IFERROR(__xludf.DUMMYFUNCTION("""COMPUTED_VALUE"""),0)</f>
        <v>0</v>
      </c>
      <c r="U325" s="32"/>
      <c r="V325" s="32">
        <f ca="1">IFERROR(__xludf.DUMMYFUNCTION("""COMPUTED_VALUE"""),0)</f>
        <v>0</v>
      </c>
      <c r="W325" s="32"/>
      <c r="X325" s="32">
        <f ca="1">IFERROR(__xludf.DUMMYFUNCTION("""COMPUTED_VALUE"""),0)</f>
        <v>0</v>
      </c>
      <c r="Y325" s="32"/>
      <c r="Z325" s="2"/>
      <c r="AA325" s="2"/>
      <c r="AB325" s="2"/>
      <c r="AC325" s="2"/>
      <c r="AD325" s="2"/>
      <c r="AE325" s="2"/>
    </row>
    <row r="326" spans="1:31" ht="12.75" x14ac:dyDescent="0.2">
      <c r="A326" s="28">
        <f ca="1">IFERROR(__xludf.DUMMYFUNCTION("""COMPUTED_VALUE"""),87)</f>
        <v>87</v>
      </c>
      <c r="B326" s="29" t="str">
        <f ca="1">IFERROR(__xludf.DUMMYFUNCTION("""COMPUTED_VALUE"""),"LMG Hoa Mai Vàng")</f>
        <v>LMG Hoa Mai Vàng</v>
      </c>
      <c r="C326" s="33" t="str">
        <f ca="1">IFERROR(__xludf.DUMMYFUNCTION("""COMPUTED_VALUE"""),"MN")</f>
        <v>MN</v>
      </c>
      <c r="D326" s="30" t="str">
        <f ca="1">IFERROR(__xludf.DUMMYFUNCTION("""COMPUTED_VALUE"""),"Tp. Thủ Đức")</f>
        <v>Tp. Thủ Đức</v>
      </c>
      <c r="E326" s="31">
        <f ca="1">IFERROR(__xludf.DUMMYFUNCTION("""COMPUTED_VALUE"""),3)</f>
        <v>3</v>
      </c>
      <c r="F326" s="32">
        <f ca="1">IFERROR(__xludf.DUMMYFUNCTION("""COMPUTED_VALUE"""),3)</f>
        <v>3</v>
      </c>
      <c r="G326" s="32"/>
      <c r="H326" s="32">
        <f ca="1">IFERROR(__xludf.DUMMYFUNCTION("""COMPUTED_VALUE"""),3)</f>
        <v>3</v>
      </c>
      <c r="I326" s="32"/>
      <c r="J326" s="32">
        <f ca="1">IFERROR(__xludf.DUMMYFUNCTION("""COMPUTED_VALUE"""),2)</f>
        <v>2</v>
      </c>
      <c r="K326" s="32"/>
      <c r="L326" s="32">
        <f ca="1">IFERROR(__xludf.DUMMYFUNCTION("""COMPUTED_VALUE"""),1)</f>
        <v>1</v>
      </c>
      <c r="M326" s="32"/>
      <c r="N326" s="31">
        <f ca="1">IFERROR(__xludf.DUMMYFUNCTION("""COMPUTED_VALUE"""),0)</f>
        <v>0</v>
      </c>
      <c r="O326" s="32">
        <f ca="1">IFERROR(__xludf.DUMMYFUNCTION("""COMPUTED_VALUE"""),0)</f>
        <v>0</v>
      </c>
      <c r="P326" s="32"/>
      <c r="Q326" s="32">
        <f ca="1">IFERROR(__xludf.DUMMYFUNCTION("""COMPUTED_VALUE"""),0)</f>
        <v>0</v>
      </c>
      <c r="R326" s="32"/>
      <c r="S326" s="31">
        <f ca="1">IFERROR(__xludf.DUMMYFUNCTION("""COMPUTED_VALUE"""),0)</f>
        <v>0</v>
      </c>
      <c r="T326" s="32">
        <f ca="1">IFERROR(__xludf.DUMMYFUNCTION("""COMPUTED_VALUE"""),0)</f>
        <v>0</v>
      </c>
      <c r="U326" s="32"/>
      <c r="V326" s="32">
        <f ca="1">IFERROR(__xludf.DUMMYFUNCTION("""COMPUTED_VALUE"""),0)</f>
        <v>0</v>
      </c>
      <c r="W326" s="32"/>
      <c r="X326" s="32">
        <f ca="1">IFERROR(__xludf.DUMMYFUNCTION("""COMPUTED_VALUE"""),0)</f>
        <v>0</v>
      </c>
      <c r="Y326" s="32"/>
      <c r="Z326" s="2"/>
      <c r="AA326" s="2"/>
      <c r="AB326" s="2"/>
      <c r="AC326" s="2"/>
      <c r="AD326" s="2"/>
      <c r="AE326" s="2"/>
    </row>
    <row r="327" spans="1:31" ht="12.75" x14ac:dyDescent="0.2">
      <c r="A327" s="28">
        <f ca="1">IFERROR(__xludf.DUMMYFUNCTION("""COMPUTED_VALUE"""),88)</f>
        <v>88</v>
      </c>
      <c r="B327" s="29" t="str">
        <f ca="1">IFERROR(__xludf.DUMMYFUNCTION("""COMPUTED_VALUE"""),"LMG EQ")</f>
        <v>LMG EQ</v>
      </c>
      <c r="C327" s="33" t="str">
        <f ca="1">IFERROR(__xludf.DUMMYFUNCTION("""COMPUTED_VALUE"""),"MN")</f>
        <v>MN</v>
      </c>
      <c r="D327" s="30" t="str">
        <f ca="1">IFERROR(__xludf.DUMMYFUNCTION("""COMPUTED_VALUE"""),"Tp. Thủ Đức")</f>
        <v>Tp. Thủ Đức</v>
      </c>
      <c r="E327" s="31">
        <f ca="1">IFERROR(__xludf.DUMMYFUNCTION("""COMPUTED_VALUE"""),20)</f>
        <v>20</v>
      </c>
      <c r="F327" s="32">
        <f ca="1">IFERROR(__xludf.DUMMYFUNCTION("""COMPUTED_VALUE"""),20)</f>
        <v>20</v>
      </c>
      <c r="G327" s="32"/>
      <c r="H327" s="32">
        <f ca="1">IFERROR(__xludf.DUMMYFUNCTION("""COMPUTED_VALUE"""),20)</f>
        <v>20</v>
      </c>
      <c r="I327" s="32"/>
      <c r="J327" s="32">
        <f ca="1">IFERROR(__xludf.DUMMYFUNCTION("""COMPUTED_VALUE"""),20)</f>
        <v>20</v>
      </c>
      <c r="K327" s="32"/>
      <c r="L327" s="32">
        <f ca="1">IFERROR(__xludf.DUMMYFUNCTION("""COMPUTED_VALUE"""),5)</f>
        <v>5</v>
      </c>
      <c r="M327" s="32"/>
      <c r="N327" s="31">
        <f ca="1">IFERROR(__xludf.DUMMYFUNCTION("""COMPUTED_VALUE"""),0)</f>
        <v>0</v>
      </c>
      <c r="O327" s="32">
        <f ca="1">IFERROR(__xludf.DUMMYFUNCTION("""COMPUTED_VALUE"""),0)</f>
        <v>0</v>
      </c>
      <c r="P327" s="32"/>
      <c r="Q327" s="32">
        <f ca="1">IFERROR(__xludf.DUMMYFUNCTION("""COMPUTED_VALUE"""),0)</f>
        <v>0</v>
      </c>
      <c r="R327" s="32"/>
      <c r="S327" s="31">
        <f ca="1">IFERROR(__xludf.DUMMYFUNCTION("""COMPUTED_VALUE"""),0)</f>
        <v>0</v>
      </c>
      <c r="T327" s="32">
        <f ca="1">IFERROR(__xludf.DUMMYFUNCTION("""COMPUTED_VALUE"""),0)</f>
        <v>0</v>
      </c>
      <c r="U327" s="32"/>
      <c r="V327" s="32">
        <f ca="1">IFERROR(__xludf.DUMMYFUNCTION("""COMPUTED_VALUE"""),0)</f>
        <v>0</v>
      </c>
      <c r="W327" s="32"/>
      <c r="X327" s="32">
        <f ca="1">IFERROR(__xludf.DUMMYFUNCTION("""COMPUTED_VALUE"""),0)</f>
        <v>0</v>
      </c>
      <c r="Y327" s="32"/>
      <c r="Z327" s="2"/>
      <c r="AA327" s="2"/>
      <c r="AB327" s="2"/>
      <c r="AC327" s="2"/>
      <c r="AD327" s="2"/>
      <c r="AE327" s="2"/>
    </row>
    <row r="328" spans="1:31" ht="12.75" x14ac:dyDescent="0.2">
      <c r="A328" s="28">
        <f ca="1">IFERROR(__xludf.DUMMYFUNCTION("""COMPUTED_VALUE"""),89)</f>
        <v>89</v>
      </c>
      <c r="B328" s="29" t="str">
        <f ca="1">IFERROR(__xludf.DUMMYFUNCTION("""COMPUTED_VALUE"""),"LMG Trường Xanh")</f>
        <v>LMG Trường Xanh</v>
      </c>
      <c r="C328" s="33" t="str">
        <f ca="1">IFERROR(__xludf.DUMMYFUNCTION("""COMPUTED_VALUE"""),"MN")</f>
        <v>MN</v>
      </c>
      <c r="D328" s="30" t="str">
        <f ca="1">IFERROR(__xludf.DUMMYFUNCTION("""COMPUTED_VALUE"""),"Tp. Thủ Đức")</f>
        <v>Tp. Thủ Đức</v>
      </c>
      <c r="E328" s="31">
        <f ca="1">IFERROR(__xludf.DUMMYFUNCTION("""COMPUTED_VALUE"""),8)</f>
        <v>8</v>
      </c>
      <c r="F328" s="32">
        <f ca="1">IFERROR(__xludf.DUMMYFUNCTION("""COMPUTED_VALUE"""),8)</f>
        <v>8</v>
      </c>
      <c r="G328" s="32"/>
      <c r="H328" s="32">
        <f ca="1">IFERROR(__xludf.DUMMYFUNCTION("""COMPUTED_VALUE"""),8)</f>
        <v>8</v>
      </c>
      <c r="I328" s="32"/>
      <c r="J328" s="32">
        <f ca="1">IFERROR(__xludf.DUMMYFUNCTION("""COMPUTED_VALUE"""),8)</f>
        <v>8</v>
      </c>
      <c r="K328" s="32"/>
      <c r="L328" s="32">
        <f ca="1">IFERROR(__xludf.DUMMYFUNCTION("""COMPUTED_VALUE"""),0)</f>
        <v>0</v>
      </c>
      <c r="M328" s="32"/>
      <c r="N328" s="31">
        <f ca="1">IFERROR(__xludf.DUMMYFUNCTION("""COMPUTED_VALUE"""),0)</f>
        <v>0</v>
      </c>
      <c r="O328" s="32">
        <f ca="1">IFERROR(__xludf.DUMMYFUNCTION("""COMPUTED_VALUE"""),0)</f>
        <v>0</v>
      </c>
      <c r="P328" s="32"/>
      <c r="Q328" s="32">
        <f ca="1">IFERROR(__xludf.DUMMYFUNCTION("""COMPUTED_VALUE"""),0)</f>
        <v>0</v>
      </c>
      <c r="R328" s="32"/>
      <c r="S328" s="31">
        <f ca="1">IFERROR(__xludf.DUMMYFUNCTION("""COMPUTED_VALUE"""),0)</f>
        <v>0</v>
      </c>
      <c r="T328" s="32">
        <f ca="1">IFERROR(__xludf.DUMMYFUNCTION("""COMPUTED_VALUE"""),0)</f>
        <v>0</v>
      </c>
      <c r="U328" s="32"/>
      <c r="V328" s="32">
        <f ca="1">IFERROR(__xludf.DUMMYFUNCTION("""COMPUTED_VALUE"""),0)</f>
        <v>0</v>
      </c>
      <c r="W328" s="32"/>
      <c r="X328" s="32">
        <f ca="1">IFERROR(__xludf.DUMMYFUNCTION("""COMPUTED_VALUE"""),0)</f>
        <v>0</v>
      </c>
      <c r="Y328" s="32"/>
      <c r="Z328" s="2"/>
      <c r="AA328" s="2"/>
      <c r="AB328" s="2"/>
      <c r="AC328" s="2"/>
      <c r="AD328" s="2"/>
      <c r="AE328" s="2"/>
    </row>
    <row r="329" spans="1:31" ht="12.75" x14ac:dyDescent="0.2">
      <c r="A329" s="28">
        <f ca="1">IFERROR(__xludf.DUMMYFUNCTION("""COMPUTED_VALUE"""),90)</f>
        <v>90</v>
      </c>
      <c r="B329" s="29" t="str">
        <f ca="1">IFERROR(__xludf.DUMMYFUNCTION("""COMPUTED_VALUE"""),"LMG Ngôi Nhà Vui Vẻ")</f>
        <v>LMG Ngôi Nhà Vui Vẻ</v>
      </c>
      <c r="C329" s="33" t="str">
        <f ca="1">IFERROR(__xludf.DUMMYFUNCTION("""COMPUTED_VALUE"""),"MN")</f>
        <v>MN</v>
      </c>
      <c r="D329" s="30" t="str">
        <f ca="1">IFERROR(__xludf.DUMMYFUNCTION("""COMPUTED_VALUE"""),"Tp. Thủ Đức")</f>
        <v>Tp. Thủ Đức</v>
      </c>
      <c r="E329" s="31">
        <f ca="1">IFERROR(__xludf.DUMMYFUNCTION("""COMPUTED_VALUE"""),3)</f>
        <v>3</v>
      </c>
      <c r="F329" s="32">
        <f ca="1">IFERROR(__xludf.DUMMYFUNCTION("""COMPUTED_VALUE"""),3)</f>
        <v>3</v>
      </c>
      <c r="G329" s="32"/>
      <c r="H329" s="32">
        <f ca="1">IFERROR(__xludf.DUMMYFUNCTION("""COMPUTED_VALUE"""),3)</f>
        <v>3</v>
      </c>
      <c r="I329" s="32"/>
      <c r="J329" s="32">
        <f ca="1">IFERROR(__xludf.DUMMYFUNCTION("""COMPUTED_VALUE"""),2)</f>
        <v>2</v>
      </c>
      <c r="K329" s="32"/>
      <c r="L329" s="32">
        <f ca="1">IFERROR(__xludf.DUMMYFUNCTION("""COMPUTED_VALUE"""),0)</f>
        <v>0</v>
      </c>
      <c r="M329" s="32"/>
      <c r="N329" s="31">
        <f ca="1">IFERROR(__xludf.DUMMYFUNCTION("""COMPUTED_VALUE"""),0)</f>
        <v>0</v>
      </c>
      <c r="O329" s="32">
        <f ca="1">IFERROR(__xludf.DUMMYFUNCTION("""COMPUTED_VALUE"""),0)</f>
        <v>0</v>
      </c>
      <c r="P329" s="32"/>
      <c r="Q329" s="32">
        <f ca="1">IFERROR(__xludf.DUMMYFUNCTION("""COMPUTED_VALUE"""),0)</f>
        <v>0</v>
      </c>
      <c r="R329" s="32"/>
      <c r="S329" s="31">
        <f ca="1">IFERROR(__xludf.DUMMYFUNCTION("""COMPUTED_VALUE"""),0)</f>
        <v>0</v>
      </c>
      <c r="T329" s="32">
        <f ca="1">IFERROR(__xludf.DUMMYFUNCTION("""COMPUTED_VALUE"""),0)</f>
        <v>0</v>
      </c>
      <c r="U329" s="32"/>
      <c r="V329" s="32">
        <f ca="1">IFERROR(__xludf.DUMMYFUNCTION("""COMPUTED_VALUE"""),0)</f>
        <v>0</v>
      </c>
      <c r="W329" s="32"/>
      <c r="X329" s="32">
        <f ca="1">IFERROR(__xludf.DUMMYFUNCTION("""COMPUTED_VALUE"""),0)</f>
        <v>0</v>
      </c>
      <c r="Y329" s="32"/>
      <c r="Z329" s="2"/>
      <c r="AA329" s="2"/>
      <c r="AB329" s="2"/>
      <c r="AC329" s="2"/>
      <c r="AD329" s="2"/>
      <c r="AE329" s="2"/>
    </row>
    <row r="330" spans="1:31" ht="12.75" x14ac:dyDescent="0.2">
      <c r="A330" s="28">
        <f ca="1">IFERROR(__xludf.DUMMYFUNCTION("""COMPUTED_VALUE"""),91)</f>
        <v>91</v>
      </c>
      <c r="B330" s="29" t="str">
        <f ca="1">IFERROR(__xludf.DUMMYFUNCTION("""COMPUTED_VALUE"""),"LMG Thế Giới Trẻ Thơ")</f>
        <v>LMG Thế Giới Trẻ Thơ</v>
      </c>
      <c r="C330" s="33" t="str">
        <f ca="1">IFERROR(__xludf.DUMMYFUNCTION("""COMPUTED_VALUE"""),"MN")</f>
        <v>MN</v>
      </c>
      <c r="D330" s="30" t="str">
        <f ca="1">IFERROR(__xludf.DUMMYFUNCTION("""COMPUTED_VALUE"""),"Tp. Thủ Đức")</f>
        <v>Tp. Thủ Đức</v>
      </c>
      <c r="E330" s="31">
        <f ca="1">IFERROR(__xludf.DUMMYFUNCTION("""COMPUTED_VALUE"""),7)</f>
        <v>7</v>
      </c>
      <c r="F330" s="32">
        <f ca="1">IFERROR(__xludf.DUMMYFUNCTION("""COMPUTED_VALUE"""),7)</f>
        <v>7</v>
      </c>
      <c r="G330" s="32"/>
      <c r="H330" s="32">
        <f ca="1">IFERROR(__xludf.DUMMYFUNCTION("""COMPUTED_VALUE"""),7)</f>
        <v>7</v>
      </c>
      <c r="I330" s="32"/>
      <c r="J330" s="32">
        <f ca="1">IFERROR(__xludf.DUMMYFUNCTION("""COMPUTED_VALUE"""),6)</f>
        <v>6</v>
      </c>
      <c r="K330" s="32"/>
      <c r="L330" s="32">
        <f ca="1">IFERROR(__xludf.DUMMYFUNCTION("""COMPUTED_VALUE"""),0)</f>
        <v>0</v>
      </c>
      <c r="M330" s="32"/>
      <c r="N330" s="31">
        <f ca="1">IFERROR(__xludf.DUMMYFUNCTION("""COMPUTED_VALUE"""),0)</f>
        <v>0</v>
      </c>
      <c r="O330" s="32">
        <f ca="1">IFERROR(__xludf.DUMMYFUNCTION("""COMPUTED_VALUE"""),0)</f>
        <v>0</v>
      </c>
      <c r="P330" s="32"/>
      <c r="Q330" s="32">
        <f ca="1">IFERROR(__xludf.DUMMYFUNCTION("""COMPUTED_VALUE"""),0)</f>
        <v>0</v>
      </c>
      <c r="R330" s="32"/>
      <c r="S330" s="31">
        <f ca="1">IFERROR(__xludf.DUMMYFUNCTION("""COMPUTED_VALUE"""),0)</f>
        <v>0</v>
      </c>
      <c r="T330" s="32">
        <f ca="1">IFERROR(__xludf.DUMMYFUNCTION("""COMPUTED_VALUE"""),0)</f>
        <v>0</v>
      </c>
      <c r="U330" s="32"/>
      <c r="V330" s="32">
        <f ca="1">IFERROR(__xludf.DUMMYFUNCTION("""COMPUTED_VALUE"""),0)</f>
        <v>0</v>
      </c>
      <c r="W330" s="32"/>
      <c r="X330" s="32">
        <f ca="1">IFERROR(__xludf.DUMMYFUNCTION("""COMPUTED_VALUE"""),0)</f>
        <v>0</v>
      </c>
      <c r="Y330" s="32"/>
      <c r="Z330" s="2"/>
      <c r="AA330" s="2"/>
      <c r="AB330" s="2"/>
      <c r="AC330" s="2"/>
      <c r="AD330" s="2"/>
      <c r="AE330" s="2"/>
    </row>
    <row r="331" spans="1:31" ht="12.75" x14ac:dyDescent="0.2">
      <c r="A331" s="28">
        <f ca="1">IFERROR(__xludf.DUMMYFUNCTION("""COMPUTED_VALUE"""),92)</f>
        <v>92</v>
      </c>
      <c r="B331" s="29" t="str">
        <f ca="1">IFERROR(__xludf.DUMMYFUNCTION("""COMPUTED_VALUE"""),"LMG Sao Vàng")</f>
        <v>LMG Sao Vàng</v>
      </c>
      <c r="C331" s="33" t="str">
        <f ca="1">IFERROR(__xludf.DUMMYFUNCTION("""COMPUTED_VALUE"""),"MN")</f>
        <v>MN</v>
      </c>
      <c r="D331" s="30" t="str">
        <f ca="1">IFERROR(__xludf.DUMMYFUNCTION("""COMPUTED_VALUE"""),"Tp. Thủ Đức")</f>
        <v>Tp. Thủ Đức</v>
      </c>
      <c r="E331" s="31">
        <f ca="1">IFERROR(__xludf.DUMMYFUNCTION("""COMPUTED_VALUE"""),2)</f>
        <v>2</v>
      </c>
      <c r="F331" s="32">
        <f ca="1">IFERROR(__xludf.DUMMYFUNCTION("""COMPUTED_VALUE"""),2)</f>
        <v>2</v>
      </c>
      <c r="G331" s="32"/>
      <c r="H331" s="32">
        <f ca="1">IFERROR(__xludf.DUMMYFUNCTION("""COMPUTED_VALUE"""),2)</f>
        <v>2</v>
      </c>
      <c r="I331" s="32"/>
      <c r="J331" s="32">
        <f ca="1">IFERROR(__xludf.DUMMYFUNCTION("""COMPUTED_VALUE"""),1)</f>
        <v>1</v>
      </c>
      <c r="K331" s="32"/>
      <c r="L331" s="32">
        <f ca="1">IFERROR(__xludf.DUMMYFUNCTION("""COMPUTED_VALUE"""),0)</f>
        <v>0</v>
      </c>
      <c r="M331" s="32"/>
      <c r="N331" s="31">
        <f ca="1">IFERROR(__xludf.DUMMYFUNCTION("""COMPUTED_VALUE"""),0)</f>
        <v>0</v>
      </c>
      <c r="O331" s="32">
        <f ca="1">IFERROR(__xludf.DUMMYFUNCTION("""COMPUTED_VALUE"""),0)</f>
        <v>0</v>
      </c>
      <c r="P331" s="32"/>
      <c r="Q331" s="32">
        <f ca="1">IFERROR(__xludf.DUMMYFUNCTION("""COMPUTED_VALUE"""),0)</f>
        <v>0</v>
      </c>
      <c r="R331" s="32"/>
      <c r="S331" s="31">
        <f ca="1">IFERROR(__xludf.DUMMYFUNCTION("""COMPUTED_VALUE"""),0)</f>
        <v>0</v>
      </c>
      <c r="T331" s="32">
        <f ca="1">IFERROR(__xludf.DUMMYFUNCTION("""COMPUTED_VALUE"""),0)</f>
        <v>0</v>
      </c>
      <c r="U331" s="32"/>
      <c r="V331" s="32">
        <f ca="1">IFERROR(__xludf.DUMMYFUNCTION("""COMPUTED_VALUE"""),0)</f>
        <v>0</v>
      </c>
      <c r="W331" s="32"/>
      <c r="X331" s="32">
        <f ca="1">IFERROR(__xludf.DUMMYFUNCTION("""COMPUTED_VALUE"""),0)</f>
        <v>0</v>
      </c>
      <c r="Y331" s="32"/>
      <c r="Z331" s="2"/>
      <c r="AA331" s="2"/>
      <c r="AB331" s="2"/>
      <c r="AC331" s="2"/>
      <c r="AD331" s="2"/>
      <c r="AE331" s="2"/>
    </row>
    <row r="332" spans="1:31" ht="12.75" x14ac:dyDescent="0.2">
      <c r="A332" s="28">
        <f ca="1">IFERROR(__xludf.DUMMYFUNCTION("""COMPUTED_VALUE"""),93)</f>
        <v>93</v>
      </c>
      <c r="B332" s="29" t="str">
        <f ca="1">IFERROR(__xludf.DUMMYFUNCTION("""COMPUTED_VALUE"""),"LMG Vịt Con")</f>
        <v>LMG Vịt Con</v>
      </c>
      <c r="C332" s="33" t="str">
        <f ca="1">IFERROR(__xludf.DUMMYFUNCTION("""COMPUTED_VALUE"""),"MN")</f>
        <v>MN</v>
      </c>
      <c r="D332" s="30" t="str">
        <f ca="1">IFERROR(__xludf.DUMMYFUNCTION("""COMPUTED_VALUE"""),"Tp. Thủ Đức")</f>
        <v>Tp. Thủ Đức</v>
      </c>
      <c r="E332" s="31">
        <f ca="1">IFERROR(__xludf.DUMMYFUNCTION("""COMPUTED_VALUE"""),5)</f>
        <v>5</v>
      </c>
      <c r="F332" s="32">
        <f ca="1">IFERROR(__xludf.DUMMYFUNCTION("""COMPUTED_VALUE"""),5)</f>
        <v>5</v>
      </c>
      <c r="G332" s="32"/>
      <c r="H332" s="32">
        <f ca="1">IFERROR(__xludf.DUMMYFUNCTION("""COMPUTED_VALUE"""),5)</f>
        <v>5</v>
      </c>
      <c r="I332" s="32"/>
      <c r="J332" s="32">
        <f ca="1">IFERROR(__xludf.DUMMYFUNCTION("""COMPUTED_VALUE"""),3)</f>
        <v>3</v>
      </c>
      <c r="K332" s="32"/>
      <c r="L332" s="32">
        <f ca="1">IFERROR(__xludf.DUMMYFUNCTION("""COMPUTED_VALUE"""),0)</f>
        <v>0</v>
      </c>
      <c r="M332" s="32"/>
      <c r="N332" s="31">
        <f ca="1">IFERROR(__xludf.DUMMYFUNCTION("""COMPUTED_VALUE"""),0)</f>
        <v>0</v>
      </c>
      <c r="O332" s="32">
        <f ca="1">IFERROR(__xludf.DUMMYFUNCTION("""COMPUTED_VALUE"""),0)</f>
        <v>0</v>
      </c>
      <c r="P332" s="32"/>
      <c r="Q332" s="32">
        <f ca="1">IFERROR(__xludf.DUMMYFUNCTION("""COMPUTED_VALUE"""),0)</f>
        <v>0</v>
      </c>
      <c r="R332" s="32"/>
      <c r="S332" s="31">
        <f ca="1">IFERROR(__xludf.DUMMYFUNCTION("""COMPUTED_VALUE"""),0)</f>
        <v>0</v>
      </c>
      <c r="T332" s="32">
        <f ca="1">IFERROR(__xludf.DUMMYFUNCTION("""COMPUTED_VALUE"""),0)</f>
        <v>0</v>
      </c>
      <c r="U332" s="32"/>
      <c r="V332" s="32">
        <f ca="1">IFERROR(__xludf.DUMMYFUNCTION("""COMPUTED_VALUE"""),0)</f>
        <v>0</v>
      </c>
      <c r="W332" s="32"/>
      <c r="X332" s="32">
        <f ca="1">IFERROR(__xludf.DUMMYFUNCTION("""COMPUTED_VALUE"""),0)</f>
        <v>0</v>
      </c>
      <c r="Y332" s="32"/>
      <c r="Z332" s="2"/>
      <c r="AA332" s="2"/>
      <c r="AB332" s="2"/>
      <c r="AC332" s="2"/>
      <c r="AD332" s="2"/>
      <c r="AE332" s="2"/>
    </row>
    <row r="333" spans="1:31" ht="12.75" x14ac:dyDescent="0.2">
      <c r="A333" s="28">
        <f ca="1">IFERROR(__xludf.DUMMYFUNCTION("""COMPUTED_VALUE"""),94)</f>
        <v>94</v>
      </c>
      <c r="B333" s="29" t="str">
        <f ca="1">IFERROR(__xludf.DUMMYFUNCTION("""COMPUTED_VALUE"""),"LMG Minh Châu")</f>
        <v>LMG Minh Châu</v>
      </c>
      <c r="C333" s="33" t="str">
        <f ca="1">IFERROR(__xludf.DUMMYFUNCTION("""COMPUTED_VALUE"""),"MN")</f>
        <v>MN</v>
      </c>
      <c r="D333" s="30" t="str">
        <f ca="1">IFERROR(__xludf.DUMMYFUNCTION("""COMPUTED_VALUE"""),"Tp. Thủ Đức")</f>
        <v>Tp. Thủ Đức</v>
      </c>
      <c r="E333" s="31">
        <f ca="1">IFERROR(__xludf.DUMMYFUNCTION("""COMPUTED_VALUE"""),4)</f>
        <v>4</v>
      </c>
      <c r="F333" s="32">
        <f ca="1">IFERROR(__xludf.DUMMYFUNCTION("""COMPUTED_VALUE"""),4)</f>
        <v>4</v>
      </c>
      <c r="G333" s="32"/>
      <c r="H333" s="32">
        <f ca="1">IFERROR(__xludf.DUMMYFUNCTION("""COMPUTED_VALUE"""),4)</f>
        <v>4</v>
      </c>
      <c r="I333" s="32"/>
      <c r="J333" s="32">
        <f ca="1">IFERROR(__xludf.DUMMYFUNCTION("""COMPUTED_VALUE"""),4)</f>
        <v>4</v>
      </c>
      <c r="K333" s="32"/>
      <c r="L333" s="32">
        <f ca="1">IFERROR(__xludf.DUMMYFUNCTION("""COMPUTED_VALUE"""),4)</f>
        <v>4</v>
      </c>
      <c r="M333" s="32"/>
      <c r="N333" s="31">
        <f ca="1">IFERROR(__xludf.DUMMYFUNCTION("""COMPUTED_VALUE"""),0)</f>
        <v>0</v>
      </c>
      <c r="O333" s="32">
        <f ca="1">IFERROR(__xludf.DUMMYFUNCTION("""COMPUTED_VALUE"""),0)</f>
        <v>0</v>
      </c>
      <c r="P333" s="32"/>
      <c r="Q333" s="32">
        <f ca="1">IFERROR(__xludf.DUMMYFUNCTION("""COMPUTED_VALUE"""),0)</f>
        <v>0</v>
      </c>
      <c r="R333" s="32"/>
      <c r="S333" s="31">
        <f ca="1">IFERROR(__xludf.DUMMYFUNCTION("""COMPUTED_VALUE"""),0)</f>
        <v>0</v>
      </c>
      <c r="T333" s="32">
        <f ca="1">IFERROR(__xludf.DUMMYFUNCTION("""COMPUTED_VALUE"""),0)</f>
        <v>0</v>
      </c>
      <c r="U333" s="32"/>
      <c r="V333" s="32">
        <f ca="1">IFERROR(__xludf.DUMMYFUNCTION("""COMPUTED_VALUE"""),0)</f>
        <v>0</v>
      </c>
      <c r="W333" s="32"/>
      <c r="X333" s="32">
        <f ca="1">IFERROR(__xludf.DUMMYFUNCTION("""COMPUTED_VALUE"""),0)</f>
        <v>0</v>
      </c>
      <c r="Y333" s="32"/>
      <c r="Z333" s="2"/>
      <c r="AA333" s="2"/>
      <c r="AB333" s="2"/>
      <c r="AC333" s="2"/>
      <c r="AD333" s="2"/>
      <c r="AE333" s="2"/>
    </row>
    <row r="334" spans="1:31" ht="12.75" x14ac:dyDescent="0.2">
      <c r="A334" s="28">
        <f ca="1">IFERROR(__xludf.DUMMYFUNCTION("""COMPUTED_VALUE"""),95)</f>
        <v>95</v>
      </c>
      <c r="B334" s="29" t="str">
        <f ca="1">IFERROR(__xludf.DUMMYFUNCTION("""COMPUTED_VALUE"""),"LMG Thỏ Trắng")</f>
        <v>LMG Thỏ Trắng</v>
      </c>
      <c r="C334" s="33" t="str">
        <f ca="1">IFERROR(__xludf.DUMMYFUNCTION("""COMPUTED_VALUE"""),"MN")</f>
        <v>MN</v>
      </c>
      <c r="D334" s="30" t="str">
        <f ca="1">IFERROR(__xludf.DUMMYFUNCTION("""COMPUTED_VALUE"""),"Tp. Thủ Đức")</f>
        <v>Tp. Thủ Đức</v>
      </c>
      <c r="E334" s="31">
        <f ca="1">IFERROR(__xludf.DUMMYFUNCTION("""COMPUTED_VALUE"""),3)</f>
        <v>3</v>
      </c>
      <c r="F334" s="32">
        <f ca="1">IFERROR(__xludf.DUMMYFUNCTION("""COMPUTED_VALUE"""),3)</f>
        <v>3</v>
      </c>
      <c r="G334" s="32"/>
      <c r="H334" s="32">
        <f ca="1">IFERROR(__xludf.DUMMYFUNCTION("""COMPUTED_VALUE"""),3)</f>
        <v>3</v>
      </c>
      <c r="I334" s="32"/>
      <c r="J334" s="32">
        <f ca="1">IFERROR(__xludf.DUMMYFUNCTION("""COMPUTED_VALUE"""),2)</f>
        <v>2</v>
      </c>
      <c r="K334" s="32"/>
      <c r="L334" s="32">
        <f ca="1">IFERROR(__xludf.DUMMYFUNCTION("""COMPUTED_VALUE"""),1)</f>
        <v>1</v>
      </c>
      <c r="M334" s="32"/>
      <c r="N334" s="31">
        <f ca="1">IFERROR(__xludf.DUMMYFUNCTION("""COMPUTED_VALUE"""),0)</f>
        <v>0</v>
      </c>
      <c r="O334" s="32">
        <f ca="1">IFERROR(__xludf.DUMMYFUNCTION("""COMPUTED_VALUE"""),0)</f>
        <v>0</v>
      </c>
      <c r="P334" s="32"/>
      <c r="Q334" s="32">
        <f ca="1">IFERROR(__xludf.DUMMYFUNCTION("""COMPUTED_VALUE"""),0)</f>
        <v>0</v>
      </c>
      <c r="R334" s="32"/>
      <c r="S334" s="31">
        <f ca="1">IFERROR(__xludf.DUMMYFUNCTION("""COMPUTED_VALUE"""),0)</f>
        <v>0</v>
      </c>
      <c r="T334" s="32">
        <f ca="1">IFERROR(__xludf.DUMMYFUNCTION("""COMPUTED_VALUE"""),0)</f>
        <v>0</v>
      </c>
      <c r="U334" s="32"/>
      <c r="V334" s="32">
        <f ca="1">IFERROR(__xludf.DUMMYFUNCTION("""COMPUTED_VALUE"""),0)</f>
        <v>0</v>
      </c>
      <c r="W334" s="32"/>
      <c r="X334" s="32">
        <f ca="1">IFERROR(__xludf.DUMMYFUNCTION("""COMPUTED_VALUE"""),0)</f>
        <v>0</v>
      </c>
      <c r="Y334" s="32"/>
      <c r="Z334" s="2"/>
      <c r="AA334" s="2"/>
      <c r="AB334" s="2"/>
      <c r="AC334" s="2"/>
      <c r="AD334" s="2"/>
      <c r="AE334" s="2"/>
    </row>
    <row r="335" spans="1:31" ht="12.75" x14ac:dyDescent="0.2">
      <c r="A335" s="28">
        <f ca="1">IFERROR(__xludf.DUMMYFUNCTION("""COMPUTED_VALUE"""),96)</f>
        <v>96</v>
      </c>
      <c r="B335" s="29" t="str">
        <f ca="1">IFERROR(__xludf.DUMMYFUNCTION("""COMPUTED_VALUE"""),"NT Mai Yến")</f>
        <v>NT Mai Yến</v>
      </c>
      <c r="C335" s="33" t="str">
        <f ca="1">IFERROR(__xludf.DUMMYFUNCTION("""COMPUTED_VALUE"""),"MN")</f>
        <v>MN</v>
      </c>
      <c r="D335" s="30" t="str">
        <f ca="1">IFERROR(__xludf.DUMMYFUNCTION("""COMPUTED_VALUE"""),"Tp. Thủ Đức")</f>
        <v>Tp. Thủ Đức</v>
      </c>
      <c r="E335" s="31">
        <f ca="1">IFERROR(__xludf.DUMMYFUNCTION("""COMPUTED_VALUE"""),5)</f>
        <v>5</v>
      </c>
      <c r="F335" s="32">
        <f ca="1">IFERROR(__xludf.DUMMYFUNCTION("""COMPUTED_VALUE"""),5)</f>
        <v>5</v>
      </c>
      <c r="G335" s="32"/>
      <c r="H335" s="32">
        <f ca="1">IFERROR(__xludf.DUMMYFUNCTION("""COMPUTED_VALUE"""),5)</f>
        <v>5</v>
      </c>
      <c r="I335" s="32"/>
      <c r="J335" s="32">
        <f ca="1">IFERROR(__xludf.DUMMYFUNCTION("""COMPUTED_VALUE"""),5)</f>
        <v>5</v>
      </c>
      <c r="K335" s="32"/>
      <c r="L335" s="32">
        <f ca="1">IFERROR(__xludf.DUMMYFUNCTION("""COMPUTED_VALUE"""),0)</f>
        <v>0</v>
      </c>
      <c r="M335" s="32"/>
      <c r="N335" s="31">
        <f ca="1">IFERROR(__xludf.DUMMYFUNCTION("""COMPUTED_VALUE"""),0)</f>
        <v>0</v>
      </c>
      <c r="O335" s="32">
        <f ca="1">IFERROR(__xludf.DUMMYFUNCTION("""COMPUTED_VALUE"""),0)</f>
        <v>0</v>
      </c>
      <c r="P335" s="32"/>
      <c r="Q335" s="32">
        <f ca="1">IFERROR(__xludf.DUMMYFUNCTION("""COMPUTED_VALUE"""),0)</f>
        <v>0</v>
      </c>
      <c r="R335" s="32"/>
      <c r="S335" s="31">
        <f ca="1">IFERROR(__xludf.DUMMYFUNCTION("""COMPUTED_VALUE"""),0)</f>
        <v>0</v>
      </c>
      <c r="T335" s="32">
        <f ca="1">IFERROR(__xludf.DUMMYFUNCTION("""COMPUTED_VALUE"""),0)</f>
        <v>0</v>
      </c>
      <c r="U335" s="32"/>
      <c r="V335" s="32">
        <f ca="1">IFERROR(__xludf.DUMMYFUNCTION("""COMPUTED_VALUE"""),0)</f>
        <v>0</v>
      </c>
      <c r="W335" s="32"/>
      <c r="X335" s="32">
        <f ca="1">IFERROR(__xludf.DUMMYFUNCTION("""COMPUTED_VALUE"""),0)</f>
        <v>0</v>
      </c>
      <c r="Y335" s="32"/>
      <c r="Z335" s="2"/>
      <c r="AA335" s="2"/>
      <c r="AB335" s="2"/>
      <c r="AC335" s="2"/>
      <c r="AD335" s="2"/>
      <c r="AE335" s="2"/>
    </row>
    <row r="336" spans="1:31" ht="12.75" x14ac:dyDescent="0.2">
      <c r="A336" s="28">
        <f ca="1">IFERROR(__xludf.DUMMYFUNCTION("""COMPUTED_VALUE"""),97)</f>
        <v>97</v>
      </c>
      <c r="B336" s="29" t="str">
        <f ca="1">IFERROR(__xludf.DUMMYFUNCTION("""COMPUTED_VALUE"""),"NT Mai Anh 2")</f>
        <v>NT Mai Anh 2</v>
      </c>
      <c r="C336" s="33" t="str">
        <f ca="1">IFERROR(__xludf.DUMMYFUNCTION("""COMPUTED_VALUE"""),"MN")</f>
        <v>MN</v>
      </c>
      <c r="D336" s="30" t="str">
        <f ca="1">IFERROR(__xludf.DUMMYFUNCTION("""COMPUTED_VALUE"""),"Tp. Thủ Đức")</f>
        <v>Tp. Thủ Đức</v>
      </c>
      <c r="E336" s="31">
        <f ca="1">IFERROR(__xludf.DUMMYFUNCTION("""COMPUTED_VALUE"""),7)</f>
        <v>7</v>
      </c>
      <c r="F336" s="32">
        <f ca="1">IFERROR(__xludf.DUMMYFUNCTION("""COMPUTED_VALUE"""),7)</f>
        <v>7</v>
      </c>
      <c r="G336" s="32"/>
      <c r="H336" s="32">
        <f ca="1">IFERROR(__xludf.DUMMYFUNCTION("""COMPUTED_VALUE"""),7)</f>
        <v>7</v>
      </c>
      <c r="I336" s="32"/>
      <c r="J336" s="32">
        <f ca="1">IFERROR(__xludf.DUMMYFUNCTION("""COMPUTED_VALUE"""),7)</f>
        <v>7</v>
      </c>
      <c r="K336" s="32"/>
      <c r="L336" s="32">
        <f ca="1">IFERROR(__xludf.DUMMYFUNCTION("""COMPUTED_VALUE"""),1)</f>
        <v>1</v>
      </c>
      <c r="M336" s="32"/>
      <c r="N336" s="31">
        <f ca="1">IFERROR(__xludf.DUMMYFUNCTION("""COMPUTED_VALUE"""),0)</f>
        <v>0</v>
      </c>
      <c r="O336" s="32">
        <f ca="1">IFERROR(__xludf.DUMMYFUNCTION("""COMPUTED_VALUE"""),0)</f>
        <v>0</v>
      </c>
      <c r="P336" s="32"/>
      <c r="Q336" s="32">
        <f ca="1">IFERROR(__xludf.DUMMYFUNCTION("""COMPUTED_VALUE"""),0)</f>
        <v>0</v>
      </c>
      <c r="R336" s="32"/>
      <c r="S336" s="31">
        <f ca="1">IFERROR(__xludf.DUMMYFUNCTION("""COMPUTED_VALUE"""),0)</f>
        <v>0</v>
      </c>
      <c r="T336" s="32">
        <f ca="1">IFERROR(__xludf.DUMMYFUNCTION("""COMPUTED_VALUE"""),0)</f>
        <v>0</v>
      </c>
      <c r="U336" s="32"/>
      <c r="V336" s="32">
        <f ca="1">IFERROR(__xludf.DUMMYFUNCTION("""COMPUTED_VALUE"""),0)</f>
        <v>0</v>
      </c>
      <c r="W336" s="32"/>
      <c r="X336" s="32">
        <f ca="1">IFERROR(__xludf.DUMMYFUNCTION("""COMPUTED_VALUE"""),0)</f>
        <v>0</v>
      </c>
      <c r="Y336" s="32"/>
      <c r="Z336" s="2"/>
      <c r="AA336" s="2"/>
      <c r="AB336" s="2"/>
      <c r="AC336" s="2"/>
      <c r="AD336" s="2"/>
      <c r="AE336" s="2"/>
    </row>
    <row r="337" spans="1:31" ht="12.75" x14ac:dyDescent="0.2">
      <c r="A337" s="28">
        <f ca="1">IFERROR(__xludf.DUMMYFUNCTION("""COMPUTED_VALUE"""),98)</f>
        <v>98</v>
      </c>
      <c r="B337" s="29" t="str">
        <f ca="1">IFERROR(__xludf.DUMMYFUNCTION("""COMPUTED_VALUE"""),"LMG Hoa Thiên")</f>
        <v>LMG Hoa Thiên</v>
      </c>
      <c r="C337" s="33" t="str">
        <f ca="1">IFERROR(__xludf.DUMMYFUNCTION("""COMPUTED_VALUE"""),"MN")</f>
        <v>MN</v>
      </c>
      <c r="D337" s="30" t="str">
        <f ca="1">IFERROR(__xludf.DUMMYFUNCTION("""COMPUTED_VALUE"""),"Tp. Thủ Đức")</f>
        <v>Tp. Thủ Đức</v>
      </c>
      <c r="E337" s="31">
        <f ca="1">IFERROR(__xludf.DUMMYFUNCTION("""COMPUTED_VALUE"""),9)</f>
        <v>9</v>
      </c>
      <c r="F337" s="32">
        <f ca="1">IFERROR(__xludf.DUMMYFUNCTION("""COMPUTED_VALUE"""),9)</f>
        <v>9</v>
      </c>
      <c r="G337" s="32"/>
      <c r="H337" s="32">
        <f ca="1">IFERROR(__xludf.DUMMYFUNCTION("""COMPUTED_VALUE"""),9)</f>
        <v>9</v>
      </c>
      <c r="I337" s="32"/>
      <c r="J337" s="32">
        <f ca="1">IFERROR(__xludf.DUMMYFUNCTION("""COMPUTED_VALUE"""),8)</f>
        <v>8</v>
      </c>
      <c r="K337" s="32"/>
      <c r="L337" s="32">
        <f ca="1">IFERROR(__xludf.DUMMYFUNCTION("""COMPUTED_VALUE"""),0)</f>
        <v>0</v>
      </c>
      <c r="M337" s="32"/>
      <c r="N337" s="31">
        <f ca="1">IFERROR(__xludf.DUMMYFUNCTION("""COMPUTED_VALUE"""),0)</f>
        <v>0</v>
      </c>
      <c r="O337" s="32">
        <f ca="1">IFERROR(__xludf.DUMMYFUNCTION("""COMPUTED_VALUE"""),0)</f>
        <v>0</v>
      </c>
      <c r="P337" s="32"/>
      <c r="Q337" s="32">
        <f ca="1">IFERROR(__xludf.DUMMYFUNCTION("""COMPUTED_VALUE"""),0)</f>
        <v>0</v>
      </c>
      <c r="R337" s="32"/>
      <c r="S337" s="31">
        <f ca="1">IFERROR(__xludf.DUMMYFUNCTION("""COMPUTED_VALUE"""),0)</f>
        <v>0</v>
      </c>
      <c r="T337" s="32">
        <f ca="1">IFERROR(__xludf.DUMMYFUNCTION("""COMPUTED_VALUE"""),0)</f>
        <v>0</v>
      </c>
      <c r="U337" s="32"/>
      <c r="V337" s="32">
        <f ca="1">IFERROR(__xludf.DUMMYFUNCTION("""COMPUTED_VALUE"""),0)</f>
        <v>0</v>
      </c>
      <c r="W337" s="32"/>
      <c r="X337" s="32">
        <f ca="1">IFERROR(__xludf.DUMMYFUNCTION("""COMPUTED_VALUE"""),0)</f>
        <v>0</v>
      </c>
      <c r="Y337" s="32"/>
      <c r="Z337" s="2"/>
      <c r="AA337" s="2"/>
      <c r="AB337" s="2"/>
      <c r="AC337" s="2"/>
      <c r="AD337" s="2"/>
      <c r="AE337" s="2"/>
    </row>
    <row r="338" spans="1:31" ht="12.75" x14ac:dyDescent="0.2">
      <c r="A338" s="28">
        <f ca="1">IFERROR(__xludf.DUMMYFUNCTION("""COMPUTED_VALUE"""),99)</f>
        <v>99</v>
      </c>
      <c r="B338" s="29" t="str">
        <f ca="1">IFERROR(__xludf.DUMMYFUNCTION("""COMPUTED_VALUE"""),"LMG Sen Việt")</f>
        <v>LMG Sen Việt</v>
      </c>
      <c r="C338" s="33" t="str">
        <f ca="1">IFERROR(__xludf.DUMMYFUNCTION("""COMPUTED_VALUE"""),"MN")</f>
        <v>MN</v>
      </c>
      <c r="D338" s="30" t="str">
        <f ca="1">IFERROR(__xludf.DUMMYFUNCTION("""COMPUTED_VALUE"""),"Tp. Thủ Đức")</f>
        <v>Tp. Thủ Đức</v>
      </c>
      <c r="E338" s="31">
        <f ca="1">IFERROR(__xludf.DUMMYFUNCTION("""COMPUTED_VALUE"""),6)</f>
        <v>6</v>
      </c>
      <c r="F338" s="32">
        <f ca="1">IFERROR(__xludf.DUMMYFUNCTION("""COMPUTED_VALUE"""),6)</f>
        <v>6</v>
      </c>
      <c r="G338" s="32"/>
      <c r="H338" s="32">
        <f ca="1">IFERROR(__xludf.DUMMYFUNCTION("""COMPUTED_VALUE"""),6)</f>
        <v>6</v>
      </c>
      <c r="I338" s="32"/>
      <c r="J338" s="32">
        <f ca="1">IFERROR(__xludf.DUMMYFUNCTION("""COMPUTED_VALUE"""),6)</f>
        <v>6</v>
      </c>
      <c r="K338" s="32"/>
      <c r="L338" s="32">
        <f ca="1">IFERROR(__xludf.DUMMYFUNCTION("""COMPUTED_VALUE"""),3)</f>
        <v>3</v>
      </c>
      <c r="M338" s="32"/>
      <c r="N338" s="31">
        <f ca="1">IFERROR(__xludf.DUMMYFUNCTION("""COMPUTED_VALUE"""),0)</f>
        <v>0</v>
      </c>
      <c r="O338" s="32">
        <f ca="1">IFERROR(__xludf.DUMMYFUNCTION("""COMPUTED_VALUE"""),0)</f>
        <v>0</v>
      </c>
      <c r="P338" s="32"/>
      <c r="Q338" s="32">
        <f ca="1">IFERROR(__xludf.DUMMYFUNCTION("""COMPUTED_VALUE"""),0)</f>
        <v>0</v>
      </c>
      <c r="R338" s="32"/>
      <c r="S338" s="31">
        <f ca="1">IFERROR(__xludf.DUMMYFUNCTION("""COMPUTED_VALUE"""),0)</f>
        <v>0</v>
      </c>
      <c r="T338" s="32">
        <f ca="1">IFERROR(__xludf.DUMMYFUNCTION("""COMPUTED_VALUE"""),0)</f>
        <v>0</v>
      </c>
      <c r="U338" s="32"/>
      <c r="V338" s="32">
        <f ca="1">IFERROR(__xludf.DUMMYFUNCTION("""COMPUTED_VALUE"""),0)</f>
        <v>0</v>
      </c>
      <c r="W338" s="32"/>
      <c r="X338" s="32">
        <f ca="1">IFERROR(__xludf.DUMMYFUNCTION("""COMPUTED_VALUE"""),0)</f>
        <v>0</v>
      </c>
      <c r="Y338" s="32"/>
      <c r="Z338" s="2"/>
      <c r="AA338" s="2"/>
      <c r="AB338" s="2"/>
      <c r="AC338" s="2"/>
      <c r="AD338" s="2"/>
      <c r="AE338" s="2"/>
    </row>
    <row r="339" spans="1:31" ht="12.75" x14ac:dyDescent="0.2">
      <c r="A339" s="28">
        <f ca="1">IFERROR(__xludf.DUMMYFUNCTION("""COMPUTED_VALUE"""),100)</f>
        <v>100</v>
      </c>
      <c r="B339" s="29" t="str">
        <f ca="1">IFERROR(__xludf.DUMMYFUNCTION("""COMPUTED_VALUE"""),"LMG Mai Anh Hai")</f>
        <v>LMG Mai Anh Hai</v>
      </c>
      <c r="C339" s="33" t="str">
        <f ca="1">IFERROR(__xludf.DUMMYFUNCTION("""COMPUTED_VALUE"""),"MN")</f>
        <v>MN</v>
      </c>
      <c r="D339" s="30" t="str">
        <f ca="1">IFERROR(__xludf.DUMMYFUNCTION("""COMPUTED_VALUE"""),"Tp. Thủ Đức")</f>
        <v>Tp. Thủ Đức</v>
      </c>
      <c r="E339" s="31">
        <f ca="1">IFERROR(__xludf.DUMMYFUNCTION("""COMPUTED_VALUE"""),6)</f>
        <v>6</v>
      </c>
      <c r="F339" s="32">
        <f ca="1">IFERROR(__xludf.DUMMYFUNCTION("""COMPUTED_VALUE"""),6)</f>
        <v>6</v>
      </c>
      <c r="G339" s="32"/>
      <c r="H339" s="32">
        <f ca="1">IFERROR(__xludf.DUMMYFUNCTION("""COMPUTED_VALUE"""),6)</f>
        <v>6</v>
      </c>
      <c r="I339" s="32"/>
      <c r="J339" s="32">
        <f ca="1">IFERROR(__xludf.DUMMYFUNCTION("""COMPUTED_VALUE"""),6)</f>
        <v>6</v>
      </c>
      <c r="K339" s="32"/>
      <c r="L339" s="32">
        <f ca="1">IFERROR(__xludf.DUMMYFUNCTION("""COMPUTED_VALUE"""),3)</f>
        <v>3</v>
      </c>
      <c r="M339" s="32"/>
      <c r="N339" s="31">
        <f ca="1">IFERROR(__xludf.DUMMYFUNCTION("""COMPUTED_VALUE"""),0)</f>
        <v>0</v>
      </c>
      <c r="O339" s="32">
        <f ca="1">IFERROR(__xludf.DUMMYFUNCTION("""COMPUTED_VALUE"""),0)</f>
        <v>0</v>
      </c>
      <c r="P339" s="32"/>
      <c r="Q339" s="32">
        <f ca="1">IFERROR(__xludf.DUMMYFUNCTION("""COMPUTED_VALUE"""),0)</f>
        <v>0</v>
      </c>
      <c r="R339" s="32"/>
      <c r="S339" s="31">
        <f ca="1">IFERROR(__xludf.DUMMYFUNCTION("""COMPUTED_VALUE"""),0)</f>
        <v>0</v>
      </c>
      <c r="T339" s="32">
        <f ca="1">IFERROR(__xludf.DUMMYFUNCTION("""COMPUTED_VALUE"""),0)</f>
        <v>0</v>
      </c>
      <c r="U339" s="32"/>
      <c r="V339" s="32">
        <f ca="1">IFERROR(__xludf.DUMMYFUNCTION("""COMPUTED_VALUE"""),0)</f>
        <v>0</v>
      </c>
      <c r="W339" s="32"/>
      <c r="X339" s="32">
        <f ca="1">IFERROR(__xludf.DUMMYFUNCTION("""COMPUTED_VALUE"""),0)</f>
        <v>0</v>
      </c>
      <c r="Y339" s="32"/>
      <c r="Z339" s="2"/>
      <c r="AA339" s="2"/>
      <c r="AB339" s="2"/>
      <c r="AC339" s="2"/>
      <c r="AD339" s="2"/>
      <c r="AE339" s="2"/>
    </row>
    <row r="340" spans="1:31" ht="12.75" x14ac:dyDescent="0.2">
      <c r="A340" s="28">
        <f ca="1">IFERROR(__xludf.DUMMYFUNCTION("""COMPUTED_VALUE"""),101)</f>
        <v>101</v>
      </c>
      <c r="B340" s="29" t="str">
        <f ca="1">IFERROR(__xludf.DUMMYFUNCTION("""COMPUTED_VALUE"""),"LMG Minh Trang")</f>
        <v>LMG Minh Trang</v>
      </c>
      <c r="C340" s="33" t="str">
        <f ca="1">IFERROR(__xludf.DUMMYFUNCTION("""COMPUTED_VALUE"""),"MN")</f>
        <v>MN</v>
      </c>
      <c r="D340" s="30" t="str">
        <f ca="1">IFERROR(__xludf.DUMMYFUNCTION("""COMPUTED_VALUE"""),"Tp. Thủ Đức")</f>
        <v>Tp. Thủ Đức</v>
      </c>
      <c r="E340" s="31">
        <f ca="1">IFERROR(__xludf.DUMMYFUNCTION("""COMPUTED_VALUE"""),3)</f>
        <v>3</v>
      </c>
      <c r="F340" s="32">
        <f ca="1">IFERROR(__xludf.DUMMYFUNCTION("""COMPUTED_VALUE"""),3)</f>
        <v>3</v>
      </c>
      <c r="G340" s="32"/>
      <c r="H340" s="32">
        <f ca="1">IFERROR(__xludf.DUMMYFUNCTION("""COMPUTED_VALUE"""),3)</f>
        <v>3</v>
      </c>
      <c r="I340" s="32"/>
      <c r="J340" s="32">
        <f ca="1">IFERROR(__xludf.DUMMYFUNCTION("""COMPUTED_VALUE"""),2)</f>
        <v>2</v>
      </c>
      <c r="K340" s="32"/>
      <c r="L340" s="32">
        <f ca="1">IFERROR(__xludf.DUMMYFUNCTION("""COMPUTED_VALUE"""),0)</f>
        <v>0</v>
      </c>
      <c r="M340" s="32"/>
      <c r="N340" s="31">
        <f ca="1">IFERROR(__xludf.DUMMYFUNCTION("""COMPUTED_VALUE"""),0)</f>
        <v>0</v>
      </c>
      <c r="O340" s="32">
        <f ca="1">IFERROR(__xludf.DUMMYFUNCTION("""COMPUTED_VALUE"""),0)</f>
        <v>0</v>
      </c>
      <c r="P340" s="32"/>
      <c r="Q340" s="32">
        <f ca="1">IFERROR(__xludf.DUMMYFUNCTION("""COMPUTED_VALUE"""),0)</f>
        <v>0</v>
      </c>
      <c r="R340" s="32"/>
      <c r="S340" s="31">
        <f ca="1">IFERROR(__xludf.DUMMYFUNCTION("""COMPUTED_VALUE"""),0)</f>
        <v>0</v>
      </c>
      <c r="T340" s="32">
        <f ca="1">IFERROR(__xludf.DUMMYFUNCTION("""COMPUTED_VALUE"""),0)</f>
        <v>0</v>
      </c>
      <c r="U340" s="32"/>
      <c r="V340" s="32">
        <f ca="1">IFERROR(__xludf.DUMMYFUNCTION("""COMPUTED_VALUE"""),0)</f>
        <v>0</v>
      </c>
      <c r="W340" s="32"/>
      <c r="X340" s="32">
        <f ca="1">IFERROR(__xludf.DUMMYFUNCTION("""COMPUTED_VALUE"""),0)</f>
        <v>0</v>
      </c>
      <c r="Y340" s="32"/>
      <c r="Z340" s="2"/>
      <c r="AA340" s="2"/>
      <c r="AB340" s="2"/>
      <c r="AC340" s="2"/>
      <c r="AD340" s="2"/>
      <c r="AE340" s="2"/>
    </row>
    <row r="341" spans="1:31" ht="12.75" x14ac:dyDescent="0.2">
      <c r="A341" s="28">
        <f ca="1">IFERROR(__xludf.DUMMYFUNCTION("""COMPUTED_VALUE"""),102)</f>
        <v>102</v>
      </c>
      <c r="B341" s="29" t="str">
        <f ca="1">IFERROR(__xludf.DUMMYFUNCTION("""COMPUTED_VALUE"""),"LMG Ngọc Nhi")</f>
        <v>LMG Ngọc Nhi</v>
      </c>
      <c r="C341" s="33" t="str">
        <f ca="1">IFERROR(__xludf.DUMMYFUNCTION("""COMPUTED_VALUE"""),"MN")</f>
        <v>MN</v>
      </c>
      <c r="D341" s="30" t="str">
        <f ca="1">IFERROR(__xludf.DUMMYFUNCTION("""COMPUTED_VALUE"""),"Tp. Thủ Đức")</f>
        <v>Tp. Thủ Đức</v>
      </c>
      <c r="E341" s="31">
        <f ca="1">IFERROR(__xludf.DUMMYFUNCTION("""COMPUTED_VALUE"""),4)</f>
        <v>4</v>
      </c>
      <c r="F341" s="32">
        <f ca="1">IFERROR(__xludf.DUMMYFUNCTION("""COMPUTED_VALUE"""),4)</f>
        <v>4</v>
      </c>
      <c r="G341" s="32"/>
      <c r="H341" s="32">
        <f ca="1">IFERROR(__xludf.DUMMYFUNCTION("""COMPUTED_VALUE"""),4)</f>
        <v>4</v>
      </c>
      <c r="I341" s="32"/>
      <c r="J341" s="32">
        <f ca="1">IFERROR(__xludf.DUMMYFUNCTION("""COMPUTED_VALUE"""),4)</f>
        <v>4</v>
      </c>
      <c r="K341" s="32"/>
      <c r="L341" s="32">
        <f ca="1">IFERROR(__xludf.DUMMYFUNCTION("""COMPUTED_VALUE"""),2)</f>
        <v>2</v>
      </c>
      <c r="M341" s="32"/>
      <c r="N341" s="31">
        <f ca="1">IFERROR(__xludf.DUMMYFUNCTION("""COMPUTED_VALUE"""),0)</f>
        <v>0</v>
      </c>
      <c r="O341" s="32">
        <f ca="1">IFERROR(__xludf.DUMMYFUNCTION("""COMPUTED_VALUE"""),0)</f>
        <v>0</v>
      </c>
      <c r="P341" s="32"/>
      <c r="Q341" s="32">
        <f ca="1">IFERROR(__xludf.DUMMYFUNCTION("""COMPUTED_VALUE"""),0)</f>
        <v>0</v>
      </c>
      <c r="R341" s="32"/>
      <c r="S341" s="31">
        <f ca="1">IFERROR(__xludf.DUMMYFUNCTION("""COMPUTED_VALUE"""),0)</f>
        <v>0</v>
      </c>
      <c r="T341" s="32">
        <f ca="1">IFERROR(__xludf.DUMMYFUNCTION("""COMPUTED_VALUE"""),0)</f>
        <v>0</v>
      </c>
      <c r="U341" s="32"/>
      <c r="V341" s="32">
        <f ca="1">IFERROR(__xludf.DUMMYFUNCTION("""COMPUTED_VALUE"""),0)</f>
        <v>0</v>
      </c>
      <c r="W341" s="32"/>
      <c r="X341" s="32">
        <f ca="1">IFERROR(__xludf.DUMMYFUNCTION("""COMPUTED_VALUE"""),0)</f>
        <v>0</v>
      </c>
      <c r="Y341" s="32"/>
      <c r="Z341" s="2"/>
      <c r="AA341" s="2"/>
      <c r="AB341" s="2"/>
      <c r="AC341" s="2"/>
      <c r="AD341" s="2"/>
      <c r="AE341" s="2"/>
    </row>
    <row r="342" spans="1:31" ht="12.75" x14ac:dyDescent="0.2">
      <c r="A342" s="28">
        <f ca="1">IFERROR(__xludf.DUMMYFUNCTION("""COMPUTED_VALUE"""),103)</f>
        <v>103</v>
      </c>
      <c r="B342" s="29" t="str">
        <f ca="1">IFERROR(__xludf.DUMMYFUNCTION("""COMPUTED_VALUE"""),"LMG Ánh Sao 2")</f>
        <v>LMG Ánh Sao 2</v>
      </c>
      <c r="C342" s="33" t="str">
        <f ca="1">IFERROR(__xludf.DUMMYFUNCTION("""COMPUTED_VALUE"""),"MN")</f>
        <v>MN</v>
      </c>
      <c r="D342" s="30" t="str">
        <f ca="1">IFERROR(__xludf.DUMMYFUNCTION("""COMPUTED_VALUE"""),"Tp. Thủ Đức")</f>
        <v>Tp. Thủ Đức</v>
      </c>
      <c r="E342" s="31">
        <f ca="1">IFERROR(__xludf.DUMMYFUNCTION("""COMPUTED_VALUE"""),6)</f>
        <v>6</v>
      </c>
      <c r="F342" s="32">
        <f ca="1">IFERROR(__xludf.DUMMYFUNCTION("""COMPUTED_VALUE"""),6)</f>
        <v>6</v>
      </c>
      <c r="G342" s="32"/>
      <c r="H342" s="32">
        <f ca="1">IFERROR(__xludf.DUMMYFUNCTION("""COMPUTED_VALUE"""),6)</f>
        <v>6</v>
      </c>
      <c r="I342" s="32"/>
      <c r="J342" s="32">
        <f ca="1">IFERROR(__xludf.DUMMYFUNCTION("""COMPUTED_VALUE"""),6)</f>
        <v>6</v>
      </c>
      <c r="K342" s="32"/>
      <c r="L342" s="32">
        <f ca="1">IFERROR(__xludf.DUMMYFUNCTION("""COMPUTED_VALUE"""),2)</f>
        <v>2</v>
      </c>
      <c r="M342" s="32"/>
      <c r="N342" s="31">
        <f ca="1">IFERROR(__xludf.DUMMYFUNCTION("""COMPUTED_VALUE"""),0)</f>
        <v>0</v>
      </c>
      <c r="O342" s="32">
        <f ca="1">IFERROR(__xludf.DUMMYFUNCTION("""COMPUTED_VALUE"""),0)</f>
        <v>0</v>
      </c>
      <c r="P342" s="32"/>
      <c r="Q342" s="32">
        <f ca="1">IFERROR(__xludf.DUMMYFUNCTION("""COMPUTED_VALUE"""),0)</f>
        <v>0</v>
      </c>
      <c r="R342" s="32"/>
      <c r="S342" s="31">
        <f ca="1">IFERROR(__xludf.DUMMYFUNCTION("""COMPUTED_VALUE"""),0)</f>
        <v>0</v>
      </c>
      <c r="T342" s="32">
        <f ca="1">IFERROR(__xludf.DUMMYFUNCTION("""COMPUTED_VALUE"""),0)</f>
        <v>0</v>
      </c>
      <c r="U342" s="32"/>
      <c r="V342" s="32">
        <f ca="1">IFERROR(__xludf.DUMMYFUNCTION("""COMPUTED_VALUE"""),0)</f>
        <v>0</v>
      </c>
      <c r="W342" s="32"/>
      <c r="X342" s="32">
        <f ca="1">IFERROR(__xludf.DUMMYFUNCTION("""COMPUTED_VALUE"""),0)</f>
        <v>0</v>
      </c>
      <c r="Y342" s="32"/>
      <c r="Z342" s="2"/>
      <c r="AA342" s="2"/>
      <c r="AB342" s="2"/>
      <c r="AC342" s="2"/>
      <c r="AD342" s="2"/>
      <c r="AE342" s="2"/>
    </row>
    <row r="343" spans="1:31" ht="12.75" x14ac:dyDescent="0.2">
      <c r="A343" s="28">
        <f ca="1">IFERROR(__xludf.DUMMYFUNCTION("""COMPUTED_VALUE"""),104)</f>
        <v>104</v>
      </c>
      <c r="B343" s="29" t="str">
        <f ca="1">IFERROR(__xludf.DUMMYFUNCTION("""COMPUTED_VALUE"""),"NT Phú Hữu")</f>
        <v>NT Phú Hữu</v>
      </c>
      <c r="C343" s="33" t="str">
        <f ca="1">IFERROR(__xludf.DUMMYFUNCTION("""COMPUTED_VALUE"""),"MN")</f>
        <v>MN</v>
      </c>
      <c r="D343" s="30" t="str">
        <f ca="1">IFERROR(__xludf.DUMMYFUNCTION("""COMPUTED_VALUE"""),"Tp. Thủ Đức")</f>
        <v>Tp. Thủ Đức</v>
      </c>
      <c r="E343" s="31">
        <f ca="1">IFERROR(__xludf.DUMMYFUNCTION("""COMPUTED_VALUE"""),6)</f>
        <v>6</v>
      </c>
      <c r="F343" s="32">
        <f ca="1">IFERROR(__xludf.DUMMYFUNCTION("""COMPUTED_VALUE"""),6)</f>
        <v>6</v>
      </c>
      <c r="G343" s="32"/>
      <c r="H343" s="32">
        <f ca="1">IFERROR(__xludf.DUMMYFUNCTION("""COMPUTED_VALUE"""),6)</f>
        <v>6</v>
      </c>
      <c r="I343" s="32"/>
      <c r="J343" s="32">
        <f ca="1">IFERROR(__xludf.DUMMYFUNCTION("""COMPUTED_VALUE"""),6)</f>
        <v>6</v>
      </c>
      <c r="K343" s="32"/>
      <c r="L343" s="32">
        <f ca="1">IFERROR(__xludf.DUMMYFUNCTION("""COMPUTED_VALUE"""),0)</f>
        <v>0</v>
      </c>
      <c r="M343" s="32"/>
      <c r="N343" s="31">
        <f ca="1">IFERROR(__xludf.DUMMYFUNCTION("""COMPUTED_VALUE"""),0)</f>
        <v>0</v>
      </c>
      <c r="O343" s="32">
        <f ca="1">IFERROR(__xludf.DUMMYFUNCTION("""COMPUTED_VALUE"""),0)</f>
        <v>0</v>
      </c>
      <c r="P343" s="32"/>
      <c r="Q343" s="32">
        <f ca="1">IFERROR(__xludf.DUMMYFUNCTION("""COMPUTED_VALUE"""),0)</f>
        <v>0</v>
      </c>
      <c r="R343" s="32"/>
      <c r="S343" s="31">
        <f ca="1">IFERROR(__xludf.DUMMYFUNCTION("""COMPUTED_VALUE"""),0)</f>
        <v>0</v>
      </c>
      <c r="T343" s="32">
        <f ca="1">IFERROR(__xludf.DUMMYFUNCTION("""COMPUTED_VALUE"""),0)</f>
        <v>0</v>
      </c>
      <c r="U343" s="32"/>
      <c r="V343" s="32">
        <f ca="1">IFERROR(__xludf.DUMMYFUNCTION("""COMPUTED_VALUE"""),0)</f>
        <v>0</v>
      </c>
      <c r="W343" s="32"/>
      <c r="X343" s="32">
        <f ca="1">IFERROR(__xludf.DUMMYFUNCTION("""COMPUTED_VALUE"""),0)</f>
        <v>0</v>
      </c>
      <c r="Y343" s="32"/>
      <c r="Z343" s="2"/>
      <c r="AA343" s="2"/>
      <c r="AB343" s="2"/>
      <c r="AC343" s="2"/>
      <c r="AD343" s="2"/>
      <c r="AE343" s="2"/>
    </row>
    <row r="344" spans="1:31" ht="12.75" x14ac:dyDescent="0.2">
      <c r="A344" s="28">
        <f ca="1">IFERROR(__xludf.DUMMYFUNCTION("""COMPUTED_VALUE"""),105)</f>
        <v>105</v>
      </c>
      <c r="B344" s="29" t="str">
        <f ca="1">IFERROR(__xludf.DUMMYFUNCTION("""COMPUTED_VALUE"""),"LMG Cô và bé")</f>
        <v>LMG Cô và bé</v>
      </c>
      <c r="C344" s="33" t="str">
        <f ca="1">IFERROR(__xludf.DUMMYFUNCTION("""COMPUTED_VALUE"""),"MN")</f>
        <v>MN</v>
      </c>
      <c r="D344" s="30" t="str">
        <f ca="1">IFERROR(__xludf.DUMMYFUNCTION("""COMPUTED_VALUE"""),"Tp. Thủ Đức")</f>
        <v>Tp. Thủ Đức</v>
      </c>
      <c r="E344" s="31">
        <f ca="1">IFERROR(__xludf.DUMMYFUNCTION("""COMPUTED_VALUE"""),9)</f>
        <v>9</v>
      </c>
      <c r="F344" s="32">
        <f ca="1">IFERROR(__xludf.DUMMYFUNCTION("""COMPUTED_VALUE"""),9)</f>
        <v>9</v>
      </c>
      <c r="G344" s="32"/>
      <c r="H344" s="32">
        <f ca="1">IFERROR(__xludf.DUMMYFUNCTION("""COMPUTED_VALUE"""),9)</f>
        <v>9</v>
      </c>
      <c r="I344" s="32"/>
      <c r="J344" s="32">
        <f ca="1">IFERROR(__xludf.DUMMYFUNCTION("""COMPUTED_VALUE"""),4)</f>
        <v>4</v>
      </c>
      <c r="K344" s="32"/>
      <c r="L344" s="32">
        <f ca="1">IFERROR(__xludf.DUMMYFUNCTION("""COMPUTED_VALUE"""),5)</f>
        <v>5</v>
      </c>
      <c r="M344" s="32"/>
      <c r="N344" s="31">
        <f ca="1">IFERROR(__xludf.DUMMYFUNCTION("""COMPUTED_VALUE"""),0)</f>
        <v>0</v>
      </c>
      <c r="O344" s="32">
        <f ca="1">IFERROR(__xludf.DUMMYFUNCTION("""COMPUTED_VALUE"""),0)</f>
        <v>0</v>
      </c>
      <c r="P344" s="32"/>
      <c r="Q344" s="32">
        <f ca="1">IFERROR(__xludf.DUMMYFUNCTION("""COMPUTED_VALUE"""),0)</f>
        <v>0</v>
      </c>
      <c r="R344" s="32"/>
      <c r="S344" s="31">
        <f ca="1">IFERROR(__xludf.DUMMYFUNCTION("""COMPUTED_VALUE"""),0)</f>
        <v>0</v>
      </c>
      <c r="T344" s="32">
        <f ca="1">IFERROR(__xludf.DUMMYFUNCTION("""COMPUTED_VALUE"""),0)</f>
        <v>0</v>
      </c>
      <c r="U344" s="32"/>
      <c r="V344" s="32">
        <f ca="1">IFERROR(__xludf.DUMMYFUNCTION("""COMPUTED_VALUE"""),0)</f>
        <v>0</v>
      </c>
      <c r="W344" s="32"/>
      <c r="X344" s="32">
        <f ca="1">IFERROR(__xludf.DUMMYFUNCTION("""COMPUTED_VALUE"""),0)</f>
        <v>0</v>
      </c>
      <c r="Y344" s="32"/>
      <c r="Z344" s="2"/>
      <c r="AA344" s="2"/>
      <c r="AB344" s="2"/>
      <c r="AC344" s="2"/>
      <c r="AD344" s="2"/>
      <c r="AE344" s="2"/>
    </row>
    <row r="345" spans="1:31" ht="12.75" x14ac:dyDescent="0.2">
      <c r="A345" s="28">
        <f ca="1">IFERROR(__xludf.DUMMYFUNCTION("""COMPUTED_VALUE"""),106)</f>
        <v>106</v>
      </c>
      <c r="B345" s="29" t="str">
        <f ca="1">IFERROR(__xludf.DUMMYFUNCTION("""COMPUTED_VALUE"""),"NT Kỳ Anh")</f>
        <v>NT Kỳ Anh</v>
      </c>
      <c r="C345" s="33" t="str">
        <f ca="1">IFERROR(__xludf.DUMMYFUNCTION("""COMPUTED_VALUE"""),"MN")</f>
        <v>MN</v>
      </c>
      <c r="D345" s="30" t="str">
        <f ca="1">IFERROR(__xludf.DUMMYFUNCTION("""COMPUTED_VALUE"""),"Tp. Thủ Đức")</f>
        <v>Tp. Thủ Đức</v>
      </c>
      <c r="E345" s="31">
        <f ca="1">IFERROR(__xludf.DUMMYFUNCTION("""COMPUTED_VALUE"""),6)</f>
        <v>6</v>
      </c>
      <c r="F345" s="32">
        <f ca="1">IFERROR(__xludf.DUMMYFUNCTION("""COMPUTED_VALUE"""),6)</f>
        <v>6</v>
      </c>
      <c r="G345" s="32"/>
      <c r="H345" s="32">
        <f ca="1">IFERROR(__xludf.DUMMYFUNCTION("""COMPUTED_VALUE"""),6)</f>
        <v>6</v>
      </c>
      <c r="I345" s="32"/>
      <c r="J345" s="32">
        <f ca="1">IFERROR(__xludf.DUMMYFUNCTION("""COMPUTED_VALUE"""),6)</f>
        <v>6</v>
      </c>
      <c r="K345" s="32"/>
      <c r="L345" s="32">
        <f ca="1">IFERROR(__xludf.DUMMYFUNCTION("""COMPUTED_VALUE"""),0)</f>
        <v>0</v>
      </c>
      <c r="M345" s="32"/>
      <c r="N345" s="31">
        <f ca="1">IFERROR(__xludf.DUMMYFUNCTION("""COMPUTED_VALUE"""),0)</f>
        <v>0</v>
      </c>
      <c r="O345" s="32">
        <f ca="1">IFERROR(__xludf.DUMMYFUNCTION("""COMPUTED_VALUE"""),0)</f>
        <v>0</v>
      </c>
      <c r="P345" s="32"/>
      <c r="Q345" s="32">
        <f ca="1">IFERROR(__xludf.DUMMYFUNCTION("""COMPUTED_VALUE"""),0)</f>
        <v>0</v>
      </c>
      <c r="R345" s="32"/>
      <c r="S345" s="31">
        <f ca="1">IFERROR(__xludf.DUMMYFUNCTION("""COMPUTED_VALUE"""),0)</f>
        <v>0</v>
      </c>
      <c r="T345" s="32">
        <f ca="1">IFERROR(__xludf.DUMMYFUNCTION("""COMPUTED_VALUE"""),0)</f>
        <v>0</v>
      </c>
      <c r="U345" s="32"/>
      <c r="V345" s="32">
        <f ca="1">IFERROR(__xludf.DUMMYFUNCTION("""COMPUTED_VALUE"""),0)</f>
        <v>0</v>
      </c>
      <c r="W345" s="32"/>
      <c r="X345" s="32">
        <f ca="1">IFERROR(__xludf.DUMMYFUNCTION("""COMPUTED_VALUE"""),0)</f>
        <v>0</v>
      </c>
      <c r="Y345" s="32"/>
      <c r="Z345" s="2"/>
      <c r="AA345" s="2"/>
      <c r="AB345" s="2"/>
      <c r="AC345" s="2"/>
      <c r="AD345" s="2"/>
      <c r="AE345" s="2"/>
    </row>
    <row r="346" spans="1:31" ht="12.75" x14ac:dyDescent="0.2">
      <c r="A346" s="28">
        <f ca="1">IFERROR(__xludf.DUMMYFUNCTION("""COMPUTED_VALUE"""),107)</f>
        <v>107</v>
      </c>
      <c r="B346" s="29" t="str">
        <f ca="1">IFERROR(__xludf.DUMMYFUNCTION("""COMPUTED_VALUE"""),"LMG Vườn Ươm Hạnh Phúc")</f>
        <v>LMG Vườn Ươm Hạnh Phúc</v>
      </c>
      <c r="C346" s="33" t="str">
        <f ca="1">IFERROR(__xludf.DUMMYFUNCTION("""COMPUTED_VALUE"""),"MN")</f>
        <v>MN</v>
      </c>
      <c r="D346" s="30" t="str">
        <f ca="1">IFERROR(__xludf.DUMMYFUNCTION("""COMPUTED_VALUE"""),"Tp. Thủ Đức")</f>
        <v>Tp. Thủ Đức</v>
      </c>
      <c r="E346" s="31">
        <f ca="1">IFERROR(__xludf.DUMMYFUNCTION("""COMPUTED_VALUE"""),4)</f>
        <v>4</v>
      </c>
      <c r="F346" s="32">
        <f ca="1">IFERROR(__xludf.DUMMYFUNCTION("""COMPUTED_VALUE"""),4)</f>
        <v>4</v>
      </c>
      <c r="G346" s="32"/>
      <c r="H346" s="32">
        <f ca="1">IFERROR(__xludf.DUMMYFUNCTION("""COMPUTED_VALUE"""),4)</f>
        <v>4</v>
      </c>
      <c r="I346" s="32"/>
      <c r="J346" s="32">
        <f ca="1">IFERROR(__xludf.DUMMYFUNCTION("""COMPUTED_VALUE"""),3)</f>
        <v>3</v>
      </c>
      <c r="K346" s="32"/>
      <c r="L346" s="32">
        <f ca="1">IFERROR(__xludf.DUMMYFUNCTION("""COMPUTED_VALUE"""),2)</f>
        <v>2</v>
      </c>
      <c r="M346" s="32"/>
      <c r="N346" s="31">
        <f ca="1">IFERROR(__xludf.DUMMYFUNCTION("""COMPUTED_VALUE"""),0)</f>
        <v>0</v>
      </c>
      <c r="O346" s="32">
        <f ca="1">IFERROR(__xludf.DUMMYFUNCTION("""COMPUTED_VALUE"""),0)</f>
        <v>0</v>
      </c>
      <c r="P346" s="32"/>
      <c r="Q346" s="32">
        <f ca="1">IFERROR(__xludf.DUMMYFUNCTION("""COMPUTED_VALUE"""),0)</f>
        <v>0</v>
      </c>
      <c r="R346" s="32"/>
      <c r="S346" s="31">
        <f ca="1">IFERROR(__xludf.DUMMYFUNCTION("""COMPUTED_VALUE"""),0)</f>
        <v>0</v>
      </c>
      <c r="T346" s="32">
        <f ca="1">IFERROR(__xludf.DUMMYFUNCTION("""COMPUTED_VALUE"""),0)</f>
        <v>0</v>
      </c>
      <c r="U346" s="32"/>
      <c r="V346" s="32">
        <f ca="1">IFERROR(__xludf.DUMMYFUNCTION("""COMPUTED_VALUE"""),0)</f>
        <v>0</v>
      </c>
      <c r="W346" s="32"/>
      <c r="X346" s="32">
        <f ca="1">IFERROR(__xludf.DUMMYFUNCTION("""COMPUTED_VALUE"""),0)</f>
        <v>0</v>
      </c>
      <c r="Y346" s="32"/>
      <c r="Z346" s="2"/>
      <c r="AA346" s="2"/>
      <c r="AB346" s="2"/>
      <c r="AC346" s="2"/>
      <c r="AD346" s="2"/>
      <c r="AE346" s="2"/>
    </row>
    <row r="347" spans="1:31" ht="12.75" x14ac:dyDescent="0.2">
      <c r="A347" s="28">
        <f ca="1">IFERROR(__xludf.DUMMYFUNCTION("""COMPUTED_VALUE"""),108)</f>
        <v>108</v>
      </c>
      <c r="B347" s="29" t="str">
        <f ca="1">IFERROR(__xludf.DUMMYFUNCTION("""COMPUTED_VALUE"""),"LMG Bé Yêu")</f>
        <v>LMG Bé Yêu</v>
      </c>
      <c r="C347" s="33" t="str">
        <f ca="1">IFERROR(__xludf.DUMMYFUNCTION("""COMPUTED_VALUE"""),"MN")</f>
        <v>MN</v>
      </c>
      <c r="D347" s="30" t="str">
        <f ca="1">IFERROR(__xludf.DUMMYFUNCTION("""COMPUTED_VALUE"""),"Tp. Thủ Đức")</f>
        <v>Tp. Thủ Đức</v>
      </c>
      <c r="E347" s="31">
        <f ca="1">IFERROR(__xludf.DUMMYFUNCTION("""COMPUTED_VALUE"""),18)</f>
        <v>18</v>
      </c>
      <c r="F347" s="32">
        <f ca="1">IFERROR(__xludf.DUMMYFUNCTION("""COMPUTED_VALUE"""),18)</f>
        <v>18</v>
      </c>
      <c r="G347" s="32"/>
      <c r="H347" s="32">
        <f ca="1">IFERROR(__xludf.DUMMYFUNCTION("""COMPUTED_VALUE"""),18)</f>
        <v>18</v>
      </c>
      <c r="I347" s="32"/>
      <c r="J347" s="32">
        <f ca="1">IFERROR(__xludf.DUMMYFUNCTION("""COMPUTED_VALUE"""),17)</f>
        <v>17</v>
      </c>
      <c r="K347" s="32"/>
      <c r="L347" s="32">
        <f ca="1">IFERROR(__xludf.DUMMYFUNCTION("""COMPUTED_VALUE"""),1)</f>
        <v>1</v>
      </c>
      <c r="M347" s="32"/>
      <c r="N347" s="31">
        <f ca="1">IFERROR(__xludf.DUMMYFUNCTION("""COMPUTED_VALUE"""),0)</f>
        <v>0</v>
      </c>
      <c r="O347" s="32">
        <f ca="1">IFERROR(__xludf.DUMMYFUNCTION("""COMPUTED_VALUE"""),0)</f>
        <v>0</v>
      </c>
      <c r="P347" s="32"/>
      <c r="Q347" s="32">
        <f ca="1">IFERROR(__xludf.DUMMYFUNCTION("""COMPUTED_VALUE"""),0)</f>
        <v>0</v>
      </c>
      <c r="R347" s="32"/>
      <c r="S347" s="31">
        <f ca="1">IFERROR(__xludf.DUMMYFUNCTION("""COMPUTED_VALUE"""),0)</f>
        <v>0</v>
      </c>
      <c r="T347" s="32">
        <f ca="1">IFERROR(__xludf.DUMMYFUNCTION("""COMPUTED_VALUE"""),0)</f>
        <v>0</v>
      </c>
      <c r="U347" s="32"/>
      <c r="V347" s="32">
        <f ca="1">IFERROR(__xludf.DUMMYFUNCTION("""COMPUTED_VALUE"""),0)</f>
        <v>0</v>
      </c>
      <c r="W347" s="32"/>
      <c r="X347" s="32">
        <f ca="1">IFERROR(__xludf.DUMMYFUNCTION("""COMPUTED_VALUE"""),0)</f>
        <v>0</v>
      </c>
      <c r="Y347" s="32"/>
      <c r="Z347" s="2"/>
      <c r="AA347" s="2"/>
      <c r="AB347" s="2"/>
      <c r="AC347" s="2"/>
      <c r="AD347" s="2"/>
      <c r="AE347" s="2"/>
    </row>
    <row r="348" spans="1:31" ht="12.75" x14ac:dyDescent="0.2">
      <c r="A348" s="28">
        <f ca="1">IFERROR(__xludf.DUMMYFUNCTION("""COMPUTED_VALUE"""),109)</f>
        <v>109</v>
      </c>
      <c r="B348" s="29" t="str">
        <f ca="1">IFERROR(__xludf.DUMMYFUNCTION("""COMPUTED_VALUE"""),"NT Chào Bé Yêu")</f>
        <v>NT Chào Bé Yêu</v>
      </c>
      <c r="C348" s="33" t="str">
        <f ca="1">IFERROR(__xludf.DUMMYFUNCTION("""COMPUTED_VALUE"""),"MN")</f>
        <v>MN</v>
      </c>
      <c r="D348" s="30" t="str">
        <f ca="1">IFERROR(__xludf.DUMMYFUNCTION("""COMPUTED_VALUE"""),"Tp. Thủ Đức")</f>
        <v>Tp. Thủ Đức</v>
      </c>
      <c r="E348" s="31">
        <f ca="1">IFERROR(__xludf.DUMMYFUNCTION("""COMPUTED_VALUE"""),2)</f>
        <v>2</v>
      </c>
      <c r="F348" s="32">
        <f ca="1">IFERROR(__xludf.DUMMYFUNCTION("""COMPUTED_VALUE"""),2)</f>
        <v>2</v>
      </c>
      <c r="G348" s="32"/>
      <c r="H348" s="32">
        <f ca="1">IFERROR(__xludf.DUMMYFUNCTION("""COMPUTED_VALUE"""),2)</f>
        <v>2</v>
      </c>
      <c r="I348" s="32"/>
      <c r="J348" s="32">
        <f ca="1">IFERROR(__xludf.DUMMYFUNCTION("""COMPUTED_VALUE"""),1)</f>
        <v>1</v>
      </c>
      <c r="K348" s="32"/>
      <c r="L348" s="32">
        <f ca="1">IFERROR(__xludf.DUMMYFUNCTION("""COMPUTED_VALUE"""),1)</f>
        <v>1</v>
      </c>
      <c r="M348" s="32"/>
      <c r="N348" s="31">
        <f ca="1">IFERROR(__xludf.DUMMYFUNCTION("""COMPUTED_VALUE"""),0)</f>
        <v>0</v>
      </c>
      <c r="O348" s="32">
        <f ca="1">IFERROR(__xludf.DUMMYFUNCTION("""COMPUTED_VALUE"""),0)</f>
        <v>0</v>
      </c>
      <c r="P348" s="32"/>
      <c r="Q348" s="32">
        <f ca="1">IFERROR(__xludf.DUMMYFUNCTION("""COMPUTED_VALUE"""),0)</f>
        <v>0</v>
      </c>
      <c r="R348" s="32"/>
      <c r="S348" s="31">
        <f ca="1">IFERROR(__xludf.DUMMYFUNCTION("""COMPUTED_VALUE"""),0)</f>
        <v>0</v>
      </c>
      <c r="T348" s="32">
        <f ca="1">IFERROR(__xludf.DUMMYFUNCTION("""COMPUTED_VALUE"""),0)</f>
        <v>0</v>
      </c>
      <c r="U348" s="32"/>
      <c r="V348" s="32">
        <f ca="1">IFERROR(__xludf.DUMMYFUNCTION("""COMPUTED_VALUE"""),0)</f>
        <v>0</v>
      </c>
      <c r="W348" s="32"/>
      <c r="X348" s="32">
        <f ca="1">IFERROR(__xludf.DUMMYFUNCTION("""COMPUTED_VALUE"""),0)</f>
        <v>0</v>
      </c>
      <c r="Y348" s="32"/>
      <c r="Z348" s="2"/>
      <c r="AA348" s="2"/>
      <c r="AB348" s="2"/>
      <c r="AC348" s="2"/>
      <c r="AD348" s="2"/>
      <c r="AE348" s="2"/>
    </row>
    <row r="349" spans="1:31" ht="12.75" x14ac:dyDescent="0.2">
      <c r="A349" s="28">
        <f ca="1">IFERROR(__xludf.DUMMYFUNCTION("""COMPUTED_VALUE"""),110)</f>
        <v>110</v>
      </c>
      <c r="B349" s="29" t="str">
        <f ca="1">IFERROR(__xludf.DUMMYFUNCTION("""COMPUTED_VALUE"""),"LMG Nắng Ban Mai")</f>
        <v>LMG Nắng Ban Mai</v>
      </c>
      <c r="C349" s="33" t="str">
        <f ca="1">IFERROR(__xludf.DUMMYFUNCTION("""COMPUTED_VALUE"""),"MN")</f>
        <v>MN</v>
      </c>
      <c r="D349" s="30" t="str">
        <f ca="1">IFERROR(__xludf.DUMMYFUNCTION("""COMPUTED_VALUE"""),"Tp. Thủ Đức")</f>
        <v>Tp. Thủ Đức</v>
      </c>
      <c r="E349" s="31">
        <f ca="1">IFERROR(__xludf.DUMMYFUNCTION("""COMPUTED_VALUE"""),3)</f>
        <v>3</v>
      </c>
      <c r="F349" s="32">
        <f ca="1">IFERROR(__xludf.DUMMYFUNCTION("""COMPUTED_VALUE"""),3)</f>
        <v>3</v>
      </c>
      <c r="G349" s="32"/>
      <c r="H349" s="32">
        <f ca="1">IFERROR(__xludf.DUMMYFUNCTION("""COMPUTED_VALUE"""),3)</f>
        <v>3</v>
      </c>
      <c r="I349" s="32"/>
      <c r="J349" s="32">
        <f ca="1">IFERROR(__xludf.DUMMYFUNCTION("""COMPUTED_VALUE"""),2)</f>
        <v>2</v>
      </c>
      <c r="K349" s="32"/>
      <c r="L349" s="32">
        <f ca="1">IFERROR(__xludf.DUMMYFUNCTION("""COMPUTED_VALUE"""),1)</f>
        <v>1</v>
      </c>
      <c r="M349" s="32"/>
      <c r="N349" s="31">
        <f ca="1">IFERROR(__xludf.DUMMYFUNCTION("""COMPUTED_VALUE"""),0)</f>
        <v>0</v>
      </c>
      <c r="O349" s="32">
        <f ca="1">IFERROR(__xludf.DUMMYFUNCTION("""COMPUTED_VALUE"""),0)</f>
        <v>0</v>
      </c>
      <c r="P349" s="32"/>
      <c r="Q349" s="32">
        <f ca="1">IFERROR(__xludf.DUMMYFUNCTION("""COMPUTED_VALUE"""),0)</f>
        <v>0</v>
      </c>
      <c r="R349" s="32"/>
      <c r="S349" s="31">
        <f ca="1">IFERROR(__xludf.DUMMYFUNCTION("""COMPUTED_VALUE"""),0)</f>
        <v>0</v>
      </c>
      <c r="T349" s="32">
        <f ca="1">IFERROR(__xludf.DUMMYFUNCTION("""COMPUTED_VALUE"""),0)</f>
        <v>0</v>
      </c>
      <c r="U349" s="32"/>
      <c r="V349" s="32">
        <f ca="1">IFERROR(__xludf.DUMMYFUNCTION("""COMPUTED_VALUE"""),0)</f>
        <v>0</v>
      </c>
      <c r="W349" s="32"/>
      <c r="X349" s="32">
        <f ca="1">IFERROR(__xludf.DUMMYFUNCTION("""COMPUTED_VALUE"""),0)</f>
        <v>0</v>
      </c>
      <c r="Y349" s="32"/>
      <c r="Z349" s="2"/>
      <c r="AA349" s="2"/>
      <c r="AB349" s="2"/>
      <c r="AC349" s="2"/>
      <c r="AD349" s="2"/>
      <c r="AE349" s="2"/>
    </row>
    <row r="350" spans="1:31" ht="12.75" x14ac:dyDescent="0.2">
      <c r="A350" s="28">
        <f ca="1">IFERROR(__xludf.DUMMYFUNCTION("""COMPUTED_VALUE"""),111)</f>
        <v>111</v>
      </c>
      <c r="B350" s="29" t="str">
        <f ca="1">IFERROR(__xludf.DUMMYFUNCTION("""COMPUTED_VALUE"""),"LMG Ngôi Nhà Nhỏ")</f>
        <v>LMG Ngôi Nhà Nhỏ</v>
      </c>
      <c r="C350" s="33" t="str">
        <f ca="1">IFERROR(__xludf.DUMMYFUNCTION("""COMPUTED_VALUE"""),"MN")</f>
        <v>MN</v>
      </c>
      <c r="D350" s="30" t="str">
        <f ca="1">IFERROR(__xludf.DUMMYFUNCTION("""COMPUTED_VALUE"""),"Tp. Thủ Đức")</f>
        <v>Tp. Thủ Đức</v>
      </c>
      <c r="E350" s="31">
        <f ca="1">IFERROR(__xludf.DUMMYFUNCTION("""COMPUTED_VALUE"""),13)</f>
        <v>13</v>
      </c>
      <c r="F350" s="32">
        <f ca="1">IFERROR(__xludf.DUMMYFUNCTION("""COMPUTED_VALUE"""),13)</f>
        <v>13</v>
      </c>
      <c r="G350" s="32"/>
      <c r="H350" s="32">
        <f ca="1">IFERROR(__xludf.DUMMYFUNCTION("""COMPUTED_VALUE"""),13)</f>
        <v>13</v>
      </c>
      <c r="I350" s="32"/>
      <c r="J350" s="32">
        <f ca="1">IFERROR(__xludf.DUMMYFUNCTION("""COMPUTED_VALUE"""),12)</f>
        <v>12</v>
      </c>
      <c r="K350" s="32"/>
      <c r="L350" s="32">
        <f ca="1">IFERROR(__xludf.DUMMYFUNCTION("""COMPUTED_VALUE"""),2)</f>
        <v>2</v>
      </c>
      <c r="M350" s="32"/>
      <c r="N350" s="31">
        <f ca="1">IFERROR(__xludf.DUMMYFUNCTION("""COMPUTED_VALUE"""),0)</f>
        <v>0</v>
      </c>
      <c r="O350" s="32">
        <f ca="1">IFERROR(__xludf.DUMMYFUNCTION("""COMPUTED_VALUE"""),0)</f>
        <v>0</v>
      </c>
      <c r="P350" s="32"/>
      <c r="Q350" s="32">
        <f ca="1">IFERROR(__xludf.DUMMYFUNCTION("""COMPUTED_VALUE"""),0)</f>
        <v>0</v>
      </c>
      <c r="R350" s="32"/>
      <c r="S350" s="31">
        <f ca="1">IFERROR(__xludf.DUMMYFUNCTION("""COMPUTED_VALUE"""),0)</f>
        <v>0</v>
      </c>
      <c r="T350" s="32">
        <f ca="1">IFERROR(__xludf.DUMMYFUNCTION("""COMPUTED_VALUE"""),0)</f>
        <v>0</v>
      </c>
      <c r="U350" s="32"/>
      <c r="V350" s="32">
        <f ca="1">IFERROR(__xludf.DUMMYFUNCTION("""COMPUTED_VALUE"""),0)</f>
        <v>0</v>
      </c>
      <c r="W350" s="32"/>
      <c r="X350" s="32">
        <f ca="1">IFERROR(__xludf.DUMMYFUNCTION("""COMPUTED_VALUE"""),0)</f>
        <v>0</v>
      </c>
      <c r="Y350" s="32"/>
      <c r="Z350" s="2"/>
      <c r="AA350" s="2"/>
      <c r="AB350" s="2"/>
      <c r="AC350" s="2"/>
      <c r="AD350" s="2"/>
      <c r="AE350" s="2"/>
    </row>
    <row r="351" spans="1:31" ht="12.75" x14ac:dyDescent="0.2">
      <c r="A351" s="28">
        <f ca="1">IFERROR(__xludf.DUMMYFUNCTION("""COMPUTED_VALUE"""),112)</f>
        <v>112</v>
      </c>
      <c r="B351" s="29" t="str">
        <f ca="1">IFERROR(__xludf.DUMMYFUNCTION("""COMPUTED_VALUE"""),"LMG Nắng Sớm")</f>
        <v>LMG Nắng Sớm</v>
      </c>
      <c r="C351" s="33" t="str">
        <f ca="1">IFERROR(__xludf.DUMMYFUNCTION("""COMPUTED_VALUE"""),"MN")</f>
        <v>MN</v>
      </c>
      <c r="D351" s="30" t="str">
        <f ca="1">IFERROR(__xludf.DUMMYFUNCTION("""COMPUTED_VALUE"""),"Tp. Thủ Đức")</f>
        <v>Tp. Thủ Đức</v>
      </c>
      <c r="E351" s="31">
        <f ca="1">IFERROR(__xludf.DUMMYFUNCTION("""COMPUTED_VALUE"""),4)</f>
        <v>4</v>
      </c>
      <c r="F351" s="32">
        <f ca="1">IFERROR(__xludf.DUMMYFUNCTION("""COMPUTED_VALUE"""),4)</f>
        <v>4</v>
      </c>
      <c r="G351" s="32"/>
      <c r="H351" s="32">
        <f ca="1">IFERROR(__xludf.DUMMYFUNCTION("""COMPUTED_VALUE"""),4)</f>
        <v>4</v>
      </c>
      <c r="I351" s="32"/>
      <c r="J351" s="32">
        <f ca="1">IFERROR(__xludf.DUMMYFUNCTION("""COMPUTED_VALUE"""),3)</f>
        <v>3</v>
      </c>
      <c r="K351" s="32"/>
      <c r="L351" s="32">
        <f ca="1">IFERROR(__xludf.DUMMYFUNCTION("""COMPUTED_VALUE"""),2)</f>
        <v>2</v>
      </c>
      <c r="M351" s="32"/>
      <c r="N351" s="31">
        <f ca="1">IFERROR(__xludf.DUMMYFUNCTION("""COMPUTED_VALUE"""),0)</f>
        <v>0</v>
      </c>
      <c r="O351" s="32">
        <f ca="1">IFERROR(__xludf.DUMMYFUNCTION("""COMPUTED_VALUE"""),0)</f>
        <v>0</v>
      </c>
      <c r="P351" s="32"/>
      <c r="Q351" s="32">
        <f ca="1">IFERROR(__xludf.DUMMYFUNCTION("""COMPUTED_VALUE"""),0)</f>
        <v>0</v>
      </c>
      <c r="R351" s="32"/>
      <c r="S351" s="31">
        <f ca="1">IFERROR(__xludf.DUMMYFUNCTION("""COMPUTED_VALUE"""),0)</f>
        <v>0</v>
      </c>
      <c r="T351" s="32">
        <f ca="1">IFERROR(__xludf.DUMMYFUNCTION("""COMPUTED_VALUE"""),0)</f>
        <v>0</v>
      </c>
      <c r="U351" s="32"/>
      <c r="V351" s="32">
        <f ca="1">IFERROR(__xludf.DUMMYFUNCTION("""COMPUTED_VALUE"""),0)</f>
        <v>0</v>
      </c>
      <c r="W351" s="32"/>
      <c r="X351" s="32">
        <f ca="1">IFERROR(__xludf.DUMMYFUNCTION("""COMPUTED_VALUE"""),0)</f>
        <v>0</v>
      </c>
      <c r="Y351" s="32"/>
      <c r="Z351" s="2"/>
      <c r="AA351" s="2"/>
      <c r="AB351" s="2"/>
      <c r="AC351" s="2"/>
      <c r="AD351" s="2"/>
      <c r="AE351" s="2"/>
    </row>
    <row r="352" spans="1:31" ht="12.75" x14ac:dyDescent="0.2">
      <c r="A352" s="28">
        <f ca="1">IFERROR(__xludf.DUMMYFUNCTION("""COMPUTED_VALUE"""),113)</f>
        <v>113</v>
      </c>
      <c r="B352" s="29" t="str">
        <f ca="1">IFERROR(__xludf.DUMMYFUNCTION("""COMPUTED_VALUE"""),"LMG Sao Tuổi Thơ")</f>
        <v>LMG Sao Tuổi Thơ</v>
      </c>
      <c r="C352" s="33" t="str">
        <f ca="1">IFERROR(__xludf.DUMMYFUNCTION("""COMPUTED_VALUE"""),"MN")</f>
        <v>MN</v>
      </c>
      <c r="D352" s="30" t="str">
        <f ca="1">IFERROR(__xludf.DUMMYFUNCTION("""COMPUTED_VALUE"""),"Tp. Thủ Đức")</f>
        <v>Tp. Thủ Đức</v>
      </c>
      <c r="E352" s="31">
        <f ca="1">IFERROR(__xludf.DUMMYFUNCTION("""COMPUTED_VALUE"""),9)</f>
        <v>9</v>
      </c>
      <c r="F352" s="32">
        <f ca="1">IFERROR(__xludf.DUMMYFUNCTION("""COMPUTED_VALUE"""),9)</f>
        <v>9</v>
      </c>
      <c r="G352" s="32"/>
      <c r="H352" s="32">
        <f ca="1">IFERROR(__xludf.DUMMYFUNCTION("""COMPUTED_VALUE"""),9)</f>
        <v>9</v>
      </c>
      <c r="I352" s="32"/>
      <c r="J352" s="32">
        <f ca="1">IFERROR(__xludf.DUMMYFUNCTION("""COMPUTED_VALUE"""),9)</f>
        <v>9</v>
      </c>
      <c r="K352" s="32"/>
      <c r="L352" s="32">
        <f ca="1">IFERROR(__xludf.DUMMYFUNCTION("""COMPUTED_VALUE"""),3)</f>
        <v>3</v>
      </c>
      <c r="M352" s="32"/>
      <c r="N352" s="31">
        <f ca="1">IFERROR(__xludf.DUMMYFUNCTION("""COMPUTED_VALUE"""),0)</f>
        <v>0</v>
      </c>
      <c r="O352" s="32">
        <f ca="1">IFERROR(__xludf.DUMMYFUNCTION("""COMPUTED_VALUE"""),0)</f>
        <v>0</v>
      </c>
      <c r="P352" s="32"/>
      <c r="Q352" s="32">
        <f ca="1">IFERROR(__xludf.DUMMYFUNCTION("""COMPUTED_VALUE"""),0)</f>
        <v>0</v>
      </c>
      <c r="R352" s="32"/>
      <c r="S352" s="31">
        <f ca="1">IFERROR(__xludf.DUMMYFUNCTION("""COMPUTED_VALUE"""),0)</f>
        <v>0</v>
      </c>
      <c r="T352" s="32">
        <f ca="1">IFERROR(__xludf.DUMMYFUNCTION("""COMPUTED_VALUE"""),0)</f>
        <v>0</v>
      </c>
      <c r="U352" s="32"/>
      <c r="V352" s="32">
        <f ca="1">IFERROR(__xludf.DUMMYFUNCTION("""COMPUTED_VALUE"""),0)</f>
        <v>0</v>
      </c>
      <c r="W352" s="32"/>
      <c r="X352" s="32">
        <f ca="1">IFERROR(__xludf.DUMMYFUNCTION("""COMPUTED_VALUE"""),0)</f>
        <v>0</v>
      </c>
      <c r="Y352" s="32"/>
      <c r="Z352" s="2"/>
      <c r="AA352" s="2"/>
      <c r="AB352" s="2"/>
      <c r="AC352" s="2"/>
      <c r="AD352" s="2"/>
      <c r="AE352" s="2"/>
    </row>
    <row r="353" spans="1:31" ht="12.75" x14ac:dyDescent="0.2">
      <c r="A353" s="28">
        <f ca="1">IFERROR(__xludf.DUMMYFUNCTION("""COMPUTED_VALUE"""),114)</f>
        <v>114</v>
      </c>
      <c r="B353" s="29" t="str">
        <f ca="1">IFERROR(__xludf.DUMMYFUNCTION("""COMPUTED_VALUE"""),"NT Vườn Trẻ Thơ Xanh")</f>
        <v>NT Vườn Trẻ Thơ Xanh</v>
      </c>
      <c r="C353" s="33" t="str">
        <f ca="1">IFERROR(__xludf.DUMMYFUNCTION("""COMPUTED_VALUE"""),"MN")</f>
        <v>MN</v>
      </c>
      <c r="D353" s="30" t="str">
        <f ca="1">IFERROR(__xludf.DUMMYFUNCTION("""COMPUTED_VALUE"""),"Tp. Thủ Đức")</f>
        <v>Tp. Thủ Đức</v>
      </c>
      <c r="E353" s="31">
        <f ca="1">IFERROR(__xludf.DUMMYFUNCTION("""COMPUTED_VALUE"""),10)</f>
        <v>10</v>
      </c>
      <c r="F353" s="32">
        <f ca="1">IFERROR(__xludf.DUMMYFUNCTION("""COMPUTED_VALUE"""),10)</f>
        <v>10</v>
      </c>
      <c r="G353" s="32"/>
      <c r="H353" s="32">
        <f ca="1">IFERROR(__xludf.DUMMYFUNCTION("""COMPUTED_VALUE"""),10)</f>
        <v>10</v>
      </c>
      <c r="I353" s="32"/>
      <c r="J353" s="32">
        <f ca="1">IFERROR(__xludf.DUMMYFUNCTION("""COMPUTED_VALUE"""),10)</f>
        <v>10</v>
      </c>
      <c r="K353" s="32"/>
      <c r="L353" s="32">
        <f ca="1">IFERROR(__xludf.DUMMYFUNCTION("""COMPUTED_VALUE"""),0)</f>
        <v>0</v>
      </c>
      <c r="M353" s="32"/>
      <c r="N353" s="31">
        <f ca="1">IFERROR(__xludf.DUMMYFUNCTION("""COMPUTED_VALUE"""),0)</f>
        <v>0</v>
      </c>
      <c r="O353" s="32">
        <f ca="1">IFERROR(__xludf.DUMMYFUNCTION("""COMPUTED_VALUE"""),0)</f>
        <v>0</v>
      </c>
      <c r="P353" s="32"/>
      <c r="Q353" s="32">
        <f ca="1">IFERROR(__xludf.DUMMYFUNCTION("""COMPUTED_VALUE"""),0)</f>
        <v>0</v>
      </c>
      <c r="R353" s="32"/>
      <c r="S353" s="31">
        <f ca="1">IFERROR(__xludf.DUMMYFUNCTION("""COMPUTED_VALUE"""),0)</f>
        <v>0</v>
      </c>
      <c r="T353" s="32">
        <f ca="1">IFERROR(__xludf.DUMMYFUNCTION("""COMPUTED_VALUE"""),0)</f>
        <v>0</v>
      </c>
      <c r="U353" s="32"/>
      <c r="V353" s="32">
        <f ca="1">IFERROR(__xludf.DUMMYFUNCTION("""COMPUTED_VALUE"""),0)</f>
        <v>0</v>
      </c>
      <c r="W353" s="32"/>
      <c r="X353" s="32">
        <f ca="1">IFERROR(__xludf.DUMMYFUNCTION("""COMPUTED_VALUE"""),0)</f>
        <v>0</v>
      </c>
      <c r="Y353" s="32"/>
      <c r="Z353" s="2"/>
      <c r="AA353" s="2"/>
      <c r="AB353" s="2"/>
      <c r="AC353" s="2"/>
      <c r="AD353" s="2"/>
      <c r="AE353" s="2"/>
    </row>
    <row r="354" spans="1:31" ht="12.75" x14ac:dyDescent="0.2">
      <c r="A354" s="28">
        <f ca="1">IFERROR(__xludf.DUMMYFUNCTION("""COMPUTED_VALUE"""),115)</f>
        <v>115</v>
      </c>
      <c r="B354" s="29" t="str">
        <f ca="1">IFERROR(__xludf.DUMMYFUNCTION("""COMPUTED_VALUE"""),"NT Bút Chì")</f>
        <v>NT Bút Chì</v>
      </c>
      <c r="C354" s="33" t="str">
        <f ca="1">IFERROR(__xludf.DUMMYFUNCTION("""COMPUTED_VALUE"""),"MN")</f>
        <v>MN</v>
      </c>
      <c r="D354" s="30" t="str">
        <f ca="1">IFERROR(__xludf.DUMMYFUNCTION("""COMPUTED_VALUE"""),"Tp. Thủ Đức")</f>
        <v>Tp. Thủ Đức</v>
      </c>
      <c r="E354" s="31">
        <f ca="1">IFERROR(__xludf.DUMMYFUNCTION("""COMPUTED_VALUE"""),7)</f>
        <v>7</v>
      </c>
      <c r="F354" s="32">
        <f ca="1">IFERROR(__xludf.DUMMYFUNCTION("""COMPUTED_VALUE"""),7)</f>
        <v>7</v>
      </c>
      <c r="G354" s="32"/>
      <c r="H354" s="32">
        <f ca="1">IFERROR(__xludf.DUMMYFUNCTION("""COMPUTED_VALUE"""),7)</f>
        <v>7</v>
      </c>
      <c r="I354" s="32"/>
      <c r="J354" s="32">
        <f ca="1">IFERROR(__xludf.DUMMYFUNCTION("""COMPUTED_VALUE"""),7)</f>
        <v>7</v>
      </c>
      <c r="K354" s="32"/>
      <c r="L354" s="32">
        <f ca="1">IFERROR(__xludf.DUMMYFUNCTION("""COMPUTED_VALUE"""),0)</f>
        <v>0</v>
      </c>
      <c r="M354" s="32"/>
      <c r="N354" s="31">
        <f ca="1">IFERROR(__xludf.DUMMYFUNCTION("""COMPUTED_VALUE"""),0)</f>
        <v>0</v>
      </c>
      <c r="O354" s="32">
        <f ca="1">IFERROR(__xludf.DUMMYFUNCTION("""COMPUTED_VALUE"""),0)</f>
        <v>0</v>
      </c>
      <c r="P354" s="32"/>
      <c r="Q354" s="32">
        <f ca="1">IFERROR(__xludf.DUMMYFUNCTION("""COMPUTED_VALUE"""),0)</f>
        <v>0</v>
      </c>
      <c r="R354" s="32"/>
      <c r="S354" s="31">
        <f ca="1">IFERROR(__xludf.DUMMYFUNCTION("""COMPUTED_VALUE"""),0)</f>
        <v>0</v>
      </c>
      <c r="T354" s="32">
        <f ca="1">IFERROR(__xludf.DUMMYFUNCTION("""COMPUTED_VALUE"""),0)</f>
        <v>0</v>
      </c>
      <c r="U354" s="32"/>
      <c r="V354" s="32">
        <f ca="1">IFERROR(__xludf.DUMMYFUNCTION("""COMPUTED_VALUE"""),0)</f>
        <v>0</v>
      </c>
      <c r="W354" s="32"/>
      <c r="X354" s="32">
        <f ca="1">IFERROR(__xludf.DUMMYFUNCTION("""COMPUTED_VALUE"""),0)</f>
        <v>0</v>
      </c>
      <c r="Y354" s="32"/>
      <c r="Z354" s="2"/>
      <c r="AA354" s="2"/>
      <c r="AB354" s="2"/>
      <c r="AC354" s="2"/>
      <c r="AD354" s="2"/>
      <c r="AE354" s="2"/>
    </row>
    <row r="355" spans="1:31" ht="12.75" x14ac:dyDescent="0.2">
      <c r="A355" s="28">
        <f ca="1">IFERROR(__xludf.DUMMYFUNCTION("""COMPUTED_VALUE"""),116)</f>
        <v>116</v>
      </c>
      <c r="B355" s="29" t="str">
        <f ca="1">IFERROR(__xludf.DUMMYFUNCTION("""COMPUTED_VALUE"""),"LMG Yêu Con - Chi nhánh Phú Hữu")</f>
        <v>LMG Yêu Con - Chi nhánh Phú Hữu</v>
      </c>
      <c r="C355" s="33" t="str">
        <f ca="1">IFERROR(__xludf.DUMMYFUNCTION("""COMPUTED_VALUE"""),"MN")</f>
        <v>MN</v>
      </c>
      <c r="D355" s="30" t="str">
        <f ca="1">IFERROR(__xludf.DUMMYFUNCTION("""COMPUTED_VALUE"""),"Tp. Thủ Đức")</f>
        <v>Tp. Thủ Đức</v>
      </c>
      <c r="E355" s="31">
        <f ca="1">IFERROR(__xludf.DUMMYFUNCTION("""COMPUTED_VALUE"""),13)</f>
        <v>13</v>
      </c>
      <c r="F355" s="32">
        <f ca="1">IFERROR(__xludf.DUMMYFUNCTION("""COMPUTED_VALUE"""),13)</f>
        <v>13</v>
      </c>
      <c r="G355" s="32"/>
      <c r="H355" s="32">
        <f ca="1">IFERROR(__xludf.DUMMYFUNCTION("""COMPUTED_VALUE"""),13)</f>
        <v>13</v>
      </c>
      <c r="I355" s="32"/>
      <c r="J355" s="32">
        <f ca="1">IFERROR(__xludf.DUMMYFUNCTION("""COMPUTED_VALUE"""),11)</f>
        <v>11</v>
      </c>
      <c r="K355" s="32"/>
      <c r="L355" s="32">
        <f ca="1">IFERROR(__xludf.DUMMYFUNCTION("""COMPUTED_VALUE"""),2)</f>
        <v>2</v>
      </c>
      <c r="M355" s="32"/>
      <c r="N355" s="31">
        <f ca="1">IFERROR(__xludf.DUMMYFUNCTION("""COMPUTED_VALUE"""),0)</f>
        <v>0</v>
      </c>
      <c r="O355" s="32">
        <f ca="1">IFERROR(__xludf.DUMMYFUNCTION("""COMPUTED_VALUE"""),0)</f>
        <v>0</v>
      </c>
      <c r="P355" s="32"/>
      <c r="Q355" s="32">
        <f ca="1">IFERROR(__xludf.DUMMYFUNCTION("""COMPUTED_VALUE"""),0)</f>
        <v>0</v>
      </c>
      <c r="R355" s="32"/>
      <c r="S355" s="31">
        <f ca="1">IFERROR(__xludf.DUMMYFUNCTION("""COMPUTED_VALUE"""),0)</f>
        <v>0</v>
      </c>
      <c r="T355" s="32">
        <f ca="1">IFERROR(__xludf.DUMMYFUNCTION("""COMPUTED_VALUE"""),0)</f>
        <v>0</v>
      </c>
      <c r="U355" s="32"/>
      <c r="V355" s="32">
        <f ca="1">IFERROR(__xludf.DUMMYFUNCTION("""COMPUTED_VALUE"""),0)</f>
        <v>0</v>
      </c>
      <c r="W355" s="32"/>
      <c r="X355" s="32">
        <f ca="1">IFERROR(__xludf.DUMMYFUNCTION("""COMPUTED_VALUE"""),0)</f>
        <v>0</v>
      </c>
      <c r="Y355" s="32"/>
      <c r="Z355" s="2"/>
      <c r="AA355" s="2"/>
      <c r="AB355" s="2"/>
      <c r="AC355" s="2"/>
      <c r="AD355" s="2"/>
      <c r="AE355" s="2"/>
    </row>
    <row r="356" spans="1:31" ht="12.75" x14ac:dyDescent="0.2">
      <c r="A356" s="28">
        <f ca="1">IFERROR(__xludf.DUMMYFUNCTION("""COMPUTED_VALUE"""),117)</f>
        <v>117</v>
      </c>
      <c r="B356" s="29" t="str">
        <f ca="1">IFERROR(__xludf.DUMMYFUNCTION("""COMPUTED_VALUE"""),"LMG Hoa Nắng")</f>
        <v>LMG Hoa Nắng</v>
      </c>
      <c r="C356" s="33" t="str">
        <f ca="1">IFERROR(__xludf.DUMMYFUNCTION("""COMPUTED_VALUE"""),"MN")</f>
        <v>MN</v>
      </c>
      <c r="D356" s="30" t="str">
        <f ca="1">IFERROR(__xludf.DUMMYFUNCTION("""COMPUTED_VALUE"""),"Tp. Thủ Đức")</f>
        <v>Tp. Thủ Đức</v>
      </c>
      <c r="E356" s="31">
        <f ca="1">IFERROR(__xludf.DUMMYFUNCTION("""COMPUTED_VALUE"""),3)</f>
        <v>3</v>
      </c>
      <c r="F356" s="32">
        <f ca="1">IFERROR(__xludf.DUMMYFUNCTION("""COMPUTED_VALUE"""),3)</f>
        <v>3</v>
      </c>
      <c r="G356" s="32"/>
      <c r="H356" s="32">
        <f ca="1">IFERROR(__xludf.DUMMYFUNCTION("""COMPUTED_VALUE"""),3)</f>
        <v>3</v>
      </c>
      <c r="I356" s="32"/>
      <c r="J356" s="32">
        <f ca="1">IFERROR(__xludf.DUMMYFUNCTION("""COMPUTED_VALUE"""),2)</f>
        <v>2</v>
      </c>
      <c r="K356" s="32"/>
      <c r="L356" s="32">
        <f ca="1">IFERROR(__xludf.DUMMYFUNCTION("""COMPUTED_VALUE"""),1)</f>
        <v>1</v>
      </c>
      <c r="M356" s="32"/>
      <c r="N356" s="31">
        <f ca="1">IFERROR(__xludf.DUMMYFUNCTION("""COMPUTED_VALUE"""),0)</f>
        <v>0</v>
      </c>
      <c r="O356" s="32">
        <f ca="1">IFERROR(__xludf.DUMMYFUNCTION("""COMPUTED_VALUE"""),0)</f>
        <v>0</v>
      </c>
      <c r="P356" s="32"/>
      <c r="Q356" s="32">
        <f ca="1">IFERROR(__xludf.DUMMYFUNCTION("""COMPUTED_VALUE"""),0)</f>
        <v>0</v>
      </c>
      <c r="R356" s="32"/>
      <c r="S356" s="31">
        <f ca="1">IFERROR(__xludf.DUMMYFUNCTION("""COMPUTED_VALUE"""),0)</f>
        <v>0</v>
      </c>
      <c r="T356" s="32">
        <f ca="1">IFERROR(__xludf.DUMMYFUNCTION("""COMPUTED_VALUE"""),0)</f>
        <v>0</v>
      </c>
      <c r="U356" s="32"/>
      <c r="V356" s="32">
        <f ca="1">IFERROR(__xludf.DUMMYFUNCTION("""COMPUTED_VALUE"""),0)</f>
        <v>0</v>
      </c>
      <c r="W356" s="32"/>
      <c r="X356" s="32">
        <f ca="1">IFERROR(__xludf.DUMMYFUNCTION("""COMPUTED_VALUE"""),0)</f>
        <v>0</v>
      </c>
      <c r="Y356" s="32"/>
      <c r="Z356" s="2"/>
      <c r="AA356" s="2"/>
      <c r="AB356" s="2"/>
      <c r="AC356" s="2"/>
      <c r="AD356" s="2"/>
      <c r="AE356" s="2"/>
    </row>
    <row r="357" spans="1:31" ht="12.75" x14ac:dyDescent="0.2">
      <c r="A357" s="28">
        <f ca="1">IFERROR(__xludf.DUMMYFUNCTION("""COMPUTED_VALUE"""),118)</f>
        <v>118</v>
      </c>
      <c r="B357" s="29" t="str">
        <f ca="1">IFERROR(__xludf.DUMMYFUNCTION("""COMPUTED_VALUE"""),"LMG Bảo Minh")</f>
        <v>LMG Bảo Minh</v>
      </c>
      <c r="C357" s="33" t="str">
        <f ca="1">IFERROR(__xludf.DUMMYFUNCTION("""COMPUTED_VALUE"""),"MN")</f>
        <v>MN</v>
      </c>
      <c r="D357" s="30" t="str">
        <f ca="1">IFERROR(__xludf.DUMMYFUNCTION("""COMPUTED_VALUE"""),"Tp. Thủ Đức")</f>
        <v>Tp. Thủ Đức</v>
      </c>
      <c r="E357" s="31">
        <f ca="1">IFERROR(__xludf.DUMMYFUNCTION("""COMPUTED_VALUE"""),4)</f>
        <v>4</v>
      </c>
      <c r="F357" s="32">
        <f ca="1">IFERROR(__xludf.DUMMYFUNCTION("""COMPUTED_VALUE"""),4)</f>
        <v>4</v>
      </c>
      <c r="G357" s="32"/>
      <c r="H357" s="32">
        <f ca="1">IFERROR(__xludf.DUMMYFUNCTION("""COMPUTED_VALUE"""),4)</f>
        <v>4</v>
      </c>
      <c r="I357" s="32"/>
      <c r="J357" s="32">
        <f ca="1">IFERROR(__xludf.DUMMYFUNCTION("""COMPUTED_VALUE"""),3)</f>
        <v>3</v>
      </c>
      <c r="K357" s="32"/>
      <c r="L357" s="32">
        <f ca="1">IFERROR(__xludf.DUMMYFUNCTION("""COMPUTED_VALUE"""),2)</f>
        <v>2</v>
      </c>
      <c r="M357" s="32"/>
      <c r="N357" s="31">
        <f ca="1">IFERROR(__xludf.DUMMYFUNCTION("""COMPUTED_VALUE"""),0)</f>
        <v>0</v>
      </c>
      <c r="O357" s="32">
        <f ca="1">IFERROR(__xludf.DUMMYFUNCTION("""COMPUTED_VALUE"""),0)</f>
        <v>0</v>
      </c>
      <c r="P357" s="32"/>
      <c r="Q357" s="32">
        <f ca="1">IFERROR(__xludf.DUMMYFUNCTION("""COMPUTED_VALUE"""),0)</f>
        <v>0</v>
      </c>
      <c r="R357" s="32"/>
      <c r="S357" s="31">
        <f ca="1">IFERROR(__xludf.DUMMYFUNCTION("""COMPUTED_VALUE"""),0)</f>
        <v>0</v>
      </c>
      <c r="T357" s="32">
        <f ca="1">IFERROR(__xludf.DUMMYFUNCTION("""COMPUTED_VALUE"""),0)</f>
        <v>0</v>
      </c>
      <c r="U357" s="32"/>
      <c r="V357" s="32">
        <f ca="1">IFERROR(__xludf.DUMMYFUNCTION("""COMPUTED_VALUE"""),0)</f>
        <v>0</v>
      </c>
      <c r="W357" s="32"/>
      <c r="X357" s="32">
        <f ca="1">IFERROR(__xludf.DUMMYFUNCTION("""COMPUTED_VALUE"""),0)</f>
        <v>0</v>
      </c>
      <c r="Y357" s="32"/>
      <c r="Z357" s="2"/>
      <c r="AA357" s="2"/>
      <c r="AB357" s="2"/>
      <c r="AC357" s="2"/>
      <c r="AD357" s="2"/>
      <c r="AE357" s="2"/>
    </row>
    <row r="358" spans="1:31" ht="12.75" x14ac:dyDescent="0.2">
      <c r="A358" s="28">
        <f ca="1">IFERROR(__xludf.DUMMYFUNCTION("""COMPUTED_VALUE"""),119)</f>
        <v>119</v>
      </c>
      <c r="B358" s="29" t="str">
        <f ca="1">IFERROR(__xludf.DUMMYFUNCTION("""COMPUTED_VALUE"""),"NT Nụ Cười Đô Rê Mon")</f>
        <v>NT Nụ Cười Đô Rê Mon</v>
      </c>
      <c r="C358" s="33" t="str">
        <f ca="1">IFERROR(__xludf.DUMMYFUNCTION("""COMPUTED_VALUE"""),"MN")</f>
        <v>MN</v>
      </c>
      <c r="D358" s="30" t="str">
        <f ca="1">IFERROR(__xludf.DUMMYFUNCTION("""COMPUTED_VALUE"""),"Tp. Thủ Đức")</f>
        <v>Tp. Thủ Đức</v>
      </c>
      <c r="E358" s="31">
        <f ca="1">IFERROR(__xludf.DUMMYFUNCTION("""COMPUTED_VALUE"""),12)</f>
        <v>12</v>
      </c>
      <c r="F358" s="32">
        <f ca="1">IFERROR(__xludf.DUMMYFUNCTION("""COMPUTED_VALUE"""),12)</f>
        <v>12</v>
      </c>
      <c r="G358" s="32"/>
      <c r="H358" s="32">
        <f ca="1">IFERROR(__xludf.DUMMYFUNCTION("""COMPUTED_VALUE"""),12)</f>
        <v>12</v>
      </c>
      <c r="I358" s="32"/>
      <c r="J358" s="32">
        <f ca="1">IFERROR(__xludf.DUMMYFUNCTION("""COMPUTED_VALUE"""),12)</f>
        <v>12</v>
      </c>
      <c r="K358" s="32"/>
      <c r="L358" s="32">
        <f ca="1">IFERROR(__xludf.DUMMYFUNCTION("""COMPUTED_VALUE"""),0)</f>
        <v>0</v>
      </c>
      <c r="M358" s="32"/>
      <c r="N358" s="31">
        <f ca="1">IFERROR(__xludf.DUMMYFUNCTION("""COMPUTED_VALUE"""),0)</f>
        <v>0</v>
      </c>
      <c r="O358" s="32">
        <f ca="1">IFERROR(__xludf.DUMMYFUNCTION("""COMPUTED_VALUE"""),0)</f>
        <v>0</v>
      </c>
      <c r="P358" s="32"/>
      <c r="Q358" s="32">
        <f ca="1">IFERROR(__xludf.DUMMYFUNCTION("""COMPUTED_VALUE"""),0)</f>
        <v>0</v>
      </c>
      <c r="R358" s="32"/>
      <c r="S358" s="31">
        <f ca="1">IFERROR(__xludf.DUMMYFUNCTION("""COMPUTED_VALUE"""),0)</f>
        <v>0</v>
      </c>
      <c r="T358" s="32">
        <f ca="1">IFERROR(__xludf.DUMMYFUNCTION("""COMPUTED_VALUE"""),0)</f>
        <v>0</v>
      </c>
      <c r="U358" s="32"/>
      <c r="V358" s="32">
        <f ca="1">IFERROR(__xludf.DUMMYFUNCTION("""COMPUTED_VALUE"""),0)</f>
        <v>0</v>
      </c>
      <c r="W358" s="32"/>
      <c r="X358" s="32">
        <f ca="1">IFERROR(__xludf.DUMMYFUNCTION("""COMPUTED_VALUE"""),0)</f>
        <v>0</v>
      </c>
      <c r="Y358" s="32"/>
      <c r="Z358" s="2"/>
      <c r="AA358" s="2"/>
      <c r="AB358" s="2"/>
      <c r="AC358" s="2"/>
      <c r="AD358" s="2"/>
      <c r="AE358" s="2"/>
    </row>
    <row r="359" spans="1:31" ht="12.75" x14ac:dyDescent="0.2">
      <c r="A359" s="28">
        <f ca="1">IFERROR(__xludf.DUMMYFUNCTION("""COMPUTED_VALUE"""),120)</f>
        <v>120</v>
      </c>
      <c r="B359" s="29" t="str">
        <f ca="1">IFERROR(__xludf.DUMMYFUNCTION("""COMPUTED_VALUE"""),"NT ABC Khang An")</f>
        <v>NT ABC Khang An</v>
      </c>
      <c r="C359" s="33" t="str">
        <f ca="1">IFERROR(__xludf.DUMMYFUNCTION("""COMPUTED_VALUE"""),"MN")</f>
        <v>MN</v>
      </c>
      <c r="D359" s="30" t="str">
        <f ca="1">IFERROR(__xludf.DUMMYFUNCTION("""COMPUTED_VALUE"""),"Tp. Thủ Đức")</f>
        <v>Tp. Thủ Đức</v>
      </c>
      <c r="E359" s="31">
        <f ca="1">IFERROR(__xludf.DUMMYFUNCTION("""COMPUTED_VALUE"""),8)</f>
        <v>8</v>
      </c>
      <c r="F359" s="32">
        <f ca="1">IFERROR(__xludf.DUMMYFUNCTION("""COMPUTED_VALUE"""),8)</f>
        <v>8</v>
      </c>
      <c r="G359" s="32"/>
      <c r="H359" s="32">
        <f ca="1">IFERROR(__xludf.DUMMYFUNCTION("""COMPUTED_VALUE"""),8)</f>
        <v>8</v>
      </c>
      <c r="I359" s="32"/>
      <c r="J359" s="32">
        <f ca="1">IFERROR(__xludf.DUMMYFUNCTION("""COMPUTED_VALUE"""),8)</f>
        <v>8</v>
      </c>
      <c r="K359" s="32"/>
      <c r="L359" s="32">
        <f ca="1">IFERROR(__xludf.DUMMYFUNCTION("""COMPUTED_VALUE"""),0)</f>
        <v>0</v>
      </c>
      <c r="M359" s="32"/>
      <c r="N359" s="31">
        <f ca="1">IFERROR(__xludf.DUMMYFUNCTION("""COMPUTED_VALUE"""),0)</f>
        <v>0</v>
      </c>
      <c r="O359" s="32">
        <f ca="1">IFERROR(__xludf.DUMMYFUNCTION("""COMPUTED_VALUE"""),0)</f>
        <v>0</v>
      </c>
      <c r="P359" s="32"/>
      <c r="Q359" s="32">
        <f ca="1">IFERROR(__xludf.DUMMYFUNCTION("""COMPUTED_VALUE"""),0)</f>
        <v>0</v>
      </c>
      <c r="R359" s="32"/>
      <c r="S359" s="31">
        <f ca="1">IFERROR(__xludf.DUMMYFUNCTION("""COMPUTED_VALUE"""),0)</f>
        <v>0</v>
      </c>
      <c r="T359" s="32">
        <f ca="1">IFERROR(__xludf.DUMMYFUNCTION("""COMPUTED_VALUE"""),0)</f>
        <v>0</v>
      </c>
      <c r="U359" s="32"/>
      <c r="V359" s="32">
        <f ca="1">IFERROR(__xludf.DUMMYFUNCTION("""COMPUTED_VALUE"""),0)</f>
        <v>0</v>
      </c>
      <c r="W359" s="32"/>
      <c r="X359" s="32">
        <f ca="1">IFERROR(__xludf.DUMMYFUNCTION("""COMPUTED_VALUE"""),0)</f>
        <v>0</v>
      </c>
      <c r="Y359" s="32"/>
      <c r="Z359" s="2"/>
      <c r="AA359" s="2"/>
      <c r="AB359" s="2"/>
      <c r="AC359" s="2"/>
      <c r="AD359" s="2"/>
      <c r="AE359" s="2"/>
    </row>
    <row r="360" spans="1:31" ht="12.75" x14ac:dyDescent="0.2">
      <c r="A360" s="28">
        <f ca="1">IFERROR(__xludf.DUMMYFUNCTION("""COMPUTED_VALUE"""),121)</f>
        <v>121</v>
      </c>
      <c r="B360" s="29" t="str">
        <f ca="1">IFERROR(__xludf.DUMMYFUNCTION("""COMPUTED_VALUE"""),"LMG Bông Cỏ")</f>
        <v>LMG Bông Cỏ</v>
      </c>
      <c r="C360" s="33" t="str">
        <f ca="1">IFERROR(__xludf.DUMMYFUNCTION("""COMPUTED_VALUE"""),"MN")</f>
        <v>MN</v>
      </c>
      <c r="D360" s="30" t="str">
        <f ca="1">IFERROR(__xludf.DUMMYFUNCTION("""COMPUTED_VALUE"""),"Tp. Thủ Đức")</f>
        <v>Tp. Thủ Đức</v>
      </c>
      <c r="E360" s="31">
        <f ca="1">IFERROR(__xludf.DUMMYFUNCTION("""COMPUTED_VALUE"""),5)</f>
        <v>5</v>
      </c>
      <c r="F360" s="32">
        <f ca="1">IFERROR(__xludf.DUMMYFUNCTION("""COMPUTED_VALUE"""),5)</f>
        <v>5</v>
      </c>
      <c r="G360" s="32"/>
      <c r="H360" s="32">
        <f ca="1">IFERROR(__xludf.DUMMYFUNCTION("""COMPUTED_VALUE"""),5)</f>
        <v>5</v>
      </c>
      <c r="I360" s="32"/>
      <c r="J360" s="32">
        <f ca="1">IFERROR(__xludf.DUMMYFUNCTION("""COMPUTED_VALUE"""),5)</f>
        <v>5</v>
      </c>
      <c r="K360" s="32"/>
      <c r="L360" s="32">
        <f ca="1">IFERROR(__xludf.DUMMYFUNCTION("""COMPUTED_VALUE"""),0)</f>
        <v>0</v>
      </c>
      <c r="M360" s="32"/>
      <c r="N360" s="31">
        <f ca="1">IFERROR(__xludf.DUMMYFUNCTION("""COMPUTED_VALUE"""),0)</f>
        <v>0</v>
      </c>
      <c r="O360" s="32">
        <f ca="1">IFERROR(__xludf.DUMMYFUNCTION("""COMPUTED_VALUE"""),0)</f>
        <v>0</v>
      </c>
      <c r="P360" s="32"/>
      <c r="Q360" s="32">
        <f ca="1">IFERROR(__xludf.DUMMYFUNCTION("""COMPUTED_VALUE"""),0)</f>
        <v>0</v>
      </c>
      <c r="R360" s="32"/>
      <c r="S360" s="31">
        <f ca="1">IFERROR(__xludf.DUMMYFUNCTION("""COMPUTED_VALUE"""),0)</f>
        <v>0</v>
      </c>
      <c r="T360" s="32">
        <f ca="1">IFERROR(__xludf.DUMMYFUNCTION("""COMPUTED_VALUE"""),0)</f>
        <v>0</v>
      </c>
      <c r="U360" s="32"/>
      <c r="V360" s="32">
        <f ca="1">IFERROR(__xludf.DUMMYFUNCTION("""COMPUTED_VALUE"""),0)</f>
        <v>0</v>
      </c>
      <c r="W360" s="32"/>
      <c r="X360" s="32">
        <f ca="1">IFERROR(__xludf.DUMMYFUNCTION("""COMPUTED_VALUE"""),0)</f>
        <v>0</v>
      </c>
      <c r="Y360" s="32"/>
      <c r="Z360" s="2"/>
      <c r="AA360" s="2"/>
      <c r="AB360" s="2"/>
      <c r="AC360" s="2"/>
      <c r="AD360" s="2"/>
      <c r="AE360" s="2"/>
    </row>
    <row r="361" spans="1:31" ht="12.75" x14ac:dyDescent="0.2">
      <c r="A361" s="28">
        <f ca="1">IFERROR(__xludf.DUMMYFUNCTION("""COMPUTED_VALUE"""),122)</f>
        <v>122</v>
      </c>
      <c r="B361" s="35" t="str">
        <f ca="1">IFERROR(__xludf.DUMMYFUNCTION("""COMPUTED_VALUE"""),"LMG Thiên Nga")</f>
        <v>LMG Thiên Nga</v>
      </c>
      <c r="C361" s="33" t="str">
        <f ca="1">IFERROR(__xludf.DUMMYFUNCTION("""COMPUTED_VALUE"""),"MN")</f>
        <v>MN</v>
      </c>
      <c r="D361" s="30" t="str">
        <f ca="1">IFERROR(__xludf.DUMMYFUNCTION("""COMPUTED_VALUE"""),"Tp. Thủ Đức")</f>
        <v>Tp. Thủ Đức</v>
      </c>
      <c r="E361" s="31">
        <f ca="1">IFERROR(__xludf.DUMMYFUNCTION("""COMPUTED_VALUE"""),5)</f>
        <v>5</v>
      </c>
      <c r="F361" s="32">
        <f ca="1">IFERROR(__xludf.DUMMYFUNCTION("""COMPUTED_VALUE"""),5)</f>
        <v>5</v>
      </c>
      <c r="G361" s="32"/>
      <c r="H361" s="32">
        <f ca="1">IFERROR(__xludf.DUMMYFUNCTION("""COMPUTED_VALUE"""),5)</f>
        <v>5</v>
      </c>
      <c r="I361" s="32"/>
      <c r="J361" s="32">
        <f ca="1">IFERROR(__xludf.DUMMYFUNCTION("""COMPUTED_VALUE"""),3)</f>
        <v>3</v>
      </c>
      <c r="K361" s="32"/>
      <c r="L361" s="32">
        <f ca="1">IFERROR(__xludf.DUMMYFUNCTION("""COMPUTED_VALUE"""),0)</f>
        <v>0</v>
      </c>
      <c r="M361" s="32"/>
      <c r="N361" s="31">
        <f ca="1">IFERROR(__xludf.DUMMYFUNCTION("""COMPUTED_VALUE"""),0)</f>
        <v>0</v>
      </c>
      <c r="O361" s="32">
        <f ca="1">IFERROR(__xludf.DUMMYFUNCTION("""COMPUTED_VALUE"""),0)</f>
        <v>0</v>
      </c>
      <c r="P361" s="32"/>
      <c r="Q361" s="32">
        <f ca="1">IFERROR(__xludf.DUMMYFUNCTION("""COMPUTED_VALUE"""),0)</f>
        <v>0</v>
      </c>
      <c r="R361" s="32"/>
      <c r="S361" s="31">
        <f ca="1">IFERROR(__xludf.DUMMYFUNCTION("""COMPUTED_VALUE"""),0)</f>
        <v>0</v>
      </c>
      <c r="T361" s="32">
        <f ca="1">IFERROR(__xludf.DUMMYFUNCTION("""COMPUTED_VALUE"""),0)</f>
        <v>0</v>
      </c>
      <c r="U361" s="32"/>
      <c r="V361" s="32">
        <f ca="1">IFERROR(__xludf.DUMMYFUNCTION("""COMPUTED_VALUE"""),0)</f>
        <v>0</v>
      </c>
      <c r="W361" s="32"/>
      <c r="X361" s="32">
        <f ca="1">IFERROR(__xludf.DUMMYFUNCTION("""COMPUTED_VALUE"""),0)</f>
        <v>0</v>
      </c>
      <c r="Y361" s="32"/>
      <c r="Z361" s="2"/>
      <c r="AA361" s="2"/>
      <c r="AB361" s="2"/>
      <c r="AC361" s="2"/>
      <c r="AD361" s="2"/>
      <c r="AE361" s="2"/>
    </row>
    <row r="362" spans="1:31" ht="12.75" x14ac:dyDescent="0.2">
      <c r="A362" s="28">
        <f ca="1">IFERROR(__xludf.DUMMYFUNCTION("""COMPUTED_VALUE"""),123)</f>
        <v>123</v>
      </c>
      <c r="B362" s="29" t="str">
        <f ca="1">IFERROR(__xludf.DUMMYFUNCTION("""COMPUTED_VALUE"""),"LMG Hoa Cọ Vàng")</f>
        <v>LMG Hoa Cọ Vàng</v>
      </c>
      <c r="C362" s="33" t="str">
        <f ca="1">IFERROR(__xludf.DUMMYFUNCTION("""COMPUTED_VALUE"""),"MN")</f>
        <v>MN</v>
      </c>
      <c r="D362" s="30" t="str">
        <f ca="1">IFERROR(__xludf.DUMMYFUNCTION("""COMPUTED_VALUE"""),"Tp. Thủ Đức")</f>
        <v>Tp. Thủ Đức</v>
      </c>
      <c r="E362" s="31">
        <f ca="1">IFERROR(__xludf.DUMMYFUNCTION("""COMPUTED_VALUE"""),11)</f>
        <v>11</v>
      </c>
      <c r="F362" s="32">
        <f ca="1">IFERROR(__xludf.DUMMYFUNCTION("""COMPUTED_VALUE"""),11)</f>
        <v>11</v>
      </c>
      <c r="G362" s="32"/>
      <c r="H362" s="32">
        <f ca="1">IFERROR(__xludf.DUMMYFUNCTION("""COMPUTED_VALUE"""),11)</f>
        <v>11</v>
      </c>
      <c r="I362" s="32"/>
      <c r="J362" s="32">
        <f ca="1">IFERROR(__xludf.DUMMYFUNCTION("""COMPUTED_VALUE"""),7)</f>
        <v>7</v>
      </c>
      <c r="K362" s="32"/>
      <c r="L362" s="32">
        <f ca="1">IFERROR(__xludf.DUMMYFUNCTION("""COMPUTED_VALUE"""),0)</f>
        <v>0</v>
      </c>
      <c r="M362" s="32"/>
      <c r="N362" s="31">
        <f ca="1">IFERROR(__xludf.DUMMYFUNCTION("""COMPUTED_VALUE"""),0)</f>
        <v>0</v>
      </c>
      <c r="O362" s="32">
        <f ca="1">IFERROR(__xludf.DUMMYFUNCTION("""COMPUTED_VALUE"""),0)</f>
        <v>0</v>
      </c>
      <c r="P362" s="32"/>
      <c r="Q362" s="32">
        <f ca="1">IFERROR(__xludf.DUMMYFUNCTION("""COMPUTED_VALUE"""),0)</f>
        <v>0</v>
      </c>
      <c r="R362" s="32"/>
      <c r="S362" s="31">
        <f ca="1">IFERROR(__xludf.DUMMYFUNCTION("""COMPUTED_VALUE"""),0)</f>
        <v>0</v>
      </c>
      <c r="T362" s="32">
        <f ca="1">IFERROR(__xludf.DUMMYFUNCTION("""COMPUTED_VALUE"""),0)</f>
        <v>0</v>
      </c>
      <c r="U362" s="32"/>
      <c r="V362" s="32">
        <f ca="1">IFERROR(__xludf.DUMMYFUNCTION("""COMPUTED_VALUE"""),0)</f>
        <v>0</v>
      </c>
      <c r="W362" s="32"/>
      <c r="X362" s="32">
        <f ca="1">IFERROR(__xludf.DUMMYFUNCTION("""COMPUTED_VALUE"""),0)</f>
        <v>0</v>
      </c>
      <c r="Y362" s="32"/>
      <c r="Z362" s="2"/>
      <c r="AA362" s="2"/>
      <c r="AB362" s="2"/>
      <c r="AC362" s="2"/>
      <c r="AD362" s="2"/>
      <c r="AE362" s="2"/>
    </row>
    <row r="363" spans="1:31" ht="12.75" x14ac:dyDescent="0.2">
      <c r="A363" s="34"/>
      <c r="B363" s="35" t="str">
        <f ca="1">IFERROR(__xludf.DUMMYFUNCTION("""COMPUTED_VALUE"""),"MẦM NON NGOÀI CÔNG LẬP - KHU VỰC 3")</f>
        <v>MẦM NON NGOÀI CÔNG LẬP - KHU VỰC 3</v>
      </c>
      <c r="C363" s="41" t="str">
        <f ca="1">IFERROR(__xludf.DUMMYFUNCTION("""COMPUTED_VALUE"""),"MN")</f>
        <v>MN</v>
      </c>
      <c r="D363" s="30" t="str">
        <f ca="1">IFERROR(__xludf.DUMMYFUNCTION("""COMPUTED_VALUE"""),"Tp. Thủ Đức")</f>
        <v>Tp. Thủ Đức</v>
      </c>
      <c r="E363" s="37"/>
      <c r="F363" s="38"/>
      <c r="G363" s="38"/>
      <c r="H363" s="38"/>
      <c r="I363" s="38"/>
      <c r="J363" s="38"/>
      <c r="K363" s="38"/>
      <c r="L363" s="38"/>
      <c r="M363" s="38"/>
      <c r="N363" s="42">
        <f ca="1">IFERROR(__xludf.DUMMYFUNCTION("""COMPUTED_VALUE"""),0)</f>
        <v>0</v>
      </c>
      <c r="O363" s="43">
        <f ca="1">IFERROR(__xludf.DUMMYFUNCTION("""COMPUTED_VALUE"""),0)</f>
        <v>0</v>
      </c>
      <c r="P363" s="43"/>
      <c r="Q363" s="43">
        <f ca="1">IFERROR(__xludf.DUMMYFUNCTION("""COMPUTED_VALUE"""),0)</f>
        <v>0</v>
      </c>
      <c r="R363" s="43"/>
      <c r="S363" s="42">
        <f ca="1">IFERROR(__xludf.DUMMYFUNCTION("""COMPUTED_VALUE"""),0)</f>
        <v>0</v>
      </c>
      <c r="T363" s="43">
        <f ca="1">IFERROR(__xludf.DUMMYFUNCTION("""COMPUTED_VALUE"""),0)</f>
        <v>0</v>
      </c>
      <c r="U363" s="43"/>
      <c r="V363" s="43">
        <f ca="1">IFERROR(__xludf.DUMMYFUNCTION("""COMPUTED_VALUE"""),0)</f>
        <v>0</v>
      </c>
      <c r="W363" s="43"/>
      <c r="X363" s="43">
        <f ca="1">IFERROR(__xludf.DUMMYFUNCTION("""COMPUTED_VALUE"""),0)</f>
        <v>0</v>
      </c>
      <c r="Y363" s="43"/>
      <c r="Z363" s="2"/>
      <c r="AA363" s="2"/>
      <c r="AB363" s="2"/>
      <c r="AC363" s="2"/>
      <c r="AD363" s="2"/>
      <c r="AE363" s="2"/>
    </row>
    <row r="364" spans="1:31" ht="12.75" x14ac:dyDescent="0.2">
      <c r="A364" s="28">
        <f ca="1">IFERROR(__xludf.DUMMYFUNCTION("""COMPUTED_VALUE"""),1)</f>
        <v>1</v>
      </c>
      <c r="B364" s="29" t="str">
        <f ca="1">IFERROR(__xludf.DUMMYFUNCTION("""COMPUTED_VALUE"""),"MG Ánh Hồng KV3")</f>
        <v>MG Ánh Hồng KV3</v>
      </c>
      <c r="C364" s="33" t="str">
        <f ca="1">IFERROR(__xludf.DUMMYFUNCTION("""COMPUTED_VALUE"""),"MN")</f>
        <v>MN</v>
      </c>
      <c r="D364" s="30" t="str">
        <f ca="1">IFERROR(__xludf.DUMMYFUNCTION("""COMPUTED_VALUE"""),"Tp. Thủ Đức")</f>
        <v>Tp. Thủ Đức</v>
      </c>
      <c r="E364" s="31">
        <f ca="1">IFERROR(__xludf.DUMMYFUNCTION("""COMPUTED_VALUE"""),32)</f>
        <v>32</v>
      </c>
      <c r="F364" s="32">
        <f ca="1">IFERROR(__xludf.DUMMYFUNCTION("""COMPUTED_VALUE"""),32)</f>
        <v>32</v>
      </c>
      <c r="G364" s="32"/>
      <c r="H364" s="32">
        <f ca="1">IFERROR(__xludf.DUMMYFUNCTION("""COMPUTED_VALUE"""),32)</f>
        <v>32</v>
      </c>
      <c r="I364" s="32"/>
      <c r="J364" s="32">
        <f ca="1">IFERROR(__xludf.DUMMYFUNCTION("""COMPUTED_VALUE"""),32)</f>
        <v>32</v>
      </c>
      <c r="K364" s="32"/>
      <c r="L364" s="32">
        <f ca="1">IFERROR(__xludf.DUMMYFUNCTION("""COMPUTED_VALUE"""),0)</f>
        <v>0</v>
      </c>
      <c r="M364" s="32"/>
      <c r="N364" s="31">
        <f ca="1">IFERROR(__xludf.DUMMYFUNCTION("""COMPUTED_VALUE"""),0)</f>
        <v>0</v>
      </c>
      <c r="O364" s="32">
        <f ca="1">IFERROR(__xludf.DUMMYFUNCTION("""COMPUTED_VALUE"""),0)</f>
        <v>0</v>
      </c>
      <c r="P364" s="32"/>
      <c r="Q364" s="32">
        <f ca="1">IFERROR(__xludf.DUMMYFUNCTION("""COMPUTED_VALUE"""),0)</f>
        <v>0</v>
      </c>
      <c r="R364" s="32"/>
      <c r="S364" s="31">
        <f ca="1">IFERROR(__xludf.DUMMYFUNCTION("""COMPUTED_VALUE"""),0)</f>
        <v>0</v>
      </c>
      <c r="T364" s="32">
        <f ca="1">IFERROR(__xludf.DUMMYFUNCTION("""COMPUTED_VALUE"""),0)</f>
        <v>0</v>
      </c>
      <c r="U364" s="32"/>
      <c r="V364" s="32">
        <f ca="1">IFERROR(__xludf.DUMMYFUNCTION("""COMPUTED_VALUE"""),0)</f>
        <v>0</v>
      </c>
      <c r="W364" s="32"/>
      <c r="X364" s="32">
        <f ca="1">IFERROR(__xludf.DUMMYFUNCTION("""COMPUTED_VALUE"""),0)</f>
        <v>0</v>
      </c>
      <c r="Y364" s="32"/>
      <c r="Z364" s="2"/>
      <c r="AA364" s="2"/>
      <c r="AB364" s="2"/>
      <c r="AC364" s="2"/>
      <c r="AD364" s="2"/>
      <c r="AE364" s="2"/>
    </row>
    <row r="365" spans="1:31" ht="12.75" x14ac:dyDescent="0.2">
      <c r="A365" s="28">
        <f ca="1">IFERROR(__xludf.DUMMYFUNCTION("""COMPUTED_VALUE"""),2)</f>
        <v>2</v>
      </c>
      <c r="B365" s="29" t="str">
        <f ca="1">IFERROR(__xludf.DUMMYFUNCTION("""COMPUTED_VALUE"""),"MG Hoa Cúc KV3")</f>
        <v>MG Hoa Cúc KV3</v>
      </c>
      <c r="C365" s="33" t="str">
        <f ca="1">IFERROR(__xludf.DUMMYFUNCTION("""COMPUTED_VALUE"""),"MN")</f>
        <v>MN</v>
      </c>
      <c r="D365" s="30" t="str">
        <f ca="1">IFERROR(__xludf.DUMMYFUNCTION("""COMPUTED_VALUE"""),"Tp. Thủ Đức")</f>
        <v>Tp. Thủ Đức</v>
      </c>
      <c r="E365" s="31">
        <f ca="1">IFERROR(__xludf.DUMMYFUNCTION("""COMPUTED_VALUE"""),10)</f>
        <v>10</v>
      </c>
      <c r="F365" s="32">
        <f ca="1">IFERROR(__xludf.DUMMYFUNCTION("""COMPUTED_VALUE"""),10)</f>
        <v>10</v>
      </c>
      <c r="G365" s="32"/>
      <c r="H365" s="32">
        <f ca="1">IFERROR(__xludf.DUMMYFUNCTION("""COMPUTED_VALUE"""),10)</f>
        <v>10</v>
      </c>
      <c r="I365" s="32"/>
      <c r="J365" s="32">
        <f ca="1">IFERROR(__xludf.DUMMYFUNCTION("""COMPUTED_VALUE"""),9)</f>
        <v>9</v>
      </c>
      <c r="K365" s="32"/>
      <c r="L365" s="32">
        <f ca="1">IFERROR(__xludf.DUMMYFUNCTION("""COMPUTED_VALUE"""),7)</f>
        <v>7</v>
      </c>
      <c r="M365" s="32"/>
      <c r="N365" s="31">
        <f ca="1">IFERROR(__xludf.DUMMYFUNCTION("""COMPUTED_VALUE"""),0)</f>
        <v>0</v>
      </c>
      <c r="O365" s="32">
        <f ca="1">IFERROR(__xludf.DUMMYFUNCTION("""COMPUTED_VALUE"""),0)</f>
        <v>0</v>
      </c>
      <c r="P365" s="32"/>
      <c r="Q365" s="32">
        <f ca="1">IFERROR(__xludf.DUMMYFUNCTION("""COMPUTED_VALUE"""),0)</f>
        <v>0</v>
      </c>
      <c r="R365" s="32"/>
      <c r="S365" s="31">
        <f ca="1">IFERROR(__xludf.DUMMYFUNCTION("""COMPUTED_VALUE"""),0)</f>
        <v>0</v>
      </c>
      <c r="T365" s="32">
        <f ca="1">IFERROR(__xludf.DUMMYFUNCTION("""COMPUTED_VALUE"""),0)</f>
        <v>0</v>
      </c>
      <c r="U365" s="32"/>
      <c r="V365" s="32">
        <f ca="1">IFERROR(__xludf.DUMMYFUNCTION("""COMPUTED_VALUE"""),0)</f>
        <v>0</v>
      </c>
      <c r="W365" s="32"/>
      <c r="X365" s="32">
        <f ca="1">IFERROR(__xludf.DUMMYFUNCTION("""COMPUTED_VALUE"""),0)</f>
        <v>0</v>
      </c>
      <c r="Y365" s="32"/>
      <c r="Z365" s="2"/>
      <c r="AA365" s="2"/>
      <c r="AB365" s="2"/>
      <c r="AC365" s="2"/>
      <c r="AD365" s="2"/>
      <c r="AE365" s="2"/>
    </row>
    <row r="366" spans="1:31" ht="12.75" x14ac:dyDescent="0.2">
      <c r="A366" s="28">
        <f ca="1">IFERROR(__xludf.DUMMYFUNCTION("""COMPUTED_VALUE"""),3)</f>
        <v>3</v>
      </c>
      <c r="B366" s="29" t="str">
        <f ca="1">IFERROR(__xludf.DUMMYFUNCTION("""COMPUTED_VALUE"""),"MG Linh Ân KV3")</f>
        <v>MG Linh Ân KV3</v>
      </c>
      <c r="C366" s="33" t="str">
        <f ca="1">IFERROR(__xludf.DUMMYFUNCTION("""COMPUTED_VALUE"""),"MN")</f>
        <v>MN</v>
      </c>
      <c r="D366" s="30" t="str">
        <f ca="1">IFERROR(__xludf.DUMMYFUNCTION("""COMPUTED_VALUE"""),"Tp. Thủ Đức")</f>
        <v>Tp. Thủ Đức</v>
      </c>
      <c r="E366" s="31">
        <f ca="1">IFERROR(__xludf.DUMMYFUNCTION("""COMPUTED_VALUE"""),17)</f>
        <v>17</v>
      </c>
      <c r="F366" s="32">
        <f ca="1">IFERROR(__xludf.DUMMYFUNCTION("""COMPUTED_VALUE"""),17)</f>
        <v>17</v>
      </c>
      <c r="G366" s="32"/>
      <c r="H366" s="32">
        <f ca="1">IFERROR(__xludf.DUMMYFUNCTION("""COMPUTED_VALUE"""),17)</f>
        <v>17</v>
      </c>
      <c r="I366" s="32"/>
      <c r="J366" s="32">
        <f ca="1">IFERROR(__xludf.DUMMYFUNCTION("""COMPUTED_VALUE"""),17)</f>
        <v>17</v>
      </c>
      <c r="K366" s="32"/>
      <c r="L366" s="32">
        <f ca="1">IFERROR(__xludf.DUMMYFUNCTION("""COMPUTED_VALUE"""),0)</f>
        <v>0</v>
      </c>
      <c r="M366" s="32"/>
      <c r="N366" s="31">
        <f ca="1">IFERROR(__xludf.DUMMYFUNCTION("""COMPUTED_VALUE"""),0)</f>
        <v>0</v>
      </c>
      <c r="O366" s="32">
        <f ca="1">IFERROR(__xludf.DUMMYFUNCTION("""COMPUTED_VALUE"""),0)</f>
        <v>0</v>
      </c>
      <c r="P366" s="32"/>
      <c r="Q366" s="32">
        <f ca="1">IFERROR(__xludf.DUMMYFUNCTION("""COMPUTED_VALUE"""),0)</f>
        <v>0</v>
      </c>
      <c r="R366" s="32"/>
      <c r="S366" s="31">
        <f ca="1">IFERROR(__xludf.DUMMYFUNCTION("""COMPUTED_VALUE"""),0)</f>
        <v>0</v>
      </c>
      <c r="T366" s="32">
        <f ca="1">IFERROR(__xludf.DUMMYFUNCTION("""COMPUTED_VALUE"""),0)</f>
        <v>0</v>
      </c>
      <c r="U366" s="32"/>
      <c r="V366" s="32">
        <f ca="1">IFERROR(__xludf.DUMMYFUNCTION("""COMPUTED_VALUE"""),0)</f>
        <v>0</v>
      </c>
      <c r="W366" s="32"/>
      <c r="X366" s="32">
        <f ca="1">IFERROR(__xludf.DUMMYFUNCTION("""COMPUTED_VALUE"""),0)</f>
        <v>0</v>
      </c>
      <c r="Y366" s="32"/>
      <c r="Z366" s="2"/>
      <c r="AA366" s="2"/>
      <c r="AB366" s="2"/>
      <c r="AC366" s="2"/>
      <c r="AD366" s="2"/>
      <c r="AE366" s="2"/>
    </row>
    <row r="367" spans="1:31" ht="12.75" x14ac:dyDescent="0.2">
      <c r="A367" s="28">
        <f ca="1">IFERROR(__xludf.DUMMYFUNCTION("""COMPUTED_VALUE"""),4)</f>
        <v>4</v>
      </c>
      <c r="B367" s="29" t="str">
        <f ca="1">IFERROR(__xludf.DUMMYFUNCTION("""COMPUTED_VALUE"""),"MG Mai Khôi KV3")</f>
        <v>MG Mai Khôi KV3</v>
      </c>
      <c r="C367" s="33" t="str">
        <f ca="1">IFERROR(__xludf.DUMMYFUNCTION("""COMPUTED_VALUE"""),"MN")</f>
        <v>MN</v>
      </c>
      <c r="D367" s="30" t="str">
        <f ca="1">IFERROR(__xludf.DUMMYFUNCTION("""COMPUTED_VALUE"""),"Tp. Thủ Đức")</f>
        <v>Tp. Thủ Đức</v>
      </c>
      <c r="E367" s="31">
        <f ca="1">IFERROR(__xludf.DUMMYFUNCTION("""COMPUTED_VALUE"""),20)</f>
        <v>20</v>
      </c>
      <c r="F367" s="32">
        <f ca="1">IFERROR(__xludf.DUMMYFUNCTION("""COMPUTED_VALUE"""),20)</f>
        <v>20</v>
      </c>
      <c r="G367" s="32"/>
      <c r="H367" s="32">
        <f ca="1">IFERROR(__xludf.DUMMYFUNCTION("""COMPUTED_VALUE"""),20)</f>
        <v>20</v>
      </c>
      <c r="I367" s="32"/>
      <c r="J367" s="32">
        <f ca="1">IFERROR(__xludf.DUMMYFUNCTION("""COMPUTED_VALUE"""),20)</f>
        <v>20</v>
      </c>
      <c r="K367" s="32"/>
      <c r="L367" s="32">
        <f ca="1">IFERROR(__xludf.DUMMYFUNCTION("""COMPUTED_VALUE"""),0)</f>
        <v>0</v>
      </c>
      <c r="M367" s="32"/>
      <c r="N367" s="31">
        <f ca="1">IFERROR(__xludf.DUMMYFUNCTION("""COMPUTED_VALUE"""),0)</f>
        <v>0</v>
      </c>
      <c r="O367" s="32">
        <f ca="1">IFERROR(__xludf.DUMMYFUNCTION("""COMPUTED_VALUE"""),0)</f>
        <v>0</v>
      </c>
      <c r="P367" s="32"/>
      <c r="Q367" s="32">
        <f ca="1">IFERROR(__xludf.DUMMYFUNCTION("""COMPUTED_VALUE"""),0)</f>
        <v>0</v>
      </c>
      <c r="R367" s="32"/>
      <c r="S367" s="31">
        <f ca="1">IFERROR(__xludf.DUMMYFUNCTION("""COMPUTED_VALUE"""),0)</f>
        <v>0</v>
      </c>
      <c r="T367" s="32">
        <f ca="1">IFERROR(__xludf.DUMMYFUNCTION("""COMPUTED_VALUE"""),0)</f>
        <v>0</v>
      </c>
      <c r="U367" s="32"/>
      <c r="V367" s="32">
        <f ca="1">IFERROR(__xludf.DUMMYFUNCTION("""COMPUTED_VALUE"""),0)</f>
        <v>0</v>
      </c>
      <c r="W367" s="32"/>
      <c r="X367" s="32">
        <f ca="1">IFERROR(__xludf.DUMMYFUNCTION("""COMPUTED_VALUE"""),0)</f>
        <v>0</v>
      </c>
      <c r="Y367" s="32"/>
      <c r="Z367" s="2"/>
      <c r="AA367" s="2"/>
      <c r="AB367" s="2"/>
      <c r="AC367" s="2"/>
      <c r="AD367" s="2"/>
      <c r="AE367" s="2"/>
    </row>
    <row r="368" spans="1:31" ht="12.75" x14ac:dyDescent="0.2">
      <c r="A368" s="28">
        <f ca="1">IFERROR(__xludf.DUMMYFUNCTION("""COMPUTED_VALUE"""),5)</f>
        <v>5</v>
      </c>
      <c r="B368" s="29" t="str">
        <f ca="1">IFERROR(__xludf.DUMMYFUNCTION("""COMPUTED_VALUE"""),"MG Mai Tâm KV3")</f>
        <v>MG Mai Tâm KV3</v>
      </c>
      <c r="C368" s="33" t="str">
        <f ca="1">IFERROR(__xludf.DUMMYFUNCTION("""COMPUTED_VALUE"""),"MN")</f>
        <v>MN</v>
      </c>
      <c r="D368" s="30" t="str">
        <f ca="1">IFERROR(__xludf.DUMMYFUNCTION("""COMPUTED_VALUE"""),"Tp. Thủ Đức")</f>
        <v>Tp. Thủ Đức</v>
      </c>
      <c r="E368" s="31">
        <f ca="1">IFERROR(__xludf.DUMMYFUNCTION("""COMPUTED_VALUE"""),36)</f>
        <v>36</v>
      </c>
      <c r="F368" s="32">
        <f ca="1">IFERROR(__xludf.DUMMYFUNCTION("""COMPUTED_VALUE"""),36)</f>
        <v>36</v>
      </c>
      <c r="G368" s="32"/>
      <c r="H368" s="32">
        <f ca="1">IFERROR(__xludf.DUMMYFUNCTION("""COMPUTED_VALUE"""),36)</f>
        <v>36</v>
      </c>
      <c r="I368" s="32"/>
      <c r="J368" s="32">
        <f ca="1">IFERROR(__xludf.DUMMYFUNCTION("""COMPUTED_VALUE"""),26)</f>
        <v>26</v>
      </c>
      <c r="K368" s="32"/>
      <c r="L368" s="32">
        <f ca="1">IFERROR(__xludf.DUMMYFUNCTION("""COMPUTED_VALUE"""),0)</f>
        <v>0</v>
      </c>
      <c r="M368" s="32"/>
      <c r="N368" s="31">
        <f ca="1">IFERROR(__xludf.DUMMYFUNCTION("""COMPUTED_VALUE"""),0)</f>
        <v>0</v>
      </c>
      <c r="O368" s="32">
        <f ca="1">IFERROR(__xludf.DUMMYFUNCTION("""COMPUTED_VALUE"""),0)</f>
        <v>0</v>
      </c>
      <c r="P368" s="32"/>
      <c r="Q368" s="32">
        <f ca="1">IFERROR(__xludf.DUMMYFUNCTION("""COMPUTED_VALUE"""),0)</f>
        <v>0</v>
      </c>
      <c r="R368" s="32"/>
      <c r="S368" s="31">
        <f ca="1">IFERROR(__xludf.DUMMYFUNCTION("""COMPUTED_VALUE"""),0)</f>
        <v>0</v>
      </c>
      <c r="T368" s="32">
        <f ca="1">IFERROR(__xludf.DUMMYFUNCTION("""COMPUTED_VALUE"""),0)</f>
        <v>0</v>
      </c>
      <c r="U368" s="32"/>
      <c r="V368" s="32">
        <f ca="1">IFERROR(__xludf.DUMMYFUNCTION("""COMPUTED_VALUE"""),0)</f>
        <v>0</v>
      </c>
      <c r="W368" s="32"/>
      <c r="X368" s="32">
        <f ca="1">IFERROR(__xludf.DUMMYFUNCTION("""COMPUTED_VALUE"""),0)</f>
        <v>0</v>
      </c>
      <c r="Y368" s="32"/>
      <c r="Z368" s="2"/>
      <c r="AA368" s="2"/>
      <c r="AB368" s="2"/>
      <c r="AC368" s="2"/>
      <c r="AD368" s="2"/>
      <c r="AE368" s="2"/>
    </row>
    <row r="369" spans="1:31" ht="12.75" x14ac:dyDescent="0.2">
      <c r="A369" s="28">
        <f ca="1">IFERROR(__xludf.DUMMYFUNCTION("""COMPUTED_VALUE"""),6)</f>
        <v>6</v>
      </c>
      <c r="B369" s="29" t="str">
        <f ca="1">IFERROR(__xludf.DUMMYFUNCTION("""COMPUTED_VALUE"""),"MN 20/11 KV3")</f>
        <v>MN 20/11 KV3</v>
      </c>
      <c r="C369" s="33" t="str">
        <f ca="1">IFERROR(__xludf.DUMMYFUNCTION("""COMPUTED_VALUE"""),"MN")</f>
        <v>MN</v>
      </c>
      <c r="D369" s="30" t="str">
        <f ca="1">IFERROR(__xludf.DUMMYFUNCTION("""COMPUTED_VALUE"""),"Tp. Thủ Đức")</f>
        <v>Tp. Thủ Đức</v>
      </c>
      <c r="E369" s="31">
        <f ca="1">IFERROR(__xludf.DUMMYFUNCTION("""COMPUTED_VALUE"""),11)</f>
        <v>11</v>
      </c>
      <c r="F369" s="32">
        <f ca="1">IFERROR(__xludf.DUMMYFUNCTION("""COMPUTED_VALUE"""),11)</f>
        <v>11</v>
      </c>
      <c r="G369" s="32"/>
      <c r="H369" s="32">
        <f ca="1">IFERROR(__xludf.DUMMYFUNCTION("""COMPUTED_VALUE"""),11)</f>
        <v>11</v>
      </c>
      <c r="I369" s="32"/>
      <c r="J369" s="32">
        <f ca="1">IFERROR(__xludf.DUMMYFUNCTION("""COMPUTED_VALUE"""),7)</f>
        <v>7</v>
      </c>
      <c r="K369" s="32"/>
      <c r="L369" s="32">
        <f ca="1">IFERROR(__xludf.DUMMYFUNCTION("""COMPUTED_VALUE"""),0)</f>
        <v>0</v>
      </c>
      <c r="M369" s="32"/>
      <c r="N369" s="31">
        <f ca="1">IFERROR(__xludf.DUMMYFUNCTION("""COMPUTED_VALUE"""),0)</f>
        <v>0</v>
      </c>
      <c r="O369" s="32">
        <f ca="1">IFERROR(__xludf.DUMMYFUNCTION("""COMPUTED_VALUE"""),0)</f>
        <v>0</v>
      </c>
      <c r="P369" s="32"/>
      <c r="Q369" s="32">
        <f ca="1">IFERROR(__xludf.DUMMYFUNCTION("""COMPUTED_VALUE"""),0)</f>
        <v>0</v>
      </c>
      <c r="R369" s="32"/>
      <c r="S369" s="31">
        <f ca="1">IFERROR(__xludf.DUMMYFUNCTION("""COMPUTED_VALUE"""),0)</f>
        <v>0</v>
      </c>
      <c r="T369" s="32">
        <f ca="1">IFERROR(__xludf.DUMMYFUNCTION("""COMPUTED_VALUE"""),0)</f>
        <v>0</v>
      </c>
      <c r="U369" s="32"/>
      <c r="V369" s="32">
        <f ca="1">IFERROR(__xludf.DUMMYFUNCTION("""COMPUTED_VALUE"""),0)</f>
        <v>0</v>
      </c>
      <c r="W369" s="32"/>
      <c r="X369" s="32">
        <f ca="1">IFERROR(__xludf.DUMMYFUNCTION("""COMPUTED_VALUE"""),0)</f>
        <v>0</v>
      </c>
      <c r="Y369" s="32"/>
      <c r="Z369" s="2"/>
      <c r="AA369" s="2"/>
      <c r="AB369" s="2"/>
      <c r="AC369" s="2"/>
      <c r="AD369" s="2"/>
      <c r="AE369" s="2"/>
    </row>
    <row r="370" spans="1:31" ht="12.75" x14ac:dyDescent="0.2">
      <c r="A370" s="28">
        <f ca="1">IFERROR(__xludf.DUMMYFUNCTION("""COMPUTED_VALUE"""),7)</f>
        <v>7</v>
      </c>
      <c r="B370" s="29" t="str">
        <f ca="1">IFERROR(__xludf.DUMMYFUNCTION("""COMPUTED_VALUE"""),"MN Du Sinh KV3")</f>
        <v>MN Du Sinh KV3</v>
      </c>
      <c r="C370" s="33" t="str">
        <f ca="1">IFERROR(__xludf.DUMMYFUNCTION("""COMPUTED_VALUE"""),"MN")</f>
        <v>MN</v>
      </c>
      <c r="D370" s="30" t="str">
        <f ca="1">IFERROR(__xludf.DUMMYFUNCTION("""COMPUTED_VALUE"""),"Tp. Thủ Đức")</f>
        <v>Tp. Thủ Đức</v>
      </c>
      <c r="E370" s="31">
        <f ca="1">IFERROR(__xludf.DUMMYFUNCTION("""COMPUTED_VALUE"""),14)</f>
        <v>14</v>
      </c>
      <c r="F370" s="32">
        <f ca="1">IFERROR(__xludf.DUMMYFUNCTION("""COMPUTED_VALUE"""),14)</f>
        <v>14</v>
      </c>
      <c r="G370" s="32"/>
      <c r="H370" s="32">
        <f ca="1">IFERROR(__xludf.DUMMYFUNCTION("""COMPUTED_VALUE"""),14)</f>
        <v>14</v>
      </c>
      <c r="I370" s="32"/>
      <c r="J370" s="32">
        <f ca="1">IFERROR(__xludf.DUMMYFUNCTION("""COMPUTED_VALUE"""),10)</f>
        <v>10</v>
      </c>
      <c r="K370" s="32"/>
      <c r="L370" s="32">
        <f ca="1">IFERROR(__xludf.DUMMYFUNCTION("""COMPUTED_VALUE"""),0)</f>
        <v>0</v>
      </c>
      <c r="M370" s="32"/>
      <c r="N370" s="31">
        <f ca="1">IFERROR(__xludf.DUMMYFUNCTION("""COMPUTED_VALUE"""),0)</f>
        <v>0</v>
      </c>
      <c r="O370" s="32">
        <f ca="1">IFERROR(__xludf.DUMMYFUNCTION("""COMPUTED_VALUE"""),0)</f>
        <v>0</v>
      </c>
      <c r="P370" s="32"/>
      <c r="Q370" s="32">
        <f ca="1">IFERROR(__xludf.DUMMYFUNCTION("""COMPUTED_VALUE"""),0)</f>
        <v>0</v>
      </c>
      <c r="R370" s="32"/>
      <c r="S370" s="31">
        <f ca="1">IFERROR(__xludf.DUMMYFUNCTION("""COMPUTED_VALUE"""),0)</f>
        <v>0</v>
      </c>
      <c r="T370" s="32">
        <f ca="1">IFERROR(__xludf.DUMMYFUNCTION("""COMPUTED_VALUE"""),0)</f>
        <v>0</v>
      </c>
      <c r="U370" s="32"/>
      <c r="V370" s="32">
        <f ca="1">IFERROR(__xludf.DUMMYFUNCTION("""COMPUTED_VALUE"""),0)</f>
        <v>0</v>
      </c>
      <c r="W370" s="32"/>
      <c r="X370" s="32">
        <f ca="1">IFERROR(__xludf.DUMMYFUNCTION("""COMPUTED_VALUE"""),0)</f>
        <v>0</v>
      </c>
      <c r="Y370" s="32"/>
      <c r="Z370" s="2"/>
      <c r="AA370" s="2"/>
      <c r="AB370" s="2"/>
      <c r="AC370" s="2"/>
      <c r="AD370" s="2"/>
      <c r="AE370" s="2"/>
    </row>
    <row r="371" spans="1:31" ht="12.75" x14ac:dyDescent="0.2">
      <c r="A371" s="28">
        <f ca="1">IFERROR(__xludf.DUMMYFUNCTION("""COMPUTED_VALUE"""),8)</f>
        <v>8</v>
      </c>
      <c r="B371" s="29" t="str">
        <f ca="1">IFERROR(__xludf.DUMMYFUNCTION("""COMPUTED_VALUE"""),"MN An Lộc KV3")</f>
        <v>MN An Lộc KV3</v>
      </c>
      <c r="C371" s="33" t="str">
        <f ca="1">IFERROR(__xludf.DUMMYFUNCTION("""COMPUTED_VALUE"""),"MN")</f>
        <v>MN</v>
      </c>
      <c r="D371" s="30" t="str">
        <f ca="1">IFERROR(__xludf.DUMMYFUNCTION("""COMPUTED_VALUE"""),"Tp. Thủ Đức")</f>
        <v>Tp. Thủ Đức</v>
      </c>
      <c r="E371" s="31">
        <f ca="1">IFERROR(__xludf.DUMMYFUNCTION("""COMPUTED_VALUE"""),25)</f>
        <v>25</v>
      </c>
      <c r="F371" s="32">
        <f ca="1">IFERROR(__xludf.DUMMYFUNCTION("""COMPUTED_VALUE"""),25)</f>
        <v>25</v>
      </c>
      <c r="G371" s="32"/>
      <c r="H371" s="32">
        <f ca="1">IFERROR(__xludf.DUMMYFUNCTION("""COMPUTED_VALUE"""),25)</f>
        <v>25</v>
      </c>
      <c r="I371" s="32"/>
      <c r="J371" s="32">
        <f ca="1">IFERROR(__xludf.DUMMYFUNCTION("""COMPUTED_VALUE"""),25)</f>
        <v>25</v>
      </c>
      <c r="K371" s="32"/>
      <c r="L371" s="32">
        <f ca="1">IFERROR(__xludf.DUMMYFUNCTION("""COMPUTED_VALUE"""),1)</f>
        <v>1</v>
      </c>
      <c r="M371" s="32"/>
      <c r="N371" s="31">
        <f ca="1">IFERROR(__xludf.DUMMYFUNCTION("""COMPUTED_VALUE"""),0)</f>
        <v>0</v>
      </c>
      <c r="O371" s="32">
        <f ca="1">IFERROR(__xludf.DUMMYFUNCTION("""COMPUTED_VALUE"""),0)</f>
        <v>0</v>
      </c>
      <c r="P371" s="32"/>
      <c r="Q371" s="32">
        <f ca="1">IFERROR(__xludf.DUMMYFUNCTION("""COMPUTED_VALUE"""),0)</f>
        <v>0</v>
      </c>
      <c r="R371" s="32"/>
      <c r="S371" s="31">
        <f ca="1">IFERROR(__xludf.DUMMYFUNCTION("""COMPUTED_VALUE"""),0)</f>
        <v>0</v>
      </c>
      <c r="T371" s="32">
        <f ca="1">IFERROR(__xludf.DUMMYFUNCTION("""COMPUTED_VALUE"""),0)</f>
        <v>0</v>
      </c>
      <c r="U371" s="32"/>
      <c r="V371" s="32">
        <f ca="1">IFERROR(__xludf.DUMMYFUNCTION("""COMPUTED_VALUE"""),0)</f>
        <v>0</v>
      </c>
      <c r="W371" s="32"/>
      <c r="X371" s="32">
        <f ca="1">IFERROR(__xludf.DUMMYFUNCTION("""COMPUTED_VALUE"""),0)</f>
        <v>0</v>
      </c>
      <c r="Y371" s="32"/>
      <c r="Z371" s="2"/>
      <c r="AA371" s="2"/>
      <c r="AB371" s="2"/>
      <c r="AC371" s="2"/>
      <c r="AD371" s="2"/>
      <c r="AE371" s="2"/>
    </row>
    <row r="372" spans="1:31" ht="12.75" x14ac:dyDescent="0.2">
      <c r="A372" s="28">
        <f ca="1">IFERROR(__xludf.DUMMYFUNCTION("""COMPUTED_VALUE"""),9)</f>
        <v>9</v>
      </c>
      <c r="B372" s="29" t="str">
        <f ca="1">IFERROR(__xludf.DUMMYFUNCTION("""COMPUTED_VALUE"""),"MN Bầu Trời Xanh 3 KV3")</f>
        <v>MN Bầu Trời Xanh 3 KV3</v>
      </c>
      <c r="C372" s="33" t="str">
        <f ca="1">IFERROR(__xludf.DUMMYFUNCTION("""COMPUTED_VALUE"""),"MN")</f>
        <v>MN</v>
      </c>
      <c r="D372" s="30" t="str">
        <f ca="1">IFERROR(__xludf.DUMMYFUNCTION("""COMPUTED_VALUE"""),"Tp. Thủ Đức")</f>
        <v>Tp. Thủ Đức</v>
      </c>
      <c r="E372" s="31">
        <f ca="1">IFERROR(__xludf.DUMMYFUNCTION("""COMPUTED_VALUE"""),25)</f>
        <v>25</v>
      </c>
      <c r="F372" s="32">
        <f ca="1">IFERROR(__xludf.DUMMYFUNCTION("""COMPUTED_VALUE"""),25)</f>
        <v>25</v>
      </c>
      <c r="G372" s="32"/>
      <c r="H372" s="32">
        <f ca="1">IFERROR(__xludf.DUMMYFUNCTION("""COMPUTED_VALUE"""),25)</f>
        <v>25</v>
      </c>
      <c r="I372" s="32"/>
      <c r="J372" s="32">
        <f ca="1">IFERROR(__xludf.DUMMYFUNCTION("""COMPUTED_VALUE"""),25)</f>
        <v>25</v>
      </c>
      <c r="K372" s="32"/>
      <c r="L372" s="32">
        <f ca="1">IFERROR(__xludf.DUMMYFUNCTION("""COMPUTED_VALUE"""),1)</f>
        <v>1</v>
      </c>
      <c r="M372" s="32"/>
      <c r="N372" s="31">
        <f ca="1">IFERROR(__xludf.DUMMYFUNCTION("""COMPUTED_VALUE"""),0)</f>
        <v>0</v>
      </c>
      <c r="O372" s="32">
        <f ca="1">IFERROR(__xludf.DUMMYFUNCTION("""COMPUTED_VALUE"""),0)</f>
        <v>0</v>
      </c>
      <c r="P372" s="32"/>
      <c r="Q372" s="32">
        <f ca="1">IFERROR(__xludf.DUMMYFUNCTION("""COMPUTED_VALUE"""),0)</f>
        <v>0</v>
      </c>
      <c r="R372" s="32"/>
      <c r="S372" s="31">
        <f ca="1">IFERROR(__xludf.DUMMYFUNCTION("""COMPUTED_VALUE"""),0)</f>
        <v>0</v>
      </c>
      <c r="T372" s="32">
        <f ca="1">IFERROR(__xludf.DUMMYFUNCTION("""COMPUTED_VALUE"""),0)</f>
        <v>0</v>
      </c>
      <c r="U372" s="32"/>
      <c r="V372" s="32">
        <f ca="1">IFERROR(__xludf.DUMMYFUNCTION("""COMPUTED_VALUE"""),0)</f>
        <v>0</v>
      </c>
      <c r="W372" s="32"/>
      <c r="X372" s="32">
        <f ca="1">IFERROR(__xludf.DUMMYFUNCTION("""COMPUTED_VALUE"""),0)</f>
        <v>0</v>
      </c>
      <c r="Y372" s="32"/>
      <c r="Z372" s="2"/>
      <c r="AA372" s="2"/>
      <c r="AB372" s="2"/>
      <c r="AC372" s="2"/>
      <c r="AD372" s="2"/>
      <c r="AE372" s="2"/>
    </row>
    <row r="373" spans="1:31" ht="12.75" x14ac:dyDescent="0.2">
      <c r="A373" s="28">
        <f ca="1">IFERROR(__xludf.DUMMYFUNCTION("""COMPUTED_VALUE"""),10)</f>
        <v>10</v>
      </c>
      <c r="B373" s="29" t="str">
        <f ca="1">IFERROR(__xludf.DUMMYFUNCTION("""COMPUTED_VALUE"""),"MN Bến Thành KV3")</f>
        <v>MN Bến Thành KV3</v>
      </c>
      <c r="C373" s="33" t="str">
        <f ca="1">IFERROR(__xludf.DUMMYFUNCTION("""COMPUTED_VALUE"""),"MN")</f>
        <v>MN</v>
      </c>
      <c r="D373" s="30" t="str">
        <f ca="1">IFERROR(__xludf.DUMMYFUNCTION("""COMPUTED_VALUE"""),"Tp. Thủ Đức")</f>
        <v>Tp. Thủ Đức</v>
      </c>
      <c r="E373" s="31">
        <f ca="1">IFERROR(__xludf.DUMMYFUNCTION("""COMPUTED_VALUE"""),21)</f>
        <v>21</v>
      </c>
      <c r="F373" s="32">
        <f ca="1">IFERROR(__xludf.DUMMYFUNCTION("""COMPUTED_VALUE"""),21)</f>
        <v>21</v>
      </c>
      <c r="G373" s="32"/>
      <c r="H373" s="32">
        <f ca="1">IFERROR(__xludf.DUMMYFUNCTION("""COMPUTED_VALUE"""),21)</f>
        <v>21</v>
      </c>
      <c r="I373" s="32"/>
      <c r="J373" s="32">
        <f ca="1">IFERROR(__xludf.DUMMYFUNCTION("""COMPUTED_VALUE"""),21)</f>
        <v>21</v>
      </c>
      <c r="K373" s="32"/>
      <c r="L373" s="32">
        <f ca="1">IFERROR(__xludf.DUMMYFUNCTION("""COMPUTED_VALUE"""),0)</f>
        <v>0</v>
      </c>
      <c r="M373" s="32"/>
      <c r="N373" s="31">
        <f ca="1">IFERROR(__xludf.DUMMYFUNCTION("""COMPUTED_VALUE"""),0)</f>
        <v>0</v>
      </c>
      <c r="O373" s="32">
        <f ca="1">IFERROR(__xludf.DUMMYFUNCTION("""COMPUTED_VALUE"""),0)</f>
        <v>0</v>
      </c>
      <c r="P373" s="32"/>
      <c r="Q373" s="32">
        <f ca="1">IFERROR(__xludf.DUMMYFUNCTION("""COMPUTED_VALUE"""),0)</f>
        <v>0</v>
      </c>
      <c r="R373" s="32"/>
      <c r="S373" s="31">
        <f ca="1">IFERROR(__xludf.DUMMYFUNCTION("""COMPUTED_VALUE"""),0)</f>
        <v>0</v>
      </c>
      <c r="T373" s="32">
        <f ca="1">IFERROR(__xludf.DUMMYFUNCTION("""COMPUTED_VALUE"""),0)</f>
        <v>0</v>
      </c>
      <c r="U373" s="32"/>
      <c r="V373" s="32">
        <f ca="1">IFERROR(__xludf.DUMMYFUNCTION("""COMPUTED_VALUE"""),0)</f>
        <v>0</v>
      </c>
      <c r="W373" s="32"/>
      <c r="X373" s="32">
        <f ca="1">IFERROR(__xludf.DUMMYFUNCTION("""COMPUTED_VALUE"""),0)</f>
        <v>0</v>
      </c>
      <c r="Y373" s="32"/>
      <c r="Z373" s="2"/>
      <c r="AA373" s="2"/>
      <c r="AB373" s="2"/>
      <c r="AC373" s="2"/>
      <c r="AD373" s="2"/>
      <c r="AE373" s="2"/>
    </row>
    <row r="374" spans="1:31" ht="12.75" x14ac:dyDescent="0.2">
      <c r="A374" s="28">
        <f ca="1">IFERROR(__xludf.DUMMYFUNCTION("""COMPUTED_VALUE"""),11)</f>
        <v>11</v>
      </c>
      <c r="B374" s="29" t="str">
        <f ca="1">IFERROR(__xludf.DUMMYFUNCTION("""COMPUTED_VALUE"""),"MN Bi Bi KV3")</f>
        <v>MN Bi Bi KV3</v>
      </c>
      <c r="C374" s="33" t="str">
        <f ca="1">IFERROR(__xludf.DUMMYFUNCTION("""COMPUTED_VALUE"""),"MN")</f>
        <v>MN</v>
      </c>
      <c r="D374" s="30" t="str">
        <f ca="1">IFERROR(__xludf.DUMMYFUNCTION("""COMPUTED_VALUE"""),"Tp. Thủ Đức")</f>
        <v>Tp. Thủ Đức</v>
      </c>
      <c r="E374" s="31">
        <f ca="1">IFERROR(__xludf.DUMMYFUNCTION("""COMPUTED_VALUE"""),18)</f>
        <v>18</v>
      </c>
      <c r="F374" s="32">
        <f ca="1">IFERROR(__xludf.DUMMYFUNCTION("""COMPUTED_VALUE"""),18)</f>
        <v>18</v>
      </c>
      <c r="G374" s="32"/>
      <c r="H374" s="32">
        <f ca="1">IFERROR(__xludf.DUMMYFUNCTION("""COMPUTED_VALUE"""),18)</f>
        <v>18</v>
      </c>
      <c r="I374" s="32"/>
      <c r="J374" s="32">
        <f ca="1">IFERROR(__xludf.DUMMYFUNCTION("""COMPUTED_VALUE"""),17)</f>
        <v>17</v>
      </c>
      <c r="K374" s="32"/>
      <c r="L374" s="32">
        <f ca="1">IFERROR(__xludf.DUMMYFUNCTION("""COMPUTED_VALUE"""),0)</f>
        <v>0</v>
      </c>
      <c r="M374" s="32"/>
      <c r="N374" s="31">
        <f ca="1">IFERROR(__xludf.DUMMYFUNCTION("""COMPUTED_VALUE"""),0)</f>
        <v>0</v>
      </c>
      <c r="O374" s="32">
        <f ca="1">IFERROR(__xludf.DUMMYFUNCTION("""COMPUTED_VALUE"""),0)</f>
        <v>0</v>
      </c>
      <c r="P374" s="32"/>
      <c r="Q374" s="32">
        <f ca="1">IFERROR(__xludf.DUMMYFUNCTION("""COMPUTED_VALUE"""),0)</f>
        <v>0</v>
      </c>
      <c r="R374" s="32"/>
      <c r="S374" s="31">
        <f ca="1">IFERROR(__xludf.DUMMYFUNCTION("""COMPUTED_VALUE"""),0)</f>
        <v>0</v>
      </c>
      <c r="T374" s="32">
        <f ca="1">IFERROR(__xludf.DUMMYFUNCTION("""COMPUTED_VALUE"""),0)</f>
        <v>0</v>
      </c>
      <c r="U374" s="32"/>
      <c r="V374" s="32">
        <f ca="1">IFERROR(__xludf.DUMMYFUNCTION("""COMPUTED_VALUE"""),0)</f>
        <v>0</v>
      </c>
      <c r="W374" s="32"/>
      <c r="X374" s="32">
        <f ca="1">IFERROR(__xludf.DUMMYFUNCTION("""COMPUTED_VALUE"""),0)</f>
        <v>0</v>
      </c>
      <c r="Y374" s="32"/>
      <c r="Z374" s="2"/>
      <c r="AA374" s="2"/>
      <c r="AB374" s="2"/>
      <c r="AC374" s="2"/>
      <c r="AD374" s="2"/>
      <c r="AE374" s="2"/>
    </row>
    <row r="375" spans="1:31" ht="12.75" x14ac:dyDescent="0.2">
      <c r="A375" s="28">
        <f ca="1">IFERROR(__xludf.DUMMYFUNCTION("""COMPUTED_VALUE"""),12)</f>
        <v>12</v>
      </c>
      <c r="B375" s="29" t="str">
        <f ca="1">IFERROR(__xludf.DUMMYFUNCTION("""COMPUTED_VALUE"""),"MN Bi Rong Sài Gòn KV3")</f>
        <v>MN Bi Rong Sài Gòn KV3</v>
      </c>
      <c r="C375" s="33" t="str">
        <f ca="1">IFERROR(__xludf.DUMMYFUNCTION("""COMPUTED_VALUE"""),"MN")</f>
        <v>MN</v>
      </c>
      <c r="D375" s="30" t="str">
        <f ca="1">IFERROR(__xludf.DUMMYFUNCTION("""COMPUTED_VALUE"""),"Tp. Thủ Đức")</f>
        <v>Tp. Thủ Đức</v>
      </c>
      <c r="E375" s="31">
        <f ca="1">IFERROR(__xludf.DUMMYFUNCTION("""COMPUTED_VALUE"""),13)</f>
        <v>13</v>
      </c>
      <c r="F375" s="32">
        <f ca="1">IFERROR(__xludf.DUMMYFUNCTION("""COMPUTED_VALUE"""),13)</f>
        <v>13</v>
      </c>
      <c r="G375" s="32"/>
      <c r="H375" s="32">
        <f ca="1">IFERROR(__xludf.DUMMYFUNCTION("""COMPUTED_VALUE"""),13)</f>
        <v>13</v>
      </c>
      <c r="I375" s="32"/>
      <c r="J375" s="32">
        <f ca="1">IFERROR(__xludf.DUMMYFUNCTION("""COMPUTED_VALUE"""),13)</f>
        <v>13</v>
      </c>
      <c r="K375" s="32"/>
      <c r="L375" s="32">
        <f ca="1">IFERROR(__xludf.DUMMYFUNCTION("""COMPUTED_VALUE"""),0)</f>
        <v>0</v>
      </c>
      <c r="M375" s="32"/>
      <c r="N375" s="31">
        <f ca="1">IFERROR(__xludf.DUMMYFUNCTION("""COMPUTED_VALUE"""),0)</f>
        <v>0</v>
      </c>
      <c r="O375" s="32">
        <f ca="1">IFERROR(__xludf.DUMMYFUNCTION("""COMPUTED_VALUE"""),0)</f>
        <v>0</v>
      </c>
      <c r="P375" s="32"/>
      <c r="Q375" s="32">
        <f ca="1">IFERROR(__xludf.DUMMYFUNCTION("""COMPUTED_VALUE"""),0)</f>
        <v>0</v>
      </c>
      <c r="R375" s="32"/>
      <c r="S375" s="31">
        <f ca="1">IFERROR(__xludf.DUMMYFUNCTION("""COMPUTED_VALUE"""),0)</f>
        <v>0</v>
      </c>
      <c r="T375" s="32">
        <f ca="1">IFERROR(__xludf.DUMMYFUNCTION("""COMPUTED_VALUE"""),0)</f>
        <v>0</v>
      </c>
      <c r="U375" s="32"/>
      <c r="V375" s="32">
        <f ca="1">IFERROR(__xludf.DUMMYFUNCTION("""COMPUTED_VALUE"""),0)</f>
        <v>0</v>
      </c>
      <c r="W375" s="32"/>
      <c r="X375" s="32">
        <f ca="1">IFERROR(__xludf.DUMMYFUNCTION("""COMPUTED_VALUE"""),0)</f>
        <v>0</v>
      </c>
      <c r="Y375" s="32"/>
      <c r="Z375" s="2"/>
      <c r="AA375" s="2"/>
      <c r="AB375" s="2"/>
      <c r="AC375" s="2"/>
      <c r="AD375" s="2"/>
      <c r="AE375" s="2"/>
    </row>
    <row r="376" spans="1:31" ht="12.75" x14ac:dyDescent="0.2">
      <c r="A376" s="28">
        <f ca="1">IFERROR(__xludf.DUMMYFUNCTION("""COMPUTED_VALUE"""),13)</f>
        <v>13</v>
      </c>
      <c r="B376" s="29" t="str">
        <f ca="1">IFERROR(__xludf.DUMMYFUNCTION("""COMPUTED_VALUE"""),"MN Bích Trâm KV3")</f>
        <v>MN Bích Trâm KV3</v>
      </c>
      <c r="C376" s="33" t="str">
        <f ca="1">IFERROR(__xludf.DUMMYFUNCTION("""COMPUTED_VALUE"""),"MN")</f>
        <v>MN</v>
      </c>
      <c r="D376" s="30" t="str">
        <f ca="1">IFERROR(__xludf.DUMMYFUNCTION("""COMPUTED_VALUE"""),"Tp. Thủ Đức")</f>
        <v>Tp. Thủ Đức</v>
      </c>
      <c r="E376" s="31">
        <f ca="1">IFERROR(__xludf.DUMMYFUNCTION("""COMPUTED_VALUE"""),12)</f>
        <v>12</v>
      </c>
      <c r="F376" s="32">
        <f ca="1">IFERROR(__xludf.DUMMYFUNCTION("""COMPUTED_VALUE"""),12)</f>
        <v>12</v>
      </c>
      <c r="G376" s="32"/>
      <c r="H376" s="32">
        <f ca="1">IFERROR(__xludf.DUMMYFUNCTION("""COMPUTED_VALUE"""),12)</f>
        <v>12</v>
      </c>
      <c r="I376" s="32"/>
      <c r="J376" s="32">
        <f ca="1">IFERROR(__xludf.DUMMYFUNCTION("""COMPUTED_VALUE"""),12)</f>
        <v>12</v>
      </c>
      <c r="K376" s="32"/>
      <c r="L376" s="32">
        <f ca="1">IFERROR(__xludf.DUMMYFUNCTION("""COMPUTED_VALUE"""),1)</f>
        <v>1</v>
      </c>
      <c r="M376" s="32"/>
      <c r="N376" s="31">
        <f ca="1">IFERROR(__xludf.DUMMYFUNCTION("""COMPUTED_VALUE"""),0)</f>
        <v>0</v>
      </c>
      <c r="O376" s="32">
        <f ca="1">IFERROR(__xludf.DUMMYFUNCTION("""COMPUTED_VALUE"""),0)</f>
        <v>0</v>
      </c>
      <c r="P376" s="32"/>
      <c r="Q376" s="32">
        <f ca="1">IFERROR(__xludf.DUMMYFUNCTION("""COMPUTED_VALUE"""),0)</f>
        <v>0</v>
      </c>
      <c r="R376" s="32"/>
      <c r="S376" s="31">
        <f ca="1">IFERROR(__xludf.DUMMYFUNCTION("""COMPUTED_VALUE"""),0)</f>
        <v>0</v>
      </c>
      <c r="T376" s="32">
        <f ca="1">IFERROR(__xludf.DUMMYFUNCTION("""COMPUTED_VALUE"""),0)</f>
        <v>0</v>
      </c>
      <c r="U376" s="32"/>
      <c r="V376" s="32">
        <f ca="1">IFERROR(__xludf.DUMMYFUNCTION("""COMPUTED_VALUE"""),0)</f>
        <v>0</v>
      </c>
      <c r="W376" s="32"/>
      <c r="X376" s="32">
        <f ca="1">IFERROR(__xludf.DUMMYFUNCTION("""COMPUTED_VALUE"""),0)</f>
        <v>0</v>
      </c>
      <c r="Y376" s="32"/>
      <c r="Z376" s="2"/>
      <c r="AA376" s="2"/>
      <c r="AB376" s="2"/>
      <c r="AC376" s="2"/>
      <c r="AD376" s="2"/>
      <c r="AE376" s="2"/>
    </row>
    <row r="377" spans="1:31" ht="12.75" x14ac:dyDescent="0.2">
      <c r="A377" s="28">
        <f ca="1">IFERROR(__xludf.DUMMYFUNCTION("""COMPUTED_VALUE"""),14)</f>
        <v>14</v>
      </c>
      <c r="B377" s="29" t="str">
        <f ca="1">IFERROR(__xludf.DUMMYFUNCTION("""COMPUTED_VALUE"""),"MN Bồ Công Anh KV3")</f>
        <v>MN Bồ Công Anh KV3</v>
      </c>
      <c r="C377" s="33" t="str">
        <f ca="1">IFERROR(__xludf.DUMMYFUNCTION("""COMPUTED_VALUE"""),"MN")</f>
        <v>MN</v>
      </c>
      <c r="D377" s="30" t="str">
        <f ca="1">IFERROR(__xludf.DUMMYFUNCTION("""COMPUTED_VALUE"""),"Tp. Thủ Đức")</f>
        <v>Tp. Thủ Đức</v>
      </c>
      <c r="E377" s="31">
        <f ca="1">IFERROR(__xludf.DUMMYFUNCTION("""COMPUTED_VALUE"""),24)</f>
        <v>24</v>
      </c>
      <c r="F377" s="32">
        <f ca="1">IFERROR(__xludf.DUMMYFUNCTION("""COMPUTED_VALUE"""),24)</f>
        <v>24</v>
      </c>
      <c r="G377" s="32"/>
      <c r="H377" s="32">
        <f ca="1">IFERROR(__xludf.DUMMYFUNCTION("""COMPUTED_VALUE"""),24)</f>
        <v>24</v>
      </c>
      <c r="I377" s="32"/>
      <c r="J377" s="32">
        <f ca="1">IFERROR(__xludf.DUMMYFUNCTION("""COMPUTED_VALUE"""),24)</f>
        <v>24</v>
      </c>
      <c r="K377" s="32"/>
      <c r="L377" s="32">
        <f ca="1">IFERROR(__xludf.DUMMYFUNCTION("""COMPUTED_VALUE"""),4)</f>
        <v>4</v>
      </c>
      <c r="M377" s="32"/>
      <c r="N377" s="31">
        <f ca="1">IFERROR(__xludf.DUMMYFUNCTION("""COMPUTED_VALUE"""),0)</f>
        <v>0</v>
      </c>
      <c r="O377" s="32">
        <f ca="1">IFERROR(__xludf.DUMMYFUNCTION("""COMPUTED_VALUE"""),0)</f>
        <v>0</v>
      </c>
      <c r="P377" s="32"/>
      <c r="Q377" s="32">
        <f ca="1">IFERROR(__xludf.DUMMYFUNCTION("""COMPUTED_VALUE"""),0)</f>
        <v>0</v>
      </c>
      <c r="R377" s="32"/>
      <c r="S377" s="31">
        <f ca="1">IFERROR(__xludf.DUMMYFUNCTION("""COMPUTED_VALUE"""),0)</f>
        <v>0</v>
      </c>
      <c r="T377" s="32">
        <f ca="1">IFERROR(__xludf.DUMMYFUNCTION("""COMPUTED_VALUE"""),0)</f>
        <v>0</v>
      </c>
      <c r="U377" s="32"/>
      <c r="V377" s="32">
        <f ca="1">IFERROR(__xludf.DUMMYFUNCTION("""COMPUTED_VALUE"""),0)</f>
        <v>0</v>
      </c>
      <c r="W377" s="32"/>
      <c r="X377" s="32">
        <f ca="1">IFERROR(__xludf.DUMMYFUNCTION("""COMPUTED_VALUE"""),0)</f>
        <v>0</v>
      </c>
      <c r="Y377" s="32"/>
      <c r="Z377" s="2"/>
      <c r="AA377" s="2"/>
      <c r="AB377" s="2"/>
      <c r="AC377" s="2"/>
      <c r="AD377" s="2"/>
      <c r="AE377" s="2"/>
    </row>
    <row r="378" spans="1:31" ht="12.75" x14ac:dyDescent="0.2">
      <c r="A378" s="28">
        <f ca="1">IFERROR(__xludf.DUMMYFUNCTION("""COMPUTED_VALUE"""),15)</f>
        <v>15</v>
      </c>
      <c r="B378" s="29" t="str">
        <f ca="1">IFERROR(__xludf.DUMMYFUNCTION("""COMPUTED_VALUE"""),"MN Bông Sen KV3")</f>
        <v>MN Bông Sen KV3</v>
      </c>
      <c r="C378" s="33" t="str">
        <f ca="1">IFERROR(__xludf.DUMMYFUNCTION("""COMPUTED_VALUE"""),"MN")</f>
        <v>MN</v>
      </c>
      <c r="D378" s="30" t="str">
        <f ca="1">IFERROR(__xludf.DUMMYFUNCTION("""COMPUTED_VALUE"""),"Tp. Thủ Đức")</f>
        <v>Tp. Thủ Đức</v>
      </c>
      <c r="E378" s="31">
        <f ca="1">IFERROR(__xludf.DUMMYFUNCTION("""COMPUTED_VALUE"""),18)</f>
        <v>18</v>
      </c>
      <c r="F378" s="32">
        <f ca="1">IFERROR(__xludf.DUMMYFUNCTION("""COMPUTED_VALUE"""),18)</f>
        <v>18</v>
      </c>
      <c r="G378" s="32"/>
      <c r="H378" s="32">
        <f ca="1">IFERROR(__xludf.DUMMYFUNCTION("""COMPUTED_VALUE"""),18)</f>
        <v>18</v>
      </c>
      <c r="I378" s="32"/>
      <c r="J378" s="32">
        <f ca="1">IFERROR(__xludf.DUMMYFUNCTION("""COMPUTED_VALUE"""),13)</f>
        <v>13</v>
      </c>
      <c r="K378" s="32"/>
      <c r="L378" s="32">
        <f ca="1">IFERROR(__xludf.DUMMYFUNCTION("""COMPUTED_VALUE"""),0)</f>
        <v>0</v>
      </c>
      <c r="M378" s="32"/>
      <c r="N378" s="31">
        <f ca="1">IFERROR(__xludf.DUMMYFUNCTION("""COMPUTED_VALUE"""),0)</f>
        <v>0</v>
      </c>
      <c r="O378" s="32">
        <f ca="1">IFERROR(__xludf.DUMMYFUNCTION("""COMPUTED_VALUE"""),0)</f>
        <v>0</v>
      </c>
      <c r="P378" s="32"/>
      <c r="Q378" s="32">
        <f ca="1">IFERROR(__xludf.DUMMYFUNCTION("""COMPUTED_VALUE"""),0)</f>
        <v>0</v>
      </c>
      <c r="R378" s="32"/>
      <c r="S378" s="31">
        <f ca="1">IFERROR(__xludf.DUMMYFUNCTION("""COMPUTED_VALUE"""),0)</f>
        <v>0</v>
      </c>
      <c r="T378" s="32">
        <f ca="1">IFERROR(__xludf.DUMMYFUNCTION("""COMPUTED_VALUE"""),0)</f>
        <v>0</v>
      </c>
      <c r="U378" s="32"/>
      <c r="V378" s="32">
        <f ca="1">IFERROR(__xludf.DUMMYFUNCTION("""COMPUTED_VALUE"""),0)</f>
        <v>0</v>
      </c>
      <c r="W378" s="32"/>
      <c r="X378" s="32">
        <f ca="1">IFERROR(__xludf.DUMMYFUNCTION("""COMPUTED_VALUE"""),0)</f>
        <v>0</v>
      </c>
      <c r="Y378" s="32"/>
      <c r="Z378" s="2"/>
      <c r="AA378" s="2"/>
      <c r="AB378" s="2"/>
      <c r="AC378" s="2"/>
      <c r="AD378" s="2"/>
      <c r="AE378" s="2"/>
    </row>
    <row r="379" spans="1:31" ht="12.75" x14ac:dyDescent="0.2">
      <c r="A379" s="28">
        <f ca="1">IFERROR(__xludf.DUMMYFUNCTION("""COMPUTED_VALUE"""),16)</f>
        <v>16</v>
      </c>
      <c r="B379" s="29" t="str">
        <f ca="1">IFERROR(__xludf.DUMMYFUNCTION("""COMPUTED_VALUE"""),"MN Bông Sen Xanh KV3")</f>
        <v>MN Bông Sen Xanh KV3</v>
      </c>
      <c r="C379" s="33" t="str">
        <f ca="1">IFERROR(__xludf.DUMMYFUNCTION("""COMPUTED_VALUE"""),"MN")</f>
        <v>MN</v>
      </c>
      <c r="D379" s="30" t="str">
        <f ca="1">IFERROR(__xludf.DUMMYFUNCTION("""COMPUTED_VALUE"""),"Tp. Thủ Đức")</f>
        <v>Tp. Thủ Đức</v>
      </c>
      <c r="E379" s="31">
        <f ca="1">IFERROR(__xludf.DUMMYFUNCTION("""COMPUTED_VALUE"""),26)</f>
        <v>26</v>
      </c>
      <c r="F379" s="32">
        <f ca="1">IFERROR(__xludf.DUMMYFUNCTION("""COMPUTED_VALUE"""),26)</f>
        <v>26</v>
      </c>
      <c r="G379" s="32"/>
      <c r="H379" s="32">
        <f ca="1">IFERROR(__xludf.DUMMYFUNCTION("""COMPUTED_VALUE"""),26)</f>
        <v>26</v>
      </c>
      <c r="I379" s="32"/>
      <c r="J379" s="32">
        <f ca="1">IFERROR(__xludf.DUMMYFUNCTION("""COMPUTED_VALUE"""),23)</f>
        <v>23</v>
      </c>
      <c r="K379" s="32"/>
      <c r="L379" s="32">
        <f ca="1">IFERROR(__xludf.DUMMYFUNCTION("""COMPUTED_VALUE"""),0)</f>
        <v>0</v>
      </c>
      <c r="M379" s="32"/>
      <c r="N379" s="31">
        <f ca="1">IFERROR(__xludf.DUMMYFUNCTION("""COMPUTED_VALUE"""),0)</f>
        <v>0</v>
      </c>
      <c r="O379" s="32">
        <f ca="1">IFERROR(__xludf.DUMMYFUNCTION("""COMPUTED_VALUE"""),0)</f>
        <v>0</v>
      </c>
      <c r="P379" s="32"/>
      <c r="Q379" s="32">
        <f ca="1">IFERROR(__xludf.DUMMYFUNCTION("""COMPUTED_VALUE"""),0)</f>
        <v>0</v>
      </c>
      <c r="R379" s="32"/>
      <c r="S379" s="31">
        <f ca="1">IFERROR(__xludf.DUMMYFUNCTION("""COMPUTED_VALUE"""),0)</f>
        <v>0</v>
      </c>
      <c r="T379" s="32">
        <f ca="1">IFERROR(__xludf.DUMMYFUNCTION("""COMPUTED_VALUE"""),0)</f>
        <v>0</v>
      </c>
      <c r="U379" s="32"/>
      <c r="V379" s="32">
        <f ca="1">IFERROR(__xludf.DUMMYFUNCTION("""COMPUTED_VALUE"""),0)</f>
        <v>0</v>
      </c>
      <c r="W379" s="32"/>
      <c r="X379" s="32">
        <f ca="1">IFERROR(__xludf.DUMMYFUNCTION("""COMPUTED_VALUE"""),0)</f>
        <v>0</v>
      </c>
      <c r="Y379" s="32"/>
      <c r="Z379" s="2"/>
      <c r="AA379" s="2"/>
      <c r="AB379" s="2"/>
      <c r="AC379" s="2"/>
      <c r="AD379" s="2"/>
      <c r="AE379" s="2"/>
    </row>
    <row r="380" spans="1:31" ht="12.75" x14ac:dyDescent="0.2">
      <c r="A380" s="28">
        <f ca="1">IFERROR(__xludf.DUMMYFUNCTION("""COMPUTED_VALUE"""),17)</f>
        <v>17</v>
      </c>
      <c r="B380" s="29" t="str">
        <f ca="1">IFERROR(__xludf.DUMMYFUNCTION("""COMPUTED_VALUE"""),"MN Búp Sen Hồng KV3")</f>
        <v>MN Búp Sen Hồng KV3</v>
      </c>
      <c r="C380" s="33" t="str">
        <f ca="1">IFERROR(__xludf.DUMMYFUNCTION("""COMPUTED_VALUE"""),"MN")</f>
        <v>MN</v>
      </c>
      <c r="D380" s="30" t="str">
        <f ca="1">IFERROR(__xludf.DUMMYFUNCTION("""COMPUTED_VALUE"""),"Tp. Thủ Đức")</f>
        <v>Tp. Thủ Đức</v>
      </c>
      <c r="E380" s="31">
        <f ca="1">IFERROR(__xludf.DUMMYFUNCTION("""COMPUTED_VALUE"""),12)</f>
        <v>12</v>
      </c>
      <c r="F380" s="32">
        <f ca="1">IFERROR(__xludf.DUMMYFUNCTION("""COMPUTED_VALUE"""),11)</f>
        <v>11</v>
      </c>
      <c r="G380" s="32"/>
      <c r="H380" s="32">
        <f ca="1">IFERROR(__xludf.DUMMYFUNCTION("""COMPUTED_VALUE"""),11)</f>
        <v>11</v>
      </c>
      <c r="I380" s="32"/>
      <c r="J380" s="32">
        <f ca="1">IFERROR(__xludf.DUMMYFUNCTION("""COMPUTED_VALUE"""),10)</f>
        <v>10</v>
      </c>
      <c r="K380" s="32"/>
      <c r="L380" s="32">
        <f ca="1">IFERROR(__xludf.DUMMYFUNCTION("""COMPUTED_VALUE"""),1)</f>
        <v>1</v>
      </c>
      <c r="M380" s="32"/>
      <c r="N380" s="31">
        <f ca="1">IFERROR(__xludf.DUMMYFUNCTION("""COMPUTED_VALUE"""),0)</f>
        <v>0</v>
      </c>
      <c r="O380" s="32">
        <f ca="1">IFERROR(__xludf.DUMMYFUNCTION("""COMPUTED_VALUE"""),0)</f>
        <v>0</v>
      </c>
      <c r="P380" s="32"/>
      <c r="Q380" s="32">
        <f ca="1">IFERROR(__xludf.DUMMYFUNCTION("""COMPUTED_VALUE"""),0)</f>
        <v>0</v>
      </c>
      <c r="R380" s="32"/>
      <c r="S380" s="31">
        <f ca="1">IFERROR(__xludf.DUMMYFUNCTION("""COMPUTED_VALUE"""),0)</f>
        <v>0</v>
      </c>
      <c r="T380" s="32">
        <f ca="1">IFERROR(__xludf.DUMMYFUNCTION("""COMPUTED_VALUE"""),0)</f>
        <v>0</v>
      </c>
      <c r="U380" s="32"/>
      <c r="V380" s="32">
        <f ca="1">IFERROR(__xludf.DUMMYFUNCTION("""COMPUTED_VALUE"""),0)</f>
        <v>0</v>
      </c>
      <c r="W380" s="32"/>
      <c r="X380" s="32">
        <f ca="1">IFERROR(__xludf.DUMMYFUNCTION("""COMPUTED_VALUE"""),0)</f>
        <v>0</v>
      </c>
      <c r="Y380" s="32"/>
      <c r="Z380" s="2"/>
      <c r="AA380" s="2"/>
      <c r="AB380" s="2"/>
      <c r="AC380" s="2"/>
      <c r="AD380" s="2"/>
      <c r="AE380" s="2"/>
    </row>
    <row r="381" spans="1:31" ht="12.75" x14ac:dyDescent="0.2">
      <c r="A381" s="28">
        <f ca="1">IFERROR(__xludf.DUMMYFUNCTION("""COMPUTED_VALUE"""),18)</f>
        <v>18</v>
      </c>
      <c r="B381" s="29" t="str">
        <f ca="1">IFERROR(__xludf.DUMMYFUNCTION("""COMPUTED_VALUE"""),"MN Cánh Thiên Thần KV3")</f>
        <v>MN Cánh Thiên Thần KV3</v>
      </c>
      <c r="C381" s="33" t="str">
        <f ca="1">IFERROR(__xludf.DUMMYFUNCTION("""COMPUTED_VALUE"""),"MN")</f>
        <v>MN</v>
      </c>
      <c r="D381" s="30" t="str">
        <f ca="1">IFERROR(__xludf.DUMMYFUNCTION("""COMPUTED_VALUE"""),"Tp. Thủ Đức")</f>
        <v>Tp. Thủ Đức</v>
      </c>
      <c r="E381" s="31">
        <f ca="1">IFERROR(__xludf.DUMMYFUNCTION("""COMPUTED_VALUE"""),19)</f>
        <v>19</v>
      </c>
      <c r="F381" s="32">
        <f ca="1">IFERROR(__xludf.DUMMYFUNCTION("""COMPUTED_VALUE"""),19)</f>
        <v>19</v>
      </c>
      <c r="G381" s="32"/>
      <c r="H381" s="32">
        <f ca="1">IFERROR(__xludf.DUMMYFUNCTION("""COMPUTED_VALUE"""),19)</f>
        <v>19</v>
      </c>
      <c r="I381" s="32"/>
      <c r="J381" s="32">
        <f ca="1">IFERROR(__xludf.DUMMYFUNCTION("""COMPUTED_VALUE"""),13)</f>
        <v>13</v>
      </c>
      <c r="K381" s="32"/>
      <c r="L381" s="32">
        <f ca="1">IFERROR(__xludf.DUMMYFUNCTION("""COMPUTED_VALUE"""),0)</f>
        <v>0</v>
      </c>
      <c r="M381" s="32"/>
      <c r="N381" s="31">
        <f ca="1">IFERROR(__xludf.DUMMYFUNCTION("""COMPUTED_VALUE"""),0)</f>
        <v>0</v>
      </c>
      <c r="O381" s="32">
        <f ca="1">IFERROR(__xludf.DUMMYFUNCTION("""COMPUTED_VALUE"""),0)</f>
        <v>0</v>
      </c>
      <c r="P381" s="32"/>
      <c r="Q381" s="32">
        <f ca="1">IFERROR(__xludf.DUMMYFUNCTION("""COMPUTED_VALUE"""),0)</f>
        <v>0</v>
      </c>
      <c r="R381" s="32"/>
      <c r="S381" s="31">
        <f ca="1">IFERROR(__xludf.DUMMYFUNCTION("""COMPUTED_VALUE"""),0)</f>
        <v>0</v>
      </c>
      <c r="T381" s="32">
        <f ca="1">IFERROR(__xludf.DUMMYFUNCTION("""COMPUTED_VALUE"""),0)</f>
        <v>0</v>
      </c>
      <c r="U381" s="32"/>
      <c r="V381" s="32">
        <f ca="1">IFERROR(__xludf.DUMMYFUNCTION("""COMPUTED_VALUE"""),0)</f>
        <v>0</v>
      </c>
      <c r="W381" s="32"/>
      <c r="X381" s="32">
        <f ca="1">IFERROR(__xludf.DUMMYFUNCTION("""COMPUTED_VALUE"""),0)</f>
        <v>0</v>
      </c>
      <c r="Y381" s="32"/>
      <c r="Z381" s="2"/>
      <c r="AA381" s="2"/>
      <c r="AB381" s="2"/>
      <c r="AC381" s="2"/>
      <c r="AD381" s="2"/>
      <c r="AE381" s="2"/>
    </row>
    <row r="382" spans="1:31" ht="12.75" x14ac:dyDescent="0.2">
      <c r="A382" s="28">
        <f ca="1">IFERROR(__xludf.DUMMYFUNCTION("""COMPUTED_VALUE"""),19)</f>
        <v>19</v>
      </c>
      <c r="B382" s="29" t="str">
        <f ca="1">IFERROR(__xludf.DUMMYFUNCTION("""COMPUTED_VALUE"""),"MN Đông Dương KV3")</f>
        <v>MN Đông Dương KV3</v>
      </c>
      <c r="C382" s="33" t="str">
        <f ca="1">IFERROR(__xludf.DUMMYFUNCTION("""COMPUTED_VALUE"""),"MN")</f>
        <v>MN</v>
      </c>
      <c r="D382" s="30" t="str">
        <f ca="1">IFERROR(__xludf.DUMMYFUNCTION("""COMPUTED_VALUE"""),"Tp. Thủ Đức")</f>
        <v>Tp. Thủ Đức</v>
      </c>
      <c r="E382" s="31">
        <f ca="1">IFERROR(__xludf.DUMMYFUNCTION("""COMPUTED_VALUE"""),27)</f>
        <v>27</v>
      </c>
      <c r="F382" s="32">
        <f ca="1">IFERROR(__xludf.DUMMYFUNCTION("""COMPUTED_VALUE"""),27)</f>
        <v>27</v>
      </c>
      <c r="G382" s="32"/>
      <c r="H382" s="32">
        <f ca="1">IFERROR(__xludf.DUMMYFUNCTION("""COMPUTED_VALUE"""),27)</f>
        <v>27</v>
      </c>
      <c r="I382" s="32"/>
      <c r="J382" s="32">
        <f ca="1">IFERROR(__xludf.DUMMYFUNCTION("""COMPUTED_VALUE"""),22)</f>
        <v>22</v>
      </c>
      <c r="K382" s="32"/>
      <c r="L382" s="32">
        <f ca="1">IFERROR(__xludf.DUMMYFUNCTION("""COMPUTED_VALUE"""),2)</f>
        <v>2</v>
      </c>
      <c r="M382" s="32"/>
      <c r="N382" s="31">
        <f ca="1">IFERROR(__xludf.DUMMYFUNCTION("""COMPUTED_VALUE"""),0)</f>
        <v>0</v>
      </c>
      <c r="O382" s="32">
        <f ca="1">IFERROR(__xludf.DUMMYFUNCTION("""COMPUTED_VALUE"""),0)</f>
        <v>0</v>
      </c>
      <c r="P382" s="32"/>
      <c r="Q382" s="32">
        <f ca="1">IFERROR(__xludf.DUMMYFUNCTION("""COMPUTED_VALUE"""),0)</f>
        <v>0</v>
      </c>
      <c r="R382" s="32"/>
      <c r="S382" s="31">
        <f ca="1">IFERROR(__xludf.DUMMYFUNCTION("""COMPUTED_VALUE"""),0)</f>
        <v>0</v>
      </c>
      <c r="T382" s="32">
        <f ca="1">IFERROR(__xludf.DUMMYFUNCTION("""COMPUTED_VALUE"""),0)</f>
        <v>0</v>
      </c>
      <c r="U382" s="32"/>
      <c r="V382" s="32">
        <f ca="1">IFERROR(__xludf.DUMMYFUNCTION("""COMPUTED_VALUE"""),0)</f>
        <v>0</v>
      </c>
      <c r="W382" s="32"/>
      <c r="X382" s="32">
        <f ca="1">IFERROR(__xludf.DUMMYFUNCTION("""COMPUTED_VALUE"""),0)</f>
        <v>0</v>
      </c>
      <c r="Y382" s="32"/>
      <c r="Z382" s="2"/>
      <c r="AA382" s="2"/>
      <c r="AB382" s="2"/>
      <c r="AC382" s="2"/>
      <c r="AD382" s="2"/>
      <c r="AE382" s="2"/>
    </row>
    <row r="383" spans="1:31" ht="12.75" x14ac:dyDescent="0.2">
      <c r="A383" s="28">
        <f ca="1">IFERROR(__xludf.DUMMYFUNCTION("""COMPUTED_VALUE"""),20)</f>
        <v>20</v>
      </c>
      <c r="B383" s="29" t="str">
        <f ca="1">IFERROR(__xludf.DUMMYFUNCTION("""COMPUTED_VALUE"""),"MN Gấu Trúc KV3")</f>
        <v>MN Gấu Trúc KV3</v>
      </c>
      <c r="C383" s="33" t="str">
        <f ca="1">IFERROR(__xludf.DUMMYFUNCTION("""COMPUTED_VALUE"""),"MN")</f>
        <v>MN</v>
      </c>
      <c r="D383" s="30" t="str">
        <f ca="1">IFERROR(__xludf.DUMMYFUNCTION("""COMPUTED_VALUE"""),"Tp. Thủ Đức")</f>
        <v>Tp. Thủ Đức</v>
      </c>
      <c r="E383" s="31">
        <f ca="1">IFERROR(__xludf.DUMMYFUNCTION("""COMPUTED_VALUE"""),10)</f>
        <v>10</v>
      </c>
      <c r="F383" s="32">
        <f ca="1">IFERROR(__xludf.DUMMYFUNCTION("""COMPUTED_VALUE"""),10)</f>
        <v>10</v>
      </c>
      <c r="G383" s="32"/>
      <c r="H383" s="32">
        <f ca="1">IFERROR(__xludf.DUMMYFUNCTION("""COMPUTED_VALUE"""),10)</f>
        <v>10</v>
      </c>
      <c r="I383" s="32"/>
      <c r="J383" s="32">
        <f ca="1">IFERROR(__xludf.DUMMYFUNCTION("""COMPUTED_VALUE"""),30)</f>
        <v>30</v>
      </c>
      <c r="K383" s="32"/>
      <c r="L383" s="32">
        <f ca="1">IFERROR(__xludf.DUMMYFUNCTION("""COMPUTED_VALUE"""),0)</f>
        <v>0</v>
      </c>
      <c r="M383" s="32"/>
      <c r="N383" s="31">
        <f ca="1">IFERROR(__xludf.DUMMYFUNCTION("""COMPUTED_VALUE"""),0)</f>
        <v>0</v>
      </c>
      <c r="O383" s="32">
        <f ca="1">IFERROR(__xludf.DUMMYFUNCTION("""COMPUTED_VALUE"""),0)</f>
        <v>0</v>
      </c>
      <c r="P383" s="32"/>
      <c r="Q383" s="32">
        <f ca="1">IFERROR(__xludf.DUMMYFUNCTION("""COMPUTED_VALUE"""),0)</f>
        <v>0</v>
      </c>
      <c r="R383" s="32"/>
      <c r="S383" s="31">
        <f ca="1">IFERROR(__xludf.DUMMYFUNCTION("""COMPUTED_VALUE"""),0)</f>
        <v>0</v>
      </c>
      <c r="T383" s="32">
        <f ca="1">IFERROR(__xludf.DUMMYFUNCTION("""COMPUTED_VALUE"""),0)</f>
        <v>0</v>
      </c>
      <c r="U383" s="32"/>
      <c r="V383" s="32">
        <f ca="1">IFERROR(__xludf.DUMMYFUNCTION("""COMPUTED_VALUE"""),0)</f>
        <v>0</v>
      </c>
      <c r="W383" s="32"/>
      <c r="X383" s="32">
        <f ca="1">IFERROR(__xludf.DUMMYFUNCTION("""COMPUTED_VALUE"""),0)</f>
        <v>0</v>
      </c>
      <c r="Y383" s="32"/>
      <c r="Z383" s="2"/>
      <c r="AA383" s="2"/>
      <c r="AB383" s="2"/>
      <c r="AC383" s="2"/>
      <c r="AD383" s="2"/>
      <c r="AE383" s="2"/>
    </row>
    <row r="384" spans="1:31" ht="12.75" x14ac:dyDescent="0.2">
      <c r="A384" s="28">
        <f ca="1">IFERROR(__xludf.DUMMYFUNCTION("""COMPUTED_VALUE"""),21)</f>
        <v>21</v>
      </c>
      <c r="B384" s="29" t="str">
        <f ca="1">IFERROR(__xludf.DUMMYFUNCTION("""COMPUTED_VALUE"""),"MN Gia Huy KV3")</f>
        <v>MN Gia Huy KV3</v>
      </c>
      <c r="C384" s="33" t="str">
        <f ca="1">IFERROR(__xludf.DUMMYFUNCTION("""COMPUTED_VALUE"""),"MN")</f>
        <v>MN</v>
      </c>
      <c r="D384" s="30" t="str">
        <f ca="1">IFERROR(__xludf.DUMMYFUNCTION("""COMPUTED_VALUE"""),"Tp. Thủ Đức")</f>
        <v>Tp. Thủ Đức</v>
      </c>
      <c r="E384" s="31">
        <f ca="1">IFERROR(__xludf.DUMMYFUNCTION("""COMPUTED_VALUE"""),30)</f>
        <v>30</v>
      </c>
      <c r="F384" s="32">
        <f ca="1">IFERROR(__xludf.DUMMYFUNCTION("""COMPUTED_VALUE"""),30)</f>
        <v>30</v>
      </c>
      <c r="G384" s="32"/>
      <c r="H384" s="32">
        <f ca="1">IFERROR(__xludf.DUMMYFUNCTION("""COMPUTED_VALUE"""),30)</f>
        <v>30</v>
      </c>
      <c r="I384" s="32"/>
      <c r="J384" s="32">
        <f ca="1">IFERROR(__xludf.DUMMYFUNCTION("""COMPUTED_VALUE"""),30)</f>
        <v>30</v>
      </c>
      <c r="K384" s="32"/>
      <c r="L384" s="32">
        <f ca="1">IFERROR(__xludf.DUMMYFUNCTION("""COMPUTED_VALUE"""),3)</f>
        <v>3</v>
      </c>
      <c r="M384" s="32"/>
      <c r="N384" s="31">
        <f ca="1">IFERROR(__xludf.DUMMYFUNCTION("""COMPUTED_VALUE"""),0)</f>
        <v>0</v>
      </c>
      <c r="O384" s="32">
        <f ca="1">IFERROR(__xludf.DUMMYFUNCTION("""COMPUTED_VALUE"""),0)</f>
        <v>0</v>
      </c>
      <c r="P384" s="32"/>
      <c r="Q384" s="32">
        <f ca="1">IFERROR(__xludf.DUMMYFUNCTION("""COMPUTED_VALUE"""),0)</f>
        <v>0</v>
      </c>
      <c r="R384" s="32"/>
      <c r="S384" s="31">
        <f ca="1">IFERROR(__xludf.DUMMYFUNCTION("""COMPUTED_VALUE"""),0)</f>
        <v>0</v>
      </c>
      <c r="T384" s="32">
        <f ca="1">IFERROR(__xludf.DUMMYFUNCTION("""COMPUTED_VALUE"""),0)</f>
        <v>0</v>
      </c>
      <c r="U384" s="32"/>
      <c r="V384" s="32">
        <f ca="1">IFERROR(__xludf.DUMMYFUNCTION("""COMPUTED_VALUE"""),0)</f>
        <v>0</v>
      </c>
      <c r="W384" s="32"/>
      <c r="X384" s="32">
        <f ca="1">IFERROR(__xludf.DUMMYFUNCTION("""COMPUTED_VALUE"""),0)</f>
        <v>0</v>
      </c>
      <c r="Y384" s="32"/>
      <c r="Z384" s="2"/>
      <c r="AA384" s="2"/>
      <c r="AB384" s="2"/>
      <c r="AC384" s="2"/>
      <c r="AD384" s="2"/>
      <c r="AE384" s="2"/>
    </row>
    <row r="385" spans="1:31" ht="12.75" x14ac:dyDescent="0.2">
      <c r="A385" s="28">
        <f ca="1">IFERROR(__xludf.DUMMYFUNCTION("""COMPUTED_VALUE"""),22)</f>
        <v>22</v>
      </c>
      <c r="B385" s="29" t="str">
        <f ca="1">IFERROR(__xludf.DUMMYFUNCTION("""COMPUTED_VALUE"""),"MN Hải Âu KV3")</f>
        <v>MN Hải Âu KV3</v>
      </c>
      <c r="C385" s="33" t="str">
        <f ca="1">IFERROR(__xludf.DUMMYFUNCTION("""COMPUTED_VALUE"""),"MN")</f>
        <v>MN</v>
      </c>
      <c r="D385" s="30" t="str">
        <f ca="1">IFERROR(__xludf.DUMMYFUNCTION("""COMPUTED_VALUE"""),"Tp. Thủ Đức")</f>
        <v>Tp. Thủ Đức</v>
      </c>
      <c r="E385" s="31">
        <f ca="1">IFERROR(__xludf.DUMMYFUNCTION("""COMPUTED_VALUE"""),19)</f>
        <v>19</v>
      </c>
      <c r="F385" s="32">
        <f ca="1">IFERROR(__xludf.DUMMYFUNCTION("""COMPUTED_VALUE"""),19)</f>
        <v>19</v>
      </c>
      <c r="G385" s="32"/>
      <c r="H385" s="32">
        <f ca="1">IFERROR(__xludf.DUMMYFUNCTION("""COMPUTED_VALUE"""),19)</f>
        <v>19</v>
      </c>
      <c r="I385" s="32"/>
      <c r="J385" s="32">
        <f ca="1">IFERROR(__xludf.DUMMYFUNCTION("""COMPUTED_VALUE"""),12)</f>
        <v>12</v>
      </c>
      <c r="K385" s="32"/>
      <c r="L385" s="32">
        <f ca="1">IFERROR(__xludf.DUMMYFUNCTION("""COMPUTED_VALUE"""),3)</f>
        <v>3</v>
      </c>
      <c r="M385" s="32"/>
      <c r="N385" s="31">
        <f ca="1">IFERROR(__xludf.DUMMYFUNCTION("""COMPUTED_VALUE"""),0)</f>
        <v>0</v>
      </c>
      <c r="O385" s="32">
        <f ca="1">IFERROR(__xludf.DUMMYFUNCTION("""COMPUTED_VALUE"""),0)</f>
        <v>0</v>
      </c>
      <c r="P385" s="32"/>
      <c r="Q385" s="32">
        <f ca="1">IFERROR(__xludf.DUMMYFUNCTION("""COMPUTED_VALUE"""),0)</f>
        <v>0</v>
      </c>
      <c r="R385" s="32"/>
      <c r="S385" s="31">
        <f ca="1">IFERROR(__xludf.DUMMYFUNCTION("""COMPUTED_VALUE"""),0)</f>
        <v>0</v>
      </c>
      <c r="T385" s="32">
        <f ca="1">IFERROR(__xludf.DUMMYFUNCTION("""COMPUTED_VALUE"""),0)</f>
        <v>0</v>
      </c>
      <c r="U385" s="32"/>
      <c r="V385" s="32">
        <f ca="1">IFERROR(__xludf.DUMMYFUNCTION("""COMPUTED_VALUE"""),0)</f>
        <v>0</v>
      </c>
      <c r="W385" s="32"/>
      <c r="X385" s="32">
        <f ca="1">IFERROR(__xludf.DUMMYFUNCTION("""COMPUTED_VALUE"""),0)</f>
        <v>0</v>
      </c>
      <c r="Y385" s="32"/>
      <c r="Z385" s="2"/>
      <c r="AA385" s="2"/>
      <c r="AB385" s="2"/>
      <c r="AC385" s="2"/>
      <c r="AD385" s="2"/>
      <c r="AE385" s="2"/>
    </row>
    <row r="386" spans="1:31" ht="12.75" x14ac:dyDescent="0.2">
      <c r="A386" s="28">
        <f ca="1">IFERROR(__xludf.DUMMYFUNCTION("""COMPUTED_VALUE"""),23)</f>
        <v>23</v>
      </c>
      <c r="B386" s="29" t="str">
        <f ca="1">IFERROR(__xludf.DUMMYFUNCTION("""COMPUTED_VALUE"""),"MN Hải Hà KV3")</f>
        <v>MN Hải Hà KV3</v>
      </c>
      <c r="C386" s="33" t="str">
        <f ca="1">IFERROR(__xludf.DUMMYFUNCTION("""COMPUTED_VALUE"""),"MN")</f>
        <v>MN</v>
      </c>
      <c r="D386" s="30" t="str">
        <f ca="1">IFERROR(__xludf.DUMMYFUNCTION("""COMPUTED_VALUE"""),"Tp. Thủ Đức")</f>
        <v>Tp. Thủ Đức</v>
      </c>
      <c r="E386" s="31">
        <f ca="1">IFERROR(__xludf.DUMMYFUNCTION("""COMPUTED_VALUE"""),10)</f>
        <v>10</v>
      </c>
      <c r="F386" s="32">
        <f ca="1">IFERROR(__xludf.DUMMYFUNCTION("""COMPUTED_VALUE"""),10)</f>
        <v>10</v>
      </c>
      <c r="G386" s="32"/>
      <c r="H386" s="32">
        <f ca="1">IFERROR(__xludf.DUMMYFUNCTION("""COMPUTED_VALUE"""),10)</f>
        <v>10</v>
      </c>
      <c r="I386" s="32"/>
      <c r="J386" s="32">
        <f ca="1">IFERROR(__xludf.DUMMYFUNCTION("""COMPUTED_VALUE"""),10)</f>
        <v>10</v>
      </c>
      <c r="K386" s="32"/>
      <c r="L386" s="32">
        <f ca="1">IFERROR(__xludf.DUMMYFUNCTION("""COMPUTED_VALUE"""),0)</f>
        <v>0</v>
      </c>
      <c r="M386" s="32"/>
      <c r="N386" s="31">
        <f ca="1">IFERROR(__xludf.DUMMYFUNCTION("""COMPUTED_VALUE"""),0)</f>
        <v>0</v>
      </c>
      <c r="O386" s="32">
        <f ca="1">IFERROR(__xludf.DUMMYFUNCTION("""COMPUTED_VALUE"""),0)</f>
        <v>0</v>
      </c>
      <c r="P386" s="32"/>
      <c r="Q386" s="32">
        <f ca="1">IFERROR(__xludf.DUMMYFUNCTION("""COMPUTED_VALUE"""),0)</f>
        <v>0</v>
      </c>
      <c r="R386" s="32"/>
      <c r="S386" s="31">
        <f ca="1">IFERROR(__xludf.DUMMYFUNCTION("""COMPUTED_VALUE"""),0)</f>
        <v>0</v>
      </c>
      <c r="T386" s="32">
        <f ca="1">IFERROR(__xludf.DUMMYFUNCTION("""COMPUTED_VALUE"""),0)</f>
        <v>0</v>
      </c>
      <c r="U386" s="32"/>
      <c r="V386" s="32">
        <f ca="1">IFERROR(__xludf.DUMMYFUNCTION("""COMPUTED_VALUE"""),0)</f>
        <v>0</v>
      </c>
      <c r="W386" s="32"/>
      <c r="X386" s="32">
        <f ca="1">IFERROR(__xludf.DUMMYFUNCTION("""COMPUTED_VALUE"""),0)</f>
        <v>0</v>
      </c>
      <c r="Y386" s="32"/>
      <c r="Z386" s="2"/>
      <c r="AA386" s="2"/>
      <c r="AB386" s="2"/>
      <c r="AC386" s="2"/>
      <c r="AD386" s="2"/>
      <c r="AE386" s="2"/>
    </row>
    <row r="387" spans="1:31" ht="12.75" x14ac:dyDescent="0.2">
      <c r="A387" s="28">
        <f ca="1">IFERROR(__xludf.DUMMYFUNCTION("""COMPUTED_VALUE"""),24)</f>
        <v>24</v>
      </c>
      <c r="B387" s="29" t="str">
        <f ca="1">IFERROR(__xludf.DUMMYFUNCTION("""COMPUTED_VALUE"""),"MN Hải Yến KV3")</f>
        <v>MN Hải Yến KV3</v>
      </c>
      <c r="C387" s="33" t="str">
        <f ca="1">IFERROR(__xludf.DUMMYFUNCTION("""COMPUTED_VALUE"""),"MN")</f>
        <v>MN</v>
      </c>
      <c r="D387" s="30" t="str">
        <f ca="1">IFERROR(__xludf.DUMMYFUNCTION("""COMPUTED_VALUE"""),"Tp. Thủ Đức")</f>
        <v>Tp. Thủ Đức</v>
      </c>
      <c r="E387" s="31">
        <f ca="1">IFERROR(__xludf.DUMMYFUNCTION("""COMPUTED_VALUE"""),13)</f>
        <v>13</v>
      </c>
      <c r="F387" s="32">
        <f ca="1">IFERROR(__xludf.DUMMYFUNCTION("""COMPUTED_VALUE"""),13)</f>
        <v>13</v>
      </c>
      <c r="G387" s="32"/>
      <c r="H387" s="32">
        <f ca="1">IFERROR(__xludf.DUMMYFUNCTION("""COMPUTED_VALUE"""),13)</f>
        <v>13</v>
      </c>
      <c r="I387" s="32"/>
      <c r="J387" s="32">
        <f ca="1">IFERROR(__xludf.DUMMYFUNCTION("""COMPUTED_VALUE"""),13)</f>
        <v>13</v>
      </c>
      <c r="K387" s="32"/>
      <c r="L387" s="32">
        <f ca="1">IFERROR(__xludf.DUMMYFUNCTION("""COMPUTED_VALUE"""),0)</f>
        <v>0</v>
      </c>
      <c r="M387" s="32"/>
      <c r="N387" s="31">
        <f ca="1">IFERROR(__xludf.DUMMYFUNCTION("""COMPUTED_VALUE"""),0)</f>
        <v>0</v>
      </c>
      <c r="O387" s="32">
        <f ca="1">IFERROR(__xludf.DUMMYFUNCTION("""COMPUTED_VALUE"""),0)</f>
        <v>0</v>
      </c>
      <c r="P387" s="32"/>
      <c r="Q387" s="32">
        <f ca="1">IFERROR(__xludf.DUMMYFUNCTION("""COMPUTED_VALUE"""),0)</f>
        <v>0</v>
      </c>
      <c r="R387" s="32"/>
      <c r="S387" s="31">
        <f ca="1">IFERROR(__xludf.DUMMYFUNCTION("""COMPUTED_VALUE"""),0)</f>
        <v>0</v>
      </c>
      <c r="T387" s="32">
        <f ca="1">IFERROR(__xludf.DUMMYFUNCTION("""COMPUTED_VALUE"""),0)</f>
        <v>0</v>
      </c>
      <c r="U387" s="32"/>
      <c r="V387" s="32">
        <f ca="1">IFERROR(__xludf.DUMMYFUNCTION("""COMPUTED_VALUE"""),0)</f>
        <v>0</v>
      </c>
      <c r="W387" s="32"/>
      <c r="X387" s="32">
        <f ca="1">IFERROR(__xludf.DUMMYFUNCTION("""COMPUTED_VALUE"""),0)</f>
        <v>0</v>
      </c>
      <c r="Y387" s="32"/>
      <c r="Z387" s="2"/>
      <c r="AA387" s="2"/>
      <c r="AB387" s="2"/>
      <c r="AC387" s="2"/>
      <c r="AD387" s="2"/>
      <c r="AE387" s="2"/>
    </row>
    <row r="388" spans="1:31" ht="12.75" x14ac:dyDescent="0.2">
      <c r="A388" s="28">
        <f ca="1">IFERROR(__xludf.DUMMYFUNCTION("""COMPUTED_VALUE"""),25)</f>
        <v>25</v>
      </c>
      <c r="B388" s="29" t="str">
        <f ca="1">IFERROR(__xludf.DUMMYFUNCTION("""COMPUTED_VALUE"""),"MN Hạnh Phúc KV3")</f>
        <v>MN Hạnh Phúc KV3</v>
      </c>
      <c r="C388" s="33" t="str">
        <f ca="1">IFERROR(__xludf.DUMMYFUNCTION("""COMPUTED_VALUE"""),"MN")</f>
        <v>MN</v>
      </c>
      <c r="D388" s="30" t="str">
        <f ca="1">IFERROR(__xludf.DUMMYFUNCTION("""COMPUTED_VALUE"""),"Tp. Thủ Đức")</f>
        <v>Tp. Thủ Đức</v>
      </c>
      <c r="E388" s="31">
        <f ca="1">IFERROR(__xludf.DUMMYFUNCTION("""COMPUTED_VALUE"""),48)</f>
        <v>48</v>
      </c>
      <c r="F388" s="32">
        <f ca="1">IFERROR(__xludf.DUMMYFUNCTION("""COMPUTED_VALUE"""),48)</f>
        <v>48</v>
      </c>
      <c r="G388" s="32"/>
      <c r="H388" s="32">
        <f ca="1">IFERROR(__xludf.DUMMYFUNCTION("""COMPUTED_VALUE"""),48)</f>
        <v>48</v>
      </c>
      <c r="I388" s="32"/>
      <c r="J388" s="32">
        <f ca="1">IFERROR(__xludf.DUMMYFUNCTION("""COMPUTED_VALUE"""),48)</f>
        <v>48</v>
      </c>
      <c r="K388" s="32"/>
      <c r="L388" s="32">
        <f ca="1">IFERROR(__xludf.DUMMYFUNCTION("""COMPUTED_VALUE"""),2)</f>
        <v>2</v>
      </c>
      <c r="M388" s="32"/>
      <c r="N388" s="31">
        <f ca="1">IFERROR(__xludf.DUMMYFUNCTION("""COMPUTED_VALUE"""),0)</f>
        <v>0</v>
      </c>
      <c r="O388" s="32">
        <f ca="1">IFERROR(__xludf.DUMMYFUNCTION("""COMPUTED_VALUE"""),0)</f>
        <v>0</v>
      </c>
      <c r="P388" s="32"/>
      <c r="Q388" s="32">
        <f ca="1">IFERROR(__xludf.DUMMYFUNCTION("""COMPUTED_VALUE"""),0)</f>
        <v>0</v>
      </c>
      <c r="R388" s="32"/>
      <c r="S388" s="31">
        <f ca="1">IFERROR(__xludf.DUMMYFUNCTION("""COMPUTED_VALUE"""),0)</f>
        <v>0</v>
      </c>
      <c r="T388" s="32">
        <f ca="1">IFERROR(__xludf.DUMMYFUNCTION("""COMPUTED_VALUE"""),0)</f>
        <v>0</v>
      </c>
      <c r="U388" s="32"/>
      <c r="V388" s="32">
        <f ca="1">IFERROR(__xludf.DUMMYFUNCTION("""COMPUTED_VALUE"""),0)</f>
        <v>0</v>
      </c>
      <c r="W388" s="32"/>
      <c r="X388" s="32">
        <f ca="1">IFERROR(__xludf.DUMMYFUNCTION("""COMPUTED_VALUE"""),0)</f>
        <v>0</v>
      </c>
      <c r="Y388" s="32"/>
      <c r="Z388" s="2"/>
      <c r="AA388" s="2"/>
      <c r="AB388" s="2"/>
      <c r="AC388" s="2"/>
      <c r="AD388" s="2"/>
      <c r="AE388" s="2"/>
    </row>
    <row r="389" spans="1:31" ht="12.75" x14ac:dyDescent="0.2">
      <c r="A389" s="28">
        <f ca="1">IFERROR(__xludf.DUMMYFUNCTION("""COMPUTED_VALUE"""),26)</f>
        <v>26</v>
      </c>
      <c r="B389" s="29" t="str">
        <f ca="1">IFERROR(__xludf.DUMMYFUNCTION("""COMPUTED_VALUE"""),"MN Hiếu Trung KV3")</f>
        <v>MN Hiếu Trung KV3</v>
      </c>
      <c r="C389" s="33" t="str">
        <f ca="1">IFERROR(__xludf.DUMMYFUNCTION("""COMPUTED_VALUE"""),"MN")</f>
        <v>MN</v>
      </c>
      <c r="D389" s="30" t="str">
        <f ca="1">IFERROR(__xludf.DUMMYFUNCTION("""COMPUTED_VALUE"""),"Tp. Thủ Đức")</f>
        <v>Tp. Thủ Đức</v>
      </c>
      <c r="E389" s="31">
        <f ca="1">IFERROR(__xludf.DUMMYFUNCTION("""COMPUTED_VALUE"""),46)</f>
        <v>46</v>
      </c>
      <c r="F389" s="32">
        <f ca="1">IFERROR(__xludf.DUMMYFUNCTION("""COMPUTED_VALUE"""),46)</f>
        <v>46</v>
      </c>
      <c r="G389" s="32"/>
      <c r="H389" s="32">
        <f ca="1">IFERROR(__xludf.DUMMYFUNCTION("""COMPUTED_VALUE"""),46)</f>
        <v>46</v>
      </c>
      <c r="I389" s="32"/>
      <c r="J389" s="32">
        <f ca="1">IFERROR(__xludf.DUMMYFUNCTION("""COMPUTED_VALUE"""),46)</f>
        <v>46</v>
      </c>
      <c r="K389" s="32"/>
      <c r="L389" s="32">
        <f ca="1">IFERROR(__xludf.DUMMYFUNCTION("""COMPUTED_VALUE"""),0)</f>
        <v>0</v>
      </c>
      <c r="M389" s="32"/>
      <c r="N389" s="31">
        <f ca="1">IFERROR(__xludf.DUMMYFUNCTION("""COMPUTED_VALUE"""),0)</f>
        <v>0</v>
      </c>
      <c r="O389" s="32">
        <f ca="1">IFERROR(__xludf.DUMMYFUNCTION("""COMPUTED_VALUE"""),0)</f>
        <v>0</v>
      </c>
      <c r="P389" s="32"/>
      <c r="Q389" s="32">
        <f ca="1">IFERROR(__xludf.DUMMYFUNCTION("""COMPUTED_VALUE"""),0)</f>
        <v>0</v>
      </c>
      <c r="R389" s="32"/>
      <c r="S389" s="31">
        <f ca="1">IFERROR(__xludf.DUMMYFUNCTION("""COMPUTED_VALUE"""),0)</f>
        <v>0</v>
      </c>
      <c r="T389" s="32">
        <f ca="1">IFERROR(__xludf.DUMMYFUNCTION("""COMPUTED_VALUE"""),0)</f>
        <v>0</v>
      </c>
      <c r="U389" s="32"/>
      <c r="V389" s="32">
        <f ca="1">IFERROR(__xludf.DUMMYFUNCTION("""COMPUTED_VALUE"""),0)</f>
        <v>0</v>
      </c>
      <c r="W389" s="32"/>
      <c r="X389" s="32">
        <f ca="1">IFERROR(__xludf.DUMMYFUNCTION("""COMPUTED_VALUE"""),0)</f>
        <v>0</v>
      </c>
      <c r="Y389" s="32"/>
      <c r="Z389" s="2"/>
      <c r="AA389" s="2"/>
      <c r="AB389" s="2"/>
      <c r="AC389" s="2"/>
      <c r="AD389" s="2"/>
      <c r="AE389" s="2"/>
    </row>
    <row r="390" spans="1:31" ht="12.75" x14ac:dyDescent="0.2">
      <c r="A390" s="28">
        <f ca="1">IFERROR(__xludf.DUMMYFUNCTION("""COMPUTED_VALUE"""),27)</f>
        <v>27</v>
      </c>
      <c r="B390" s="29" t="str">
        <f ca="1">IFERROR(__xludf.DUMMYFUNCTION("""COMPUTED_VALUE"""),"MN Hoa Bình Minh KV3")</f>
        <v>MN Hoa Bình Minh KV3</v>
      </c>
      <c r="C390" s="33" t="str">
        <f ca="1">IFERROR(__xludf.DUMMYFUNCTION("""COMPUTED_VALUE"""),"MN")</f>
        <v>MN</v>
      </c>
      <c r="D390" s="30" t="str">
        <f ca="1">IFERROR(__xludf.DUMMYFUNCTION("""COMPUTED_VALUE"""),"Tp. Thủ Đức")</f>
        <v>Tp. Thủ Đức</v>
      </c>
      <c r="E390" s="31">
        <f ca="1">IFERROR(__xludf.DUMMYFUNCTION("""COMPUTED_VALUE"""),20)</f>
        <v>20</v>
      </c>
      <c r="F390" s="32">
        <f ca="1">IFERROR(__xludf.DUMMYFUNCTION("""COMPUTED_VALUE"""),20)</f>
        <v>20</v>
      </c>
      <c r="G390" s="32"/>
      <c r="H390" s="32">
        <f ca="1">IFERROR(__xludf.DUMMYFUNCTION("""COMPUTED_VALUE"""),19)</f>
        <v>19</v>
      </c>
      <c r="I390" s="32"/>
      <c r="J390" s="32">
        <f ca="1">IFERROR(__xludf.DUMMYFUNCTION("""COMPUTED_VALUE"""),17)</f>
        <v>17</v>
      </c>
      <c r="K390" s="32"/>
      <c r="L390" s="32">
        <f ca="1">IFERROR(__xludf.DUMMYFUNCTION("""COMPUTED_VALUE"""),10)</f>
        <v>10</v>
      </c>
      <c r="M390" s="32"/>
      <c r="N390" s="31">
        <f ca="1">IFERROR(__xludf.DUMMYFUNCTION("""COMPUTED_VALUE"""),0)</f>
        <v>0</v>
      </c>
      <c r="O390" s="32">
        <f ca="1">IFERROR(__xludf.DUMMYFUNCTION("""COMPUTED_VALUE"""),0)</f>
        <v>0</v>
      </c>
      <c r="P390" s="32"/>
      <c r="Q390" s="32">
        <f ca="1">IFERROR(__xludf.DUMMYFUNCTION("""COMPUTED_VALUE"""),0)</f>
        <v>0</v>
      </c>
      <c r="R390" s="32"/>
      <c r="S390" s="31">
        <f ca="1">IFERROR(__xludf.DUMMYFUNCTION("""COMPUTED_VALUE"""),0)</f>
        <v>0</v>
      </c>
      <c r="T390" s="32">
        <f ca="1">IFERROR(__xludf.DUMMYFUNCTION("""COMPUTED_VALUE"""),0)</f>
        <v>0</v>
      </c>
      <c r="U390" s="32"/>
      <c r="V390" s="32">
        <f ca="1">IFERROR(__xludf.DUMMYFUNCTION("""COMPUTED_VALUE"""),0)</f>
        <v>0</v>
      </c>
      <c r="W390" s="32"/>
      <c r="X390" s="32">
        <f ca="1">IFERROR(__xludf.DUMMYFUNCTION("""COMPUTED_VALUE"""),0)</f>
        <v>0</v>
      </c>
      <c r="Y390" s="32"/>
      <c r="Z390" s="2"/>
      <c r="AA390" s="2"/>
      <c r="AB390" s="2"/>
      <c r="AC390" s="2"/>
      <c r="AD390" s="2"/>
      <c r="AE390" s="2"/>
    </row>
    <row r="391" spans="1:31" ht="12.75" x14ac:dyDescent="0.2">
      <c r="A391" s="28">
        <f ca="1">IFERROR(__xludf.DUMMYFUNCTION("""COMPUTED_VALUE"""),28)</f>
        <v>28</v>
      </c>
      <c r="B391" s="29" t="str">
        <f ca="1">IFERROR(__xludf.DUMMYFUNCTION("""COMPUTED_VALUE"""),"MN Hoa Diên Vĩ Phạm Văn Đồng KV3")</f>
        <v>MN Hoa Diên Vĩ Phạm Văn Đồng KV3</v>
      </c>
      <c r="C391" s="33" t="str">
        <f ca="1">IFERROR(__xludf.DUMMYFUNCTION("""COMPUTED_VALUE"""),"MN")</f>
        <v>MN</v>
      </c>
      <c r="D391" s="30" t="str">
        <f ca="1">IFERROR(__xludf.DUMMYFUNCTION("""COMPUTED_VALUE"""),"Tp. Thủ Đức")</f>
        <v>Tp. Thủ Đức</v>
      </c>
      <c r="E391" s="31">
        <f ca="1">IFERROR(__xludf.DUMMYFUNCTION("""COMPUTED_VALUE"""),16)</f>
        <v>16</v>
      </c>
      <c r="F391" s="32">
        <f ca="1">IFERROR(__xludf.DUMMYFUNCTION("""COMPUTED_VALUE"""),16)</f>
        <v>16</v>
      </c>
      <c r="G391" s="32"/>
      <c r="H391" s="32">
        <f ca="1">IFERROR(__xludf.DUMMYFUNCTION("""COMPUTED_VALUE"""),16)</f>
        <v>16</v>
      </c>
      <c r="I391" s="32"/>
      <c r="J391" s="32">
        <f ca="1">IFERROR(__xludf.DUMMYFUNCTION("""COMPUTED_VALUE"""),8)</f>
        <v>8</v>
      </c>
      <c r="K391" s="32"/>
      <c r="L391" s="32">
        <f ca="1">IFERROR(__xludf.DUMMYFUNCTION("""COMPUTED_VALUE"""),1)</f>
        <v>1</v>
      </c>
      <c r="M391" s="32"/>
      <c r="N391" s="31">
        <f ca="1">IFERROR(__xludf.DUMMYFUNCTION("""COMPUTED_VALUE"""),0)</f>
        <v>0</v>
      </c>
      <c r="O391" s="32">
        <f ca="1">IFERROR(__xludf.DUMMYFUNCTION("""COMPUTED_VALUE"""),0)</f>
        <v>0</v>
      </c>
      <c r="P391" s="32"/>
      <c r="Q391" s="32">
        <f ca="1">IFERROR(__xludf.DUMMYFUNCTION("""COMPUTED_VALUE"""),0)</f>
        <v>0</v>
      </c>
      <c r="R391" s="32"/>
      <c r="S391" s="31">
        <f ca="1">IFERROR(__xludf.DUMMYFUNCTION("""COMPUTED_VALUE"""),0)</f>
        <v>0</v>
      </c>
      <c r="T391" s="32">
        <f ca="1">IFERROR(__xludf.DUMMYFUNCTION("""COMPUTED_VALUE"""),0)</f>
        <v>0</v>
      </c>
      <c r="U391" s="32"/>
      <c r="V391" s="32">
        <f ca="1">IFERROR(__xludf.DUMMYFUNCTION("""COMPUTED_VALUE"""),0)</f>
        <v>0</v>
      </c>
      <c r="W391" s="32"/>
      <c r="X391" s="32">
        <f ca="1">IFERROR(__xludf.DUMMYFUNCTION("""COMPUTED_VALUE"""),0)</f>
        <v>0</v>
      </c>
      <c r="Y391" s="32"/>
      <c r="Z391" s="2"/>
      <c r="AA391" s="2"/>
      <c r="AB391" s="2"/>
      <c r="AC391" s="2"/>
      <c r="AD391" s="2"/>
      <c r="AE391" s="2"/>
    </row>
    <row r="392" spans="1:31" ht="12.75" x14ac:dyDescent="0.2">
      <c r="A392" s="28">
        <f ca="1">IFERROR(__xludf.DUMMYFUNCTION("""COMPUTED_VALUE"""),29)</f>
        <v>29</v>
      </c>
      <c r="B392" s="29" t="str">
        <f ca="1">IFERROR(__xludf.DUMMYFUNCTION("""COMPUTED_VALUE"""),"MN Hoa Hồng Nhỏ KV3")</f>
        <v>MN Hoa Hồng Nhỏ KV3</v>
      </c>
      <c r="C392" s="33" t="str">
        <f ca="1">IFERROR(__xludf.DUMMYFUNCTION("""COMPUTED_VALUE"""),"MN")</f>
        <v>MN</v>
      </c>
      <c r="D392" s="30" t="str">
        <f ca="1">IFERROR(__xludf.DUMMYFUNCTION("""COMPUTED_VALUE"""),"Tp. Thủ Đức")</f>
        <v>Tp. Thủ Đức</v>
      </c>
      <c r="E392" s="31">
        <f ca="1">IFERROR(__xludf.DUMMYFUNCTION("""COMPUTED_VALUE"""),10)</f>
        <v>10</v>
      </c>
      <c r="F392" s="32">
        <f ca="1">IFERROR(__xludf.DUMMYFUNCTION("""COMPUTED_VALUE"""),10)</f>
        <v>10</v>
      </c>
      <c r="G392" s="32"/>
      <c r="H392" s="32">
        <f ca="1">IFERROR(__xludf.DUMMYFUNCTION("""COMPUTED_VALUE"""),10)</f>
        <v>10</v>
      </c>
      <c r="I392" s="32"/>
      <c r="J392" s="32">
        <f ca="1">IFERROR(__xludf.DUMMYFUNCTION("""COMPUTED_VALUE"""),8)</f>
        <v>8</v>
      </c>
      <c r="K392" s="32"/>
      <c r="L392" s="32">
        <f ca="1">IFERROR(__xludf.DUMMYFUNCTION("""COMPUTED_VALUE"""),2)</f>
        <v>2</v>
      </c>
      <c r="M392" s="32"/>
      <c r="N392" s="31">
        <f ca="1">IFERROR(__xludf.DUMMYFUNCTION("""COMPUTED_VALUE"""),0)</f>
        <v>0</v>
      </c>
      <c r="O392" s="32">
        <f ca="1">IFERROR(__xludf.DUMMYFUNCTION("""COMPUTED_VALUE"""),0)</f>
        <v>0</v>
      </c>
      <c r="P392" s="32"/>
      <c r="Q392" s="32">
        <f ca="1">IFERROR(__xludf.DUMMYFUNCTION("""COMPUTED_VALUE"""),0)</f>
        <v>0</v>
      </c>
      <c r="R392" s="32"/>
      <c r="S392" s="31">
        <f ca="1">IFERROR(__xludf.DUMMYFUNCTION("""COMPUTED_VALUE"""),0)</f>
        <v>0</v>
      </c>
      <c r="T392" s="32">
        <f ca="1">IFERROR(__xludf.DUMMYFUNCTION("""COMPUTED_VALUE"""),0)</f>
        <v>0</v>
      </c>
      <c r="U392" s="32"/>
      <c r="V392" s="32">
        <f ca="1">IFERROR(__xludf.DUMMYFUNCTION("""COMPUTED_VALUE"""),0)</f>
        <v>0</v>
      </c>
      <c r="W392" s="32"/>
      <c r="X392" s="32">
        <f ca="1">IFERROR(__xludf.DUMMYFUNCTION("""COMPUTED_VALUE"""),0)</f>
        <v>0</v>
      </c>
      <c r="Y392" s="32"/>
      <c r="Z392" s="2"/>
      <c r="AA392" s="2"/>
      <c r="AB392" s="2"/>
      <c r="AC392" s="2"/>
      <c r="AD392" s="2"/>
      <c r="AE392" s="2"/>
    </row>
    <row r="393" spans="1:31" ht="12.75" x14ac:dyDescent="0.2">
      <c r="A393" s="28">
        <f ca="1">IFERROR(__xludf.DUMMYFUNCTION("""COMPUTED_VALUE"""),30)</f>
        <v>30</v>
      </c>
      <c r="B393" s="29" t="str">
        <f ca="1">IFERROR(__xludf.DUMMYFUNCTION("""COMPUTED_VALUE"""),"MN Học Viện Trí Tuệ KV3")</f>
        <v>MN Học Viện Trí Tuệ KV3</v>
      </c>
      <c r="C393" s="33" t="str">
        <f ca="1">IFERROR(__xludf.DUMMYFUNCTION("""COMPUTED_VALUE"""),"MN")</f>
        <v>MN</v>
      </c>
      <c r="D393" s="30" t="str">
        <f ca="1">IFERROR(__xludf.DUMMYFUNCTION("""COMPUTED_VALUE"""),"Tp. Thủ Đức")</f>
        <v>Tp. Thủ Đức</v>
      </c>
      <c r="E393" s="31">
        <f ca="1">IFERROR(__xludf.DUMMYFUNCTION("""COMPUTED_VALUE"""),22)</f>
        <v>22</v>
      </c>
      <c r="F393" s="32">
        <f ca="1">IFERROR(__xludf.DUMMYFUNCTION("""COMPUTED_VALUE"""),22)</f>
        <v>22</v>
      </c>
      <c r="G393" s="32"/>
      <c r="H393" s="32">
        <f ca="1">IFERROR(__xludf.DUMMYFUNCTION("""COMPUTED_VALUE"""),22)</f>
        <v>22</v>
      </c>
      <c r="I393" s="32"/>
      <c r="J393" s="32">
        <f ca="1">IFERROR(__xludf.DUMMYFUNCTION("""COMPUTED_VALUE"""),22)</f>
        <v>22</v>
      </c>
      <c r="K393" s="32"/>
      <c r="L393" s="32">
        <f ca="1">IFERROR(__xludf.DUMMYFUNCTION("""COMPUTED_VALUE"""),0)</f>
        <v>0</v>
      </c>
      <c r="M393" s="32"/>
      <c r="N393" s="31">
        <f ca="1">IFERROR(__xludf.DUMMYFUNCTION("""COMPUTED_VALUE"""),0)</f>
        <v>0</v>
      </c>
      <c r="O393" s="32">
        <f ca="1">IFERROR(__xludf.DUMMYFUNCTION("""COMPUTED_VALUE"""),0)</f>
        <v>0</v>
      </c>
      <c r="P393" s="32"/>
      <c r="Q393" s="32">
        <f ca="1">IFERROR(__xludf.DUMMYFUNCTION("""COMPUTED_VALUE"""),0)</f>
        <v>0</v>
      </c>
      <c r="R393" s="32"/>
      <c r="S393" s="31">
        <f ca="1">IFERROR(__xludf.DUMMYFUNCTION("""COMPUTED_VALUE"""),0)</f>
        <v>0</v>
      </c>
      <c r="T393" s="32">
        <f ca="1">IFERROR(__xludf.DUMMYFUNCTION("""COMPUTED_VALUE"""),0)</f>
        <v>0</v>
      </c>
      <c r="U393" s="32"/>
      <c r="V393" s="32">
        <f ca="1">IFERROR(__xludf.DUMMYFUNCTION("""COMPUTED_VALUE"""),0)</f>
        <v>0</v>
      </c>
      <c r="W393" s="32"/>
      <c r="X393" s="32">
        <f ca="1">IFERROR(__xludf.DUMMYFUNCTION("""COMPUTED_VALUE"""),0)</f>
        <v>0</v>
      </c>
      <c r="Y393" s="32"/>
      <c r="Z393" s="2"/>
      <c r="AA393" s="2"/>
      <c r="AB393" s="2"/>
      <c r="AC393" s="2"/>
      <c r="AD393" s="2"/>
      <c r="AE393" s="2"/>
    </row>
    <row r="394" spans="1:31" ht="12.75" x14ac:dyDescent="0.2">
      <c r="A394" s="28">
        <f ca="1">IFERROR(__xludf.DUMMYFUNCTION("""COMPUTED_VALUE"""),31)</f>
        <v>31</v>
      </c>
      <c r="B394" s="29" t="str">
        <f ca="1">IFERROR(__xludf.DUMMYFUNCTION("""COMPUTED_VALUE"""),"MN Hoa Mặt Trời KV3")</f>
        <v>MN Hoa Mặt Trời KV3</v>
      </c>
      <c r="C394" s="33" t="str">
        <f ca="1">IFERROR(__xludf.DUMMYFUNCTION("""COMPUTED_VALUE"""),"MN")</f>
        <v>MN</v>
      </c>
      <c r="D394" s="30" t="str">
        <f ca="1">IFERROR(__xludf.DUMMYFUNCTION("""COMPUTED_VALUE"""),"Tp. Thủ Đức")</f>
        <v>Tp. Thủ Đức</v>
      </c>
      <c r="E394" s="31">
        <f ca="1">IFERROR(__xludf.DUMMYFUNCTION("""COMPUTED_VALUE"""),18)</f>
        <v>18</v>
      </c>
      <c r="F394" s="32">
        <f ca="1">IFERROR(__xludf.DUMMYFUNCTION("""COMPUTED_VALUE"""),18)</f>
        <v>18</v>
      </c>
      <c r="G394" s="32"/>
      <c r="H394" s="32">
        <f ca="1">IFERROR(__xludf.DUMMYFUNCTION("""COMPUTED_VALUE"""),18)</f>
        <v>18</v>
      </c>
      <c r="I394" s="32"/>
      <c r="J394" s="32">
        <f ca="1">IFERROR(__xludf.DUMMYFUNCTION("""COMPUTED_VALUE"""),9)</f>
        <v>9</v>
      </c>
      <c r="K394" s="32"/>
      <c r="L394" s="32">
        <f ca="1">IFERROR(__xludf.DUMMYFUNCTION("""COMPUTED_VALUE"""),9)</f>
        <v>9</v>
      </c>
      <c r="M394" s="32"/>
      <c r="N394" s="31">
        <f ca="1">IFERROR(__xludf.DUMMYFUNCTION("""COMPUTED_VALUE"""),0)</f>
        <v>0</v>
      </c>
      <c r="O394" s="32">
        <f ca="1">IFERROR(__xludf.DUMMYFUNCTION("""COMPUTED_VALUE"""),0)</f>
        <v>0</v>
      </c>
      <c r="P394" s="32"/>
      <c r="Q394" s="32">
        <f ca="1">IFERROR(__xludf.DUMMYFUNCTION("""COMPUTED_VALUE"""),0)</f>
        <v>0</v>
      </c>
      <c r="R394" s="32"/>
      <c r="S394" s="31">
        <f ca="1">IFERROR(__xludf.DUMMYFUNCTION("""COMPUTED_VALUE"""),0)</f>
        <v>0</v>
      </c>
      <c r="T394" s="32">
        <f ca="1">IFERROR(__xludf.DUMMYFUNCTION("""COMPUTED_VALUE"""),0)</f>
        <v>0</v>
      </c>
      <c r="U394" s="32"/>
      <c r="V394" s="32">
        <f ca="1">IFERROR(__xludf.DUMMYFUNCTION("""COMPUTED_VALUE"""),0)</f>
        <v>0</v>
      </c>
      <c r="W394" s="32"/>
      <c r="X394" s="32">
        <f ca="1">IFERROR(__xludf.DUMMYFUNCTION("""COMPUTED_VALUE"""),0)</f>
        <v>0</v>
      </c>
      <c r="Y394" s="32"/>
      <c r="Z394" s="2"/>
      <c r="AA394" s="2"/>
      <c r="AB394" s="2"/>
      <c r="AC394" s="2"/>
      <c r="AD394" s="2"/>
      <c r="AE394" s="2"/>
    </row>
    <row r="395" spans="1:31" ht="12.75" x14ac:dyDescent="0.2">
      <c r="A395" s="28">
        <f ca="1">IFERROR(__xludf.DUMMYFUNCTION("""COMPUTED_VALUE"""),32)</f>
        <v>32</v>
      </c>
      <c r="B395" s="29" t="str">
        <f ca="1">IFERROR(__xludf.DUMMYFUNCTION("""COMPUTED_VALUE"""),"MN Hoa Phượng KV3")</f>
        <v>MN Hoa Phượng KV3</v>
      </c>
      <c r="C395" s="33" t="str">
        <f ca="1">IFERROR(__xludf.DUMMYFUNCTION("""COMPUTED_VALUE"""),"MN")</f>
        <v>MN</v>
      </c>
      <c r="D395" s="30" t="str">
        <f ca="1">IFERROR(__xludf.DUMMYFUNCTION("""COMPUTED_VALUE"""),"Tp. Thủ Đức")</f>
        <v>Tp. Thủ Đức</v>
      </c>
      <c r="E395" s="31">
        <f ca="1">IFERROR(__xludf.DUMMYFUNCTION("""COMPUTED_VALUE"""),40)</f>
        <v>40</v>
      </c>
      <c r="F395" s="32">
        <f ca="1">IFERROR(__xludf.DUMMYFUNCTION("""COMPUTED_VALUE"""),40)</f>
        <v>40</v>
      </c>
      <c r="G395" s="32"/>
      <c r="H395" s="32">
        <f ca="1">IFERROR(__xludf.DUMMYFUNCTION("""COMPUTED_VALUE"""),40)</f>
        <v>40</v>
      </c>
      <c r="I395" s="32"/>
      <c r="J395" s="32">
        <f ca="1">IFERROR(__xludf.DUMMYFUNCTION("""COMPUTED_VALUE"""),18)</f>
        <v>18</v>
      </c>
      <c r="K395" s="32"/>
      <c r="L395" s="32">
        <f ca="1">IFERROR(__xludf.DUMMYFUNCTION("""COMPUTED_VALUE"""),17)</f>
        <v>17</v>
      </c>
      <c r="M395" s="32"/>
      <c r="N395" s="31">
        <f ca="1">IFERROR(__xludf.DUMMYFUNCTION("""COMPUTED_VALUE"""),0)</f>
        <v>0</v>
      </c>
      <c r="O395" s="32">
        <f ca="1">IFERROR(__xludf.DUMMYFUNCTION("""COMPUTED_VALUE"""),0)</f>
        <v>0</v>
      </c>
      <c r="P395" s="32"/>
      <c r="Q395" s="32">
        <f ca="1">IFERROR(__xludf.DUMMYFUNCTION("""COMPUTED_VALUE"""),0)</f>
        <v>0</v>
      </c>
      <c r="R395" s="32"/>
      <c r="S395" s="31">
        <f ca="1">IFERROR(__xludf.DUMMYFUNCTION("""COMPUTED_VALUE"""),0)</f>
        <v>0</v>
      </c>
      <c r="T395" s="32">
        <f ca="1">IFERROR(__xludf.DUMMYFUNCTION("""COMPUTED_VALUE"""),0)</f>
        <v>0</v>
      </c>
      <c r="U395" s="32"/>
      <c r="V395" s="32">
        <f ca="1">IFERROR(__xludf.DUMMYFUNCTION("""COMPUTED_VALUE"""),0)</f>
        <v>0</v>
      </c>
      <c r="W395" s="32"/>
      <c r="X395" s="32">
        <f ca="1">IFERROR(__xludf.DUMMYFUNCTION("""COMPUTED_VALUE"""),0)</f>
        <v>0</v>
      </c>
      <c r="Y395" s="32"/>
      <c r="Z395" s="2"/>
      <c r="AA395" s="2"/>
      <c r="AB395" s="2"/>
      <c r="AC395" s="2"/>
      <c r="AD395" s="2"/>
      <c r="AE395" s="2"/>
    </row>
    <row r="396" spans="1:31" ht="12.75" x14ac:dyDescent="0.2">
      <c r="A396" s="28">
        <f ca="1">IFERROR(__xludf.DUMMYFUNCTION("""COMPUTED_VALUE"""),33)</f>
        <v>33</v>
      </c>
      <c r="B396" s="29" t="str">
        <f ca="1">IFERROR(__xludf.DUMMYFUNCTION("""COMPUTED_VALUE"""),"MN Hoa Quỳnh KV3")</f>
        <v>MN Hoa Quỳnh KV3</v>
      </c>
      <c r="C396" s="33" t="str">
        <f ca="1">IFERROR(__xludf.DUMMYFUNCTION("""COMPUTED_VALUE"""),"MN")</f>
        <v>MN</v>
      </c>
      <c r="D396" s="30" t="str">
        <f ca="1">IFERROR(__xludf.DUMMYFUNCTION("""COMPUTED_VALUE"""),"Tp. Thủ Đức")</f>
        <v>Tp. Thủ Đức</v>
      </c>
      <c r="E396" s="31">
        <f ca="1">IFERROR(__xludf.DUMMYFUNCTION("""COMPUTED_VALUE"""),12)</f>
        <v>12</v>
      </c>
      <c r="F396" s="32">
        <f ca="1">IFERROR(__xludf.DUMMYFUNCTION("""COMPUTED_VALUE"""),12)</f>
        <v>12</v>
      </c>
      <c r="G396" s="32"/>
      <c r="H396" s="32">
        <f ca="1">IFERROR(__xludf.DUMMYFUNCTION("""COMPUTED_VALUE"""),12)</f>
        <v>12</v>
      </c>
      <c r="I396" s="32"/>
      <c r="J396" s="32">
        <f ca="1">IFERROR(__xludf.DUMMYFUNCTION("""COMPUTED_VALUE"""),12)</f>
        <v>12</v>
      </c>
      <c r="K396" s="32"/>
      <c r="L396" s="32">
        <f ca="1">IFERROR(__xludf.DUMMYFUNCTION("""COMPUTED_VALUE"""),12)</f>
        <v>12</v>
      </c>
      <c r="M396" s="32"/>
      <c r="N396" s="31">
        <f ca="1">IFERROR(__xludf.DUMMYFUNCTION("""COMPUTED_VALUE"""),0)</f>
        <v>0</v>
      </c>
      <c r="O396" s="32">
        <f ca="1">IFERROR(__xludf.DUMMYFUNCTION("""COMPUTED_VALUE"""),0)</f>
        <v>0</v>
      </c>
      <c r="P396" s="32"/>
      <c r="Q396" s="32">
        <f ca="1">IFERROR(__xludf.DUMMYFUNCTION("""COMPUTED_VALUE"""),0)</f>
        <v>0</v>
      </c>
      <c r="R396" s="32"/>
      <c r="S396" s="31">
        <f ca="1">IFERROR(__xludf.DUMMYFUNCTION("""COMPUTED_VALUE"""),0)</f>
        <v>0</v>
      </c>
      <c r="T396" s="32">
        <f ca="1">IFERROR(__xludf.DUMMYFUNCTION("""COMPUTED_VALUE"""),0)</f>
        <v>0</v>
      </c>
      <c r="U396" s="32"/>
      <c r="V396" s="32">
        <f ca="1">IFERROR(__xludf.DUMMYFUNCTION("""COMPUTED_VALUE"""),0)</f>
        <v>0</v>
      </c>
      <c r="W396" s="32"/>
      <c r="X396" s="32">
        <f ca="1">IFERROR(__xludf.DUMMYFUNCTION("""COMPUTED_VALUE"""),0)</f>
        <v>0</v>
      </c>
      <c r="Y396" s="32"/>
      <c r="Z396" s="2"/>
      <c r="AA396" s="2"/>
      <c r="AB396" s="2"/>
      <c r="AC396" s="2"/>
      <c r="AD396" s="2"/>
      <c r="AE396" s="2"/>
    </row>
    <row r="397" spans="1:31" ht="12.75" x14ac:dyDescent="0.2">
      <c r="A397" s="28">
        <f ca="1">IFERROR(__xludf.DUMMYFUNCTION("""COMPUTED_VALUE"""),34)</f>
        <v>34</v>
      </c>
      <c r="B397" s="29" t="str">
        <f ca="1">IFERROR(__xludf.DUMMYFUNCTION("""COMPUTED_VALUE"""),"MN Hoa Sen Bình Chiểu KV3")</f>
        <v>MN Hoa Sen Bình Chiểu KV3</v>
      </c>
      <c r="C397" s="33" t="str">
        <f ca="1">IFERROR(__xludf.DUMMYFUNCTION("""COMPUTED_VALUE"""),"MN")</f>
        <v>MN</v>
      </c>
      <c r="D397" s="30" t="str">
        <f ca="1">IFERROR(__xludf.DUMMYFUNCTION("""COMPUTED_VALUE"""),"Tp. Thủ Đức")</f>
        <v>Tp. Thủ Đức</v>
      </c>
      <c r="E397" s="31">
        <f ca="1">IFERROR(__xludf.DUMMYFUNCTION("""COMPUTED_VALUE"""),12)</f>
        <v>12</v>
      </c>
      <c r="F397" s="32">
        <f ca="1">IFERROR(__xludf.DUMMYFUNCTION("""COMPUTED_VALUE"""),12)</f>
        <v>12</v>
      </c>
      <c r="G397" s="32"/>
      <c r="H397" s="32">
        <f ca="1">IFERROR(__xludf.DUMMYFUNCTION("""COMPUTED_VALUE"""),12)</f>
        <v>12</v>
      </c>
      <c r="I397" s="32"/>
      <c r="J397" s="32">
        <f ca="1">IFERROR(__xludf.DUMMYFUNCTION("""COMPUTED_VALUE"""),12)</f>
        <v>12</v>
      </c>
      <c r="K397" s="32"/>
      <c r="L397" s="32">
        <f ca="1">IFERROR(__xludf.DUMMYFUNCTION("""COMPUTED_VALUE"""),12)</f>
        <v>12</v>
      </c>
      <c r="M397" s="32"/>
      <c r="N397" s="31">
        <f ca="1">IFERROR(__xludf.DUMMYFUNCTION("""COMPUTED_VALUE"""),0)</f>
        <v>0</v>
      </c>
      <c r="O397" s="32">
        <f ca="1">IFERROR(__xludf.DUMMYFUNCTION("""COMPUTED_VALUE"""),0)</f>
        <v>0</v>
      </c>
      <c r="P397" s="32"/>
      <c r="Q397" s="32">
        <f ca="1">IFERROR(__xludf.DUMMYFUNCTION("""COMPUTED_VALUE"""),0)</f>
        <v>0</v>
      </c>
      <c r="R397" s="32"/>
      <c r="S397" s="31">
        <f ca="1">IFERROR(__xludf.DUMMYFUNCTION("""COMPUTED_VALUE"""),0)</f>
        <v>0</v>
      </c>
      <c r="T397" s="32">
        <f ca="1">IFERROR(__xludf.DUMMYFUNCTION("""COMPUTED_VALUE"""),0)</f>
        <v>0</v>
      </c>
      <c r="U397" s="32"/>
      <c r="V397" s="32">
        <f ca="1">IFERROR(__xludf.DUMMYFUNCTION("""COMPUTED_VALUE"""),0)</f>
        <v>0</v>
      </c>
      <c r="W397" s="32"/>
      <c r="X397" s="32">
        <f ca="1">IFERROR(__xludf.DUMMYFUNCTION("""COMPUTED_VALUE"""),0)</f>
        <v>0</v>
      </c>
      <c r="Y397" s="32"/>
      <c r="Z397" s="2"/>
      <c r="AA397" s="2"/>
      <c r="AB397" s="2"/>
      <c r="AC397" s="2"/>
      <c r="AD397" s="2"/>
      <c r="AE397" s="2"/>
    </row>
    <row r="398" spans="1:31" ht="12.75" x14ac:dyDescent="0.2">
      <c r="A398" s="28">
        <f ca="1">IFERROR(__xludf.DUMMYFUNCTION("""COMPUTED_VALUE"""),35)</f>
        <v>35</v>
      </c>
      <c r="B398" s="29" t="str">
        <f ca="1">IFERROR(__xludf.DUMMYFUNCTION("""COMPUTED_VALUE"""),"MN Hoa Xuân KV3")</f>
        <v>MN Hoa Xuân KV3</v>
      </c>
      <c r="C398" s="33" t="str">
        <f ca="1">IFERROR(__xludf.DUMMYFUNCTION("""COMPUTED_VALUE"""),"MN")</f>
        <v>MN</v>
      </c>
      <c r="D398" s="30" t="str">
        <f ca="1">IFERROR(__xludf.DUMMYFUNCTION("""COMPUTED_VALUE"""),"Tp. Thủ Đức")</f>
        <v>Tp. Thủ Đức</v>
      </c>
      <c r="E398" s="31">
        <f ca="1">IFERROR(__xludf.DUMMYFUNCTION("""COMPUTED_VALUE"""),8)</f>
        <v>8</v>
      </c>
      <c r="F398" s="32">
        <f ca="1">IFERROR(__xludf.DUMMYFUNCTION("""COMPUTED_VALUE"""),8)</f>
        <v>8</v>
      </c>
      <c r="G398" s="32"/>
      <c r="H398" s="32">
        <f ca="1">IFERROR(__xludf.DUMMYFUNCTION("""COMPUTED_VALUE"""),8)</f>
        <v>8</v>
      </c>
      <c r="I398" s="32"/>
      <c r="J398" s="32">
        <f ca="1">IFERROR(__xludf.DUMMYFUNCTION("""COMPUTED_VALUE"""),5)</f>
        <v>5</v>
      </c>
      <c r="K398" s="32"/>
      <c r="L398" s="32">
        <f ca="1">IFERROR(__xludf.DUMMYFUNCTION("""COMPUTED_VALUE"""),1)</f>
        <v>1</v>
      </c>
      <c r="M398" s="32"/>
      <c r="N398" s="31">
        <f ca="1">IFERROR(__xludf.DUMMYFUNCTION("""COMPUTED_VALUE"""),0)</f>
        <v>0</v>
      </c>
      <c r="O398" s="32">
        <f ca="1">IFERROR(__xludf.DUMMYFUNCTION("""COMPUTED_VALUE"""),0)</f>
        <v>0</v>
      </c>
      <c r="P398" s="32"/>
      <c r="Q398" s="32">
        <f ca="1">IFERROR(__xludf.DUMMYFUNCTION("""COMPUTED_VALUE"""),0)</f>
        <v>0</v>
      </c>
      <c r="R398" s="32"/>
      <c r="S398" s="31">
        <f ca="1">IFERROR(__xludf.DUMMYFUNCTION("""COMPUTED_VALUE"""),0)</f>
        <v>0</v>
      </c>
      <c r="T398" s="32">
        <f ca="1">IFERROR(__xludf.DUMMYFUNCTION("""COMPUTED_VALUE"""),0)</f>
        <v>0</v>
      </c>
      <c r="U398" s="32"/>
      <c r="V398" s="32">
        <f ca="1">IFERROR(__xludf.DUMMYFUNCTION("""COMPUTED_VALUE"""),0)</f>
        <v>0</v>
      </c>
      <c r="W398" s="32"/>
      <c r="X398" s="32">
        <f ca="1">IFERROR(__xludf.DUMMYFUNCTION("""COMPUTED_VALUE"""),0)</f>
        <v>0</v>
      </c>
      <c r="Y398" s="32"/>
      <c r="Z398" s="2"/>
      <c r="AA398" s="2"/>
      <c r="AB398" s="2"/>
      <c r="AC398" s="2"/>
      <c r="AD398" s="2"/>
      <c r="AE398" s="2"/>
    </row>
    <row r="399" spans="1:31" ht="12.75" x14ac:dyDescent="0.2">
      <c r="A399" s="28">
        <f ca="1">IFERROR(__xludf.DUMMYFUNCTION("""COMPUTED_VALUE"""),36)</f>
        <v>36</v>
      </c>
      <c r="B399" s="29" t="str">
        <f ca="1">IFERROR(__xludf.DUMMYFUNCTION("""COMPUTED_VALUE"""),"MN Hoàng Anh KV3")</f>
        <v>MN Hoàng Anh KV3</v>
      </c>
      <c r="C399" s="33" t="str">
        <f ca="1">IFERROR(__xludf.DUMMYFUNCTION("""COMPUTED_VALUE"""),"MN")</f>
        <v>MN</v>
      </c>
      <c r="D399" s="30" t="str">
        <f ca="1">IFERROR(__xludf.DUMMYFUNCTION("""COMPUTED_VALUE"""),"Tp. Thủ Đức")</f>
        <v>Tp. Thủ Đức</v>
      </c>
      <c r="E399" s="31">
        <f ca="1">IFERROR(__xludf.DUMMYFUNCTION("""COMPUTED_VALUE"""),41)</f>
        <v>41</v>
      </c>
      <c r="F399" s="32">
        <f ca="1">IFERROR(__xludf.DUMMYFUNCTION("""COMPUTED_VALUE"""),41)</f>
        <v>41</v>
      </c>
      <c r="G399" s="32"/>
      <c r="H399" s="32">
        <f ca="1">IFERROR(__xludf.DUMMYFUNCTION("""COMPUTED_VALUE"""),41)</f>
        <v>41</v>
      </c>
      <c r="I399" s="32"/>
      <c r="J399" s="32">
        <f ca="1">IFERROR(__xludf.DUMMYFUNCTION("""COMPUTED_VALUE"""),40)</f>
        <v>40</v>
      </c>
      <c r="K399" s="32"/>
      <c r="L399" s="32">
        <f ca="1">IFERROR(__xludf.DUMMYFUNCTION("""COMPUTED_VALUE"""),1)</f>
        <v>1</v>
      </c>
      <c r="M399" s="32"/>
      <c r="N399" s="31">
        <f ca="1">IFERROR(__xludf.DUMMYFUNCTION("""COMPUTED_VALUE"""),0)</f>
        <v>0</v>
      </c>
      <c r="O399" s="32">
        <f ca="1">IFERROR(__xludf.DUMMYFUNCTION("""COMPUTED_VALUE"""),0)</f>
        <v>0</v>
      </c>
      <c r="P399" s="32"/>
      <c r="Q399" s="32">
        <f ca="1">IFERROR(__xludf.DUMMYFUNCTION("""COMPUTED_VALUE"""),0)</f>
        <v>0</v>
      </c>
      <c r="R399" s="32"/>
      <c r="S399" s="31">
        <f ca="1">IFERROR(__xludf.DUMMYFUNCTION("""COMPUTED_VALUE"""),0)</f>
        <v>0</v>
      </c>
      <c r="T399" s="32">
        <f ca="1">IFERROR(__xludf.DUMMYFUNCTION("""COMPUTED_VALUE"""),0)</f>
        <v>0</v>
      </c>
      <c r="U399" s="32"/>
      <c r="V399" s="32">
        <f ca="1">IFERROR(__xludf.DUMMYFUNCTION("""COMPUTED_VALUE"""),0)</f>
        <v>0</v>
      </c>
      <c r="W399" s="32"/>
      <c r="X399" s="32">
        <f ca="1">IFERROR(__xludf.DUMMYFUNCTION("""COMPUTED_VALUE"""),0)</f>
        <v>0</v>
      </c>
      <c r="Y399" s="32"/>
      <c r="Z399" s="2"/>
      <c r="AA399" s="2"/>
      <c r="AB399" s="2"/>
      <c r="AC399" s="2"/>
      <c r="AD399" s="2"/>
      <c r="AE399" s="2"/>
    </row>
    <row r="400" spans="1:31" ht="12.75" x14ac:dyDescent="0.2">
      <c r="A400" s="28">
        <f ca="1">IFERROR(__xludf.DUMMYFUNCTION("""COMPUTED_VALUE"""),37)</f>
        <v>37</v>
      </c>
      <c r="B400" s="29" t="str">
        <f ca="1">IFERROR(__xludf.DUMMYFUNCTION("""COMPUTED_VALUE"""),"MN Hoàng Ngọc KV3")</f>
        <v>MN Hoàng Ngọc KV3</v>
      </c>
      <c r="C400" s="33" t="str">
        <f ca="1">IFERROR(__xludf.DUMMYFUNCTION("""COMPUTED_VALUE"""),"MN")</f>
        <v>MN</v>
      </c>
      <c r="D400" s="30" t="str">
        <f ca="1">IFERROR(__xludf.DUMMYFUNCTION("""COMPUTED_VALUE"""),"Tp. Thủ Đức")</f>
        <v>Tp. Thủ Đức</v>
      </c>
      <c r="E400" s="31">
        <f ca="1">IFERROR(__xludf.DUMMYFUNCTION("""COMPUTED_VALUE"""),18)</f>
        <v>18</v>
      </c>
      <c r="F400" s="32">
        <f ca="1">IFERROR(__xludf.DUMMYFUNCTION("""COMPUTED_VALUE"""),18)</f>
        <v>18</v>
      </c>
      <c r="G400" s="32"/>
      <c r="H400" s="32">
        <f ca="1">IFERROR(__xludf.DUMMYFUNCTION("""COMPUTED_VALUE"""),18)</f>
        <v>18</v>
      </c>
      <c r="I400" s="32"/>
      <c r="J400" s="32">
        <f ca="1">IFERROR(__xludf.DUMMYFUNCTION("""COMPUTED_VALUE"""),10)</f>
        <v>10</v>
      </c>
      <c r="K400" s="32"/>
      <c r="L400" s="32">
        <f ca="1">IFERROR(__xludf.DUMMYFUNCTION("""COMPUTED_VALUE"""),3)</f>
        <v>3</v>
      </c>
      <c r="M400" s="32"/>
      <c r="N400" s="31">
        <f ca="1">IFERROR(__xludf.DUMMYFUNCTION("""COMPUTED_VALUE"""),0)</f>
        <v>0</v>
      </c>
      <c r="O400" s="32">
        <f ca="1">IFERROR(__xludf.DUMMYFUNCTION("""COMPUTED_VALUE"""),0)</f>
        <v>0</v>
      </c>
      <c r="P400" s="32"/>
      <c r="Q400" s="32">
        <f ca="1">IFERROR(__xludf.DUMMYFUNCTION("""COMPUTED_VALUE"""),0)</f>
        <v>0</v>
      </c>
      <c r="R400" s="32"/>
      <c r="S400" s="31">
        <f ca="1">IFERROR(__xludf.DUMMYFUNCTION("""COMPUTED_VALUE"""),0)</f>
        <v>0</v>
      </c>
      <c r="T400" s="32">
        <f ca="1">IFERROR(__xludf.DUMMYFUNCTION("""COMPUTED_VALUE"""),0)</f>
        <v>0</v>
      </c>
      <c r="U400" s="32"/>
      <c r="V400" s="32">
        <f ca="1">IFERROR(__xludf.DUMMYFUNCTION("""COMPUTED_VALUE"""),0)</f>
        <v>0</v>
      </c>
      <c r="W400" s="32"/>
      <c r="X400" s="32">
        <f ca="1">IFERROR(__xludf.DUMMYFUNCTION("""COMPUTED_VALUE"""),0)</f>
        <v>0</v>
      </c>
      <c r="Y400" s="32"/>
      <c r="Z400" s="2"/>
      <c r="AA400" s="2"/>
      <c r="AB400" s="2"/>
      <c r="AC400" s="2"/>
      <c r="AD400" s="2"/>
      <c r="AE400" s="2"/>
    </row>
    <row r="401" spans="1:31" ht="12.75" x14ac:dyDescent="0.2">
      <c r="A401" s="28">
        <f ca="1">IFERROR(__xludf.DUMMYFUNCTION("""COMPUTED_VALUE"""),38)</f>
        <v>38</v>
      </c>
      <c r="B401" s="29" t="str">
        <f ca="1">IFERROR(__xludf.DUMMYFUNCTION("""COMPUTED_VALUE"""),"MN Học Viện Sài Gòn KV3")</f>
        <v>MN Học Viện Sài Gòn KV3</v>
      </c>
      <c r="C401" s="33" t="str">
        <f ca="1">IFERROR(__xludf.DUMMYFUNCTION("""COMPUTED_VALUE"""),"MN")</f>
        <v>MN</v>
      </c>
      <c r="D401" s="30" t="str">
        <f ca="1">IFERROR(__xludf.DUMMYFUNCTION("""COMPUTED_VALUE"""),"Tp. Thủ Đức")</f>
        <v>Tp. Thủ Đức</v>
      </c>
      <c r="E401" s="31">
        <f ca="1">IFERROR(__xludf.DUMMYFUNCTION("""COMPUTED_VALUE"""),28)</f>
        <v>28</v>
      </c>
      <c r="F401" s="32">
        <f ca="1">IFERROR(__xludf.DUMMYFUNCTION("""COMPUTED_VALUE"""),28)</f>
        <v>28</v>
      </c>
      <c r="G401" s="32"/>
      <c r="H401" s="32">
        <f ca="1">IFERROR(__xludf.DUMMYFUNCTION("""COMPUTED_VALUE"""),28)</f>
        <v>28</v>
      </c>
      <c r="I401" s="32"/>
      <c r="J401" s="32">
        <f ca="1">IFERROR(__xludf.DUMMYFUNCTION("""COMPUTED_VALUE"""),26)</f>
        <v>26</v>
      </c>
      <c r="K401" s="32"/>
      <c r="L401" s="32">
        <f ca="1">IFERROR(__xludf.DUMMYFUNCTION("""COMPUTED_VALUE"""),2)</f>
        <v>2</v>
      </c>
      <c r="M401" s="32"/>
      <c r="N401" s="31">
        <f ca="1">IFERROR(__xludf.DUMMYFUNCTION("""COMPUTED_VALUE"""),0)</f>
        <v>0</v>
      </c>
      <c r="O401" s="32">
        <f ca="1">IFERROR(__xludf.DUMMYFUNCTION("""COMPUTED_VALUE"""),0)</f>
        <v>0</v>
      </c>
      <c r="P401" s="32"/>
      <c r="Q401" s="32">
        <f ca="1">IFERROR(__xludf.DUMMYFUNCTION("""COMPUTED_VALUE"""),0)</f>
        <v>0</v>
      </c>
      <c r="R401" s="32"/>
      <c r="S401" s="31">
        <f ca="1">IFERROR(__xludf.DUMMYFUNCTION("""COMPUTED_VALUE"""),0)</f>
        <v>0</v>
      </c>
      <c r="T401" s="32">
        <f ca="1">IFERROR(__xludf.DUMMYFUNCTION("""COMPUTED_VALUE"""),0)</f>
        <v>0</v>
      </c>
      <c r="U401" s="32"/>
      <c r="V401" s="32">
        <f ca="1">IFERROR(__xludf.DUMMYFUNCTION("""COMPUTED_VALUE"""),0)</f>
        <v>0</v>
      </c>
      <c r="W401" s="32"/>
      <c r="X401" s="32">
        <f ca="1">IFERROR(__xludf.DUMMYFUNCTION("""COMPUTED_VALUE"""),0)</f>
        <v>0</v>
      </c>
      <c r="Y401" s="32"/>
      <c r="Z401" s="2"/>
      <c r="AA401" s="2"/>
      <c r="AB401" s="2"/>
      <c r="AC401" s="2"/>
      <c r="AD401" s="2"/>
      <c r="AE401" s="2"/>
    </row>
    <row r="402" spans="1:31" ht="12.75" x14ac:dyDescent="0.2">
      <c r="A402" s="28">
        <f ca="1">IFERROR(__xludf.DUMMYFUNCTION("""COMPUTED_VALUE"""),39)</f>
        <v>39</v>
      </c>
      <c r="B402" s="29" t="str">
        <f ca="1">IFERROR(__xludf.DUMMYFUNCTION("""COMPUTED_VALUE"""),"MN Hồng Ân KV3")</f>
        <v>MN Hồng Ân KV3</v>
      </c>
      <c r="C402" s="33" t="str">
        <f ca="1">IFERROR(__xludf.DUMMYFUNCTION("""COMPUTED_VALUE"""),"MN")</f>
        <v>MN</v>
      </c>
      <c r="D402" s="30" t="str">
        <f ca="1">IFERROR(__xludf.DUMMYFUNCTION("""COMPUTED_VALUE"""),"Tp. Thủ Đức")</f>
        <v>Tp. Thủ Đức</v>
      </c>
      <c r="E402" s="31">
        <f ca="1">IFERROR(__xludf.DUMMYFUNCTION("""COMPUTED_VALUE"""),57)</f>
        <v>57</v>
      </c>
      <c r="F402" s="32">
        <f ca="1">IFERROR(__xludf.DUMMYFUNCTION("""COMPUTED_VALUE"""),57)</f>
        <v>57</v>
      </c>
      <c r="G402" s="32"/>
      <c r="H402" s="32">
        <f ca="1">IFERROR(__xludf.DUMMYFUNCTION("""COMPUTED_VALUE"""),57)</f>
        <v>57</v>
      </c>
      <c r="I402" s="32"/>
      <c r="J402" s="32">
        <f ca="1">IFERROR(__xludf.DUMMYFUNCTION("""COMPUTED_VALUE"""),57)</f>
        <v>57</v>
      </c>
      <c r="K402" s="32"/>
      <c r="L402" s="32">
        <f ca="1">IFERROR(__xludf.DUMMYFUNCTION("""COMPUTED_VALUE"""),0)</f>
        <v>0</v>
      </c>
      <c r="M402" s="32"/>
      <c r="N402" s="31">
        <f ca="1">IFERROR(__xludf.DUMMYFUNCTION("""COMPUTED_VALUE"""),0)</f>
        <v>0</v>
      </c>
      <c r="O402" s="32">
        <f ca="1">IFERROR(__xludf.DUMMYFUNCTION("""COMPUTED_VALUE"""),0)</f>
        <v>0</v>
      </c>
      <c r="P402" s="32"/>
      <c r="Q402" s="32">
        <f ca="1">IFERROR(__xludf.DUMMYFUNCTION("""COMPUTED_VALUE"""),0)</f>
        <v>0</v>
      </c>
      <c r="R402" s="32"/>
      <c r="S402" s="31">
        <f ca="1">IFERROR(__xludf.DUMMYFUNCTION("""COMPUTED_VALUE"""),0)</f>
        <v>0</v>
      </c>
      <c r="T402" s="32">
        <f ca="1">IFERROR(__xludf.DUMMYFUNCTION("""COMPUTED_VALUE"""),0)</f>
        <v>0</v>
      </c>
      <c r="U402" s="32"/>
      <c r="V402" s="32">
        <f ca="1">IFERROR(__xludf.DUMMYFUNCTION("""COMPUTED_VALUE"""),0)</f>
        <v>0</v>
      </c>
      <c r="W402" s="32"/>
      <c r="X402" s="32">
        <f ca="1">IFERROR(__xludf.DUMMYFUNCTION("""COMPUTED_VALUE"""),0)</f>
        <v>0</v>
      </c>
      <c r="Y402" s="32"/>
      <c r="Z402" s="2"/>
      <c r="AA402" s="2"/>
      <c r="AB402" s="2"/>
      <c r="AC402" s="2"/>
      <c r="AD402" s="2"/>
      <c r="AE402" s="2"/>
    </row>
    <row r="403" spans="1:31" ht="12.75" x14ac:dyDescent="0.2">
      <c r="A403" s="28">
        <f ca="1">IFERROR(__xludf.DUMMYFUNCTION("""COMPUTED_VALUE"""),40)</f>
        <v>40</v>
      </c>
      <c r="B403" s="29" t="str">
        <f ca="1">IFERROR(__xludf.DUMMYFUNCTION("""COMPUTED_VALUE"""),"MN Huệ Trắng KV3")</f>
        <v>MN Huệ Trắng KV3</v>
      </c>
      <c r="C403" s="33" t="str">
        <f ca="1">IFERROR(__xludf.DUMMYFUNCTION("""COMPUTED_VALUE"""),"MN")</f>
        <v>MN</v>
      </c>
      <c r="D403" s="30" t="str">
        <f ca="1">IFERROR(__xludf.DUMMYFUNCTION("""COMPUTED_VALUE"""),"Tp. Thủ Đức")</f>
        <v>Tp. Thủ Đức</v>
      </c>
      <c r="E403" s="31">
        <f ca="1">IFERROR(__xludf.DUMMYFUNCTION("""COMPUTED_VALUE"""),34)</f>
        <v>34</v>
      </c>
      <c r="F403" s="32">
        <f ca="1">IFERROR(__xludf.DUMMYFUNCTION("""COMPUTED_VALUE"""),34)</f>
        <v>34</v>
      </c>
      <c r="G403" s="32"/>
      <c r="H403" s="32">
        <f ca="1">IFERROR(__xludf.DUMMYFUNCTION("""COMPUTED_VALUE"""),34)</f>
        <v>34</v>
      </c>
      <c r="I403" s="32"/>
      <c r="J403" s="32">
        <f ca="1">IFERROR(__xludf.DUMMYFUNCTION("""COMPUTED_VALUE"""),34)</f>
        <v>34</v>
      </c>
      <c r="K403" s="32"/>
      <c r="L403" s="32">
        <f ca="1">IFERROR(__xludf.DUMMYFUNCTION("""COMPUTED_VALUE"""),0)</f>
        <v>0</v>
      </c>
      <c r="M403" s="32"/>
      <c r="N403" s="31">
        <f ca="1">IFERROR(__xludf.DUMMYFUNCTION("""COMPUTED_VALUE"""),0)</f>
        <v>0</v>
      </c>
      <c r="O403" s="32">
        <f ca="1">IFERROR(__xludf.DUMMYFUNCTION("""COMPUTED_VALUE"""),0)</f>
        <v>0</v>
      </c>
      <c r="P403" s="32"/>
      <c r="Q403" s="32">
        <f ca="1">IFERROR(__xludf.DUMMYFUNCTION("""COMPUTED_VALUE"""),0)</f>
        <v>0</v>
      </c>
      <c r="R403" s="32"/>
      <c r="S403" s="31">
        <f ca="1">IFERROR(__xludf.DUMMYFUNCTION("""COMPUTED_VALUE"""),0)</f>
        <v>0</v>
      </c>
      <c r="T403" s="32">
        <f ca="1">IFERROR(__xludf.DUMMYFUNCTION("""COMPUTED_VALUE"""),0)</f>
        <v>0</v>
      </c>
      <c r="U403" s="32"/>
      <c r="V403" s="32">
        <f ca="1">IFERROR(__xludf.DUMMYFUNCTION("""COMPUTED_VALUE"""),0)</f>
        <v>0</v>
      </c>
      <c r="W403" s="32"/>
      <c r="X403" s="32">
        <f ca="1">IFERROR(__xludf.DUMMYFUNCTION("""COMPUTED_VALUE"""),0)</f>
        <v>0</v>
      </c>
      <c r="Y403" s="32"/>
      <c r="Z403" s="2"/>
      <c r="AA403" s="2"/>
      <c r="AB403" s="2"/>
      <c r="AC403" s="2"/>
      <c r="AD403" s="2"/>
      <c r="AE403" s="2"/>
    </row>
    <row r="404" spans="1:31" ht="12.75" x14ac:dyDescent="0.2">
      <c r="A404" s="28">
        <f ca="1">IFERROR(__xludf.DUMMYFUNCTION("""COMPUTED_VALUE"""),41)</f>
        <v>41</v>
      </c>
      <c r="B404" s="29" t="str">
        <f ca="1">IFERROR(__xludf.DUMMYFUNCTION("""COMPUTED_VALUE"""),"MN Hướng Dương KV3")</f>
        <v>MN Hướng Dương KV3</v>
      </c>
      <c r="C404" s="33" t="str">
        <f ca="1">IFERROR(__xludf.DUMMYFUNCTION("""COMPUTED_VALUE"""),"MN")</f>
        <v>MN</v>
      </c>
      <c r="D404" s="30" t="str">
        <f ca="1">IFERROR(__xludf.DUMMYFUNCTION("""COMPUTED_VALUE"""),"Tp. Thủ Đức")</f>
        <v>Tp. Thủ Đức</v>
      </c>
      <c r="E404" s="31">
        <f ca="1">IFERROR(__xludf.DUMMYFUNCTION("""COMPUTED_VALUE"""),50)</f>
        <v>50</v>
      </c>
      <c r="F404" s="32">
        <f ca="1">IFERROR(__xludf.DUMMYFUNCTION("""COMPUTED_VALUE"""),50)</f>
        <v>50</v>
      </c>
      <c r="G404" s="32"/>
      <c r="H404" s="32">
        <f ca="1">IFERROR(__xludf.DUMMYFUNCTION("""COMPUTED_VALUE"""),50)</f>
        <v>50</v>
      </c>
      <c r="I404" s="32"/>
      <c r="J404" s="32">
        <f ca="1">IFERROR(__xludf.DUMMYFUNCTION("""COMPUTED_VALUE"""),24)</f>
        <v>24</v>
      </c>
      <c r="K404" s="32"/>
      <c r="L404" s="32">
        <f ca="1">IFERROR(__xludf.DUMMYFUNCTION("""COMPUTED_VALUE"""),8)</f>
        <v>8</v>
      </c>
      <c r="M404" s="32"/>
      <c r="N404" s="31">
        <f ca="1">IFERROR(__xludf.DUMMYFUNCTION("""COMPUTED_VALUE"""),0)</f>
        <v>0</v>
      </c>
      <c r="O404" s="32">
        <f ca="1">IFERROR(__xludf.DUMMYFUNCTION("""COMPUTED_VALUE"""),0)</f>
        <v>0</v>
      </c>
      <c r="P404" s="32"/>
      <c r="Q404" s="32">
        <f ca="1">IFERROR(__xludf.DUMMYFUNCTION("""COMPUTED_VALUE"""),0)</f>
        <v>0</v>
      </c>
      <c r="R404" s="32"/>
      <c r="S404" s="31">
        <f ca="1">IFERROR(__xludf.DUMMYFUNCTION("""COMPUTED_VALUE"""),0)</f>
        <v>0</v>
      </c>
      <c r="T404" s="32">
        <f ca="1">IFERROR(__xludf.DUMMYFUNCTION("""COMPUTED_VALUE"""),0)</f>
        <v>0</v>
      </c>
      <c r="U404" s="32"/>
      <c r="V404" s="32">
        <f ca="1">IFERROR(__xludf.DUMMYFUNCTION("""COMPUTED_VALUE"""),0)</f>
        <v>0</v>
      </c>
      <c r="W404" s="32"/>
      <c r="X404" s="32">
        <f ca="1">IFERROR(__xludf.DUMMYFUNCTION("""COMPUTED_VALUE"""),0)</f>
        <v>0</v>
      </c>
      <c r="Y404" s="32"/>
      <c r="Z404" s="2"/>
      <c r="AA404" s="2"/>
      <c r="AB404" s="2"/>
      <c r="AC404" s="2"/>
      <c r="AD404" s="2"/>
      <c r="AE404" s="2"/>
    </row>
    <row r="405" spans="1:31" ht="12.75" x14ac:dyDescent="0.2">
      <c r="A405" s="28">
        <f ca="1">IFERROR(__xludf.DUMMYFUNCTION("""COMPUTED_VALUE"""),42)</f>
        <v>42</v>
      </c>
      <c r="B405" s="29" t="str">
        <f ca="1">IFERROR(__xludf.DUMMYFUNCTION("""COMPUTED_VALUE"""),"MN Hướng Dương Vàng TĐ KV3")</f>
        <v>MN Hướng Dương Vàng TĐ KV3</v>
      </c>
      <c r="C405" s="33" t="str">
        <f ca="1">IFERROR(__xludf.DUMMYFUNCTION("""COMPUTED_VALUE"""),"MN")</f>
        <v>MN</v>
      </c>
      <c r="D405" s="30" t="str">
        <f ca="1">IFERROR(__xludf.DUMMYFUNCTION("""COMPUTED_VALUE"""),"Tp. Thủ Đức")</f>
        <v>Tp. Thủ Đức</v>
      </c>
      <c r="E405" s="31">
        <f ca="1">IFERROR(__xludf.DUMMYFUNCTION("""COMPUTED_VALUE"""),16)</f>
        <v>16</v>
      </c>
      <c r="F405" s="32">
        <f ca="1">IFERROR(__xludf.DUMMYFUNCTION("""COMPUTED_VALUE"""),16)</f>
        <v>16</v>
      </c>
      <c r="G405" s="32"/>
      <c r="H405" s="32">
        <f ca="1">IFERROR(__xludf.DUMMYFUNCTION("""COMPUTED_VALUE"""),16)</f>
        <v>16</v>
      </c>
      <c r="I405" s="32"/>
      <c r="J405" s="32">
        <f ca="1">IFERROR(__xludf.DUMMYFUNCTION("""COMPUTED_VALUE"""),16)</f>
        <v>16</v>
      </c>
      <c r="K405" s="32"/>
      <c r="L405" s="32">
        <f ca="1">IFERROR(__xludf.DUMMYFUNCTION("""COMPUTED_VALUE"""),1)</f>
        <v>1</v>
      </c>
      <c r="M405" s="32"/>
      <c r="N405" s="31">
        <f ca="1">IFERROR(__xludf.DUMMYFUNCTION("""COMPUTED_VALUE"""),0)</f>
        <v>0</v>
      </c>
      <c r="O405" s="32">
        <f ca="1">IFERROR(__xludf.DUMMYFUNCTION("""COMPUTED_VALUE"""),0)</f>
        <v>0</v>
      </c>
      <c r="P405" s="32"/>
      <c r="Q405" s="32">
        <f ca="1">IFERROR(__xludf.DUMMYFUNCTION("""COMPUTED_VALUE"""),0)</f>
        <v>0</v>
      </c>
      <c r="R405" s="32"/>
      <c r="S405" s="31">
        <f ca="1">IFERROR(__xludf.DUMMYFUNCTION("""COMPUTED_VALUE"""),0)</f>
        <v>0</v>
      </c>
      <c r="T405" s="32">
        <f ca="1">IFERROR(__xludf.DUMMYFUNCTION("""COMPUTED_VALUE"""),0)</f>
        <v>0</v>
      </c>
      <c r="U405" s="32"/>
      <c r="V405" s="32">
        <f ca="1">IFERROR(__xludf.DUMMYFUNCTION("""COMPUTED_VALUE"""),0)</f>
        <v>0</v>
      </c>
      <c r="W405" s="32"/>
      <c r="X405" s="32">
        <f ca="1">IFERROR(__xludf.DUMMYFUNCTION("""COMPUTED_VALUE"""),0)</f>
        <v>0</v>
      </c>
      <c r="Y405" s="32"/>
      <c r="Z405" s="2"/>
      <c r="AA405" s="2"/>
      <c r="AB405" s="2"/>
      <c r="AC405" s="2"/>
      <c r="AD405" s="2"/>
      <c r="AE405" s="2"/>
    </row>
    <row r="406" spans="1:31" ht="12.75" x14ac:dyDescent="0.2">
      <c r="A406" s="28">
        <f ca="1">IFERROR(__xludf.DUMMYFUNCTION("""COMPUTED_VALUE"""),43)</f>
        <v>43</v>
      </c>
      <c r="B406" s="29" t="str">
        <f ca="1">IFERROR(__xludf.DUMMYFUNCTION("""COMPUTED_VALUE"""),"MN Hương Lan KV3")</f>
        <v>MN Hương Lan KV3</v>
      </c>
      <c r="C406" s="33" t="str">
        <f ca="1">IFERROR(__xludf.DUMMYFUNCTION("""COMPUTED_VALUE"""),"MN")</f>
        <v>MN</v>
      </c>
      <c r="D406" s="30" t="str">
        <f ca="1">IFERROR(__xludf.DUMMYFUNCTION("""COMPUTED_VALUE"""),"Tp. Thủ Đức")</f>
        <v>Tp. Thủ Đức</v>
      </c>
      <c r="E406" s="31">
        <f ca="1">IFERROR(__xludf.DUMMYFUNCTION("""COMPUTED_VALUE"""),13)</f>
        <v>13</v>
      </c>
      <c r="F406" s="32">
        <f ca="1">IFERROR(__xludf.DUMMYFUNCTION("""COMPUTED_VALUE"""),13)</f>
        <v>13</v>
      </c>
      <c r="G406" s="32"/>
      <c r="H406" s="32">
        <f ca="1">IFERROR(__xludf.DUMMYFUNCTION("""COMPUTED_VALUE"""),13)</f>
        <v>13</v>
      </c>
      <c r="I406" s="32"/>
      <c r="J406" s="32">
        <f ca="1">IFERROR(__xludf.DUMMYFUNCTION("""COMPUTED_VALUE"""),3)</f>
        <v>3</v>
      </c>
      <c r="K406" s="32"/>
      <c r="L406" s="32">
        <f ca="1">IFERROR(__xludf.DUMMYFUNCTION("""COMPUTED_VALUE"""),0)</f>
        <v>0</v>
      </c>
      <c r="M406" s="32"/>
      <c r="N406" s="31">
        <f ca="1">IFERROR(__xludf.DUMMYFUNCTION("""COMPUTED_VALUE"""),0)</f>
        <v>0</v>
      </c>
      <c r="O406" s="32">
        <f ca="1">IFERROR(__xludf.DUMMYFUNCTION("""COMPUTED_VALUE"""),0)</f>
        <v>0</v>
      </c>
      <c r="P406" s="32"/>
      <c r="Q406" s="32">
        <f ca="1">IFERROR(__xludf.DUMMYFUNCTION("""COMPUTED_VALUE"""),0)</f>
        <v>0</v>
      </c>
      <c r="R406" s="32"/>
      <c r="S406" s="31">
        <f ca="1">IFERROR(__xludf.DUMMYFUNCTION("""COMPUTED_VALUE"""),0)</f>
        <v>0</v>
      </c>
      <c r="T406" s="32">
        <f ca="1">IFERROR(__xludf.DUMMYFUNCTION("""COMPUTED_VALUE"""),0)</f>
        <v>0</v>
      </c>
      <c r="U406" s="32"/>
      <c r="V406" s="32">
        <f ca="1">IFERROR(__xludf.DUMMYFUNCTION("""COMPUTED_VALUE"""),0)</f>
        <v>0</v>
      </c>
      <c r="W406" s="32"/>
      <c r="X406" s="32">
        <f ca="1">IFERROR(__xludf.DUMMYFUNCTION("""COMPUTED_VALUE"""),0)</f>
        <v>0</v>
      </c>
      <c r="Y406" s="32"/>
      <c r="Z406" s="2"/>
      <c r="AA406" s="2"/>
      <c r="AB406" s="2"/>
      <c r="AC406" s="2"/>
      <c r="AD406" s="2"/>
      <c r="AE406" s="2"/>
    </row>
    <row r="407" spans="1:31" ht="12.75" x14ac:dyDescent="0.2">
      <c r="A407" s="28">
        <f ca="1">IFERROR(__xludf.DUMMYFUNCTION("""COMPUTED_VALUE"""),44)</f>
        <v>44</v>
      </c>
      <c r="B407" s="29" t="str">
        <f ca="1">IFERROR(__xludf.DUMMYFUNCTION("""COMPUTED_VALUE"""),"MN Hương Nắng Hồng KV3")</f>
        <v>MN Hương Nắng Hồng KV3</v>
      </c>
      <c r="C407" s="33" t="str">
        <f ca="1">IFERROR(__xludf.DUMMYFUNCTION("""COMPUTED_VALUE"""),"MN")</f>
        <v>MN</v>
      </c>
      <c r="D407" s="30" t="str">
        <f ca="1">IFERROR(__xludf.DUMMYFUNCTION("""COMPUTED_VALUE"""),"Tp. Thủ Đức")</f>
        <v>Tp. Thủ Đức</v>
      </c>
      <c r="E407" s="31">
        <f ca="1">IFERROR(__xludf.DUMMYFUNCTION("""COMPUTED_VALUE"""),19)</f>
        <v>19</v>
      </c>
      <c r="F407" s="32">
        <f ca="1">IFERROR(__xludf.DUMMYFUNCTION("""COMPUTED_VALUE"""),19)</f>
        <v>19</v>
      </c>
      <c r="G407" s="32"/>
      <c r="H407" s="32">
        <f ca="1">IFERROR(__xludf.DUMMYFUNCTION("""COMPUTED_VALUE"""),19)</f>
        <v>19</v>
      </c>
      <c r="I407" s="32"/>
      <c r="J407" s="32">
        <f ca="1">IFERROR(__xludf.DUMMYFUNCTION("""COMPUTED_VALUE"""),11)</f>
        <v>11</v>
      </c>
      <c r="K407" s="32"/>
      <c r="L407" s="32">
        <f ca="1">IFERROR(__xludf.DUMMYFUNCTION("""COMPUTED_VALUE"""),0)</f>
        <v>0</v>
      </c>
      <c r="M407" s="32"/>
      <c r="N407" s="31">
        <f ca="1">IFERROR(__xludf.DUMMYFUNCTION("""COMPUTED_VALUE"""),0)</f>
        <v>0</v>
      </c>
      <c r="O407" s="32">
        <f ca="1">IFERROR(__xludf.DUMMYFUNCTION("""COMPUTED_VALUE"""),0)</f>
        <v>0</v>
      </c>
      <c r="P407" s="32"/>
      <c r="Q407" s="32">
        <f ca="1">IFERROR(__xludf.DUMMYFUNCTION("""COMPUTED_VALUE"""),0)</f>
        <v>0</v>
      </c>
      <c r="R407" s="32"/>
      <c r="S407" s="31">
        <f ca="1">IFERROR(__xludf.DUMMYFUNCTION("""COMPUTED_VALUE"""),0)</f>
        <v>0</v>
      </c>
      <c r="T407" s="32">
        <f ca="1">IFERROR(__xludf.DUMMYFUNCTION("""COMPUTED_VALUE"""),0)</f>
        <v>0</v>
      </c>
      <c r="U407" s="32"/>
      <c r="V407" s="32">
        <f ca="1">IFERROR(__xludf.DUMMYFUNCTION("""COMPUTED_VALUE"""),0)</f>
        <v>0</v>
      </c>
      <c r="W407" s="32"/>
      <c r="X407" s="32">
        <f ca="1">IFERROR(__xludf.DUMMYFUNCTION("""COMPUTED_VALUE"""),0)</f>
        <v>0</v>
      </c>
      <c r="Y407" s="32"/>
      <c r="Z407" s="2"/>
      <c r="AA407" s="2"/>
      <c r="AB407" s="2"/>
      <c r="AC407" s="2"/>
      <c r="AD407" s="2"/>
      <c r="AE407" s="2"/>
    </row>
    <row r="408" spans="1:31" ht="12.75" x14ac:dyDescent="0.2">
      <c r="A408" s="28">
        <f ca="1">IFERROR(__xludf.DUMMYFUNCTION("""COMPUTED_VALUE"""),45)</f>
        <v>45</v>
      </c>
      <c r="B408" s="29" t="str">
        <f ca="1">IFERROR(__xludf.DUMMYFUNCTION("""COMPUTED_VALUE"""),"MN Khai Tâm KV3")</f>
        <v>MN Khai Tâm KV3</v>
      </c>
      <c r="C408" s="33" t="str">
        <f ca="1">IFERROR(__xludf.DUMMYFUNCTION("""COMPUTED_VALUE"""),"MN")</f>
        <v>MN</v>
      </c>
      <c r="D408" s="30" t="str">
        <f ca="1">IFERROR(__xludf.DUMMYFUNCTION("""COMPUTED_VALUE"""),"Tp. Thủ Đức")</f>
        <v>Tp. Thủ Đức</v>
      </c>
      <c r="E408" s="31">
        <f ca="1">IFERROR(__xludf.DUMMYFUNCTION("""COMPUTED_VALUE"""),28)</f>
        <v>28</v>
      </c>
      <c r="F408" s="32">
        <f ca="1">IFERROR(__xludf.DUMMYFUNCTION("""COMPUTED_VALUE"""),28)</f>
        <v>28</v>
      </c>
      <c r="G408" s="32"/>
      <c r="H408" s="32">
        <f ca="1">IFERROR(__xludf.DUMMYFUNCTION("""COMPUTED_VALUE"""),28)</f>
        <v>28</v>
      </c>
      <c r="I408" s="32"/>
      <c r="J408" s="32">
        <f ca="1">IFERROR(__xludf.DUMMYFUNCTION("""COMPUTED_VALUE"""),27)</f>
        <v>27</v>
      </c>
      <c r="K408" s="32"/>
      <c r="L408" s="32">
        <f ca="1">IFERROR(__xludf.DUMMYFUNCTION("""COMPUTED_VALUE"""),0)</f>
        <v>0</v>
      </c>
      <c r="M408" s="32"/>
      <c r="N408" s="31">
        <f ca="1">IFERROR(__xludf.DUMMYFUNCTION("""COMPUTED_VALUE"""),0)</f>
        <v>0</v>
      </c>
      <c r="O408" s="32">
        <f ca="1">IFERROR(__xludf.DUMMYFUNCTION("""COMPUTED_VALUE"""),0)</f>
        <v>0</v>
      </c>
      <c r="P408" s="32"/>
      <c r="Q408" s="32">
        <f ca="1">IFERROR(__xludf.DUMMYFUNCTION("""COMPUTED_VALUE"""),0)</f>
        <v>0</v>
      </c>
      <c r="R408" s="32"/>
      <c r="S408" s="31">
        <f ca="1">IFERROR(__xludf.DUMMYFUNCTION("""COMPUTED_VALUE"""),0)</f>
        <v>0</v>
      </c>
      <c r="T408" s="32">
        <f ca="1">IFERROR(__xludf.DUMMYFUNCTION("""COMPUTED_VALUE"""),0)</f>
        <v>0</v>
      </c>
      <c r="U408" s="32"/>
      <c r="V408" s="32">
        <f ca="1">IFERROR(__xludf.DUMMYFUNCTION("""COMPUTED_VALUE"""),0)</f>
        <v>0</v>
      </c>
      <c r="W408" s="32"/>
      <c r="X408" s="32">
        <f ca="1">IFERROR(__xludf.DUMMYFUNCTION("""COMPUTED_VALUE"""),0)</f>
        <v>0</v>
      </c>
      <c r="Y408" s="32"/>
      <c r="Z408" s="2"/>
      <c r="AA408" s="2"/>
      <c r="AB408" s="2"/>
      <c r="AC408" s="2"/>
      <c r="AD408" s="2"/>
      <c r="AE408" s="2"/>
    </row>
    <row r="409" spans="1:31" ht="12.75" x14ac:dyDescent="0.2">
      <c r="A409" s="28">
        <f ca="1">IFERROR(__xludf.DUMMYFUNCTION("""COMPUTED_VALUE"""),46)</f>
        <v>46</v>
      </c>
      <c r="B409" s="29" t="str">
        <f ca="1">IFERROR(__xludf.DUMMYFUNCTION("""COMPUTED_VALUE"""),"MN Khánh Hỷ KV3")</f>
        <v>MN Khánh Hỷ KV3</v>
      </c>
      <c r="C409" s="33" t="str">
        <f ca="1">IFERROR(__xludf.DUMMYFUNCTION("""COMPUTED_VALUE"""),"MN")</f>
        <v>MN</v>
      </c>
      <c r="D409" s="30" t="str">
        <f ca="1">IFERROR(__xludf.DUMMYFUNCTION("""COMPUTED_VALUE"""),"Tp. Thủ Đức")</f>
        <v>Tp. Thủ Đức</v>
      </c>
      <c r="E409" s="31">
        <f ca="1">IFERROR(__xludf.DUMMYFUNCTION("""COMPUTED_VALUE"""),14)</f>
        <v>14</v>
      </c>
      <c r="F409" s="32">
        <f ca="1">IFERROR(__xludf.DUMMYFUNCTION("""COMPUTED_VALUE"""),14)</f>
        <v>14</v>
      </c>
      <c r="G409" s="32"/>
      <c r="H409" s="32">
        <f ca="1">IFERROR(__xludf.DUMMYFUNCTION("""COMPUTED_VALUE"""),14)</f>
        <v>14</v>
      </c>
      <c r="I409" s="32"/>
      <c r="J409" s="32">
        <f ca="1">IFERROR(__xludf.DUMMYFUNCTION("""COMPUTED_VALUE"""),14)</f>
        <v>14</v>
      </c>
      <c r="K409" s="32"/>
      <c r="L409" s="32">
        <f ca="1">IFERROR(__xludf.DUMMYFUNCTION("""COMPUTED_VALUE"""),0)</f>
        <v>0</v>
      </c>
      <c r="M409" s="32"/>
      <c r="N409" s="31">
        <f ca="1">IFERROR(__xludf.DUMMYFUNCTION("""COMPUTED_VALUE"""),0)</f>
        <v>0</v>
      </c>
      <c r="O409" s="32">
        <f ca="1">IFERROR(__xludf.DUMMYFUNCTION("""COMPUTED_VALUE"""),0)</f>
        <v>0</v>
      </c>
      <c r="P409" s="32"/>
      <c r="Q409" s="32">
        <f ca="1">IFERROR(__xludf.DUMMYFUNCTION("""COMPUTED_VALUE"""),0)</f>
        <v>0</v>
      </c>
      <c r="R409" s="32"/>
      <c r="S409" s="31">
        <f ca="1">IFERROR(__xludf.DUMMYFUNCTION("""COMPUTED_VALUE"""),0)</f>
        <v>0</v>
      </c>
      <c r="T409" s="32">
        <f ca="1">IFERROR(__xludf.DUMMYFUNCTION("""COMPUTED_VALUE"""),0)</f>
        <v>0</v>
      </c>
      <c r="U409" s="32"/>
      <c r="V409" s="32">
        <f ca="1">IFERROR(__xludf.DUMMYFUNCTION("""COMPUTED_VALUE"""),0)</f>
        <v>0</v>
      </c>
      <c r="W409" s="32"/>
      <c r="X409" s="32">
        <f ca="1">IFERROR(__xludf.DUMMYFUNCTION("""COMPUTED_VALUE"""),0)</f>
        <v>0</v>
      </c>
      <c r="Y409" s="32"/>
      <c r="Z409" s="2"/>
      <c r="AA409" s="2"/>
      <c r="AB409" s="2"/>
      <c r="AC409" s="2"/>
      <c r="AD409" s="2"/>
      <c r="AE409" s="2"/>
    </row>
    <row r="410" spans="1:31" ht="12.75" x14ac:dyDescent="0.2">
      <c r="A410" s="28">
        <f ca="1">IFERROR(__xludf.DUMMYFUNCTION("""COMPUTED_VALUE"""),47)</f>
        <v>47</v>
      </c>
      <c r="B410" s="29" t="str">
        <f ca="1">IFERROR(__xludf.DUMMYFUNCTION("""COMPUTED_VALUE"""),"MN Khiết Tâm KV3")</f>
        <v>MN Khiết Tâm KV3</v>
      </c>
      <c r="C410" s="33" t="str">
        <f ca="1">IFERROR(__xludf.DUMMYFUNCTION("""COMPUTED_VALUE"""),"MN")</f>
        <v>MN</v>
      </c>
      <c r="D410" s="30" t="str">
        <f ca="1">IFERROR(__xludf.DUMMYFUNCTION("""COMPUTED_VALUE"""),"Tp. Thủ Đức")</f>
        <v>Tp. Thủ Đức</v>
      </c>
      <c r="E410" s="31">
        <f ca="1">IFERROR(__xludf.DUMMYFUNCTION("""COMPUTED_VALUE"""),38)</f>
        <v>38</v>
      </c>
      <c r="F410" s="32">
        <f ca="1">IFERROR(__xludf.DUMMYFUNCTION("""COMPUTED_VALUE"""),38)</f>
        <v>38</v>
      </c>
      <c r="G410" s="32"/>
      <c r="H410" s="32">
        <f ca="1">IFERROR(__xludf.DUMMYFUNCTION("""COMPUTED_VALUE"""),38)</f>
        <v>38</v>
      </c>
      <c r="I410" s="32"/>
      <c r="J410" s="32">
        <f ca="1">IFERROR(__xludf.DUMMYFUNCTION("""COMPUTED_VALUE"""),38)</f>
        <v>38</v>
      </c>
      <c r="K410" s="32"/>
      <c r="L410" s="32">
        <f ca="1">IFERROR(__xludf.DUMMYFUNCTION("""COMPUTED_VALUE"""),0)</f>
        <v>0</v>
      </c>
      <c r="M410" s="32"/>
      <c r="N410" s="31">
        <f ca="1">IFERROR(__xludf.DUMMYFUNCTION("""COMPUTED_VALUE"""),0)</f>
        <v>0</v>
      </c>
      <c r="O410" s="32">
        <f ca="1">IFERROR(__xludf.DUMMYFUNCTION("""COMPUTED_VALUE"""),0)</f>
        <v>0</v>
      </c>
      <c r="P410" s="32"/>
      <c r="Q410" s="32">
        <f ca="1">IFERROR(__xludf.DUMMYFUNCTION("""COMPUTED_VALUE"""),0)</f>
        <v>0</v>
      </c>
      <c r="R410" s="32"/>
      <c r="S410" s="31">
        <f ca="1">IFERROR(__xludf.DUMMYFUNCTION("""COMPUTED_VALUE"""),0)</f>
        <v>0</v>
      </c>
      <c r="T410" s="32">
        <f ca="1">IFERROR(__xludf.DUMMYFUNCTION("""COMPUTED_VALUE"""),0)</f>
        <v>0</v>
      </c>
      <c r="U410" s="32"/>
      <c r="V410" s="32">
        <f ca="1">IFERROR(__xludf.DUMMYFUNCTION("""COMPUTED_VALUE"""),0)</f>
        <v>0</v>
      </c>
      <c r="W410" s="32"/>
      <c r="X410" s="32">
        <f ca="1">IFERROR(__xludf.DUMMYFUNCTION("""COMPUTED_VALUE"""),0)</f>
        <v>0</v>
      </c>
      <c r="Y410" s="32"/>
      <c r="Z410" s="2"/>
      <c r="AA410" s="2"/>
      <c r="AB410" s="2"/>
      <c r="AC410" s="2"/>
      <c r="AD410" s="2"/>
      <c r="AE410" s="2"/>
    </row>
    <row r="411" spans="1:31" ht="12.75" x14ac:dyDescent="0.2">
      <c r="A411" s="28">
        <f ca="1">IFERROR(__xludf.DUMMYFUNCTION("""COMPUTED_VALUE"""),48)</f>
        <v>48</v>
      </c>
      <c r="B411" s="29" t="str">
        <f ca="1">IFERROR(__xludf.DUMMYFUNCTION("""COMPUTED_VALUE"""),"MN Kiểu Mẫu KV3")</f>
        <v>MN Kiểu Mẫu KV3</v>
      </c>
      <c r="C411" s="33" t="str">
        <f ca="1">IFERROR(__xludf.DUMMYFUNCTION("""COMPUTED_VALUE"""),"MN")</f>
        <v>MN</v>
      </c>
      <c r="D411" s="30" t="str">
        <f ca="1">IFERROR(__xludf.DUMMYFUNCTION("""COMPUTED_VALUE"""),"Tp. Thủ Đức")</f>
        <v>Tp. Thủ Đức</v>
      </c>
      <c r="E411" s="31">
        <f ca="1">IFERROR(__xludf.DUMMYFUNCTION("""COMPUTED_VALUE"""),15)</f>
        <v>15</v>
      </c>
      <c r="F411" s="32">
        <f ca="1">IFERROR(__xludf.DUMMYFUNCTION("""COMPUTED_VALUE"""),15)</f>
        <v>15</v>
      </c>
      <c r="G411" s="32"/>
      <c r="H411" s="32">
        <f ca="1">IFERROR(__xludf.DUMMYFUNCTION("""COMPUTED_VALUE"""),15)</f>
        <v>15</v>
      </c>
      <c r="I411" s="32"/>
      <c r="J411" s="32">
        <f ca="1">IFERROR(__xludf.DUMMYFUNCTION("""COMPUTED_VALUE"""),12)</f>
        <v>12</v>
      </c>
      <c r="K411" s="32"/>
      <c r="L411" s="32">
        <f ca="1">IFERROR(__xludf.DUMMYFUNCTION("""COMPUTED_VALUE"""),5)</f>
        <v>5</v>
      </c>
      <c r="M411" s="32"/>
      <c r="N411" s="31">
        <f ca="1">IFERROR(__xludf.DUMMYFUNCTION("""COMPUTED_VALUE"""),0)</f>
        <v>0</v>
      </c>
      <c r="O411" s="32">
        <f ca="1">IFERROR(__xludf.DUMMYFUNCTION("""COMPUTED_VALUE"""),0)</f>
        <v>0</v>
      </c>
      <c r="P411" s="32"/>
      <c r="Q411" s="32">
        <f ca="1">IFERROR(__xludf.DUMMYFUNCTION("""COMPUTED_VALUE"""),0)</f>
        <v>0</v>
      </c>
      <c r="R411" s="32"/>
      <c r="S411" s="31">
        <f ca="1">IFERROR(__xludf.DUMMYFUNCTION("""COMPUTED_VALUE"""),0)</f>
        <v>0</v>
      </c>
      <c r="T411" s="32">
        <f ca="1">IFERROR(__xludf.DUMMYFUNCTION("""COMPUTED_VALUE"""),0)</f>
        <v>0</v>
      </c>
      <c r="U411" s="32"/>
      <c r="V411" s="32">
        <f ca="1">IFERROR(__xludf.DUMMYFUNCTION("""COMPUTED_VALUE"""),0)</f>
        <v>0</v>
      </c>
      <c r="W411" s="32"/>
      <c r="X411" s="32">
        <f ca="1">IFERROR(__xludf.DUMMYFUNCTION("""COMPUTED_VALUE"""),0)</f>
        <v>0</v>
      </c>
      <c r="Y411" s="32"/>
      <c r="Z411" s="2"/>
      <c r="AA411" s="2"/>
      <c r="AB411" s="2"/>
      <c r="AC411" s="2"/>
      <c r="AD411" s="2"/>
      <c r="AE411" s="2"/>
    </row>
    <row r="412" spans="1:31" ht="12.75" x14ac:dyDescent="0.2">
      <c r="A412" s="28">
        <f ca="1">IFERROR(__xludf.DUMMYFUNCTION("""COMPUTED_VALUE"""),49)</f>
        <v>49</v>
      </c>
      <c r="B412" s="29" t="str">
        <f ca="1">IFERROR(__xludf.DUMMYFUNCTION("""COMPUTED_VALUE"""),"MN Lá Phong Việt KV3")</f>
        <v>MN Lá Phong Việt KV3</v>
      </c>
      <c r="C412" s="33" t="str">
        <f ca="1">IFERROR(__xludf.DUMMYFUNCTION("""COMPUTED_VALUE"""),"MN")</f>
        <v>MN</v>
      </c>
      <c r="D412" s="30" t="str">
        <f ca="1">IFERROR(__xludf.DUMMYFUNCTION("""COMPUTED_VALUE"""),"Tp. Thủ Đức")</f>
        <v>Tp. Thủ Đức</v>
      </c>
      <c r="E412" s="31">
        <f ca="1">IFERROR(__xludf.DUMMYFUNCTION("""COMPUTED_VALUE"""),36)</f>
        <v>36</v>
      </c>
      <c r="F412" s="32">
        <f ca="1">IFERROR(__xludf.DUMMYFUNCTION("""COMPUTED_VALUE"""),36)</f>
        <v>36</v>
      </c>
      <c r="G412" s="32"/>
      <c r="H412" s="32">
        <f ca="1">IFERROR(__xludf.DUMMYFUNCTION("""COMPUTED_VALUE"""),36)</f>
        <v>36</v>
      </c>
      <c r="I412" s="32"/>
      <c r="J412" s="32">
        <f ca="1">IFERROR(__xludf.DUMMYFUNCTION("""COMPUTED_VALUE"""),33)</f>
        <v>33</v>
      </c>
      <c r="K412" s="32"/>
      <c r="L412" s="32">
        <f ca="1">IFERROR(__xludf.DUMMYFUNCTION("""COMPUTED_VALUE"""),3)</f>
        <v>3</v>
      </c>
      <c r="M412" s="32"/>
      <c r="N412" s="31">
        <f ca="1">IFERROR(__xludf.DUMMYFUNCTION("""COMPUTED_VALUE"""),0)</f>
        <v>0</v>
      </c>
      <c r="O412" s="32">
        <f ca="1">IFERROR(__xludf.DUMMYFUNCTION("""COMPUTED_VALUE"""),0)</f>
        <v>0</v>
      </c>
      <c r="P412" s="32"/>
      <c r="Q412" s="32">
        <f ca="1">IFERROR(__xludf.DUMMYFUNCTION("""COMPUTED_VALUE"""),0)</f>
        <v>0</v>
      </c>
      <c r="R412" s="32"/>
      <c r="S412" s="31">
        <f ca="1">IFERROR(__xludf.DUMMYFUNCTION("""COMPUTED_VALUE"""),0)</f>
        <v>0</v>
      </c>
      <c r="T412" s="32">
        <f ca="1">IFERROR(__xludf.DUMMYFUNCTION("""COMPUTED_VALUE"""),0)</f>
        <v>0</v>
      </c>
      <c r="U412" s="32"/>
      <c r="V412" s="32">
        <f ca="1">IFERROR(__xludf.DUMMYFUNCTION("""COMPUTED_VALUE"""),0)</f>
        <v>0</v>
      </c>
      <c r="W412" s="32"/>
      <c r="X412" s="32">
        <f ca="1">IFERROR(__xludf.DUMMYFUNCTION("""COMPUTED_VALUE"""),0)</f>
        <v>0</v>
      </c>
      <c r="Y412" s="32"/>
      <c r="Z412" s="2"/>
      <c r="AA412" s="2"/>
      <c r="AB412" s="2"/>
      <c r="AC412" s="2"/>
      <c r="AD412" s="2"/>
      <c r="AE412" s="2"/>
    </row>
    <row r="413" spans="1:31" ht="12.75" x14ac:dyDescent="0.2">
      <c r="A413" s="28">
        <f ca="1">IFERROR(__xludf.DUMMYFUNCTION("""COMPUTED_VALUE"""),50)</f>
        <v>50</v>
      </c>
      <c r="B413" s="29" t="str">
        <f ca="1">IFERROR(__xludf.DUMMYFUNCTION("""COMPUTED_VALUE"""),"MN Mai An KV3")</f>
        <v>MN Mai An KV3</v>
      </c>
      <c r="C413" s="33" t="str">
        <f ca="1">IFERROR(__xludf.DUMMYFUNCTION("""COMPUTED_VALUE"""),"MN")</f>
        <v>MN</v>
      </c>
      <c r="D413" s="30" t="str">
        <f ca="1">IFERROR(__xludf.DUMMYFUNCTION("""COMPUTED_VALUE"""),"Tp. Thủ Đức")</f>
        <v>Tp. Thủ Đức</v>
      </c>
      <c r="E413" s="31">
        <f ca="1">IFERROR(__xludf.DUMMYFUNCTION("""COMPUTED_VALUE"""),11)</f>
        <v>11</v>
      </c>
      <c r="F413" s="32">
        <f ca="1">IFERROR(__xludf.DUMMYFUNCTION("""COMPUTED_VALUE"""),11)</f>
        <v>11</v>
      </c>
      <c r="G413" s="32"/>
      <c r="H413" s="32">
        <f ca="1">IFERROR(__xludf.DUMMYFUNCTION("""COMPUTED_VALUE"""),11)</f>
        <v>11</v>
      </c>
      <c r="I413" s="32"/>
      <c r="J413" s="32">
        <f ca="1">IFERROR(__xludf.DUMMYFUNCTION("""COMPUTED_VALUE"""),10)</f>
        <v>10</v>
      </c>
      <c r="K413" s="32"/>
      <c r="L413" s="32">
        <f ca="1">IFERROR(__xludf.DUMMYFUNCTION("""COMPUTED_VALUE"""),1)</f>
        <v>1</v>
      </c>
      <c r="M413" s="32"/>
      <c r="N413" s="31">
        <f ca="1">IFERROR(__xludf.DUMMYFUNCTION("""COMPUTED_VALUE"""),0)</f>
        <v>0</v>
      </c>
      <c r="O413" s="32">
        <f ca="1">IFERROR(__xludf.DUMMYFUNCTION("""COMPUTED_VALUE"""),0)</f>
        <v>0</v>
      </c>
      <c r="P413" s="32"/>
      <c r="Q413" s="32">
        <f ca="1">IFERROR(__xludf.DUMMYFUNCTION("""COMPUTED_VALUE"""),0)</f>
        <v>0</v>
      </c>
      <c r="R413" s="32"/>
      <c r="S413" s="31">
        <f ca="1">IFERROR(__xludf.DUMMYFUNCTION("""COMPUTED_VALUE"""),0)</f>
        <v>0</v>
      </c>
      <c r="T413" s="32">
        <f ca="1">IFERROR(__xludf.DUMMYFUNCTION("""COMPUTED_VALUE"""),0)</f>
        <v>0</v>
      </c>
      <c r="U413" s="32"/>
      <c r="V413" s="32">
        <f ca="1">IFERROR(__xludf.DUMMYFUNCTION("""COMPUTED_VALUE"""),0)</f>
        <v>0</v>
      </c>
      <c r="W413" s="32"/>
      <c r="X413" s="32">
        <f ca="1">IFERROR(__xludf.DUMMYFUNCTION("""COMPUTED_VALUE"""),0)</f>
        <v>0</v>
      </c>
      <c r="Y413" s="32"/>
      <c r="Z413" s="2"/>
      <c r="AA413" s="2"/>
      <c r="AB413" s="2"/>
      <c r="AC413" s="2"/>
      <c r="AD413" s="2"/>
      <c r="AE413" s="2"/>
    </row>
    <row r="414" spans="1:31" ht="12.75" x14ac:dyDescent="0.2">
      <c r="A414" s="28">
        <f ca="1">IFERROR(__xludf.DUMMYFUNCTION("""COMPUTED_VALUE"""),51)</f>
        <v>51</v>
      </c>
      <c r="B414" s="29" t="str">
        <f ca="1">IFERROR(__xludf.DUMMYFUNCTION("""COMPUTED_VALUE"""),"MN Mai Anh KV3")</f>
        <v>MN Mai Anh KV3</v>
      </c>
      <c r="C414" s="33" t="str">
        <f ca="1">IFERROR(__xludf.DUMMYFUNCTION("""COMPUTED_VALUE"""),"MN")</f>
        <v>MN</v>
      </c>
      <c r="D414" s="30" t="str">
        <f ca="1">IFERROR(__xludf.DUMMYFUNCTION("""COMPUTED_VALUE"""),"Tp. Thủ Đức")</f>
        <v>Tp. Thủ Đức</v>
      </c>
      <c r="E414" s="31">
        <f ca="1">IFERROR(__xludf.DUMMYFUNCTION("""COMPUTED_VALUE"""),58)</f>
        <v>58</v>
      </c>
      <c r="F414" s="32">
        <f ca="1">IFERROR(__xludf.DUMMYFUNCTION("""COMPUTED_VALUE"""),58)</f>
        <v>58</v>
      </c>
      <c r="G414" s="32"/>
      <c r="H414" s="32">
        <f ca="1">IFERROR(__xludf.DUMMYFUNCTION("""COMPUTED_VALUE"""),58)</f>
        <v>58</v>
      </c>
      <c r="I414" s="32"/>
      <c r="J414" s="32">
        <f ca="1">IFERROR(__xludf.DUMMYFUNCTION("""COMPUTED_VALUE"""),58)</f>
        <v>58</v>
      </c>
      <c r="K414" s="32"/>
      <c r="L414" s="32">
        <f ca="1">IFERROR(__xludf.DUMMYFUNCTION("""COMPUTED_VALUE"""),0)</f>
        <v>0</v>
      </c>
      <c r="M414" s="32"/>
      <c r="N414" s="31">
        <f ca="1">IFERROR(__xludf.DUMMYFUNCTION("""COMPUTED_VALUE"""),0)</f>
        <v>0</v>
      </c>
      <c r="O414" s="32">
        <f ca="1">IFERROR(__xludf.DUMMYFUNCTION("""COMPUTED_VALUE"""),0)</f>
        <v>0</v>
      </c>
      <c r="P414" s="32"/>
      <c r="Q414" s="32">
        <f ca="1">IFERROR(__xludf.DUMMYFUNCTION("""COMPUTED_VALUE"""),0)</f>
        <v>0</v>
      </c>
      <c r="R414" s="32"/>
      <c r="S414" s="31">
        <f ca="1">IFERROR(__xludf.DUMMYFUNCTION("""COMPUTED_VALUE"""),0)</f>
        <v>0</v>
      </c>
      <c r="T414" s="32">
        <f ca="1">IFERROR(__xludf.DUMMYFUNCTION("""COMPUTED_VALUE"""),0)</f>
        <v>0</v>
      </c>
      <c r="U414" s="32"/>
      <c r="V414" s="32">
        <f ca="1">IFERROR(__xludf.DUMMYFUNCTION("""COMPUTED_VALUE"""),0)</f>
        <v>0</v>
      </c>
      <c r="W414" s="32"/>
      <c r="X414" s="32">
        <f ca="1">IFERROR(__xludf.DUMMYFUNCTION("""COMPUTED_VALUE"""),0)</f>
        <v>0</v>
      </c>
      <c r="Y414" s="32"/>
      <c r="Z414" s="2"/>
      <c r="AA414" s="2"/>
      <c r="AB414" s="2"/>
      <c r="AC414" s="2"/>
      <c r="AD414" s="2"/>
      <c r="AE414" s="2"/>
    </row>
    <row r="415" spans="1:31" ht="12.75" x14ac:dyDescent="0.2">
      <c r="A415" s="28">
        <f ca="1">IFERROR(__xludf.DUMMYFUNCTION("""COMPUTED_VALUE"""),52)</f>
        <v>52</v>
      </c>
      <c r="B415" s="29" t="str">
        <f ca="1">IFERROR(__xludf.DUMMYFUNCTION("""COMPUTED_VALUE"""),"MN Mai Vàng KV3")</f>
        <v>MN Mai Vàng KV3</v>
      </c>
      <c r="C415" s="33" t="str">
        <f ca="1">IFERROR(__xludf.DUMMYFUNCTION("""COMPUTED_VALUE"""),"MN")</f>
        <v>MN</v>
      </c>
      <c r="D415" s="30" t="str">
        <f ca="1">IFERROR(__xludf.DUMMYFUNCTION("""COMPUTED_VALUE"""),"Tp. Thủ Đức")</f>
        <v>Tp. Thủ Đức</v>
      </c>
      <c r="E415" s="31">
        <f ca="1">IFERROR(__xludf.DUMMYFUNCTION("""COMPUTED_VALUE"""),10)</f>
        <v>10</v>
      </c>
      <c r="F415" s="32">
        <f ca="1">IFERROR(__xludf.DUMMYFUNCTION("""COMPUTED_VALUE"""),10)</f>
        <v>10</v>
      </c>
      <c r="G415" s="32"/>
      <c r="H415" s="32">
        <f ca="1">IFERROR(__xludf.DUMMYFUNCTION("""COMPUTED_VALUE"""),10)</f>
        <v>10</v>
      </c>
      <c r="I415" s="32"/>
      <c r="J415" s="32">
        <f ca="1">IFERROR(__xludf.DUMMYFUNCTION("""COMPUTED_VALUE"""),10)</f>
        <v>10</v>
      </c>
      <c r="K415" s="32"/>
      <c r="L415" s="32">
        <f ca="1">IFERROR(__xludf.DUMMYFUNCTION("""COMPUTED_VALUE"""),0)</f>
        <v>0</v>
      </c>
      <c r="M415" s="32"/>
      <c r="N415" s="31">
        <f ca="1">IFERROR(__xludf.DUMMYFUNCTION("""COMPUTED_VALUE"""),0)</f>
        <v>0</v>
      </c>
      <c r="O415" s="32">
        <f ca="1">IFERROR(__xludf.DUMMYFUNCTION("""COMPUTED_VALUE"""),0)</f>
        <v>0</v>
      </c>
      <c r="P415" s="32"/>
      <c r="Q415" s="32">
        <f ca="1">IFERROR(__xludf.DUMMYFUNCTION("""COMPUTED_VALUE"""),0)</f>
        <v>0</v>
      </c>
      <c r="R415" s="32"/>
      <c r="S415" s="31">
        <f ca="1">IFERROR(__xludf.DUMMYFUNCTION("""COMPUTED_VALUE"""),0)</f>
        <v>0</v>
      </c>
      <c r="T415" s="32">
        <f ca="1">IFERROR(__xludf.DUMMYFUNCTION("""COMPUTED_VALUE"""),0)</f>
        <v>0</v>
      </c>
      <c r="U415" s="32"/>
      <c r="V415" s="32">
        <f ca="1">IFERROR(__xludf.DUMMYFUNCTION("""COMPUTED_VALUE"""),0)</f>
        <v>0</v>
      </c>
      <c r="W415" s="32"/>
      <c r="X415" s="32">
        <f ca="1">IFERROR(__xludf.DUMMYFUNCTION("""COMPUTED_VALUE"""),0)</f>
        <v>0</v>
      </c>
      <c r="Y415" s="32"/>
      <c r="Z415" s="2"/>
      <c r="AA415" s="2"/>
      <c r="AB415" s="2"/>
      <c r="AC415" s="2"/>
      <c r="AD415" s="2"/>
      <c r="AE415" s="2"/>
    </row>
    <row r="416" spans="1:31" ht="12.75" x14ac:dyDescent="0.2">
      <c r="A416" s="28">
        <f ca="1">IFERROR(__xludf.DUMMYFUNCTION("""COMPUTED_VALUE"""),53)</f>
        <v>53</v>
      </c>
      <c r="B416" s="29" t="str">
        <f ca="1">IFERROR(__xludf.DUMMYFUNCTION("""COMPUTED_VALUE"""),"MN MaiKa KV3")</f>
        <v>MN MaiKa KV3</v>
      </c>
      <c r="C416" s="33" t="str">
        <f ca="1">IFERROR(__xludf.DUMMYFUNCTION("""COMPUTED_VALUE"""),"MN")</f>
        <v>MN</v>
      </c>
      <c r="D416" s="30" t="str">
        <f ca="1">IFERROR(__xludf.DUMMYFUNCTION("""COMPUTED_VALUE"""),"Tp. Thủ Đức")</f>
        <v>Tp. Thủ Đức</v>
      </c>
      <c r="E416" s="31">
        <f ca="1">IFERROR(__xludf.DUMMYFUNCTION("""COMPUTED_VALUE"""),8)</f>
        <v>8</v>
      </c>
      <c r="F416" s="32">
        <f ca="1">IFERROR(__xludf.DUMMYFUNCTION("""COMPUTED_VALUE"""),8)</f>
        <v>8</v>
      </c>
      <c r="G416" s="32"/>
      <c r="H416" s="32">
        <f ca="1">IFERROR(__xludf.DUMMYFUNCTION("""COMPUTED_VALUE"""),8)</f>
        <v>8</v>
      </c>
      <c r="I416" s="32"/>
      <c r="J416" s="32">
        <f ca="1">IFERROR(__xludf.DUMMYFUNCTION("""COMPUTED_VALUE"""),8)</f>
        <v>8</v>
      </c>
      <c r="K416" s="32"/>
      <c r="L416" s="32">
        <f ca="1">IFERROR(__xludf.DUMMYFUNCTION("""COMPUTED_VALUE"""),0)</f>
        <v>0</v>
      </c>
      <c r="M416" s="32"/>
      <c r="N416" s="31">
        <f ca="1">IFERROR(__xludf.DUMMYFUNCTION("""COMPUTED_VALUE"""),0)</f>
        <v>0</v>
      </c>
      <c r="O416" s="32">
        <f ca="1">IFERROR(__xludf.DUMMYFUNCTION("""COMPUTED_VALUE"""),0)</f>
        <v>0</v>
      </c>
      <c r="P416" s="32"/>
      <c r="Q416" s="32">
        <f ca="1">IFERROR(__xludf.DUMMYFUNCTION("""COMPUTED_VALUE"""),0)</f>
        <v>0</v>
      </c>
      <c r="R416" s="32"/>
      <c r="S416" s="31">
        <f ca="1">IFERROR(__xludf.DUMMYFUNCTION("""COMPUTED_VALUE"""),0)</f>
        <v>0</v>
      </c>
      <c r="T416" s="32">
        <f ca="1">IFERROR(__xludf.DUMMYFUNCTION("""COMPUTED_VALUE"""),0)</f>
        <v>0</v>
      </c>
      <c r="U416" s="32"/>
      <c r="V416" s="32">
        <f ca="1">IFERROR(__xludf.DUMMYFUNCTION("""COMPUTED_VALUE"""),0)</f>
        <v>0</v>
      </c>
      <c r="W416" s="32"/>
      <c r="X416" s="32">
        <f ca="1">IFERROR(__xludf.DUMMYFUNCTION("""COMPUTED_VALUE"""),0)</f>
        <v>0</v>
      </c>
      <c r="Y416" s="32"/>
      <c r="Z416" s="2"/>
      <c r="AA416" s="2"/>
      <c r="AB416" s="2"/>
      <c r="AC416" s="2"/>
      <c r="AD416" s="2"/>
      <c r="AE416" s="2"/>
    </row>
    <row r="417" spans="1:31" ht="12.75" x14ac:dyDescent="0.2">
      <c r="A417" s="28">
        <f ca="1">IFERROR(__xludf.DUMMYFUNCTION("""COMPUTED_VALUE"""),54)</f>
        <v>54</v>
      </c>
      <c r="B417" s="29" t="str">
        <f ca="1">IFERROR(__xludf.DUMMYFUNCTION("""COMPUTED_VALUE"""),"MN Măng Non 3 KV3")</f>
        <v>MN Măng Non 3 KV3</v>
      </c>
      <c r="C417" s="33" t="str">
        <f ca="1">IFERROR(__xludf.DUMMYFUNCTION("""COMPUTED_VALUE"""),"MN")</f>
        <v>MN</v>
      </c>
      <c r="D417" s="30" t="str">
        <f ca="1">IFERROR(__xludf.DUMMYFUNCTION("""COMPUTED_VALUE"""),"Tp. Thủ Đức")</f>
        <v>Tp. Thủ Đức</v>
      </c>
      <c r="E417" s="31">
        <f ca="1">IFERROR(__xludf.DUMMYFUNCTION("""COMPUTED_VALUE"""),27)</f>
        <v>27</v>
      </c>
      <c r="F417" s="32">
        <f ca="1">IFERROR(__xludf.DUMMYFUNCTION("""COMPUTED_VALUE"""),27)</f>
        <v>27</v>
      </c>
      <c r="G417" s="32"/>
      <c r="H417" s="32">
        <f ca="1">IFERROR(__xludf.DUMMYFUNCTION("""COMPUTED_VALUE"""),27)</f>
        <v>27</v>
      </c>
      <c r="I417" s="32"/>
      <c r="J417" s="32">
        <f ca="1">IFERROR(__xludf.DUMMYFUNCTION("""COMPUTED_VALUE"""),18)</f>
        <v>18</v>
      </c>
      <c r="K417" s="32"/>
      <c r="L417" s="32">
        <f ca="1">IFERROR(__xludf.DUMMYFUNCTION("""COMPUTED_VALUE"""),0)</f>
        <v>0</v>
      </c>
      <c r="M417" s="32"/>
      <c r="N417" s="31">
        <f ca="1">IFERROR(__xludf.DUMMYFUNCTION("""COMPUTED_VALUE"""),0)</f>
        <v>0</v>
      </c>
      <c r="O417" s="32">
        <f ca="1">IFERROR(__xludf.DUMMYFUNCTION("""COMPUTED_VALUE"""),0)</f>
        <v>0</v>
      </c>
      <c r="P417" s="32"/>
      <c r="Q417" s="32">
        <f ca="1">IFERROR(__xludf.DUMMYFUNCTION("""COMPUTED_VALUE"""),0)</f>
        <v>0</v>
      </c>
      <c r="R417" s="32"/>
      <c r="S417" s="31">
        <f ca="1">IFERROR(__xludf.DUMMYFUNCTION("""COMPUTED_VALUE"""),0)</f>
        <v>0</v>
      </c>
      <c r="T417" s="32">
        <f ca="1">IFERROR(__xludf.DUMMYFUNCTION("""COMPUTED_VALUE"""),0)</f>
        <v>0</v>
      </c>
      <c r="U417" s="32"/>
      <c r="V417" s="32">
        <f ca="1">IFERROR(__xludf.DUMMYFUNCTION("""COMPUTED_VALUE"""),0)</f>
        <v>0</v>
      </c>
      <c r="W417" s="32"/>
      <c r="X417" s="32">
        <f ca="1">IFERROR(__xludf.DUMMYFUNCTION("""COMPUTED_VALUE"""),0)</f>
        <v>0</v>
      </c>
      <c r="Y417" s="32"/>
      <c r="Z417" s="2"/>
      <c r="AA417" s="2"/>
      <c r="AB417" s="2"/>
      <c r="AC417" s="2"/>
      <c r="AD417" s="2"/>
      <c r="AE417" s="2"/>
    </row>
    <row r="418" spans="1:31" ht="12.75" x14ac:dyDescent="0.2">
      <c r="A418" s="28">
        <f ca="1">IFERROR(__xludf.DUMMYFUNCTION("""COMPUTED_VALUE"""),55)</f>
        <v>55</v>
      </c>
      <c r="B418" s="29" t="str">
        <f ca="1">IFERROR(__xludf.DUMMYFUNCTION("""COMPUTED_VALUE"""),"MN Mặt Trời KV3")</f>
        <v>MN Mặt Trời KV3</v>
      </c>
      <c r="C418" s="33" t="str">
        <f ca="1">IFERROR(__xludf.DUMMYFUNCTION("""COMPUTED_VALUE"""),"MN")</f>
        <v>MN</v>
      </c>
      <c r="D418" s="30" t="str">
        <f ca="1">IFERROR(__xludf.DUMMYFUNCTION("""COMPUTED_VALUE"""),"Tp. Thủ Đức")</f>
        <v>Tp. Thủ Đức</v>
      </c>
      <c r="E418" s="31">
        <f ca="1">IFERROR(__xludf.DUMMYFUNCTION("""COMPUTED_VALUE"""),22)</f>
        <v>22</v>
      </c>
      <c r="F418" s="32">
        <f ca="1">IFERROR(__xludf.DUMMYFUNCTION("""COMPUTED_VALUE"""),22)</f>
        <v>22</v>
      </c>
      <c r="G418" s="32"/>
      <c r="H418" s="32">
        <f ca="1">IFERROR(__xludf.DUMMYFUNCTION("""COMPUTED_VALUE"""),22)</f>
        <v>22</v>
      </c>
      <c r="I418" s="32"/>
      <c r="J418" s="32">
        <f ca="1">IFERROR(__xludf.DUMMYFUNCTION("""COMPUTED_VALUE"""),22)</f>
        <v>22</v>
      </c>
      <c r="K418" s="32"/>
      <c r="L418" s="32">
        <f ca="1">IFERROR(__xludf.DUMMYFUNCTION("""COMPUTED_VALUE"""),2)</f>
        <v>2</v>
      </c>
      <c r="M418" s="32"/>
      <c r="N418" s="31">
        <f ca="1">IFERROR(__xludf.DUMMYFUNCTION("""COMPUTED_VALUE"""),0)</f>
        <v>0</v>
      </c>
      <c r="O418" s="32">
        <f ca="1">IFERROR(__xludf.DUMMYFUNCTION("""COMPUTED_VALUE"""),0)</f>
        <v>0</v>
      </c>
      <c r="P418" s="32"/>
      <c r="Q418" s="32">
        <f ca="1">IFERROR(__xludf.DUMMYFUNCTION("""COMPUTED_VALUE"""),0)</f>
        <v>0</v>
      </c>
      <c r="R418" s="32"/>
      <c r="S418" s="31">
        <f ca="1">IFERROR(__xludf.DUMMYFUNCTION("""COMPUTED_VALUE"""),0)</f>
        <v>0</v>
      </c>
      <c r="T418" s="32">
        <f ca="1">IFERROR(__xludf.DUMMYFUNCTION("""COMPUTED_VALUE"""),0)</f>
        <v>0</v>
      </c>
      <c r="U418" s="32"/>
      <c r="V418" s="32">
        <f ca="1">IFERROR(__xludf.DUMMYFUNCTION("""COMPUTED_VALUE"""),0)</f>
        <v>0</v>
      </c>
      <c r="W418" s="32"/>
      <c r="X418" s="32">
        <f ca="1">IFERROR(__xludf.DUMMYFUNCTION("""COMPUTED_VALUE"""),0)</f>
        <v>0</v>
      </c>
      <c r="Y418" s="32"/>
      <c r="Z418" s="2"/>
      <c r="AA418" s="2"/>
      <c r="AB418" s="2"/>
      <c r="AC418" s="2"/>
      <c r="AD418" s="2"/>
      <c r="AE418" s="2"/>
    </row>
    <row r="419" spans="1:31" ht="12.75" x14ac:dyDescent="0.2">
      <c r="A419" s="28">
        <f ca="1">IFERROR(__xludf.DUMMYFUNCTION("""COMPUTED_VALUE"""),56)</f>
        <v>56</v>
      </c>
      <c r="B419" s="29" t="str">
        <f ca="1">IFERROR(__xludf.DUMMYFUNCTION("""COMPUTED_VALUE"""),"MN Mặt Trời Bé Con KV3")</f>
        <v>MN Mặt Trời Bé Con KV3</v>
      </c>
      <c r="C419" s="33" t="str">
        <f ca="1">IFERROR(__xludf.DUMMYFUNCTION("""COMPUTED_VALUE"""),"MN")</f>
        <v>MN</v>
      </c>
      <c r="D419" s="30" t="str">
        <f ca="1">IFERROR(__xludf.DUMMYFUNCTION("""COMPUTED_VALUE"""),"Tp. Thủ Đức")</f>
        <v>Tp. Thủ Đức</v>
      </c>
      <c r="E419" s="31">
        <f ca="1">IFERROR(__xludf.DUMMYFUNCTION("""COMPUTED_VALUE"""),13)</f>
        <v>13</v>
      </c>
      <c r="F419" s="32">
        <f ca="1">IFERROR(__xludf.DUMMYFUNCTION("""COMPUTED_VALUE"""),13)</f>
        <v>13</v>
      </c>
      <c r="G419" s="32"/>
      <c r="H419" s="32">
        <f ca="1">IFERROR(__xludf.DUMMYFUNCTION("""COMPUTED_VALUE"""),13)</f>
        <v>13</v>
      </c>
      <c r="I419" s="32"/>
      <c r="J419" s="32">
        <f ca="1">IFERROR(__xludf.DUMMYFUNCTION("""COMPUTED_VALUE"""),13)</f>
        <v>13</v>
      </c>
      <c r="K419" s="32"/>
      <c r="L419" s="32">
        <f ca="1">IFERROR(__xludf.DUMMYFUNCTION("""COMPUTED_VALUE"""),0)</f>
        <v>0</v>
      </c>
      <c r="M419" s="32"/>
      <c r="N419" s="31">
        <f ca="1">IFERROR(__xludf.DUMMYFUNCTION("""COMPUTED_VALUE"""),0)</f>
        <v>0</v>
      </c>
      <c r="O419" s="32">
        <f ca="1">IFERROR(__xludf.DUMMYFUNCTION("""COMPUTED_VALUE"""),0)</f>
        <v>0</v>
      </c>
      <c r="P419" s="32"/>
      <c r="Q419" s="32">
        <f ca="1">IFERROR(__xludf.DUMMYFUNCTION("""COMPUTED_VALUE"""),0)</f>
        <v>0</v>
      </c>
      <c r="R419" s="32"/>
      <c r="S419" s="31">
        <f ca="1">IFERROR(__xludf.DUMMYFUNCTION("""COMPUTED_VALUE"""),0)</f>
        <v>0</v>
      </c>
      <c r="T419" s="32">
        <f ca="1">IFERROR(__xludf.DUMMYFUNCTION("""COMPUTED_VALUE"""),0)</f>
        <v>0</v>
      </c>
      <c r="U419" s="32"/>
      <c r="V419" s="32">
        <f ca="1">IFERROR(__xludf.DUMMYFUNCTION("""COMPUTED_VALUE"""),0)</f>
        <v>0</v>
      </c>
      <c r="W419" s="32"/>
      <c r="X419" s="32">
        <f ca="1">IFERROR(__xludf.DUMMYFUNCTION("""COMPUTED_VALUE"""),0)</f>
        <v>0</v>
      </c>
      <c r="Y419" s="32"/>
      <c r="Z419" s="2"/>
      <c r="AA419" s="2"/>
      <c r="AB419" s="2"/>
      <c r="AC419" s="2"/>
      <c r="AD419" s="2"/>
      <c r="AE419" s="2"/>
    </row>
    <row r="420" spans="1:31" ht="12.75" x14ac:dyDescent="0.2">
      <c r="A420" s="28">
        <f ca="1">IFERROR(__xludf.DUMMYFUNCTION("""COMPUTED_VALUE"""),57)</f>
        <v>57</v>
      </c>
      <c r="B420" s="29" t="str">
        <f ca="1">IFERROR(__xludf.DUMMYFUNCTION("""COMPUTED_VALUE"""),"MN Mặt Trời Đỏ KV3")</f>
        <v>MN Mặt Trời Đỏ KV3</v>
      </c>
      <c r="C420" s="33" t="str">
        <f ca="1">IFERROR(__xludf.DUMMYFUNCTION("""COMPUTED_VALUE"""),"MN")</f>
        <v>MN</v>
      </c>
      <c r="D420" s="30" t="str">
        <f ca="1">IFERROR(__xludf.DUMMYFUNCTION("""COMPUTED_VALUE"""),"Tp. Thủ Đức")</f>
        <v>Tp. Thủ Đức</v>
      </c>
      <c r="E420" s="31">
        <f ca="1">IFERROR(__xludf.DUMMYFUNCTION("""COMPUTED_VALUE"""),11)</f>
        <v>11</v>
      </c>
      <c r="F420" s="32">
        <f ca="1">IFERROR(__xludf.DUMMYFUNCTION("""COMPUTED_VALUE"""),11)</f>
        <v>11</v>
      </c>
      <c r="G420" s="32"/>
      <c r="H420" s="32">
        <f ca="1">IFERROR(__xludf.DUMMYFUNCTION("""COMPUTED_VALUE"""),11)</f>
        <v>11</v>
      </c>
      <c r="I420" s="32"/>
      <c r="J420" s="32">
        <f ca="1">IFERROR(__xludf.DUMMYFUNCTION("""COMPUTED_VALUE"""),9)</f>
        <v>9</v>
      </c>
      <c r="K420" s="32"/>
      <c r="L420" s="32">
        <f ca="1">IFERROR(__xludf.DUMMYFUNCTION("""COMPUTED_VALUE"""),8)</f>
        <v>8</v>
      </c>
      <c r="M420" s="32"/>
      <c r="N420" s="31">
        <f ca="1">IFERROR(__xludf.DUMMYFUNCTION("""COMPUTED_VALUE"""),0)</f>
        <v>0</v>
      </c>
      <c r="O420" s="32">
        <f ca="1">IFERROR(__xludf.DUMMYFUNCTION("""COMPUTED_VALUE"""),0)</f>
        <v>0</v>
      </c>
      <c r="P420" s="32"/>
      <c r="Q420" s="32">
        <f ca="1">IFERROR(__xludf.DUMMYFUNCTION("""COMPUTED_VALUE"""),0)</f>
        <v>0</v>
      </c>
      <c r="R420" s="32"/>
      <c r="S420" s="31">
        <f ca="1">IFERROR(__xludf.DUMMYFUNCTION("""COMPUTED_VALUE"""),0)</f>
        <v>0</v>
      </c>
      <c r="T420" s="32">
        <f ca="1">IFERROR(__xludf.DUMMYFUNCTION("""COMPUTED_VALUE"""),0)</f>
        <v>0</v>
      </c>
      <c r="U420" s="32"/>
      <c r="V420" s="32">
        <f ca="1">IFERROR(__xludf.DUMMYFUNCTION("""COMPUTED_VALUE"""),0)</f>
        <v>0</v>
      </c>
      <c r="W420" s="32"/>
      <c r="X420" s="32">
        <f ca="1">IFERROR(__xludf.DUMMYFUNCTION("""COMPUTED_VALUE"""),0)</f>
        <v>0</v>
      </c>
      <c r="Y420" s="32"/>
      <c r="Z420" s="2"/>
      <c r="AA420" s="2"/>
      <c r="AB420" s="2"/>
      <c r="AC420" s="2"/>
      <c r="AD420" s="2"/>
      <c r="AE420" s="2"/>
    </row>
    <row r="421" spans="1:31" ht="12.75" x14ac:dyDescent="0.2">
      <c r="A421" s="28">
        <f ca="1">IFERROR(__xludf.DUMMYFUNCTION("""COMPUTED_VALUE"""),58)</f>
        <v>58</v>
      </c>
      <c r="B421" s="29" t="str">
        <f ca="1">IFERROR(__xludf.DUMMYFUNCTION("""COMPUTED_VALUE"""),"MN Mỹ Phước KV3")</f>
        <v>MN Mỹ Phước KV3</v>
      </c>
      <c r="C421" s="33" t="str">
        <f ca="1">IFERROR(__xludf.DUMMYFUNCTION("""COMPUTED_VALUE"""),"MN")</f>
        <v>MN</v>
      </c>
      <c r="D421" s="30" t="str">
        <f ca="1">IFERROR(__xludf.DUMMYFUNCTION("""COMPUTED_VALUE"""),"Tp. Thủ Đức")</f>
        <v>Tp. Thủ Đức</v>
      </c>
      <c r="E421" s="31">
        <f ca="1">IFERROR(__xludf.DUMMYFUNCTION("""COMPUTED_VALUE"""),11)</f>
        <v>11</v>
      </c>
      <c r="F421" s="32">
        <f ca="1">IFERROR(__xludf.DUMMYFUNCTION("""COMPUTED_VALUE"""),11)</f>
        <v>11</v>
      </c>
      <c r="G421" s="32"/>
      <c r="H421" s="32">
        <f ca="1">IFERROR(__xludf.DUMMYFUNCTION("""COMPUTED_VALUE"""),11)</f>
        <v>11</v>
      </c>
      <c r="I421" s="32"/>
      <c r="J421" s="32">
        <f ca="1">IFERROR(__xludf.DUMMYFUNCTION("""COMPUTED_VALUE"""),5)</f>
        <v>5</v>
      </c>
      <c r="K421" s="32"/>
      <c r="L421" s="32">
        <f ca="1">IFERROR(__xludf.DUMMYFUNCTION("""COMPUTED_VALUE"""),0)</f>
        <v>0</v>
      </c>
      <c r="M421" s="32"/>
      <c r="N421" s="31">
        <f ca="1">IFERROR(__xludf.DUMMYFUNCTION("""COMPUTED_VALUE"""),0)</f>
        <v>0</v>
      </c>
      <c r="O421" s="32">
        <f ca="1">IFERROR(__xludf.DUMMYFUNCTION("""COMPUTED_VALUE"""),0)</f>
        <v>0</v>
      </c>
      <c r="P421" s="32"/>
      <c r="Q421" s="32">
        <f ca="1">IFERROR(__xludf.DUMMYFUNCTION("""COMPUTED_VALUE"""),0)</f>
        <v>0</v>
      </c>
      <c r="R421" s="32"/>
      <c r="S421" s="31">
        <f ca="1">IFERROR(__xludf.DUMMYFUNCTION("""COMPUTED_VALUE"""),0)</f>
        <v>0</v>
      </c>
      <c r="T421" s="32">
        <f ca="1">IFERROR(__xludf.DUMMYFUNCTION("""COMPUTED_VALUE"""),0)</f>
        <v>0</v>
      </c>
      <c r="U421" s="32"/>
      <c r="V421" s="32">
        <f ca="1">IFERROR(__xludf.DUMMYFUNCTION("""COMPUTED_VALUE"""),0)</f>
        <v>0</v>
      </c>
      <c r="W421" s="32"/>
      <c r="X421" s="32">
        <f ca="1">IFERROR(__xludf.DUMMYFUNCTION("""COMPUTED_VALUE"""),0)</f>
        <v>0</v>
      </c>
      <c r="Y421" s="32"/>
      <c r="Z421" s="2"/>
      <c r="AA421" s="2"/>
      <c r="AB421" s="2"/>
      <c r="AC421" s="2"/>
      <c r="AD421" s="2"/>
      <c r="AE421" s="2"/>
    </row>
    <row r="422" spans="1:31" ht="12.75" x14ac:dyDescent="0.2">
      <c r="A422" s="28">
        <f ca="1">IFERROR(__xludf.DUMMYFUNCTION("""COMPUTED_VALUE"""),59)</f>
        <v>59</v>
      </c>
      <c r="B422" s="29" t="str">
        <f ca="1">IFERROR(__xludf.DUMMYFUNCTION("""COMPUTED_VALUE"""),"MN Mặt Trời Nhỏ 3 KV3")</f>
        <v>MN Mặt Trời Nhỏ 3 KV3</v>
      </c>
      <c r="C422" s="33" t="str">
        <f ca="1">IFERROR(__xludf.DUMMYFUNCTION("""COMPUTED_VALUE"""),"MN")</f>
        <v>MN</v>
      </c>
      <c r="D422" s="30" t="str">
        <f ca="1">IFERROR(__xludf.DUMMYFUNCTION("""COMPUTED_VALUE"""),"Tp. Thủ Đức")</f>
        <v>Tp. Thủ Đức</v>
      </c>
      <c r="E422" s="31">
        <f ca="1">IFERROR(__xludf.DUMMYFUNCTION("""COMPUTED_VALUE"""),12)</f>
        <v>12</v>
      </c>
      <c r="F422" s="32">
        <f ca="1">IFERROR(__xludf.DUMMYFUNCTION("""COMPUTED_VALUE"""),12)</f>
        <v>12</v>
      </c>
      <c r="G422" s="32"/>
      <c r="H422" s="32">
        <f ca="1">IFERROR(__xludf.DUMMYFUNCTION("""COMPUTED_VALUE"""),12)</f>
        <v>12</v>
      </c>
      <c r="I422" s="32"/>
      <c r="J422" s="32">
        <f ca="1">IFERROR(__xludf.DUMMYFUNCTION("""COMPUTED_VALUE"""),11)</f>
        <v>11</v>
      </c>
      <c r="K422" s="32"/>
      <c r="L422" s="32">
        <f ca="1">IFERROR(__xludf.DUMMYFUNCTION("""COMPUTED_VALUE"""),0)</f>
        <v>0</v>
      </c>
      <c r="M422" s="32"/>
      <c r="N422" s="31">
        <f ca="1">IFERROR(__xludf.DUMMYFUNCTION("""COMPUTED_VALUE"""),0)</f>
        <v>0</v>
      </c>
      <c r="O422" s="32">
        <f ca="1">IFERROR(__xludf.DUMMYFUNCTION("""COMPUTED_VALUE"""),0)</f>
        <v>0</v>
      </c>
      <c r="P422" s="32"/>
      <c r="Q422" s="32">
        <f ca="1">IFERROR(__xludf.DUMMYFUNCTION("""COMPUTED_VALUE"""),0)</f>
        <v>0</v>
      </c>
      <c r="R422" s="32"/>
      <c r="S422" s="31">
        <f ca="1">IFERROR(__xludf.DUMMYFUNCTION("""COMPUTED_VALUE"""),0)</f>
        <v>0</v>
      </c>
      <c r="T422" s="32">
        <f ca="1">IFERROR(__xludf.DUMMYFUNCTION("""COMPUTED_VALUE"""),0)</f>
        <v>0</v>
      </c>
      <c r="U422" s="32"/>
      <c r="V422" s="32">
        <f ca="1">IFERROR(__xludf.DUMMYFUNCTION("""COMPUTED_VALUE"""),0)</f>
        <v>0</v>
      </c>
      <c r="W422" s="32"/>
      <c r="X422" s="32">
        <f ca="1">IFERROR(__xludf.DUMMYFUNCTION("""COMPUTED_VALUE"""),0)</f>
        <v>0</v>
      </c>
      <c r="Y422" s="32"/>
      <c r="Z422" s="2"/>
      <c r="AA422" s="2"/>
      <c r="AB422" s="2"/>
      <c r="AC422" s="2"/>
      <c r="AD422" s="2"/>
      <c r="AE422" s="2"/>
    </row>
    <row r="423" spans="1:31" ht="12.75" x14ac:dyDescent="0.2">
      <c r="A423" s="28">
        <f ca="1">IFERROR(__xludf.DUMMYFUNCTION("""COMPUTED_VALUE"""),60)</f>
        <v>60</v>
      </c>
      <c r="B423" s="29" t="str">
        <f ca="1">IFERROR(__xludf.DUMMYFUNCTION("""COMPUTED_VALUE"""),"MN Mây Hồng KV3")</f>
        <v>MN Mây Hồng KV3</v>
      </c>
      <c r="C423" s="33" t="str">
        <f ca="1">IFERROR(__xludf.DUMMYFUNCTION("""COMPUTED_VALUE"""),"MN")</f>
        <v>MN</v>
      </c>
      <c r="D423" s="30" t="str">
        <f ca="1">IFERROR(__xludf.DUMMYFUNCTION("""COMPUTED_VALUE"""),"Tp. Thủ Đức")</f>
        <v>Tp. Thủ Đức</v>
      </c>
      <c r="E423" s="31">
        <f ca="1">IFERROR(__xludf.DUMMYFUNCTION("""COMPUTED_VALUE"""),40)</f>
        <v>40</v>
      </c>
      <c r="F423" s="32">
        <f ca="1">IFERROR(__xludf.DUMMYFUNCTION("""COMPUTED_VALUE"""),40)</f>
        <v>40</v>
      </c>
      <c r="G423" s="32"/>
      <c r="H423" s="32">
        <f ca="1">IFERROR(__xludf.DUMMYFUNCTION("""COMPUTED_VALUE"""),40)</f>
        <v>40</v>
      </c>
      <c r="I423" s="32"/>
      <c r="J423" s="32">
        <f ca="1">IFERROR(__xludf.DUMMYFUNCTION("""COMPUTED_VALUE"""),33)</f>
        <v>33</v>
      </c>
      <c r="K423" s="32"/>
      <c r="L423" s="32">
        <f ca="1">IFERROR(__xludf.DUMMYFUNCTION("""COMPUTED_VALUE"""),4)</f>
        <v>4</v>
      </c>
      <c r="M423" s="32"/>
      <c r="N423" s="31">
        <f ca="1">IFERROR(__xludf.DUMMYFUNCTION("""COMPUTED_VALUE"""),0)</f>
        <v>0</v>
      </c>
      <c r="O423" s="32">
        <f ca="1">IFERROR(__xludf.DUMMYFUNCTION("""COMPUTED_VALUE"""),0)</f>
        <v>0</v>
      </c>
      <c r="P423" s="32"/>
      <c r="Q423" s="32">
        <f ca="1">IFERROR(__xludf.DUMMYFUNCTION("""COMPUTED_VALUE"""),0)</f>
        <v>0</v>
      </c>
      <c r="R423" s="32"/>
      <c r="S423" s="31">
        <f ca="1">IFERROR(__xludf.DUMMYFUNCTION("""COMPUTED_VALUE"""),0)</f>
        <v>0</v>
      </c>
      <c r="T423" s="32">
        <f ca="1">IFERROR(__xludf.DUMMYFUNCTION("""COMPUTED_VALUE"""),0)</f>
        <v>0</v>
      </c>
      <c r="U423" s="32"/>
      <c r="V423" s="32">
        <f ca="1">IFERROR(__xludf.DUMMYFUNCTION("""COMPUTED_VALUE"""),0)</f>
        <v>0</v>
      </c>
      <c r="W423" s="32"/>
      <c r="X423" s="32">
        <f ca="1">IFERROR(__xludf.DUMMYFUNCTION("""COMPUTED_VALUE"""),0)</f>
        <v>0</v>
      </c>
      <c r="Y423" s="32"/>
      <c r="Z423" s="2"/>
      <c r="AA423" s="2"/>
      <c r="AB423" s="2"/>
      <c r="AC423" s="2"/>
      <c r="AD423" s="2"/>
      <c r="AE423" s="2"/>
    </row>
    <row r="424" spans="1:31" ht="12.75" x14ac:dyDescent="0.2">
      <c r="A424" s="28">
        <f ca="1">IFERROR(__xludf.DUMMYFUNCTION("""COMPUTED_VALUE"""),61)</f>
        <v>61</v>
      </c>
      <c r="B424" s="29" t="str">
        <f ca="1">IFERROR(__xludf.DUMMYFUNCTION("""COMPUTED_VALUE"""),"MN Mỹ An KV3")</f>
        <v>MN Mỹ An KV3</v>
      </c>
      <c r="C424" s="33" t="str">
        <f ca="1">IFERROR(__xludf.DUMMYFUNCTION("""COMPUTED_VALUE"""),"MN")</f>
        <v>MN</v>
      </c>
      <c r="D424" s="30" t="str">
        <f ca="1">IFERROR(__xludf.DUMMYFUNCTION("""COMPUTED_VALUE"""),"Tp. Thủ Đức")</f>
        <v>Tp. Thủ Đức</v>
      </c>
      <c r="E424" s="31">
        <f ca="1">IFERROR(__xludf.DUMMYFUNCTION("""COMPUTED_VALUE"""),12)</f>
        <v>12</v>
      </c>
      <c r="F424" s="32">
        <f ca="1">IFERROR(__xludf.DUMMYFUNCTION("""COMPUTED_VALUE"""),12)</f>
        <v>12</v>
      </c>
      <c r="G424" s="32"/>
      <c r="H424" s="32">
        <f ca="1">IFERROR(__xludf.DUMMYFUNCTION("""COMPUTED_VALUE"""),12)</f>
        <v>12</v>
      </c>
      <c r="I424" s="32"/>
      <c r="J424" s="32">
        <f ca="1">IFERROR(__xludf.DUMMYFUNCTION("""COMPUTED_VALUE"""),10)</f>
        <v>10</v>
      </c>
      <c r="K424" s="32"/>
      <c r="L424" s="32">
        <f ca="1">IFERROR(__xludf.DUMMYFUNCTION("""COMPUTED_VALUE"""),8)</f>
        <v>8</v>
      </c>
      <c r="M424" s="32"/>
      <c r="N424" s="31">
        <f ca="1">IFERROR(__xludf.DUMMYFUNCTION("""COMPUTED_VALUE"""),0)</f>
        <v>0</v>
      </c>
      <c r="O424" s="32">
        <f ca="1">IFERROR(__xludf.DUMMYFUNCTION("""COMPUTED_VALUE"""),0)</f>
        <v>0</v>
      </c>
      <c r="P424" s="32"/>
      <c r="Q424" s="32">
        <f ca="1">IFERROR(__xludf.DUMMYFUNCTION("""COMPUTED_VALUE"""),0)</f>
        <v>0</v>
      </c>
      <c r="R424" s="32"/>
      <c r="S424" s="31">
        <f ca="1">IFERROR(__xludf.DUMMYFUNCTION("""COMPUTED_VALUE"""),0)</f>
        <v>0</v>
      </c>
      <c r="T424" s="32">
        <f ca="1">IFERROR(__xludf.DUMMYFUNCTION("""COMPUTED_VALUE"""),0)</f>
        <v>0</v>
      </c>
      <c r="U424" s="32"/>
      <c r="V424" s="32">
        <f ca="1">IFERROR(__xludf.DUMMYFUNCTION("""COMPUTED_VALUE"""),0)</f>
        <v>0</v>
      </c>
      <c r="W424" s="32"/>
      <c r="X424" s="32">
        <f ca="1">IFERROR(__xludf.DUMMYFUNCTION("""COMPUTED_VALUE"""),0)</f>
        <v>0</v>
      </c>
      <c r="Y424" s="32"/>
      <c r="Z424" s="2"/>
      <c r="AA424" s="2"/>
      <c r="AB424" s="2"/>
      <c r="AC424" s="2"/>
      <c r="AD424" s="2"/>
      <c r="AE424" s="2"/>
    </row>
    <row r="425" spans="1:31" ht="12.75" x14ac:dyDescent="0.2">
      <c r="A425" s="28">
        <f ca="1">IFERROR(__xludf.DUMMYFUNCTION("""COMPUTED_VALUE"""),62)</f>
        <v>62</v>
      </c>
      <c r="B425" s="29" t="str">
        <f ca="1">IFERROR(__xludf.DUMMYFUNCTION("""COMPUTED_VALUE"""),"MN Ngọc Lan KV3")</f>
        <v>MN Ngọc Lan KV3</v>
      </c>
      <c r="C425" s="33" t="str">
        <f ca="1">IFERROR(__xludf.DUMMYFUNCTION("""COMPUTED_VALUE"""),"MN")</f>
        <v>MN</v>
      </c>
      <c r="D425" s="30" t="str">
        <f ca="1">IFERROR(__xludf.DUMMYFUNCTION("""COMPUTED_VALUE"""),"Tp. Thủ Đức")</f>
        <v>Tp. Thủ Đức</v>
      </c>
      <c r="E425" s="31">
        <f ca="1">IFERROR(__xludf.DUMMYFUNCTION("""COMPUTED_VALUE"""),16)</f>
        <v>16</v>
      </c>
      <c r="F425" s="32">
        <f ca="1">IFERROR(__xludf.DUMMYFUNCTION("""COMPUTED_VALUE"""),16)</f>
        <v>16</v>
      </c>
      <c r="G425" s="32"/>
      <c r="H425" s="32">
        <f ca="1">IFERROR(__xludf.DUMMYFUNCTION("""COMPUTED_VALUE"""),15)</f>
        <v>15</v>
      </c>
      <c r="I425" s="32"/>
      <c r="J425" s="32">
        <f ca="1">IFERROR(__xludf.DUMMYFUNCTION("""COMPUTED_VALUE"""),8)</f>
        <v>8</v>
      </c>
      <c r="K425" s="32"/>
      <c r="L425" s="32">
        <f ca="1">IFERROR(__xludf.DUMMYFUNCTION("""COMPUTED_VALUE"""),6)</f>
        <v>6</v>
      </c>
      <c r="M425" s="32"/>
      <c r="N425" s="31">
        <f ca="1">IFERROR(__xludf.DUMMYFUNCTION("""COMPUTED_VALUE"""),0)</f>
        <v>0</v>
      </c>
      <c r="O425" s="32">
        <f ca="1">IFERROR(__xludf.DUMMYFUNCTION("""COMPUTED_VALUE"""),0)</f>
        <v>0</v>
      </c>
      <c r="P425" s="32"/>
      <c r="Q425" s="32">
        <f ca="1">IFERROR(__xludf.DUMMYFUNCTION("""COMPUTED_VALUE"""),0)</f>
        <v>0</v>
      </c>
      <c r="R425" s="32"/>
      <c r="S425" s="31">
        <f ca="1">IFERROR(__xludf.DUMMYFUNCTION("""COMPUTED_VALUE"""),0)</f>
        <v>0</v>
      </c>
      <c r="T425" s="32">
        <f ca="1">IFERROR(__xludf.DUMMYFUNCTION("""COMPUTED_VALUE"""),0)</f>
        <v>0</v>
      </c>
      <c r="U425" s="32"/>
      <c r="V425" s="32">
        <f ca="1">IFERROR(__xludf.DUMMYFUNCTION("""COMPUTED_VALUE"""),0)</f>
        <v>0</v>
      </c>
      <c r="W425" s="32"/>
      <c r="X425" s="32">
        <f ca="1">IFERROR(__xludf.DUMMYFUNCTION("""COMPUTED_VALUE"""),0)</f>
        <v>0</v>
      </c>
      <c r="Y425" s="32"/>
      <c r="Z425" s="2"/>
      <c r="AA425" s="2"/>
      <c r="AB425" s="2"/>
      <c r="AC425" s="2"/>
      <c r="AD425" s="2"/>
      <c r="AE425" s="2"/>
    </row>
    <row r="426" spans="1:31" ht="12.75" x14ac:dyDescent="0.2">
      <c r="A426" s="28">
        <f ca="1">IFERROR(__xludf.DUMMYFUNCTION("""COMPUTED_VALUE"""),63)</f>
        <v>63</v>
      </c>
      <c r="B426" s="29" t="str">
        <f ca="1">IFERROR(__xludf.DUMMYFUNCTION("""COMPUTED_VALUE"""),"MN Ngôi Nhà Hạnh Phúc Linh Đông KV3")</f>
        <v>MN Ngôi Nhà Hạnh Phúc Linh Đông KV3</v>
      </c>
      <c r="C426" s="33" t="str">
        <f ca="1">IFERROR(__xludf.DUMMYFUNCTION("""COMPUTED_VALUE"""),"MN")</f>
        <v>MN</v>
      </c>
      <c r="D426" s="30" t="str">
        <f ca="1">IFERROR(__xludf.DUMMYFUNCTION("""COMPUTED_VALUE"""),"Tp. Thủ Đức")</f>
        <v>Tp. Thủ Đức</v>
      </c>
      <c r="E426" s="31">
        <f ca="1">IFERROR(__xludf.DUMMYFUNCTION("""COMPUTED_VALUE"""),23)</f>
        <v>23</v>
      </c>
      <c r="F426" s="32">
        <f ca="1">IFERROR(__xludf.DUMMYFUNCTION("""COMPUTED_VALUE"""),23)</f>
        <v>23</v>
      </c>
      <c r="G426" s="32"/>
      <c r="H426" s="32">
        <f ca="1">IFERROR(__xludf.DUMMYFUNCTION("""COMPUTED_VALUE"""),23)</f>
        <v>23</v>
      </c>
      <c r="I426" s="32"/>
      <c r="J426" s="32">
        <f ca="1">IFERROR(__xludf.DUMMYFUNCTION("""COMPUTED_VALUE"""),23)</f>
        <v>23</v>
      </c>
      <c r="K426" s="32"/>
      <c r="L426" s="32">
        <f ca="1">IFERROR(__xludf.DUMMYFUNCTION("""COMPUTED_VALUE"""),0)</f>
        <v>0</v>
      </c>
      <c r="M426" s="32"/>
      <c r="N426" s="31">
        <f ca="1">IFERROR(__xludf.DUMMYFUNCTION("""COMPUTED_VALUE"""),0)</f>
        <v>0</v>
      </c>
      <c r="O426" s="32">
        <f ca="1">IFERROR(__xludf.DUMMYFUNCTION("""COMPUTED_VALUE"""),0)</f>
        <v>0</v>
      </c>
      <c r="P426" s="32"/>
      <c r="Q426" s="32">
        <f ca="1">IFERROR(__xludf.DUMMYFUNCTION("""COMPUTED_VALUE"""),0)</f>
        <v>0</v>
      </c>
      <c r="R426" s="32"/>
      <c r="S426" s="31">
        <f ca="1">IFERROR(__xludf.DUMMYFUNCTION("""COMPUTED_VALUE"""),0)</f>
        <v>0</v>
      </c>
      <c r="T426" s="32">
        <f ca="1">IFERROR(__xludf.DUMMYFUNCTION("""COMPUTED_VALUE"""),0)</f>
        <v>0</v>
      </c>
      <c r="U426" s="32"/>
      <c r="V426" s="32">
        <f ca="1">IFERROR(__xludf.DUMMYFUNCTION("""COMPUTED_VALUE"""),0)</f>
        <v>0</v>
      </c>
      <c r="W426" s="32"/>
      <c r="X426" s="32">
        <f ca="1">IFERROR(__xludf.DUMMYFUNCTION("""COMPUTED_VALUE"""),0)</f>
        <v>0</v>
      </c>
      <c r="Y426" s="32"/>
      <c r="Z426" s="2"/>
      <c r="AA426" s="2"/>
      <c r="AB426" s="2"/>
      <c r="AC426" s="2"/>
      <c r="AD426" s="2"/>
      <c r="AE426" s="2"/>
    </row>
    <row r="427" spans="1:31" ht="12.75" x14ac:dyDescent="0.2">
      <c r="A427" s="28">
        <f ca="1">IFERROR(__xludf.DUMMYFUNCTION("""COMPUTED_VALUE"""),64)</f>
        <v>64</v>
      </c>
      <c r="B427" s="29" t="str">
        <f ca="1">IFERROR(__xludf.DUMMYFUNCTION("""COMPUTED_VALUE"""),"MN Ngôi Nhà Hu Gô KV3")</f>
        <v>MN Ngôi Nhà Hu Gô KV3</v>
      </c>
      <c r="C427" s="33" t="str">
        <f ca="1">IFERROR(__xludf.DUMMYFUNCTION("""COMPUTED_VALUE"""),"MN")</f>
        <v>MN</v>
      </c>
      <c r="D427" s="30" t="str">
        <f ca="1">IFERROR(__xludf.DUMMYFUNCTION("""COMPUTED_VALUE"""),"Tp. Thủ Đức")</f>
        <v>Tp. Thủ Đức</v>
      </c>
      <c r="E427" s="31">
        <f ca="1">IFERROR(__xludf.DUMMYFUNCTION("""COMPUTED_VALUE"""),69)</f>
        <v>69</v>
      </c>
      <c r="F427" s="32">
        <f ca="1">IFERROR(__xludf.DUMMYFUNCTION("""COMPUTED_VALUE"""),69)</f>
        <v>69</v>
      </c>
      <c r="G427" s="32"/>
      <c r="H427" s="32">
        <f ca="1">IFERROR(__xludf.DUMMYFUNCTION("""COMPUTED_VALUE"""),69)</f>
        <v>69</v>
      </c>
      <c r="I427" s="32"/>
      <c r="J427" s="32">
        <f ca="1">IFERROR(__xludf.DUMMYFUNCTION("""COMPUTED_VALUE"""),58)</f>
        <v>58</v>
      </c>
      <c r="K427" s="32"/>
      <c r="L427" s="32">
        <f ca="1">IFERROR(__xludf.DUMMYFUNCTION("""COMPUTED_VALUE"""),7)</f>
        <v>7</v>
      </c>
      <c r="M427" s="32"/>
      <c r="N427" s="31">
        <f ca="1">IFERROR(__xludf.DUMMYFUNCTION("""COMPUTED_VALUE"""),0)</f>
        <v>0</v>
      </c>
      <c r="O427" s="32">
        <f ca="1">IFERROR(__xludf.DUMMYFUNCTION("""COMPUTED_VALUE"""),0)</f>
        <v>0</v>
      </c>
      <c r="P427" s="32"/>
      <c r="Q427" s="32">
        <f ca="1">IFERROR(__xludf.DUMMYFUNCTION("""COMPUTED_VALUE"""),0)</f>
        <v>0</v>
      </c>
      <c r="R427" s="32"/>
      <c r="S427" s="31">
        <f ca="1">IFERROR(__xludf.DUMMYFUNCTION("""COMPUTED_VALUE"""),0)</f>
        <v>0</v>
      </c>
      <c r="T427" s="32">
        <f ca="1">IFERROR(__xludf.DUMMYFUNCTION("""COMPUTED_VALUE"""),0)</f>
        <v>0</v>
      </c>
      <c r="U427" s="32"/>
      <c r="V427" s="32">
        <f ca="1">IFERROR(__xludf.DUMMYFUNCTION("""COMPUTED_VALUE"""),0)</f>
        <v>0</v>
      </c>
      <c r="W427" s="32"/>
      <c r="X427" s="32">
        <f ca="1">IFERROR(__xludf.DUMMYFUNCTION("""COMPUTED_VALUE"""),0)</f>
        <v>0</v>
      </c>
      <c r="Y427" s="32"/>
      <c r="Z427" s="2"/>
      <c r="AA427" s="2"/>
      <c r="AB427" s="2"/>
      <c r="AC427" s="2"/>
      <c r="AD427" s="2"/>
      <c r="AE427" s="2"/>
    </row>
    <row r="428" spans="1:31" ht="12.75" x14ac:dyDescent="0.2">
      <c r="A428" s="28">
        <f ca="1">IFERROR(__xludf.DUMMYFUNCTION("""COMPUTED_VALUE"""),65)</f>
        <v>65</v>
      </c>
      <c r="B428" s="29" t="str">
        <f ca="1">IFERROR(__xludf.DUMMYFUNCTION("""COMPUTED_VALUE"""),"MN Ngôi Nhà Xanh KV3")</f>
        <v>MN Ngôi Nhà Xanh KV3</v>
      </c>
      <c r="C428" s="33" t="str">
        <f ca="1">IFERROR(__xludf.DUMMYFUNCTION("""COMPUTED_VALUE"""),"MN")</f>
        <v>MN</v>
      </c>
      <c r="D428" s="30" t="str">
        <f ca="1">IFERROR(__xludf.DUMMYFUNCTION("""COMPUTED_VALUE"""),"Tp. Thủ Đức")</f>
        <v>Tp. Thủ Đức</v>
      </c>
      <c r="E428" s="31">
        <f ca="1">IFERROR(__xludf.DUMMYFUNCTION("""COMPUTED_VALUE"""),14)</f>
        <v>14</v>
      </c>
      <c r="F428" s="32">
        <f ca="1">IFERROR(__xludf.DUMMYFUNCTION("""COMPUTED_VALUE"""),14)</f>
        <v>14</v>
      </c>
      <c r="G428" s="32"/>
      <c r="H428" s="32">
        <f ca="1">IFERROR(__xludf.DUMMYFUNCTION("""COMPUTED_VALUE"""),14)</f>
        <v>14</v>
      </c>
      <c r="I428" s="32"/>
      <c r="J428" s="32">
        <f ca="1">IFERROR(__xludf.DUMMYFUNCTION("""COMPUTED_VALUE"""),10)</f>
        <v>10</v>
      </c>
      <c r="K428" s="32"/>
      <c r="L428" s="32">
        <f ca="1">IFERROR(__xludf.DUMMYFUNCTION("""COMPUTED_VALUE"""),0)</f>
        <v>0</v>
      </c>
      <c r="M428" s="32"/>
      <c r="N428" s="31">
        <f ca="1">IFERROR(__xludf.DUMMYFUNCTION("""COMPUTED_VALUE"""),0)</f>
        <v>0</v>
      </c>
      <c r="O428" s="32">
        <f ca="1">IFERROR(__xludf.DUMMYFUNCTION("""COMPUTED_VALUE"""),0)</f>
        <v>0</v>
      </c>
      <c r="P428" s="32"/>
      <c r="Q428" s="32">
        <f ca="1">IFERROR(__xludf.DUMMYFUNCTION("""COMPUTED_VALUE"""),0)</f>
        <v>0</v>
      </c>
      <c r="R428" s="32"/>
      <c r="S428" s="31">
        <f ca="1">IFERROR(__xludf.DUMMYFUNCTION("""COMPUTED_VALUE"""),0)</f>
        <v>0</v>
      </c>
      <c r="T428" s="32">
        <f ca="1">IFERROR(__xludf.DUMMYFUNCTION("""COMPUTED_VALUE"""),0)</f>
        <v>0</v>
      </c>
      <c r="U428" s="32"/>
      <c r="V428" s="32">
        <f ca="1">IFERROR(__xludf.DUMMYFUNCTION("""COMPUTED_VALUE"""),0)</f>
        <v>0</v>
      </c>
      <c r="W428" s="32"/>
      <c r="X428" s="32">
        <f ca="1">IFERROR(__xludf.DUMMYFUNCTION("""COMPUTED_VALUE"""),0)</f>
        <v>0</v>
      </c>
      <c r="Y428" s="32"/>
      <c r="Z428" s="2"/>
      <c r="AA428" s="2"/>
      <c r="AB428" s="2"/>
      <c r="AC428" s="2"/>
      <c r="AD428" s="2"/>
      <c r="AE428" s="2"/>
    </row>
    <row r="429" spans="1:31" ht="12.75" x14ac:dyDescent="0.2">
      <c r="A429" s="28">
        <f ca="1">IFERROR(__xludf.DUMMYFUNCTION("""COMPUTED_VALUE"""),66)</f>
        <v>66</v>
      </c>
      <c r="B429" s="29" t="str">
        <f ca="1">IFERROR(__xludf.DUMMYFUNCTION("""COMPUTED_VALUE"""),"MN Ngôi Sao Sáng KV3")</f>
        <v>MN Ngôi Sao Sáng KV3</v>
      </c>
      <c r="C429" s="33" t="str">
        <f ca="1">IFERROR(__xludf.DUMMYFUNCTION("""COMPUTED_VALUE"""),"MN")</f>
        <v>MN</v>
      </c>
      <c r="D429" s="30" t="str">
        <f ca="1">IFERROR(__xludf.DUMMYFUNCTION("""COMPUTED_VALUE"""),"Tp. Thủ Đức")</f>
        <v>Tp. Thủ Đức</v>
      </c>
      <c r="E429" s="31">
        <f ca="1">IFERROR(__xludf.DUMMYFUNCTION("""COMPUTED_VALUE"""),13)</f>
        <v>13</v>
      </c>
      <c r="F429" s="32">
        <f ca="1">IFERROR(__xludf.DUMMYFUNCTION("""COMPUTED_VALUE"""),13)</f>
        <v>13</v>
      </c>
      <c r="G429" s="32"/>
      <c r="H429" s="32">
        <f ca="1">IFERROR(__xludf.DUMMYFUNCTION("""COMPUTED_VALUE"""),13)</f>
        <v>13</v>
      </c>
      <c r="I429" s="32"/>
      <c r="J429" s="32">
        <f ca="1">IFERROR(__xludf.DUMMYFUNCTION("""COMPUTED_VALUE"""),13)</f>
        <v>13</v>
      </c>
      <c r="K429" s="32"/>
      <c r="L429" s="32">
        <f ca="1">IFERROR(__xludf.DUMMYFUNCTION("""COMPUTED_VALUE"""),8)</f>
        <v>8</v>
      </c>
      <c r="M429" s="32"/>
      <c r="N429" s="31">
        <f ca="1">IFERROR(__xludf.DUMMYFUNCTION("""COMPUTED_VALUE"""),0)</f>
        <v>0</v>
      </c>
      <c r="O429" s="32">
        <f ca="1">IFERROR(__xludf.DUMMYFUNCTION("""COMPUTED_VALUE"""),0)</f>
        <v>0</v>
      </c>
      <c r="P429" s="32"/>
      <c r="Q429" s="32">
        <f ca="1">IFERROR(__xludf.DUMMYFUNCTION("""COMPUTED_VALUE"""),0)</f>
        <v>0</v>
      </c>
      <c r="R429" s="32"/>
      <c r="S429" s="31">
        <f ca="1">IFERROR(__xludf.DUMMYFUNCTION("""COMPUTED_VALUE"""),0)</f>
        <v>0</v>
      </c>
      <c r="T429" s="32">
        <f ca="1">IFERROR(__xludf.DUMMYFUNCTION("""COMPUTED_VALUE"""),0)</f>
        <v>0</v>
      </c>
      <c r="U429" s="32"/>
      <c r="V429" s="32">
        <f ca="1">IFERROR(__xludf.DUMMYFUNCTION("""COMPUTED_VALUE"""),0)</f>
        <v>0</v>
      </c>
      <c r="W429" s="32"/>
      <c r="X429" s="32">
        <f ca="1">IFERROR(__xludf.DUMMYFUNCTION("""COMPUTED_VALUE"""),0)</f>
        <v>0</v>
      </c>
      <c r="Y429" s="32"/>
      <c r="Z429" s="2"/>
      <c r="AA429" s="2"/>
      <c r="AB429" s="2"/>
      <c r="AC429" s="2"/>
      <c r="AD429" s="2"/>
      <c r="AE429" s="2"/>
    </row>
    <row r="430" spans="1:31" ht="12.75" x14ac:dyDescent="0.2">
      <c r="A430" s="28">
        <f ca="1">IFERROR(__xludf.DUMMYFUNCTION("""COMPUTED_VALUE"""),67)</f>
        <v>67</v>
      </c>
      <c r="B430" s="29" t="str">
        <f ca="1">IFERROR(__xludf.DUMMYFUNCTION("""COMPUTED_VALUE"""),"MN Nhân Ái KV3")</f>
        <v>MN Nhân Ái KV3</v>
      </c>
      <c r="C430" s="33" t="str">
        <f ca="1">IFERROR(__xludf.DUMMYFUNCTION("""COMPUTED_VALUE"""),"MN")</f>
        <v>MN</v>
      </c>
      <c r="D430" s="30" t="str">
        <f ca="1">IFERROR(__xludf.DUMMYFUNCTION("""COMPUTED_VALUE"""),"Tp. Thủ Đức")</f>
        <v>Tp. Thủ Đức</v>
      </c>
      <c r="E430" s="31">
        <f ca="1">IFERROR(__xludf.DUMMYFUNCTION("""COMPUTED_VALUE"""),14)</f>
        <v>14</v>
      </c>
      <c r="F430" s="32">
        <f ca="1">IFERROR(__xludf.DUMMYFUNCTION("""COMPUTED_VALUE"""),14)</f>
        <v>14</v>
      </c>
      <c r="G430" s="32"/>
      <c r="H430" s="32">
        <f ca="1">IFERROR(__xludf.DUMMYFUNCTION("""COMPUTED_VALUE"""),14)</f>
        <v>14</v>
      </c>
      <c r="I430" s="32"/>
      <c r="J430" s="32">
        <f ca="1">IFERROR(__xludf.DUMMYFUNCTION("""COMPUTED_VALUE"""),12)</f>
        <v>12</v>
      </c>
      <c r="K430" s="32"/>
      <c r="L430" s="32">
        <f ca="1">IFERROR(__xludf.DUMMYFUNCTION("""COMPUTED_VALUE"""),0)</f>
        <v>0</v>
      </c>
      <c r="M430" s="32"/>
      <c r="N430" s="31">
        <f ca="1">IFERROR(__xludf.DUMMYFUNCTION("""COMPUTED_VALUE"""),0)</f>
        <v>0</v>
      </c>
      <c r="O430" s="32">
        <f ca="1">IFERROR(__xludf.DUMMYFUNCTION("""COMPUTED_VALUE"""),0)</f>
        <v>0</v>
      </c>
      <c r="P430" s="32"/>
      <c r="Q430" s="32">
        <f ca="1">IFERROR(__xludf.DUMMYFUNCTION("""COMPUTED_VALUE"""),0)</f>
        <v>0</v>
      </c>
      <c r="R430" s="32"/>
      <c r="S430" s="31">
        <f ca="1">IFERROR(__xludf.DUMMYFUNCTION("""COMPUTED_VALUE"""),0)</f>
        <v>0</v>
      </c>
      <c r="T430" s="32">
        <f ca="1">IFERROR(__xludf.DUMMYFUNCTION("""COMPUTED_VALUE"""),0)</f>
        <v>0</v>
      </c>
      <c r="U430" s="32"/>
      <c r="V430" s="32">
        <f ca="1">IFERROR(__xludf.DUMMYFUNCTION("""COMPUTED_VALUE"""),0)</f>
        <v>0</v>
      </c>
      <c r="W430" s="32"/>
      <c r="X430" s="32">
        <f ca="1">IFERROR(__xludf.DUMMYFUNCTION("""COMPUTED_VALUE"""),0)</f>
        <v>0</v>
      </c>
      <c r="Y430" s="32"/>
      <c r="Z430" s="2"/>
      <c r="AA430" s="2"/>
      <c r="AB430" s="2"/>
      <c r="AC430" s="2"/>
      <c r="AD430" s="2"/>
      <c r="AE430" s="2"/>
    </row>
    <row r="431" spans="1:31" ht="12.75" x14ac:dyDescent="0.2">
      <c r="A431" s="28">
        <f ca="1">IFERROR(__xludf.DUMMYFUNCTION("""COMPUTED_VALUE"""),68)</f>
        <v>68</v>
      </c>
      <c r="B431" s="29" t="str">
        <f ca="1">IFERROR(__xludf.DUMMYFUNCTION("""COMPUTED_VALUE"""),"MN Nhật Tân KV3")</f>
        <v>MN Nhật Tân KV3</v>
      </c>
      <c r="C431" s="33" t="str">
        <f ca="1">IFERROR(__xludf.DUMMYFUNCTION("""COMPUTED_VALUE"""),"MN")</f>
        <v>MN</v>
      </c>
      <c r="D431" s="30" t="str">
        <f ca="1">IFERROR(__xludf.DUMMYFUNCTION("""COMPUTED_VALUE"""),"Tp. Thủ Đức")</f>
        <v>Tp. Thủ Đức</v>
      </c>
      <c r="E431" s="31">
        <f ca="1">IFERROR(__xludf.DUMMYFUNCTION("""COMPUTED_VALUE"""),28)</f>
        <v>28</v>
      </c>
      <c r="F431" s="32">
        <f ca="1">IFERROR(__xludf.DUMMYFUNCTION("""COMPUTED_VALUE"""),28)</f>
        <v>28</v>
      </c>
      <c r="G431" s="32"/>
      <c r="H431" s="32">
        <f ca="1">IFERROR(__xludf.DUMMYFUNCTION("""COMPUTED_VALUE"""),28)</f>
        <v>28</v>
      </c>
      <c r="I431" s="32"/>
      <c r="J431" s="32">
        <f ca="1">IFERROR(__xludf.DUMMYFUNCTION("""COMPUTED_VALUE"""),22)</f>
        <v>22</v>
      </c>
      <c r="K431" s="32"/>
      <c r="L431" s="32">
        <f ca="1">IFERROR(__xludf.DUMMYFUNCTION("""COMPUTED_VALUE"""),10)</f>
        <v>10</v>
      </c>
      <c r="M431" s="32"/>
      <c r="N431" s="31">
        <f ca="1">IFERROR(__xludf.DUMMYFUNCTION("""COMPUTED_VALUE"""),0)</f>
        <v>0</v>
      </c>
      <c r="O431" s="32">
        <f ca="1">IFERROR(__xludf.DUMMYFUNCTION("""COMPUTED_VALUE"""),0)</f>
        <v>0</v>
      </c>
      <c r="P431" s="32"/>
      <c r="Q431" s="32">
        <f ca="1">IFERROR(__xludf.DUMMYFUNCTION("""COMPUTED_VALUE"""),0)</f>
        <v>0</v>
      </c>
      <c r="R431" s="32"/>
      <c r="S431" s="31">
        <f ca="1">IFERROR(__xludf.DUMMYFUNCTION("""COMPUTED_VALUE"""),0)</f>
        <v>0</v>
      </c>
      <c r="T431" s="32">
        <f ca="1">IFERROR(__xludf.DUMMYFUNCTION("""COMPUTED_VALUE"""),0)</f>
        <v>0</v>
      </c>
      <c r="U431" s="32"/>
      <c r="V431" s="32">
        <f ca="1">IFERROR(__xludf.DUMMYFUNCTION("""COMPUTED_VALUE"""),0)</f>
        <v>0</v>
      </c>
      <c r="W431" s="32"/>
      <c r="X431" s="32">
        <f ca="1">IFERROR(__xludf.DUMMYFUNCTION("""COMPUTED_VALUE"""),0)</f>
        <v>0</v>
      </c>
      <c r="Y431" s="32"/>
      <c r="Z431" s="2"/>
      <c r="AA431" s="2"/>
      <c r="AB431" s="2"/>
      <c r="AC431" s="2"/>
      <c r="AD431" s="2"/>
      <c r="AE431" s="2"/>
    </row>
    <row r="432" spans="1:31" ht="12.75" x14ac:dyDescent="0.2">
      <c r="A432" s="28">
        <f ca="1">IFERROR(__xludf.DUMMYFUNCTION("""COMPUTED_VALUE"""),69)</f>
        <v>69</v>
      </c>
      <c r="B432" s="29" t="str">
        <f ca="1">IFERROR(__xludf.DUMMYFUNCTION("""COMPUTED_VALUE"""),"MN Sắc Màu Tuổi Thơ KV3")</f>
        <v>MN Sắc Màu Tuổi Thơ KV3</v>
      </c>
      <c r="C432" s="33" t="str">
        <f ca="1">IFERROR(__xludf.DUMMYFUNCTION("""COMPUTED_VALUE"""),"MN")</f>
        <v>MN</v>
      </c>
      <c r="D432" s="30" t="str">
        <f ca="1">IFERROR(__xludf.DUMMYFUNCTION("""COMPUTED_VALUE"""),"Tp. Thủ Đức")</f>
        <v>Tp. Thủ Đức</v>
      </c>
      <c r="E432" s="31">
        <f ca="1">IFERROR(__xludf.DUMMYFUNCTION("""COMPUTED_VALUE"""),29)</f>
        <v>29</v>
      </c>
      <c r="F432" s="32">
        <f ca="1">IFERROR(__xludf.DUMMYFUNCTION("""COMPUTED_VALUE"""),29)</f>
        <v>29</v>
      </c>
      <c r="G432" s="32"/>
      <c r="H432" s="32">
        <f ca="1">IFERROR(__xludf.DUMMYFUNCTION("""COMPUTED_VALUE"""),29)</f>
        <v>29</v>
      </c>
      <c r="I432" s="32"/>
      <c r="J432" s="32">
        <f ca="1">IFERROR(__xludf.DUMMYFUNCTION("""COMPUTED_VALUE"""),19)</f>
        <v>19</v>
      </c>
      <c r="K432" s="32"/>
      <c r="L432" s="32">
        <f ca="1">IFERROR(__xludf.DUMMYFUNCTION("""COMPUTED_VALUE"""),1)</f>
        <v>1</v>
      </c>
      <c r="M432" s="32"/>
      <c r="N432" s="31">
        <f ca="1">IFERROR(__xludf.DUMMYFUNCTION("""COMPUTED_VALUE"""),0)</f>
        <v>0</v>
      </c>
      <c r="O432" s="32">
        <f ca="1">IFERROR(__xludf.DUMMYFUNCTION("""COMPUTED_VALUE"""),0)</f>
        <v>0</v>
      </c>
      <c r="P432" s="32"/>
      <c r="Q432" s="32">
        <f ca="1">IFERROR(__xludf.DUMMYFUNCTION("""COMPUTED_VALUE"""),0)</f>
        <v>0</v>
      </c>
      <c r="R432" s="32"/>
      <c r="S432" s="31">
        <f ca="1">IFERROR(__xludf.DUMMYFUNCTION("""COMPUTED_VALUE"""),0)</f>
        <v>0</v>
      </c>
      <c r="T432" s="32">
        <f ca="1">IFERROR(__xludf.DUMMYFUNCTION("""COMPUTED_VALUE"""),0)</f>
        <v>0</v>
      </c>
      <c r="U432" s="32"/>
      <c r="V432" s="32">
        <f ca="1">IFERROR(__xludf.DUMMYFUNCTION("""COMPUTED_VALUE"""),0)</f>
        <v>0</v>
      </c>
      <c r="W432" s="32"/>
      <c r="X432" s="32">
        <f ca="1">IFERROR(__xludf.DUMMYFUNCTION("""COMPUTED_VALUE"""),0)</f>
        <v>0</v>
      </c>
      <c r="Y432" s="32"/>
      <c r="Z432" s="2"/>
      <c r="AA432" s="2"/>
      <c r="AB432" s="2"/>
      <c r="AC432" s="2"/>
      <c r="AD432" s="2"/>
      <c r="AE432" s="2"/>
    </row>
    <row r="433" spans="1:31" ht="12.75" x14ac:dyDescent="0.2">
      <c r="A433" s="28">
        <f ca="1">IFERROR(__xludf.DUMMYFUNCTION("""COMPUTED_VALUE"""),70)</f>
        <v>70</v>
      </c>
      <c r="B433" s="29" t="str">
        <f ca="1">IFERROR(__xludf.DUMMYFUNCTION("""COMPUTED_VALUE"""),"MN Sài Gòn KV3")</f>
        <v>MN Sài Gòn KV3</v>
      </c>
      <c r="C433" s="33" t="str">
        <f ca="1">IFERROR(__xludf.DUMMYFUNCTION("""COMPUTED_VALUE"""),"MN")</f>
        <v>MN</v>
      </c>
      <c r="D433" s="30" t="str">
        <f ca="1">IFERROR(__xludf.DUMMYFUNCTION("""COMPUTED_VALUE"""),"Tp. Thủ Đức")</f>
        <v>Tp. Thủ Đức</v>
      </c>
      <c r="E433" s="31">
        <f ca="1">IFERROR(__xludf.DUMMYFUNCTION("""COMPUTED_VALUE"""),13)</f>
        <v>13</v>
      </c>
      <c r="F433" s="32">
        <f ca="1">IFERROR(__xludf.DUMMYFUNCTION("""COMPUTED_VALUE"""),13)</f>
        <v>13</v>
      </c>
      <c r="G433" s="32"/>
      <c r="H433" s="32">
        <f ca="1">IFERROR(__xludf.DUMMYFUNCTION("""COMPUTED_VALUE"""),13)</f>
        <v>13</v>
      </c>
      <c r="I433" s="32"/>
      <c r="J433" s="32">
        <f ca="1">IFERROR(__xludf.DUMMYFUNCTION("""COMPUTED_VALUE"""),13)</f>
        <v>13</v>
      </c>
      <c r="K433" s="32"/>
      <c r="L433" s="32">
        <f ca="1">IFERROR(__xludf.DUMMYFUNCTION("""COMPUTED_VALUE"""),5)</f>
        <v>5</v>
      </c>
      <c r="M433" s="32"/>
      <c r="N433" s="31">
        <f ca="1">IFERROR(__xludf.DUMMYFUNCTION("""COMPUTED_VALUE"""),0)</f>
        <v>0</v>
      </c>
      <c r="O433" s="32">
        <f ca="1">IFERROR(__xludf.DUMMYFUNCTION("""COMPUTED_VALUE"""),0)</f>
        <v>0</v>
      </c>
      <c r="P433" s="32"/>
      <c r="Q433" s="32">
        <f ca="1">IFERROR(__xludf.DUMMYFUNCTION("""COMPUTED_VALUE"""),0)</f>
        <v>0</v>
      </c>
      <c r="R433" s="32"/>
      <c r="S433" s="31">
        <f ca="1">IFERROR(__xludf.DUMMYFUNCTION("""COMPUTED_VALUE"""),0)</f>
        <v>0</v>
      </c>
      <c r="T433" s="32">
        <f ca="1">IFERROR(__xludf.DUMMYFUNCTION("""COMPUTED_VALUE"""),0)</f>
        <v>0</v>
      </c>
      <c r="U433" s="32"/>
      <c r="V433" s="32">
        <f ca="1">IFERROR(__xludf.DUMMYFUNCTION("""COMPUTED_VALUE"""),0)</f>
        <v>0</v>
      </c>
      <c r="W433" s="32"/>
      <c r="X433" s="32">
        <f ca="1">IFERROR(__xludf.DUMMYFUNCTION("""COMPUTED_VALUE"""),0)</f>
        <v>0</v>
      </c>
      <c r="Y433" s="32"/>
      <c r="Z433" s="2"/>
      <c r="AA433" s="2"/>
      <c r="AB433" s="2"/>
      <c r="AC433" s="2"/>
      <c r="AD433" s="2"/>
      <c r="AE433" s="2"/>
    </row>
    <row r="434" spans="1:31" ht="12.75" x14ac:dyDescent="0.2">
      <c r="A434" s="28">
        <f ca="1">IFERROR(__xludf.DUMMYFUNCTION("""COMPUTED_VALUE"""),71)</f>
        <v>71</v>
      </c>
      <c r="B434" s="29" t="str">
        <f ca="1">IFERROR(__xludf.DUMMYFUNCTION("""COMPUTED_VALUE"""),"MN Sao Ngoan KV3")</f>
        <v>MN Sao Ngoan KV3</v>
      </c>
      <c r="C434" s="33" t="str">
        <f ca="1">IFERROR(__xludf.DUMMYFUNCTION("""COMPUTED_VALUE"""),"MN")</f>
        <v>MN</v>
      </c>
      <c r="D434" s="30" t="str">
        <f ca="1">IFERROR(__xludf.DUMMYFUNCTION("""COMPUTED_VALUE"""),"Tp. Thủ Đức")</f>
        <v>Tp. Thủ Đức</v>
      </c>
      <c r="E434" s="31">
        <f ca="1">IFERROR(__xludf.DUMMYFUNCTION("""COMPUTED_VALUE"""),12)</f>
        <v>12</v>
      </c>
      <c r="F434" s="32">
        <f ca="1">IFERROR(__xludf.DUMMYFUNCTION("""COMPUTED_VALUE"""),12)</f>
        <v>12</v>
      </c>
      <c r="G434" s="32"/>
      <c r="H434" s="32">
        <f ca="1">IFERROR(__xludf.DUMMYFUNCTION("""COMPUTED_VALUE"""),12)</f>
        <v>12</v>
      </c>
      <c r="I434" s="32"/>
      <c r="J434" s="32">
        <f ca="1">IFERROR(__xludf.DUMMYFUNCTION("""COMPUTED_VALUE"""),7)</f>
        <v>7</v>
      </c>
      <c r="K434" s="32"/>
      <c r="L434" s="32">
        <f ca="1">IFERROR(__xludf.DUMMYFUNCTION("""COMPUTED_VALUE"""),5)</f>
        <v>5</v>
      </c>
      <c r="M434" s="32"/>
      <c r="N434" s="31">
        <f ca="1">IFERROR(__xludf.DUMMYFUNCTION("""COMPUTED_VALUE"""),0)</f>
        <v>0</v>
      </c>
      <c r="O434" s="32">
        <f ca="1">IFERROR(__xludf.DUMMYFUNCTION("""COMPUTED_VALUE"""),0)</f>
        <v>0</v>
      </c>
      <c r="P434" s="32"/>
      <c r="Q434" s="32">
        <f ca="1">IFERROR(__xludf.DUMMYFUNCTION("""COMPUTED_VALUE"""),0)</f>
        <v>0</v>
      </c>
      <c r="R434" s="32"/>
      <c r="S434" s="31">
        <f ca="1">IFERROR(__xludf.DUMMYFUNCTION("""COMPUTED_VALUE"""),0)</f>
        <v>0</v>
      </c>
      <c r="T434" s="32">
        <f ca="1">IFERROR(__xludf.DUMMYFUNCTION("""COMPUTED_VALUE"""),0)</f>
        <v>0</v>
      </c>
      <c r="U434" s="32"/>
      <c r="V434" s="32">
        <f ca="1">IFERROR(__xludf.DUMMYFUNCTION("""COMPUTED_VALUE"""),0)</f>
        <v>0</v>
      </c>
      <c r="W434" s="32"/>
      <c r="X434" s="32">
        <f ca="1">IFERROR(__xludf.DUMMYFUNCTION("""COMPUTED_VALUE"""),0)</f>
        <v>0</v>
      </c>
      <c r="Y434" s="32"/>
      <c r="Z434" s="2"/>
      <c r="AA434" s="2"/>
      <c r="AB434" s="2"/>
      <c r="AC434" s="2"/>
      <c r="AD434" s="2"/>
      <c r="AE434" s="2"/>
    </row>
    <row r="435" spans="1:31" ht="12.75" x14ac:dyDescent="0.2">
      <c r="A435" s="28">
        <f ca="1">IFERROR(__xludf.DUMMYFUNCTION("""COMPUTED_VALUE"""),72)</f>
        <v>72</v>
      </c>
      <c r="B435" s="29" t="str">
        <f ca="1">IFERROR(__xludf.DUMMYFUNCTION("""COMPUTED_VALUE"""),"MN Sao Vui KV3")</f>
        <v>MN Sao Vui KV3</v>
      </c>
      <c r="C435" s="33" t="str">
        <f ca="1">IFERROR(__xludf.DUMMYFUNCTION("""COMPUTED_VALUE"""),"MN")</f>
        <v>MN</v>
      </c>
      <c r="D435" s="30" t="str">
        <f ca="1">IFERROR(__xludf.DUMMYFUNCTION("""COMPUTED_VALUE"""),"Tp. Thủ Đức")</f>
        <v>Tp. Thủ Đức</v>
      </c>
      <c r="E435" s="31">
        <f ca="1">IFERROR(__xludf.DUMMYFUNCTION("""COMPUTED_VALUE"""),17)</f>
        <v>17</v>
      </c>
      <c r="F435" s="32">
        <f ca="1">IFERROR(__xludf.DUMMYFUNCTION("""COMPUTED_VALUE"""),17)</f>
        <v>17</v>
      </c>
      <c r="G435" s="32"/>
      <c r="H435" s="32">
        <f ca="1">IFERROR(__xludf.DUMMYFUNCTION("""COMPUTED_VALUE"""),17)</f>
        <v>17</v>
      </c>
      <c r="I435" s="32"/>
      <c r="J435" s="32">
        <f ca="1">IFERROR(__xludf.DUMMYFUNCTION("""COMPUTED_VALUE"""),16)</f>
        <v>16</v>
      </c>
      <c r="K435" s="32"/>
      <c r="L435" s="32">
        <f ca="1">IFERROR(__xludf.DUMMYFUNCTION("""COMPUTED_VALUE"""),0)</f>
        <v>0</v>
      </c>
      <c r="M435" s="32"/>
      <c r="N435" s="31">
        <f ca="1">IFERROR(__xludf.DUMMYFUNCTION("""COMPUTED_VALUE"""),0)</f>
        <v>0</v>
      </c>
      <c r="O435" s="32">
        <f ca="1">IFERROR(__xludf.DUMMYFUNCTION("""COMPUTED_VALUE"""),0)</f>
        <v>0</v>
      </c>
      <c r="P435" s="32"/>
      <c r="Q435" s="32">
        <f ca="1">IFERROR(__xludf.DUMMYFUNCTION("""COMPUTED_VALUE"""),0)</f>
        <v>0</v>
      </c>
      <c r="R435" s="32"/>
      <c r="S435" s="31">
        <f ca="1">IFERROR(__xludf.DUMMYFUNCTION("""COMPUTED_VALUE"""),0)</f>
        <v>0</v>
      </c>
      <c r="T435" s="32">
        <f ca="1">IFERROR(__xludf.DUMMYFUNCTION("""COMPUTED_VALUE"""),0)</f>
        <v>0</v>
      </c>
      <c r="U435" s="32"/>
      <c r="V435" s="32">
        <f ca="1">IFERROR(__xludf.DUMMYFUNCTION("""COMPUTED_VALUE"""),0)</f>
        <v>0</v>
      </c>
      <c r="W435" s="32"/>
      <c r="X435" s="32">
        <f ca="1">IFERROR(__xludf.DUMMYFUNCTION("""COMPUTED_VALUE"""),0)</f>
        <v>0</v>
      </c>
      <c r="Y435" s="32"/>
      <c r="Z435" s="2"/>
      <c r="AA435" s="2"/>
      <c r="AB435" s="2"/>
      <c r="AC435" s="2"/>
      <c r="AD435" s="2"/>
      <c r="AE435" s="2"/>
    </row>
    <row r="436" spans="1:31" ht="12.75" x14ac:dyDescent="0.2">
      <c r="A436" s="28">
        <f ca="1">IFERROR(__xludf.DUMMYFUNCTION("""COMPUTED_VALUE"""),73)</f>
        <v>73</v>
      </c>
      <c r="B436" s="29" t="str">
        <f ca="1">IFERROR(__xludf.DUMMYFUNCTION("""COMPUTED_VALUE"""),"MN Sông Xanh KV3")</f>
        <v>MN Sông Xanh KV3</v>
      </c>
      <c r="C436" s="33" t="str">
        <f ca="1">IFERROR(__xludf.DUMMYFUNCTION("""COMPUTED_VALUE"""),"MN")</f>
        <v>MN</v>
      </c>
      <c r="D436" s="30" t="str">
        <f ca="1">IFERROR(__xludf.DUMMYFUNCTION("""COMPUTED_VALUE"""),"Tp. Thủ Đức")</f>
        <v>Tp. Thủ Đức</v>
      </c>
      <c r="E436" s="31">
        <f ca="1">IFERROR(__xludf.DUMMYFUNCTION("""COMPUTED_VALUE"""),17)</f>
        <v>17</v>
      </c>
      <c r="F436" s="32">
        <f ca="1">IFERROR(__xludf.DUMMYFUNCTION("""COMPUTED_VALUE"""),17)</f>
        <v>17</v>
      </c>
      <c r="G436" s="32"/>
      <c r="H436" s="32">
        <f ca="1">IFERROR(__xludf.DUMMYFUNCTION("""COMPUTED_VALUE"""),17)</f>
        <v>17</v>
      </c>
      <c r="I436" s="32"/>
      <c r="J436" s="32">
        <f ca="1">IFERROR(__xludf.DUMMYFUNCTION("""COMPUTED_VALUE"""),17)</f>
        <v>17</v>
      </c>
      <c r="K436" s="32"/>
      <c r="L436" s="32">
        <f ca="1">IFERROR(__xludf.DUMMYFUNCTION("""COMPUTED_VALUE"""),0)</f>
        <v>0</v>
      </c>
      <c r="M436" s="32"/>
      <c r="N436" s="31">
        <f ca="1">IFERROR(__xludf.DUMMYFUNCTION("""COMPUTED_VALUE"""),0)</f>
        <v>0</v>
      </c>
      <c r="O436" s="32">
        <f ca="1">IFERROR(__xludf.DUMMYFUNCTION("""COMPUTED_VALUE"""),0)</f>
        <v>0</v>
      </c>
      <c r="P436" s="32"/>
      <c r="Q436" s="32">
        <f ca="1">IFERROR(__xludf.DUMMYFUNCTION("""COMPUTED_VALUE"""),0)</f>
        <v>0</v>
      </c>
      <c r="R436" s="32"/>
      <c r="S436" s="31">
        <f ca="1">IFERROR(__xludf.DUMMYFUNCTION("""COMPUTED_VALUE"""),0)</f>
        <v>0</v>
      </c>
      <c r="T436" s="32">
        <f ca="1">IFERROR(__xludf.DUMMYFUNCTION("""COMPUTED_VALUE"""),0)</f>
        <v>0</v>
      </c>
      <c r="U436" s="32"/>
      <c r="V436" s="32">
        <f ca="1">IFERROR(__xludf.DUMMYFUNCTION("""COMPUTED_VALUE"""),0)</f>
        <v>0</v>
      </c>
      <c r="W436" s="32"/>
      <c r="X436" s="32">
        <f ca="1">IFERROR(__xludf.DUMMYFUNCTION("""COMPUTED_VALUE"""),0)</f>
        <v>0</v>
      </c>
      <c r="Y436" s="32"/>
      <c r="Z436" s="2"/>
      <c r="AA436" s="2"/>
      <c r="AB436" s="2"/>
      <c r="AC436" s="2"/>
      <c r="AD436" s="2"/>
      <c r="AE436" s="2"/>
    </row>
    <row r="437" spans="1:31" ht="12.75" x14ac:dyDescent="0.2">
      <c r="A437" s="28">
        <f ca="1">IFERROR(__xludf.DUMMYFUNCTION("""COMPUTED_VALUE"""),74)</f>
        <v>74</v>
      </c>
      <c r="B437" s="29" t="str">
        <f ca="1">IFERROR(__xludf.DUMMYFUNCTION("""COMPUTED_VALUE"""),"MN Tâm Nhi KV3")</f>
        <v>MN Tâm Nhi KV3</v>
      </c>
      <c r="C437" s="33" t="str">
        <f ca="1">IFERROR(__xludf.DUMMYFUNCTION("""COMPUTED_VALUE"""),"MN")</f>
        <v>MN</v>
      </c>
      <c r="D437" s="30" t="str">
        <f ca="1">IFERROR(__xludf.DUMMYFUNCTION("""COMPUTED_VALUE"""),"Tp. Thủ Đức")</f>
        <v>Tp. Thủ Đức</v>
      </c>
      <c r="E437" s="31">
        <f ca="1">IFERROR(__xludf.DUMMYFUNCTION("""COMPUTED_VALUE"""),12)</f>
        <v>12</v>
      </c>
      <c r="F437" s="32">
        <f ca="1">IFERROR(__xludf.DUMMYFUNCTION("""COMPUTED_VALUE"""),12)</f>
        <v>12</v>
      </c>
      <c r="G437" s="32"/>
      <c r="H437" s="32">
        <f ca="1">IFERROR(__xludf.DUMMYFUNCTION("""COMPUTED_VALUE"""),12)</f>
        <v>12</v>
      </c>
      <c r="I437" s="32"/>
      <c r="J437" s="32">
        <f ca="1">IFERROR(__xludf.DUMMYFUNCTION("""COMPUTED_VALUE"""),4)</f>
        <v>4</v>
      </c>
      <c r="K437" s="32"/>
      <c r="L437" s="32">
        <f ca="1">IFERROR(__xludf.DUMMYFUNCTION("""COMPUTED_VALUE"""),2)</f>
        <v>2</v>
      </c>
      <c r="M437" s="32"/>
      <c r="N437" s="31">
        <f ca="1">IFERROR(__xludf.DUMMYFUNCTION("""COMPUTED_VALUE"""),0)</f>
        <v>0</v>
      </c>
      <c r="O437" s="32">
        <f ca="1">IFERROR(__xludf.DUMMYFUNCTION("""COMPUTED_VALUE"""),0)</f>
        <v>0</v>
      </c>
      <c r="P437" s="32"/>
      <c r="Q437" s="32">
        <f ca="1">IFERROR(__xludf.DUMMYFUNCTION("""COMPUTED_VALUE"""),0)</f>
        <v>0</v>
      </c>
      <c r="R437" s="32"/>
      <c r="S437" s="31">
        <f ca="1">IFERROR(__xludf.DUMMYFUNCTION("""COMPUTED_VALUE"""),0)</f>
        <v>0</v>
      </c>
      <c r="T437" s="32">
        <f ca="1">IFERROR(__xludf.DUMMYFUNCTION("""COMPUTED_VALUE"""),0)</f>
        <v>0</v>
      </c>
      <c r="U437" s="32"/>
      <c r="V437" s="32">
        <f ca="1">IFERROR(__xludf.DUMMYFUNCTION("""COMPUTED_VALUE"""),0)</f>
        <v>0</v>
      </c>
      <c r="W437" s="32"/>
      <c r="X437" s="32">
        <f ca="1">IFERROR(__xludf.DUMMYFUNCTION("""COMPUTED_VALUE"""),0)</f>
        <v>0</v>
      </c>
      <c r="Y437" s="32"/>
      <c r="Z437" s="2"/>
      <c r="AA437" s="2"/>
      <c r="AB437" s="2"/>
      <c r="AC437" s="2"/>
      <c r="AD437" s="2"/>
      <c r="AE437" s="2"/>
    </row>
    <row r="438" spans="1:31" ht="12.75" x14ac:dyDescent="0.2">
      <c r="A438" s="28">
        <f ca="1">IFERROR(__xludf.DUMMYFUNCTION("""COMPUTED_VALUE"""),75)</f>
        <v>75</v>
      </c>
      <c r="B438" s="29" t="str">
        <f ca="1">IFERROR(__xludf.DUMMYFUNCTION("""COMPUTED_VALUE"""),"MN Thanh Bình KV3")</f>
        <v>MN Thanh Bình KV3</v>
      </c>
      <c r="C438" s="33" t="str">
        <f ca="1">IFERROR(__xludf.DUMMYFUNCTION("""COMPUTED_VALUE"""),"MN")</f>
        <v>MN</v>
      </c>
      <c r="D438" s="30" t="str">
        <f ca="1">IFERROR(__xludf.DUMMYFUNCTION("""COMPUTED_VALUE"""),"Tp. Thủ Đức")</f>
        <v>Tp. Thủ Đức</v>
      </c>
      <c r="E438" s="31">
        <f ca="1">IFERROR(__xludf.DUMMYFUNCTION("""COMPUTED_VALUE"""),22)</f>
        <v>22</v>
      </c>
      <c r="F438" s="32">
        <f ca="1">IFERROR(__xludf.DUMMYFUNCTION("""COMPUTED_VALUE"""),22)</f>
        <v>22</v>
      </c>
      <c r="G438" s="32"/>
      <c r="H438" s="32">
        <f ca="1">IFERROR(__xludf.DUMMYFUNCTION("""COMPUTED_VALUE"""),22)</f>
        <v>22</v>
      </c>
      <c r="I438" s="32"/>
      <c r="J438" s="32">
        <f ca="1">IFERROR(__xludf.DUMMYFUNCTION("""COMPUTED_VALUE"""),17)</f>
        <v>17</v>
      </c>
      <c r="K438" s="32"/>
      <c r="L438" s="32">
        <f ca="1">IFERROR(__xludf.DUMMYFUNCTION("""COMPUTED_VALUE"""),3)</f>
        <v>3</v>
      </c>
      <c r="M438" s="32"/>
      <c r="N438" s="31">
        <f ca="1">IFERROR(__xludf.DUMMYFUNCTION("""COMPUTED_VALUE"""),0)</f>
        <v>0</v>
      </c>
      <c r="O438" s="32">
        <f ca="1">IFERROR(__xludf.DUMMYFUNCTION("""COMPUTED_VALUE"""),0)</f>
        <v>0</v>
      </c>
      <c r="P438" s="32"/>
      <c r="Q438" s="32">
        <f ca="1">IFERROR(__xludf.DUMMYFUNCTION("""COMPUTED_VALUE"""),0)</f>
        <v>0</v>
      </c>
      <c r="R438" s="32"/>
      <c r="S438" s="31">
        <f ca="1">IFERROR(__xludf.DUMMYFUNCTION("""COMPUTED_VALUE"""),0)</f>
        <v>0</v>
      </c>
      <c r="T438" s="32">
        <f ca="1">IFERROR(__xludf.DUMMYFUNCTION("""COMPUTED_VALUE"""),0)</f>
        <v>0</v>
      </c>
      <c r="U438" s="32"/>
      <c r="V438" s="32">
        <f ca="1">IFERROR(__xludf.DUMMYFUNCTION("""COMPUTED_VALUE"""),0)</f>
        <v>0</v>
      </c>
      <c r="W438" s="32"/>
      <c r="X438" s="32">
        <f ca="1">IFERROR(__xludf.DUMMYFUNCTION("""COMPUTED_VALUE"""),0)</f>
        <v>0</v>
      </c>
      <c r="Y438" s="32"/>
      <c r="Z438" s="2"/>
      <c r="AA438" s="2"/>
      <c r="AB438" s="2"/>
      <c r="AC438" s="2"/>
      <c r="AD438" s="2"/>
      <c r="AE438" s="2"/>
    </row>
    <row r="439" spans="1:31" ht="12.75" x14ac:dyDescent="0.2">
      <c r="A439" s="28">
        <f ca="1">IFERROR(__xludf.DUMMYFUNCTION("""COMPUTED_VALUE"""),76)</f>
        <v>76</v>
      </c>
      <c r="B439" s="29" t="str">
        <f ca="1">IFERROR(__xludf.DUMMYFUNCTION("""COMPUTED_VALUE"""),"MN Thành Phố Tuổi Thơ KV3")</f>
        <v>MN Thành Phố Tuổi Thơ KV3</v>
      </c>
      <c r="C439" s="33" t="str">
        <f ca="1">IFERROR(__xludf.DUMMYFUNCTION("""COMPUTED_VALUE"""),"MN")</f>
        <v>MN</v>
      </c>
      <c r="D439" s="30" t="str">
        <f ca="1">IFERROR(__xludf.DUMMYFUNCTION("""COMPUTED_VALUE"""),"Tp. Thủ Đức")</f>
        <v>Tp. Thủ Đức</v>
      </c>
      <c r="E439" s="31">
        <f ca="1">IFERROR(__xludf.DUMMYFUNCTION("""COMPUTED_VALUE"""),17)</f>
        <v>17</v>
      </c>
      <c r="F439" s="32">
        <f ca="1">IFERROR(__xludf.DUMMYFUNCTION("""COMPUTED_VALUE"""),17)</f>
        <v>17</v>
      </c>
      <c r="G439" s="32"/>
      <c r="H439" s="32">
        <f ca="1">IFERROR(__xludf.DUMMYFUNCTION("""COMPUTED_VALUE"""),17)</f>
        <v>17</v>
      </c>
      <c r="I439" s="32"/>
      <c r="J439" s="32">
        <f ca="1">IFERROR(__xludf.DUMMYFUNCTION("""COMPUTED_VALUE"""),17)</f>
        <v>17</v>
      </c>
      <c r="K439" s="32"/>
      <c r="L439" s="32">
        <f ca="1">IFERROR(__xludf.DUMMYFUNCTION("""COMPUTED_VALUE"""),1)</f>
        <v>1</v>
      </c>
      <c r="M439" s="32"/>
      <c r="N439" s="31">
        <f ca="1">IFERROR(__xludf.DUMMYFUNCTION("""COMPUTED_VALUE"""),0)</f>
        <v>0</v>
      </c>
      <c r="O439" s="32">
        <f ca="1">IFERROR(__xludf.DUMMYFUNCTION("""COMPUTED_VALUE"""),0)</f>
        <v>0</v>
      </c>
      <c r="P439" s="32"/>
      <c r="Q439" s="32">
        <f ca="1">IFERROR(__xludf.DUMMYFUNCTION("""COMPUTED_VALUE"""),0)</f>
        <v>0</v>
      </c>
      <c r="R439" s="32"/>
      <c r="S439" s="31">
        <f ca="1">IFERROR(__xludf.DUMMYFUNCTION("""COMPUTED_VALUE"""),0)</f>
        <v>0</v>
      </c>
      <c r="T439" s="32">
        <f ca="1">IFERROR(__xludf.DUMMYFUNCTION("""COMPUTED_VALUE"""),0)</f>
        <v>0</v>
      </c>
      <c r="U439" s="32"/>
      <c r="V439" s="32">
        <f ca="1">IFERROR(__xludf.DUMMYFUNCTION("""COMPUTED_VALUE"""),0)</f>
        <v>0</v>
      </c>
      <c r="W439" s="32"/>
      <c r="X439" s="32">
        <f ca="1">IFERROR(__xludf.DUMMYFUNCTION("""COMPUTED_VALUE"""),0)</f>
        <v>0</v>
      </c>
      <c r="Y439" s="32"/>
      <c r="Z439" s="2"/>
      <c r="AA439" s="2"/>
      <c r="AB439" s="2"/>
      <c r="AC439" s="2"/>
      <c r="AD439" s="2"/>
      <c r="AE439" s="2"/>
    </row>
    <row r="440" spans="1:31" ht="12.75" x14ac:dyDescent="0.2">
      <c r="A440" s="28">
        <f ca="1">IFERROR(__xludf.DUMMYFUNCTION("""COMPUTED_VALUE"""),77)</f>
        <v>77</v>
      </c>
      <c r="B440" s="29" t="str">
        <f ca="1">IFERROR(__xludf.DUMMYFUNCTION("""COMPUTED_VALUE"""),"MN Thanh Tâm KV3")</f>
        <v>MN Thanh Tâm KV3</v>
      </c>
      <c r="C440" s="33" t="str">
        <f ca="1">IFERROR(__xludf.DUMMYFUNCTION("""COMPUTED_VALUE"""),"MN")</f>
        <v>MN</v>
      </c>
      <c r="D440" s="30" t="str">
        <f ca="1">IFERROR(__xludf.DUMMYFUNCTION("""COMPUTED_VALUE"""),"Tp. Thủ Đức")</f>
        <v>Tp. Thủ Đức</v>
      </c>
      <c r="E440" s="31">
        <f ca="1">IFERROR(__xludf.DUMMYFUNCTION("""COMPUTED_VALUE"""),55)</f>
        <v>55</v>
      </c>
      <c r="F440" s="32">
        <f ca="1">IFERROR(__xludf.DUMMYFUNCTION("""COMPUTED_VALUE"""),55)</f>
        <v>55</v>
      </c>
      <c r="G440" s="32"/>
      <c r="H440" s="32">
        <f ca="1">IFERROR(__xludf.DUMMYFUNCTION("""COMPUTED_VALUE"""),55)</f>
        <v>55</v>
      </c>
      <c r="I440" s="32"/>
      <c r="J440" s="32">
        <f ca="1">IFERROR(__xludf.DUMMYFUNCTION("""COMPUTED_VALUE"""),40)</f>
        <v>40</v>
      </c>
      <c r="K440" s="32"/>
      <c r="L440" s="32">
        <f ca="1">IFERROR(__xludf.DUMMYFUNCTION("""COMPUTED_VALUE"""),2)</f>
        <v>2</v>
      </c>
      <c r="M440" s="32"/>
      <c r="N440" s="31">
        <f ca="1">IFERROR(__xludf.DUMMYFUNCTION("""COMPUTED_VALUE"""),0)</f>
        <v>0</v>
      </c>
      <c r="O440" s="32">
        <f ca="1">IFERROR(__xludf.DUMMYFUNCTION("""COMPUTED_VALUE"""),0)</f>
        <v>0</v>
      </c>
      <c r="P440" s="32"/>
      <c r="Q440" s="32">
        <f ca="1">IFERROR(__xludf.DUMMYFUNCTION("""COMPUTED_VALUE"""),0)</f>
        <v>0</v>
      </c>
      <c r="R440" s="32"/>
      <c r="S440" s="31">
        <f ca="1">IFERROR(__xludf.DUMMYFUNCTION("""COMPUTED_VALUE"""),0)</f>
        <v>0</v>
      </c>
      <c r="T440" s="32">
        <f ca="1">IFERROR(__xludf.DUMMYFUNCTION("""COMPUTED_VALUE"""),0)</f>
        <v>0</v>
      </c>
      <c r="U440" s="32"/>
      <c r="V440" s="32">
        <f ca="1">IFERROR(__xludf.DUMMYFUNCTION("""COMPUTED_VALUE"""),0)</f>
        <v>0</v>
      </c>
      <c r="W440" s="32"/>
      <c r="X440" s="32">
        <f ca="1">IFERROR(__xludf.DUMMYFUNCTION("""COMPUTED_VALUE"""),0)</f>
        <v>0</v>
      </c>
      <c r="Y440" s="32"/>
      <c r="Z440" s="2"/>
      <c r="AA440" s="2"/>
      <c r="AB440" s="2"/>
      <c r="AC440" s="2"/>
      <c r="AD440" s="2"/>
      <c r="AE440" s="2"/>
    </row>
    <row r="441" spans="1:31" ht="12.75" x14ac:dyDescent="0.2">
      <c r="A441" s="28">
        <f ca="1">IFERROR(__xludf.DUMMYFUNCTION("""COMPUTED_VALUE"""),78)</f>
        <v>78</v>
      </c>
      <c r="B441" s="29" t="str">
        <f ca="1">IFERROR(__xludf.DUMMYFUNCTION("""COMPUTED_VALUE"""),"MN Thanh Thúy KV3")</f>
        <v>MN Thanh Thúy KV3</v>
      </c>
      <c r="C441" s="33" t="str">
        <f ca="1">IFERROR(__xludf.DUMMYFUNCTION("""COMPUTED_VALUE"""),"MN")</f>
        <v>MN</v>
      </c>
      <c r="D441" s="30" t="str">
        <f ca="1">IFERROR(__xludf.DUMMYFUNCTION("""COMPUTED_VALUE"""),"Tp. Thủ Đức")</f>
        <v>Tp. Thủ Đức</v>
      </c>
      <c r="E441" s="31">
        <f ca="1">IFERROR(__xludf.DUMMYFUNCTION("""COMPUTED_VALUE"""),12)</f>
        <v>12</v>
      </c>
      <c r="F441" s="32">
        <f ca="1">IFERROR(__xludf.DUMMYFUNCTION("""COMPUTED_VALUE"""),12)</f>
        <v>12</v>
      </c>
      <c r="G441" s="32"/>
      <c r="H441" s="32">
        <f ca="1">IFERROR(__xludf.DUMMYFUNCTION("""COMPUTED_VALUE"""),12)</f>
        <v>12</v>
      </c>
      <c r="I441" s="32"/>
      <c r="J441" s="32">
        <f ca="1">IFERROR(__xludf.DUMMYFUNCTION("""COMPUTED_VALUE"""),10)</f>
        <v>10</v>
      </c>
      <c r="K441" s="32"/>
      <c r="L441" s="32">
        <f ca="1">IFERROR(__xludf.DUMMYFUNCTION("""COMPUTED_VALUE"""),0)</f>
        <v>0</v>
      </c>
      <c r="M441" s="32"/>
      <c r="N441" s="31">
        <f ca="1">IFERROR(__xludf.DUMMYFUNCTION("""COMPUTED_VALUE"""),0)</f>
        <v>0</v>
      </c>
      <c r="O441" s="32">
        <f ca="1">IFERROR(__xludf.DUMMYFUNCTION("""COMPUTED_VALUE"""),0)</f>
        <v>0</v>
      </c>
      <c r="P441" s="32"/>
      <c r="Q441" s="32">
        <f ca="1">IFERROR(__xludf.DUMMYFUNCTION("""COMPUTED_VALUE"""),0)</f>
        <v>0</v>
      </c>
      <c r="R441" s="32"/>
      <c r="S441" s="31">
        <f ca="1">IFERROR(__xludf.DUMMYFUNCTION("""COMPUTED_VALUE"""),0)</f>
        <v>0</v>
      </c>
      <c r="T441" s="32">
        <f ca="1">IFERROR(__xludf.DUMMYFUNCTION("""COMPUTED_VALUE"""),0)</f>
        <v>0</v>
      </c>
      <c r="U441" s="32"/>
      <c r="V441" s="32">
        <f ca="1">IFERROR(__xludf.DUMMYFUNCTION("""COMPUTED_VALUE"""),0)</f>
        <v>0</v>
      </c>
      <c r="W441" s="32"/>
      <c r="X441" s="32">
        <f ca="1">IFERROR(__xludf.DUMMYFUNCTION("""COMPUTED_VALUE"""),0)</f>
        <v>0</v>
      </c>
      <c r="Y441" s="32"/>
      <c r="Z441" s="2"/>
      <c r="AA441" s="2"/>
      <c r="AB441" s="2"/>
      <c r="AC441" s="2"/>
      <c r="AD441" s="2"/>
      <c r="AE441" s="2"/>
    </row>
    <row r="442" spans="1:31" ht="12.75" x14ac:dyDescent="0.2">
      <c r="A442" s="28">
        <f ca="1">IFERROR(__xludf.DUMMYFUNCTION("""COMPUTED_VALUE"""),79)</f>
        <v>79</v>
      </c>
      <c r="B442" s="29" t="str">
        <f ca="1">IFERROR(__xludf.DUMMYFUNCTION("""COMPUTED_VALUE"""),"MN Thế Giới Trẻ Em KV3")</f>
        <v>MN Thế Giới Trẻ Em KV3</v>
      </c>
      <c r="C442" s="33" t="str">
        <f ca="1">IFERROR(__xludf.DUMMYFUNCTION("""COMPUTED_VALUE"""),"MN")</f>
        <v>MN</v>
      </c>
      <c r="D442" s="30" t="str">
        <f ca="1">IFERROR(__xludf.DUMMYFUNCTION("""COMPUTED_VALUE"""),"Tp. Thủ Đức")</f>
        <v>Tp. Thủ Đức</v>
      </c>
      <c r="E442" s="31">
        <f ca="1">IFERROR(__xludf.DUMMYFUNCTION("""COMPUTED_VALUE"""),19)</f>
        <v>19</v>
      </c>
      <c r="F442" s="32">
        <f ca="1">IFERROR(__xludf.DUMMYFUNCTION("""COMPUTED_VALUE"""),19)</f>
        <v>19</v>
      </c>
      <c r="G442" s="32"/>
      <c r="H442" s="32">
        <f ca="1">IFERROR(__xludf.DUMMYFUNCTION("""COMPUTED_VALUE"""),19)</f>
        <v>19</v>
      </c>
      <c r="I442" s="32"/>
      <c r="J442" s="32">
        <f ca="1">IFERROR(__xludf.DUMMYFUNCTION("""COMPUTED_VALUE"""),15)</f>
        <v>15</v>
      </c>
      <c r="K442" s="32"/>
      <c r="L442" s="32">
        <f ca="1">IFERROR(__xludf.DUMMYFUNCTION("""COMPUTED_VALUE"""),0)</f>
        <v>0</v>
      </c>
      <c r="M442" s="32"/>
      <c r="N442" s="31">
        <f ca="1">IFERROR(__xludf.DUMMYFUNCTION("""COMPUTED_VALUE"""),0)</f>
        <v>0</v>
      </c>
      <c r="O442" s="32">
        <f ca="1">IFERROR(__xludf.DUMMYFUNCTION("""COMPUTED_VALUE"""),0)</f>
        <v>0</v>
      </c>
      <c r="P442" s="32"/>
      <c r="Q442" s="32">
        <f ca="1">IFERROR(__xludf.DUMMYFUNCTION("""COMPUTED_VALUE"""),0)</f>
        <v>0</v>
      </c>
      <c r="R442" s="32"/>
      <c r="S442" s="31">
        <f ca="1">IFERROR(__xludf.DUMMYFUNCTION("""COMPUTED_VALUE"""),0)</f>
        <v>0</v>
      </c>
      <c r="T442" s="32">
        <f ca="1">IFERROR(__xludf.DUMMYFUNCTION("""COMPUTED_VALUE"""),0)</f>
        <v>0</v>
      </c>
      <c r="U442" s="32"/>
      <c r="V442" s="32">
        <f ca="1">IFERROR(__xludf.DUMMYFUNCTION("""COMPUTED_VALUE"""),0)</f>
        <v>0</v>
      </c>
      <c r="W442" s="32"/>
      <c r="X442" s="32">
        <f ca="1">IFERROR(__xludf.DUMMYFUNCTION("""COMPUTED_VALUE"""),0)</f>
        <v>0</v>
      </c>
      <c r="Y442" s="32"/>
      <c r="Z442" s="2"/>
      <c r="AA442" s="2"/>
      <c r="AB442" s="2"/>
      <c r="AC442" s="2"/>
      <c r="AD442" s="2"/>
      <c r="AE442" s="2"/>
    </row>
    <row r="443" spans="1:31" ht="12.75" x14ac:dyDescent="0.2">
      <c r="A443" s="28">
        <f ca="1">IFERROR(__xludf.DUMMYFUNCTION("""COMPUTED_VALUE"""),80)</f>
        <v>80</v>
      </c>
      <c r="B443" s="29" t="str">
        <f ca="1">IFERROR(__xludf.DUMMYFUNCTION("""COMPUTED_VALUE"""),"MN Thế Giới Trẻ Thơ KV3")</f>
        <v>MN Thế Giới Trẻ Thơ KV3</v>
      </c>
      <c r="C443" s="33" t="str">
        <f ca="1">IFERROR(__xludf.DUMMYFUNCTION("""COMPUTED_VALUE"""),"MN")</f>
        <v>MN</v>
      </c>
      <c r="D443" s="30" t="str">
        <f ca="1">IFERROR(__xludf.DUMMYFUNCTION("""COMPUTED_VALUE"""),"Tp. Thủ Đức")</f>
        <v>Tp. Thủ Đức</v>
      </c>
      <c r="E443" s="31">
        <f ca="1">IFERROR(__xludf.DUMMYFUNCTION("""COMPUTED_VALUE"""),17)</f>
        <v>17</v>
      </c>
      <c r="F443" s="32">
        <f ca="1">IFERROR(__xludf.DUMMYFUNCTION("""COMPUTED_VALUE"""),17)</f>
        <v>17</v>
      </c>
      <c r="G443" s="32"/>
      <c r="H443" s="32">
        <f ca="1">IFERROR(__xludf.DUMMYFUNCTION("""COMPUTED_VALUE"""),17)</f>
        <v>17</v>
      </c>
      <c r="I443" s="32"/>
      <c r="J443" s="32">
        <f ca="1">IFERROR(__xludf.DUMMYFUNCTION("""COMPUTED_VALUE"""),13)</f>
        <v>13</v>
      </c>
      <c r="K443" s="32"/>
      <c r="L443" s="32">
        <f ca="1">IFERROR(__xludf.DUMMYFUNCTION("""COMPUTED_VALUE"""),0)</f>
        <v>0</v>
      </c>
      <c r="M443" s="32"/>
      <c r="N443" s="31">
        <f ca="1">IFERROR(__xludf.DUMMYFUNCTION("""COMPUTED_VALUE"""),0)</f>
        <v>0</v>
      </c>
      <c r="O443" s="32">
        <f ca="1">IFERROR(__xludf.DUMMYFUNCTION("""COMPUTED_VALUE"""),0)</f>
        <v>0</v>
      </c>
      <c r="P443" s="32"/>
      <c r="Q443" s="32">
        <f ca="1">IFERROR(__xludf.DUMMYFUNCTION("""COMPUTED_VALUE"""),0)</f>
        <v>0</v>
      </c>
      <c r="R443" s="32"/>
      <c r="S443" s="31">
        <f ca="1">IFERROR(__xludf.DUMMYFUNCTION("""COMPUTED_VALUE"""),0)</f>
        <v>0</v>
      </c>
      <c r="T443" s="32">
        <f ca="1">IFERROR(__xludf.DUMMYFUNCTION("""COMPUTED_VALUE"""),0)</f>
        <v>0</v>
      </c>
      <c r="U443" s="32"/>
      <c r="V443" s="32">
        <f ca="1">IFERROR(__xludf.DUMMYFUNCTION("""COMPUTED_VALUE"""),0)</f>
        <v>0</v>
      </c>
      <c r="W443" s="32"/>
      <c r="X443" s="32">
        <f ca="1">IFERROR(__xludf.DUMMYFUNCTION("""COMPUTED_VALUE"""),0)</f>
        <v>0</v>
      </c>
      <c r="Y443" s="32"/>
      <c r="Z443" s="2"/>
      <c r="AA443" s="2"/>
      <c r="AB443" s="2"/>
      <c r="AC443" s="2"/>
      <c r="AD443" s="2"/>
      <c r="AE443" s="2"/>
    </row>
    <row r="444" spans="1:31" ht="12.75" x14ac:dyDescent="0.2">
      <c r="A444" s="28">
        <f ca="1">IFERROR(__xludf.DUMMYFUNCTION("""COMPUTED_VALUE"""),81)</f>
        <v>81</v>
      </c>
      <c r="B444" s="29" t="str">
        <f ca="1">IFERROR(__xludf.DUMMYFUNCTION("""COMPUTED_VALUE"""),"MN Thế Giới Xanh TĐ KV3")</f>
        <v>MN Thế Giới Xanh TĐ KV3</v>
      </c>
      <c r="C444" s="33" t="str">
        <f ca="1">IFERROR(__xludf.DUMMYFUNCTION("""COMPUTED_VALUE"""),"MN")</f>
        <v>MN</v>
      </c>
      <c r="D444" s="30" t="str">
        <f ca="1">IFERROR(__xludf.DUMMYFUNCTION("""COMPUTED_VALUE"""),"Tp. Thủ Đức")</f>
        <v>Tp. Thủ Đức</v>
      </c>
      <c r="E444" s="31">
        <f ca="1">IFERROR(__xludf.DUMMYFUNCTION("""COMPUTED_VALUE"""),24)</f>
        <v>24</v>
      </c>
      <c r="F444" s="32">
        <f ca="1">IFERROR(__xludf.DUMMYFUNCTION("""COMPUTED_VALUE"""),24)</f>
        <v>24</v>
      </c>
      <c r="G444" s="32"/>
      <c r="H444" s="32">
        <f ca="1">IFERROR(__xludf.DUMMYFUNCTION("""COMPUTED_VALUE"""),24)</f>
        <v>24</v>
      </c>
      <c r="I444" s="32"/>
      <c r="J444" s="32">
        <f ca="1">IFERROR(__xludf.DUMMYFUNCTION("""COMPUTED_VALUE"""),16)</f>
        <v>16</v>
      </c>
      <c r="K444" s="32"/>
      <c r="L444" s="32">
        <f ca="1">IFERROR(__xludf.DUMMYFUNCTION("""COMPUTED_VALUE"""),0)</f>
        <v>0</v>
      </c>
      <c r="M444" s="32"/>
      <c r="N444" s="31">
        <f ca="1">IFERROR(__xludf.DUMMYFUNCTION("""COMPUTED_VALUE"""),0)</f>
        <v>0</v>
      </c>
      <c r="O444" s="32">
        <f ca="1">IFERROR(__xludf.DUMMYFUNCTION("""COMPUTED_VALUE"""),0)</f>
        <v>0</v>
      </c>
      <c r="P444" s="32"/>
      <c r="Q444" s="32">
        <f ca="1">IFERROR(__xludf.DUMMYFUNCTION("""COMPUTED_VALUE"""),0)</f>
        <v>0</v>
      </c>
      <c r="R444" s="32"/>
      <c r="S444" s="31">
        <f ca="1">IFERROR(__xludf.DUMMYFUNCTION("""COMPUTED_VALUE"""),0)</f>
        <v>0</v>
      </c>
      <c r="T444" s="32">
        <f ca="1">IFERROR(__xludf.DUMMYFUNCTION("""COMPUTED_VALUE"""),0)</f>
        <v>0</v>
      </c>
      <c r="U444" s="32"/>
      <c r="V444" s="32">
        <f ca="1">IFERROR(__xludf.DUMMYFUNCTION("""COMPUTED_VALUE"""),0)</f>
        <v>0</v>
      </c>
      <c r="W444" s="32"/>
      <c r="X444" s="32">
        <f ca="1">IFERROR(__xludf.DUMMYFUNCTION("""COMPUTED_VALUE"""),0)</f>
        <v>0</v>
      </c>
      <c r="Y444" s="32"/>
      <c r="Z444" s="2"/>
      <c r="AA444" s="2"/>
      <c r="AB444" s="2"/>
      <c r="AC444" s="2"/>
      <c r="AD444" s="2"/>
      <c r="AE444" s="2"/>
    </row>
    <row r="445" spans="1:31" ht="12.75" x14ac:dyDescent="0.2">
      <c r="A445" s="28">
        <f ca="1">IFERROR(__xludf.DUMMYFUNCTION("""COMPUTED_VALUE"""),82)</f>
        <v>82</v>
      </c>
      <c r="B445" s="29" t="str">
        <f ca="1">IFERROR(__xludf.DUMMYFUNCTION("""COMPUTED_VALUE"""),"MN Thiên Ân 3 KV3")</f>
        <v>MN Thiên Ân 3 KV3</v>
      </c>
      <c r="C445" s="33" t="str">
        <f ca="1">IFERROR(__xludf.DUMMYFUNCTION("""COMPUTED_VALUE"""),"MN")</f>
        <v>MN</v>
      </c>
      <c r="D445" s="30" t="str">
        <f ca="1">IFERROR(__xludf.DUMMYFUNCTION("""COMPUTED_VALUE"""),"Tp. Thủ Đức")</f>
        <v>Tp. Thủ Đức</v>
      </c>
      <c r="E445" s="31">
        <f ca="1">IFERROR(__xludf.DUMMYFUNCTION("""COMPUTED_VALUE"""),25)</f>
        <v>25</v>
      </c>
      <c r="F445" s="32">
        <f ca="1">IFERROR(__xludf.DUMMYFUNCTION("""COMPUTED_VALUE"""),25)</f>
        <v>25</v>
      </c>
      <c r="G445" s="32"/>
      <c r="H445" s="32">
        <f ca="1">IFERROR(__xludf.DUMMYFUNCTION("""COMPUTED_VALUE"""),25)</f>
        <v>25</v>
      </c>
      <c r="I445" s="32"/>
      <c r="J445" s="32">
        <f ca="1">IFERROR(__xludf.DUMMYFUNCTION("""COMPUTED_VALUE"""),25)</f>
        <v>25</v>
      </c>
      <c r="K445" s="32"/>
      <c r="L445" s="32">
        <f ca="1">IFERROR(__xludf.DUMMYFUNCTION("""COMPUTED_VALUE"""),1)</f>
        <v>1</v>
      </c>
      <c r="M445" s="32"/>
      <c r="N445" s="31">
        <f ca="1">IFERROR(__xludf.DUMMYFUNCTION("""COMPUTED_VALUE"""),0)</f>
        <v>0</v>
      </c>
      <c r="O445" s="32">
        <f ca="1">IFERROR(__xludf.DUMMYFUNCTION("""COMPUTED_VALUE"""),0)</f>
        <v>0</v>
      </c>
      <c r="P445" s="32"/>
      <c r="Q445" s="32">
        <f ca="1">IFERROR(__xludf.DUMMYFUNCTION("""COMPUTED_VALUE"""),0)</f>
        <v>0</v>
      </c>
      <c r="R445" s="32"/>
      <c r="S445" s="31">
        <f ca="1">IFERROR(__xludf.DUMMYFUNCTION("""COMPUTED_VALUE"""),0)</f>
        <v>0</v>
      </c>
      <c r="T445" s="32">
        <f ca="1">IFERROR(__xludf.DUMMYFUNCTION("""COMPUTED_VALUE"""),0)</f>
        <v>0</v>
      </c>
      <c r="U445" s="32"/>
      <c r="V445" s="32">
        <f ca="1">IFERROR(__xludf.DUMMYFUNCTION("""COMPUTED_VALUE"""),0)</f>
        <v>0</v>
      </c>
      <c r="W445" s="32"/>
      <c r="X445" s="32">
        <f ca="1">IFERROR(__xludf.DUMMYFUNCTION("""COMPUTED_VALUE"""),0)</f>
        <v>0</v>
      </c>
      <c r="Y445" s="32"/>
      <c r="Z445" s="2"/>
      <c r="AA445" s="2"/>
      <c r="AB445" s="2"/>
      <c r="AC445" s="2"/>
      <c r="AD445" s="2"/>
      <c r="AE445" s="2"/>
    </row>
    <row r="446" spans="1:31" ht="12.75" x14ac:dyDescent="0.2">
      <c r="A446" s="28">
        <f ca="1">IFERROR(__xludf.DUMMYFUNCTION("""COMPUTED_VALUE"""),83)</f>
        <v>83</v>
      </c>
      <c r="B446" s="29" t="str">
        <f ca="1">IFERROR(__xludf.DUMMYFUNCTION("""COMPUTED_VALUE"""),"MN Thiên Ca KV3")</f>
        <v>MN Thiên Ca KV3</v>
      </c>
      <c r="C446" s="33" t="str">
        <f ca="1">IFERROR(__xludf.DUMMYFUNCTION("""COMPUTED_VALUE"""),"MN")</f>
        <v>MN</v>
      </c>
      <c r="D446" s="30" t="str">
        <f ca="1">IFERROR(__xludf.DUMMYFUNCTION("""COMPUTED_VALUE"""),"Tp. Thủ Đức")</f>
        <v>Tp. Thủ Đức</v>
      </c>
      <c r="E446" s="31">
        <f ca="1">IFERROR(__xludf.DUMMYFUNCTION("""COMPUTED_VALUE"""),15)</f>
        <v>15</v>
      </c>
      <c r="F446" s="32">
        <f ca="1">IFERROR(__xludf.DUMMYFUNCTION("""COMPUTED_VALUE"""),15)</f>
        <v>15</v>
      </c>
      <c r="G446" s="32"/>
      <c r="H446" s="32">
        <f ca="1">IFERROR(__xludf.DUMMYFUNCTION("""COMPUTED_VALUE"""),15)</f>
        <v>15</v>
      </c>
      <c r="I446" s="32"/>
      <c r="J446" s="32">
        <f ca="1">IFERROR(__xludf.DUMMYFUNCTION("""COMPUTED_VALUE"""),15)</f>
        <v>15</v>
      </c>
      <c r="K446" s="32"/>
      <c r="L446" s="32">
        <f ca="1">IFERROR(__xludf.DUMMYFUNCTION("""COMPUTED_VALUE"""),10)</f>
        <v>10</v>
      </c>
      <c r="M446" s="32"/>
      <c r="N446" s="31">
        <f ca="1">IFERROR(__xludf.DUMMYFUNCTION("""COMPUTED_VALUE"""),0)</f>
        <v>0</v>
      </c>
      <c r="O446" s="32">
        <f ca="1">IFERROR(__xludf.DUMMYFUNCTION("""COMPUTED_VALUE"""),0)</f>
        <v>0</v>
      </c>
      <c r="P446" s="32"/>
      <c r="Q446" s="32">
        <f ca="1">IFERROR(__xludf.DUMMYFUNCTION("""COMPUTED_VALUE"""),0)</f>
        <v>0</v>
      </c>
      <c r="R446" s="32"/>
      <c r="S446" s="31">
        <f ca="1">IFERROR(__xludf.DUMMYFUNCTION("""COMPUTED_VALUE"""),0)</f>
        <v>0</v>
      </c>
      <c r="T446" s="32">
        <f ca="1">IFERROR(__xludf.DUMMYFUNCTION("""COMPUTED_VALUE"""),0)</f>
        <v>0</v>
      </c>
      <c r="U446" s="32"/>
      <c r="V446" s="32">
        <f ca="1">IFERROR(__xludf.DUMMYFUNCTION("""COMPUTED_VALUE"""),0)</f>
        <v>0</v>
      </c>
      <c r="W446" s="32"/>
      <c r="X446" s="32">
        <f ca="1">IFERROR(__xludf.DUMMYFUNCTION("""COMPUTED_VALUE"""),0)</f>
        <v>0</v>
      </c>
      <c r="Y446" s="32"/>
      <c r="Z446" s="2"/>
      <c r="AA446" s="2"/>
      <c r="AB446" s="2"/>
      <c r="AC446" s="2"/>
      <c r="AD446" s="2"/>
      <c r="AE446" s="2"/>
    </row>
    <row r="447" spans="1:31" ht="12.75" x14ac:dyDescent="0.2">
      <c r="A447" s="28">
        <f ca="1">IFERROR(__xludf.DUMMYFUNCTION("""COMPUTED_VALUE"""),84)</f>
        <v>84</v>
      </c>
      <c r="B447" s="29" t="str">
        <f ca="1">IFERROR(__xludf.DUMMYFUNCTION("""COMPUTED_VALUE"""),"MN Thiên Thần Nhỏ KV3")</f>
        <v>MN Thiên Thần Nhỏ KV3</v>
      </c>
      <c r="C447" s="33" t="str">
        <f ca="1">IFERROR(__xludf.DUMMYFUNCTION("""COMPUTED_VALUE"""),"MN")</f>
        <v>MN</v>
      </c>
      <c r="D447" s="30" t="str">
        <f ca="1">IFERROR(__xludf.DUMMYFUNCTION("""COMPUTED_VALUE"""),"Tp. Thủ Đức")</f>
        <v>Tp. Thủ Đức</v>
      </c>
      <c r="E447" s="31">
        <f ca="1">IFERROR(__xludf.DUMMYFUNCTION("""COMPUTED_VALUE"""),16)</f>
        <v>16</v>
      </c>
      <c r="F447" s="32">
        <f ca="1">IFERROR(__xludf.DUMMYFUNCTION("""COMPUTED_VALUE"""),16)</f>
        <v>16</v>
      </c>
      <c r="G447" s="32"/>
      <c r="H447" s="32">
        <f ca="1">IFERROR(__xludf.DUMMYFUNCTION("""COMPUTED_VALUE"""),16)</f>
        <v>16</v>
      </c>
      <c r="I447" s="32"/>
      <c r="J447" s="32">
        <f ca="1">IFERROR(__xludf.DUMMYFUNCTION("""COMPUTED_VALUE"""),14)</f>
        <v>14</v>
      </c>
      <c r="K447" s="32"/>
      <c r="L447" s="32">
        <f ca="1">IFERROR(__xludf.DUMMYFUNCTION("""COMPUTED_VALUE"""),2)</f>
        <v>2</v>
      </c>
      <c r="M447" s="32"/>
      <c r="N447" s="31">
        <f ca="1">IFERROR(__xludf.DUMMYFUNCTION("""COMPUTED_VALUE"""),0)</f>
        <v>0</v>
      </c>
      <c r="O447" s="32">
        <f ca="1">IFERROR(__xludf.DUMMYFUNCTION("""COMPUTED_VALUE"""),0)</f>
        <v>0</v>
      </c>
      <c r="P447" s="32"/>
      <c r="Q447" s="32">
        <f ca="1">IFERROR(__xludf.DUMMYFUNCTION("""COMPUTED_VALUE"""),0)</f>
        <v>0</v>
      </c>
      <c r="R447" s="32"/>
      <c r="S447" s="31">
        <f ca="1">IFERROR(__xludf.DUMMYFUNCTION("""COMPUTED_VALUE"""),0)</f>
        <v>0</v>
      </c>
      <c r="T447" s="32">
        <f ca="1">IFERROR(__xludf.DUMMYFUNCTION("""COMPUTED_VALUE"""),0)</f>
        <v>0</v>
      </c>
      <c r="U447" s="32"/>
      <c r="V447" s="32">
        <f ca="1">IFERROR(__xludf.DUMMYFUNCTION("""COMPUTED_VALUE"""),0)</f>
        <v>0</v>
      </c>
      <c r="W447" s="32"/>
      <c r="X447" s="32">
        <f ca="1">IFERROR(__xludf.DUMMYFUNCTION("""COMPUTED_VALUE"""),0)</f>
        <v>0</v>
      </c>
      <c r="Y447" s="32"/>
      <c r="Z447" s="2"/>
      <c r="AA447" s="2"/>
      <c r="AB447" s="2"/>
      <c r="AC447" s="2"/>
      <c r="AD447" s="2"/>
      <c r="AE447" s="2"/>
    </row>
    <row r="448" spans="1:31" ht="12.75" x14ac:dyDescent="0.2">
      <c r="A448" s="28">
        <f ca="1">IFERROR(__xludf.DUMMYFUNCTION("""COMPUTED_VALUE"""),85)</f>
        <v>85</v>
      </c>
      <c r="B448" s="29" t="str">
        <f ca="1">IFERROR(__xludf.DUMMYFUNCTION("""COMPUTED_VALUE"""),"MN Thủ Đức KV3")</f>
        <v>MN Thủ Đức KV3</v>
      </c>
      <c r="C448" s="33" t="str">
        <f ca="1">IFERROR(__xludf.DUMMYFUNCTION("""COMPUTED_VALUE"""),"MN")</f>
        <v>MN</v>
      </c>
      <c r="D448" s="30" t="str">
        <f ca="1">IFERROR(__xludf.DUMMYFUNCTION("""COMPUTED_VALUE"""),"Tp. Thủ Đức")</f>
        <v>Tp. Thủ Đức</v>
      </c>
      <c r="E448" s="31">
        <f ca="1">IFERROR(__xludf.DUMMYFUNCTION("""COMPUTED_VALUE"""),57)</f>
        <v>57</v>
      </c>
      <c r="F448" s="32">
        <f ca="1">IFERROR(__xludf.DUMMYFUNCTION("""COMPUTED_VALUE"""),57)</f>
        <v>57</v>
      </c>
      <c r="G448" s="32"/>
      <c r="H448" s="32">
        <f ca="1">IFERROR(__xludf.DUMMYFUNCTION("""COMPUTED_VALUE"""),57)</f>
        <v>57</v>
      </c>
      <c r="I448" s="32"/>
      <c r="J448" s="32">
        <f ca="1">IFERROR(__xludf.DUMMYFUNCTION("""COMPUTED_VALUE"""),53)</f>
        <v>53</v>
      </c>
      <c r="K448" s="32"/>
      <c r="L448" s="32">
        <f ca="1">IFERROR(__xludf.DUMMYFUNCTION("""COMPUTED_VALUE"""),1)</f>
        <v>1</v>
      </c>
      <c r="M448" s="32"/>
      <c r="N448" s="31">
        <f ca="1">IFERROR(__xludf.DUMMYFUNCTION("""COMPUTED_VALUE"""),0)</f>
        <v>0</v>
      </c>
      <c r="O448" s="32">
        <f ca="1">IFERROR(__xludf.DUMMYFUNCTION("""COMPUTED_VALUE"""),0)</f>
        <v>0</v>
      </c>
      <c r="P448" s="32"/>
      <c r="Q448" s="32">
        <f ca="1">IFERROR(__xludf.DUMMYFUNCTION("""COMPUTED_VALUE"""),0)</f>
        <v>0</v>
      </c>
      <c r="R448" s="32"/>
      <c r="S448" s="31">
        <f ca="1">IFERROR(__xludf.DUMMYFUNCTION("""COMPUTED_VALUE"""),0)</f>
        <v>0</v>
      </c>
      <c r="T448" s="32">
        <f ca="1">IFERROR(__xludf.DUMMYFUNCTION("""COMPUTED_VALUE"""),0)</f>
        <v>0</v>
      </c>
      <c r="U448" s="32"/>
      <c r="V448" s="32">
        <f ca="1">IFERROR(__xludf.DUMMYFUNCTION("""COMPUTED_VALUE"""),0)</f>
        <v>0</v>
      </c>
      <c r="W448" s="32"/>
      <c r="X448" s="32">
        <f ca="1">IFERROR(__xludf.DUMMYFUNCTION("""COMPUTED_VALUE"""),0)</f>
        <v>0</v>
      </c>
      <c r="Y448" s="32"/>
      <c r="Z448" s="2"/>
      <c r="AA448" s="2"/>
      <c r="AB448" s="2"/>
      <c r="AC448" s="2"/>
      <c r="AD448" s="2"/>
      <c r="AE448" s="2"/>
    </row>
    <row r="449" spans="1:31" ht="12.75" x14ac:dyDescent="0.2">
      <c r="A449" s="28">
        <f ca="1">IFERROR(__xludf.DUMMYFUNCTION("""COMPUTED_VALUE"""),86)</f>
        <v>86</v>
      </c>
      <c r="B449" s="29" t="str">
        <f ca="1">IFERROR(__xludf.DUMMYFUNCTION("""COMPUTED_VALUE"""),"MN Cơ sở thí điểm giữ trẻ Làng thiếu niên Thủ Đức KV3")</f>
        <v>MN Cơ sở thí điểm giữ trẻ Làng thiếu niên Thủ Đức KV3</v>
      </c>
      <c r="C449" s="33" t="str">
        <f ca="1">IFERROR(__xludf.DUMMYFUNCTION("""COMPUTED_VALUE"""),"MN")</f>
        <v>MN</v>
      </c>
      <c r="D449" s="30" t="str">
        <f ca="1">IFERROR(__xludf.DUMMYFUNCTION("""COMPUTED_VALUE"""),"Tp. Thủ Đức")</f>
        <v>Tp. Thủ Đức</v>
      </c>
      <c r="E449" s="31">
        <f ca="1">IFERROR(__xludf.DUMMYFUNCTION("""COMPUTED_VALUE"""),15)</f>
        <v>15</v>
      </c>
      <c r="F449" s="32">
        <f ca="1">IFERROR(__xludf.DUMMYFUNCTION("""COMPUTED_VALUE"""),15)</f>
        <v>15</v>
      </c>
      <c r="G449" s="32"/>
      <c r="H449" s="32">
        <f ca="1">IFERROR(__xludf.DUMMYFUNCTION("""COMPUTED_VALUE"""),15)</f>
        <v>15</v>
      </c>
      <c r="I449" s="32"/>
      <c r="J449" s="32">
        <f ca="1">IFERROR(__xludf.DUMMYFUNCTION("""COMPUTED_VALUE"""),15)</f>
        <v>15</v>
      </c>
      <c r="K449" s="32"/>
      <c r="L449" s="32">
        <f ca="1">IFERROR(__xludf.DUMMYFUNCTION("""COMPUTED_VALUE"""),15)</f>
        <v>15</v>
      </c>
      <c r="M449" s="32"/>
      <c r="N449" s="31">
        <f ca="1">IFERROR(__xludf.DUMMYFUNCTION("""COMPUTED_VALUE"""),0)</f>
        <v>0</v>
      </c>
      <c r="O449" s="32">
        <f ca="1">IFERROR(__xludf.DUMMYFUNCTION("""COMPUTED_VALUE"""),0)</f>
        <v>0</v>
      </c>
      <c r="P449" s="32"/>
      <c r="Q449" s="32">
        <f ca="1">IFERROR(__xludf.DUMMYFUNCTION("""COMPUTED_VALUE"""),0)</f>
        <v>0</v>
      </c>
      <c r="R449" s="32"/>
      <c r="S449" s="31">
        <f ca="1">IFERROR(__xludf.DUMMYFUNCTION("""COMPUTED_VALUE"""),0)</f>
        <v>0</v>
      </c>
      <c r="T449" s="32">
        <f ca="1">IFERROR(__xludf.DUMMYFUNCTION("""COMPUTED_VALUE"""),0)</f>
        <v>0</v>
      </c>
      <c r="U449" s="32"/>
      <c r="V449" s="32">
        <f ca="1">IFERROR(__xludf.DUMMYFUNCTION("""COMPUTED_VALUE"""),0)</f>
        <v>0</v>
      </c>
      <c r="W449" s="32"/>
      <c r="X449" s="32">
        <f ca="1">IFERROR(__xludf.DUMMYFUNCTION("""COMPUTED_VALUE"""),0)</f>
        <v>0</v>
      </c>
      <c r="Y449" s="32"/>
      <c r="Z449" s="2"/>
      <c r="AA449" s="2"/>
      <c r="AB449" s="2"/>
      <c r="AC449" s="2"/>
      <c r="AD449" s="2"/>
      <c r="AE449" s="2"/>
    </row>
    <row r="450" spans="1:31" ht="12.75" x14ac:dyDescent="0.2">
      <c r="A450" s="28">
        <f ca="1">IFERROR(__xludf.DUMMYFUNCTION("""COMPUTED_VALUE"""),87)</f>
        <v>87</v>
      </c>
      <c r="B450" s="29" t="str">
        <f ca="1">IFERROR(__xludf.DUMMYFUNCTION("""COMPUTED_VALUE"""),"MN Trinh Vương KV3")</f>
        <v>MN Trinh Vương KV3</v>
      </c>
      <c r="C450" s="33" t="str">
        <f ca="1">IFERROR(__xludf.DUMMYFUNCTION("""COMPUTED_VALUE"""),"MN")</f>
        <v>MN</v>
      </c>
      <c r="D450" s="30" t="str">
        <f ca="1">IFERROR(__xludf.DUMMYFUNCTION("""COMPUTED_VALUE"""),"Tp. Thủ Đức")</f>
        <v>Tp. Thủ Đức</v>
      </c>
      <c r="E450" s="31">
        <f ca="1">IFERROR(__xludf.DUMMYFUNCTION("""COMPUTED_VALUE"""),42)</f>
        <v>42</v>
      </c>
      <c r="F450" s="32">
        <f ca="1">IFERROR(__xludf.DUMMYFUNCTION("""COMPUTED_VALUE"""),42)</f>
        <v>42</v>
      </c>
      <c r="G450" s="32"/>
      <c r="H450" s="32">
        <f ca="1">IFERROR(__xludf.DUMMYFUNCTION("""COMPUTED_VALUE"""),42)</f>
        <v>42</v>
      </c>
      <c r="I450" s="32"/>
      <c r="J450" s="32">
        <f ca="1">IFERROR(__xludf.DUMMYFUNCTION("""COMPUTED_VALUE"""),42)</f>
        <v>42</v>
      </c>
      <c r="K450" s="32"/>
      <c r="L450" s="32">
        <f ca="1">IFERROR(__xludf.DUMMYFUNCTION("""COMPUTED_VALUE"""),15)</f>
        <v>15</v>
      </c>
      <c r="M450" s="32"/>
      <c r="N450" s="31">
        <f ca="1">IFERROR(__xludf.DUMMYFUNCTION("""COMPUTED_VALUE"""),0)</f>
        <v>0</v>
      </c>
      <c r="O450" s="32">
        <f ca="1">IFERROR(__xludf.DUMMYFUNCTION("""COMPUTED_VALUE"""),0)</f>
        <v>0</v>
      </c>
      <c r="P450" s="32"/>
      <c r="Q450" s="32">
        <f ca="1">IFERROR(__xludf.DUMMYFUNCTION("""COMPUTED_VALUE"""),0)</f>
        <v>0</v>
      </c>
      <c r="R450" s="32"/>
      <c r="S450" s="31">
        <f ca="1">IFERROR(__xludf.DUMMYFUNCTION("""COMPUTED_VALUE"""),0)</f>
        <v>0</v>
      </c>
      <c r="T450" s="32">
        <f ca="1">IFERROR(__xludf.DUMMYFUNCTION("""COMPUTED_VALUE"""),0)</f>
        <v>0</v>
      </c>
      <c r="U450" s="32"/>
      <c r="V450" s="32">
        <f ca="1">IFERROR(__xludf.DUMMYFUNCTION("""COMPUTED_VALUE"""),0)</f>
        <v>0</v>
      </c>
      <c r="W450" s="32"/>
      <c r="X450" s="32">
        <f ca="1">IFERROR(__xludf.DUMMYFUNCTION("""COMPUTED_VALUE"""),0)</f>
        <v>0</v>
      </c>
      <c r="Y450" s="32"/>
      <c r="Z450" s="2"/>
      <c r="AA450" s="2"/>
      <c r="AB450" s="2"/>
      <c r="AC450" s="2"/>
      <c r="AD450" s="2"/>
      <c r="AE450" s="2"/>
    </row>
    <row r="451" spans="1:31" ht="12.75" x14ac:dyDescent="0.2">
      <c r="A451" s="28">
        <f ca="1">IFERROR(__xludf.DUMMYFUNCTION("""COMPUTED_VALUE"""),88)</f>
        <v>88</v>
      </c>
      <c r="B451" s="29" t="str">
        <f ca="1">IFERROR(__xludf.DUMMYFUNCTION("""COMPUTED_VALUE"""),"MN Trúc Xanh KV3")</f>
        <v>MN Trúc Xanh KV3</v>
      </c>
      <c r="C451" s="33" t="str">
        <f ca="1">IFERROR(__xludf.DUMMYFUNCTION("""COMPUTED_VALUE"""),"MN")</f>
        <v>MN</v>
      </c>
      <c r="D451" s="30" t="str">
        <f ca="1">IFERROR(__xludf.DUMMYFUNCTION("""COMPUTED_VALUE"""),"Tp. Thủ Đức")</f>
        <v>Tp. Thủ Đức</v>
      </c>
      <c r="E451" s="31">
        <f ca="1">IFERROR(__xludf.DUMMYFUNCTION("""COMPUTED_VALUE"""),9)</f>
        <v>9</v>
      </c>
      <c r="F451" s="32">
        <f ca="1">IFERROR(__xludf.DUMMYFUNCTION("""COMPUTED_VALUE"""),9)</f>
        <v>9</v>
      </c>
      <c r="G451" s="32"/>
      <c r="H451" s="32">
        <f ca="1">IFERROR(__xludf.DUMMYFUNCTION("""COMPUTED_VALUE"""),9)</f>
        <v>9</v>
      </c>
      <c r="I451" s="32"/>
      <c r="J451" s="32">
        <f ca="1">IFERROR(__xludf.DUMMYFUNCTION("""COMPUTED_VALUE"""),9)</f>
        <v>9</v>
      </c>
      <c r="K451" s="32"/>
      <c r="L451" s="32">
        <f ca="1">IFERROR(__xludf.DUMMYFUNCTION("""COMPUTED_VALUE"""),6)</f>
        <v>6</v>
      </c>
      <c r="M451" s="32"/>
      <c r="N451" s="31">
        <f ca="1">IFERROR(__xludf.DUMMYFUNCTION("""COMPUTED_VALUE"""),0)</f>
        <v>0</v>
      </c>
      <c r="O451" s="32">
        <f ca="1">IFERROR(__xludf.DUMMYFUNCTION("""COMPUTED_VALUE"""),0)</f>
        <v>0</v>
      </c>
      <c r="P451" s="32"/>
      <c r="Q451" s="32">
        <f ca="1">IFERROR(__xludf.DUMMYFUNCTION("""COMPUTED_VALUE"""),0)</f>
        <v>0</v>
      </c>
      <c r="R451" s="32"/>
      <c r="S451" s="31">
        <f ca="1">IFERROR(__xludf.DUMMYFUNCTION("""COMPUTED_VALUE"""),0)</f>
        <v>0</v>
      </c>
      <c r="T451" s="32">
        <f ca="1">IFERROR(__xludf.DUMMYFUNCTION("""COMPUTED_VALUE"""),0)</f>
        <v>0</v>
      </c>
      <c r="U451" s="32"/>
      <c r="V451" s="32">
        <f ca="1">IFERROR(__xludf.DUMMYFUNCTION("""COMPUTED_VALUE"""),0)</f>
        <v>0</v>
      </c>
      <c r="W451" s="32"/>
      <c r="X451" s="32">
        <f ca="1">IFERROR(__xludf.DUMMYFUNCTION("""COMPUTED_VALUE"""),0)</f>
        <v>0</v>
      </c>
      <c r="Y451" s="32"/>
      <c r="Z451" s="2"/>
      <c r="AA451" s="2"/>
      <c r="AB451" s="2"/>
      <c r="AC451" s="2"/>
      <c r="AD451" s="2"/>
      <c r="AE451" s="2"/>
    </row>
    <row r="452" spans="1:31" ht="12.75" x14ac:dyDescent="0.2">
      <c r="A452" s="28">
        <f ca="1">IFERROR(__xludf.DUMMYFUNCTION("""COMPUTED_VALUE"""),89)</f>
        <v>89</v>
      </c>
      <c r="B452" s="29" t="str">
        <f ca="1">IFERROR(__xludf.DUMMYFUNCTION("""COMPUTED_VALUE"""),"MN Tuệ Đức Võ Văn Ngân KV3")</f>
        <v>MN Tuệ Đức Võ Văn Ngân KV3</v>
      </c>
      <c r="C452" s="33" t="str">
        <f ca="1">IFERROR(__xludf.DUMMYFUNCTION("""COMPUTED_VALUE"""),"MN")</f>
        <v>MN</v>
      </c>
      <c r="D452" s="30" t="str">
        <f ca="1">IFERROR(__xludf.DUMMYFUNCTION("""COMPUTED_VALUE"""),"Tp. Thủ Đức")</f>
        <v>Tp. Thủ Đức</v>
      </c>
      <c r="E452" s="31">
        <f ca="1">IFERROR(__xludf.DUMMYFUNCTION("""COMPUTED_VALUE"""),25)</f>
        <v>25</v>
      </c>
      <c r="F452" s="32">
        <f ca="1">IFERROR(__xludf.DUMMYFUNCTION("""COMPUTED_VALUE"""),25)</f>
        <v>25</v>
      </c>
      <c r="G452" s="32"/>
      <c r="H452" s="32">
        <f ca="1">IFERROR(__xludf.DUMMYFUNCTION("""COMPUTED_VALUE"""),25)</f>
        <v>25</v>
      </c>
      <c r="I452" s="32"/>
      <c r="J452" s="32">
        <f ca="1">IFERROR(__xludf.DUMMYFUNCTION("""COMPUTED_VALUE"""),25)</f>
        <v>25</v>
      </c>
      <c r="K452" s="32"/>
      <c r="L452" s="32">
        <f ca="1">IFERROR(__xludf.DUMMYFUNCTION("""COMPUTED_VALUE"""),2)</f>
        <v>2</v>
      </c>
      <c r="M452" s="32"/>
      <c r="N452" s="31">
        <f ca="1">IFERROR(__xludf.DUMMYFUNCTION("""COMPUTED_VALUE"""),0)</f>
        <v>0</v>
      </c>
      <c r="O452" s="32">
        <f ca="1">IFERROR(__xludf.DUMMYFUNCTION("""COMPUTED_VALUE"""),0)</f>
        <v>0</v>
      </c>
      <c r="P452" s="32"/>
      <c r="Q452" s="32">
        <f ca="1">IFERROR(__xludf.DUMMYFUNCTION("""COMPUTED_VALUE"""),0)</f>
        <v>0</v>
      </c>
      <c r="R452" s="32"/>
      <c r="S452" s="31">
        <f ca="1">IFERROR(__xludf.DUMMYFUNCTION("""COMPUTED_VALUE"""),0)</f>
        <v>0</v>
      </c>
      <c r="T452" s="32">
        <f ca="1">IFERROR(__xludf.DUMMYFUNCTION("""COMPUTED_VALUE"""),0)</f>
        <v>0</v>
      </c>
      <c r="U452" s="32"/>
      <c r="V452" s="32">
        <f ca="1">IFERROR(__xludf.DUMMYFUNCTION("""COMPUTED_VALUE"""),0)</f>
        <v>0</v>
      </c>
      <c r="W452" s="32"/>
      <c r="X452" s="32">
        <f ca="1">IFERROR(__xludf.DUMMYFUNCTION("""COMPUTED_VALUE"""),0)</f>
        <v>0</v>
      </c>
      <c r="Y452" s="32"/>
      <c r="Z452" s="2"/>
      <c r="AA452" s="2"/>
      <c r="AB452" s="2"/>
      <c r="AC452" s="2"/>
      <c r="AD452" s="2"/>
      <c r="AE452" s="2"/>
    </row>
    <row r="453" spans="1:31" ht="12.75" x14ac:dyDescent="0.2">
      <c r="A453" s="28">
        <f ca="1">IFERROR(__xludf.DUMMYFUNCTION("""COMPUTED_VALUE"""),90)</f>
        <v>90</v>
      </c>
      <c r="B453" s="29" t="str">
        <f ca="1">IFERROR(__xludf.DUMMYFUNCTION("""COMPUTED_VALUE"""),"MN Tuổi Hồng Linh Đông KV3")</f>
        <v>MN Tuổi Hồng Linh Đông KV3</v>
      </c>
      <c r="C453" s="33" t="str">
        <f ca="1">IFERROR(__xludf.DUMMYFUNCTION("""COMPUTED_VALUE"""),"MN")</f>
        <v>MN</v>
      </c>
      <c r="D453" s="30" t="str">
        <f ca="1">IFERROR(__xludf.DUMMYFUNCTION("""COMPUTED_VALUE"""),"Tp. Thủ Đức")</f>
        <v>Tp. Thủ Đức</v>
      </c>
      <c r="E453" s="31">
        <f ca="1">IFERROR(__xludf.DUMMYFUNCTION("""COMPUTED_VALUE"""),15)</f>
        <v>15</v>
      </c>
      <c r="F453" s="32">
        <f ca="1">IFERROR(__xludf.DUMMYFUNCTION("""COMPUTED_VALUE"""),15)</f>
        <v>15</v>
      </c>
      <c r="G453" s="32"/>
      <c r="H453" s="32">
        <f ca="1">IFERROR(__xludf.DUMMYFUNCTION("""COMPUTED_VALUE"""),15)</f>
        <v>15</v>
      </c>
      <c r="I453" s="32"/>
      <c r="J453" s="32">
        <f ca="1">IFERROR(__xludf.DUMMYFUNCTION("""COMPUTED_VALUE"""),14)</f>
        <v>14</v>
      </c>
      <c r="K453" s="32"/>
      <c r="L453" s="32">
        <f ca="1">IFERROR(__xludf.DUMMYFUNCTION("""COMPUTED_VALUE"""),0)</f>
        <v>0</v>
      </c>
      <c r="M453" s="32"/>
      <c r="N453" s="31">
        <f ca="1">IFERROR(__xludf.DUMMYFUNCTION("""COMPUTED_VALUE"""),0)</f>
        <v>0</v>
      </c>
      <c r="O453" s="32">
        <f ca="1">IFERROR(__xludf.DUMMYFUNCTION("""COMPUTED_VALUE"""),0)</f>
        <v>0</v>
      </c>
      <c r="P453" s="32"/>
      <c r="Q453" s="32">
        <f ca="1">IFERROR(__xludf.DUMMYFUNCTION("""COMPUTED_VALUE"""),0)</f>
        <v>0</v>
      </c>
      <c r="R453" s="32"/>
      <c r="S453" s="31">
        <f ca="1">IFERROR(__xludf.DUMMYFUNCTION("""COMPUTED_VALUE"""),0)</f>
        <v>0</v>
      </c>
      <c r="T453" s="32">
        <f ca="1">IFERROR(__xludf.DUMMYFUNCTION("""COMPUTED_VALUE"""),0)</f>
        <v>0</v>
      </c>
      <c r="U453" s="32"/>
      <c r="V453" s="32">
        <f ca="1">IFERROR(__xludf.DUMMYFUNCTION("""COMPUTED_VALUE"""),0)</f>
        <v>0</v>
      </c>
      <c r="W453" s="32"/>
      <c r="X453" s="32">
        <f ca="1">IFERROR(__xludf.DUMMYFUNCTION("""COMPUTED_VALUE"""),0)</f>
        <v>0</v>
      </c>
      <c r="Y453" s="32"/>
      <c r="Z453" s="2"/>
      <c r="AA453" s="2"/>
      <c r="AB453" s="2"/>
      <c r="AC453" s="2"/>
      <c r="AD453" s="2"/>
      <c r="AE453" s="2"/>
    </row>
    <row r="454" spans="1:31" ht="12.75" x14ac:dyDescent="0.2">
      <c r="A454" s="28">
        <f ca="1">IFERROR(__xludf.DUMMYFUNCTION("""COMPUTED_VALUE"""),91)</f>
        <v>91</v>
      </c>
      <c r="B454" s="29" t="str">
        <f ca="1">IFERROR(__xludf.DUMMYFUNCTION("""COMPUTED_VALUE"""),"MN Tuổi Ngọc 3 KV3")</f>
        <v>MN Tuổi Ngọc 3 KV3</v>
      </c>
      <c r="C454" s="33" t="str">
        <f ca="1">IFERROR(__xludf.DUMMYFUNCTION("""COMPUTED_VALUE"""),"MN")</f>
        <v>MN</v>
      </c>
      <c r="D454" s="30" t="str">
        <f ca="1">IFERROR(__xludf.DUMMYFUNCTION("""COMPUTED_VALUE"""),"Tp. Thủ Đức")</f>
        <v>Tp. Thủ Đức</v>
      </c>
      <c r="E454" s="31">
        <f ca="1">IFERROR(__xludf.DUMMYFUNCTION("""COMPUTED_VALUE"""),9)</f>
        <v>9</v>
      </c>
      <c r="F454" s="32">
        <f ca="1">IFERROR(__xludf.DUMMYFUNCTION("""COMPUTED_VALUE"""),9)</f>
        <v>9</v>
      </c>
      <c r="G454" s="32"/>
      <c r="H454" s="32">
        <f ca="1">IFERROR(__xludf.DUMMYFUNCTION("""COMPUTED_VALUE"""),9)</f>
        <v>9</v>
      </c>
      <c r="I454" s="32"/>
      <c r="J454" s="32">
        <f ca="1">IFERROR(__xludf.DUMMYFUNCTION("""COMPUTED_VALUE"""),6)</f>
        <v>6</v>
      </c>
      <c r="K454" s="32"/>
      <c r="L454" s="32">
        <f ca="1">IFERROR(__xludf.DUMMYFUNCTION("""COMPUTED_VALUE"""),0)</f>
        <v>0</v>
      </c>
      <c r="M454" s="32"/>
      <c r="N454" s="31">
        <f ca="1">IFERROR(__xludf.DUMMYFUNCTION("""COMPUTED_VALUE"""),0)</f>
        <v>0</v>
      </c>
      <c r="O454" s="32">
        <f ca="1">IFERROR(__xludf.DUMMYFUNCTION("""COMPUTED_VALUE"""),0)</f>
        <v>0</v>
      </c>
      <c r="P454" s="32"/>
      <c r="Q454" s="32">
        <f ca="1">IFERROR(__xludf.DUMMYFUNCTION("""COMPUTED_VALUE"""),0)</f>
        <v>0</v>
      </c>
      <c r="R454" s="32"/>
      <c r="S454" s="31">
        <f ca="1">IFERROR(__xludf.DUMMYFUNCTION("""COMPUTED_VALUE"""),0)</f>
        <v>0</v>
      </c>
      <c r="T454" s="32">
        <f ca="1">IFERROR(__xludf.DUMMYFUNCTION("""COMPUTED_VALUE"""),0)</f>
        <v>0</v>
      </c>
      <c r="U454" s="32"/>
      <c r="V454" s="32">
        <f ca="1">IFERROR(__xludf.DUMMYFUNCTION("""COMPUTED_VALUE"""),0)</f>
        <v>0</v>
      </c>
      <c r="W454" s="32"/>
      <c r="X454" s="32">
        <f ca="1">IFERROR(__xludf.DUMMYFUNCTION("""COMPUTED_VALUE"""),0)</f>
        <v>0</v>
      </c>
      <c r="Y454" s="32"/>
      <c r="Z454" s="2"/>
      <c r="AA454" s="2"/>
      <c r="AB454" s="2"/>
      <c r="AC454" s="2"/>
      <c r="AD454" s="2"/>
      <c r="AE454" s="2"/>
    </row>
    <row r="455" spans="1:31" ht="12.75" x14ac:dyDescent="0.2">
      <c r="A455" s="28">
        <f ca="1">IFERROR(__xludf.DUMMYFUNCTION("""COMPUTED_VALUE"""),92)</f>
        <v>92</v>
      </c>
      <c r="B455" s="29" t="str">
        <f ca="1">IFERROR(__xludf.DUMMYFUNCTION("""COMPUTED_VALUE"""),"MN Tuổi Tiên KV3")</f>
        <v>MN Tuổi Tiên KV3</v>
      </c>
      <c r="C455" s="33" t="str">
        <f ca="1">IFERROR(__xludf.DUMMYFUNCTION("""COMPUTED_VALUE"""),"MN")</f>
        <v>MN</v>
      </c>
      <c r="D455" s="30" t="str">
        <f ca="1">IFERROR(__xludf.DUMMYFUNCTION("""COMPUTED_VALUE"""),"Tp. Thủ Đức")</f>
        <v>Tp. Thủ Đức</v>
      </c>
      <c r="E455" s="31">
        <f ca="1">IFERROR(__xludf.DUMMYFUNCTION("""COMPUTED_VALUE"""),11)</f>
        <v>11</v>
      </c>
      <c r="F455" s="32">
        <f ca="1">IFERROR(__xludf.DUMMYFUNCTION("""COMPUTED_VALUE"""),11)</f>
        <v>11</v>
      </c>
      <c r="G455" s="32"/>
      <c r="H455" s="32">
        <f ca="1">IFERROR(__xludf.DUMMYFUNCTION("""COMPUTED_VALUE"""),11)</f>
        <v>11</v>
      </c>
      <c r="I455" s="32"/>
      <c r="J455" s="32">
        <f ca="1">IFERROR(__xludf.DUMMYFUNCTION("""COMPUTED_VALUE"""),11)</f>
        <v>11</v>
      </c>
      <c r="K455" s="32"/>
      <c r="L455" s="32">
        <f ca="1">IFERROR(__xludf.DUMMYFUNCTION("""COMPUTED_VALUE"""),0)</f>
        <v>0</v>
      </c>
      <c r="M455" s="32"/>
      <c r="N455" s="31">
        <f ca="1">IFERROR(__xludf.DUMMYFUNCTION("""COMPUTED_VALUE"""),0)</f>
        <v>0</v>
      </c>
      <c r="O455" s="32">
        <f ca="1">IFERROR(__xludf.DUMMYFUNCTION("""COMPUTED_VALUE"""),0)</f>
        <v>0</v>
      </c>
      <c r="P455" s="32"/>
      <c r="Q455" s="32">
        <f ca="1">IFERROR(__xludf.DUMMYFUNCTION("""COMPUTED_VALUE"""),0)</f>
        <v>0</v>
      </c>
      <c r="R455" s="32"/>
      <c r="S455" s="31">
        <f ca="1">IFERROR(__xludf.DUMMYFUNCTION("""COMPUTED_VALUE"""),0)</f>
        <v>0</v>
      </c>
      <c r="T455" s="32">
        <f ca="1">IFERROR(__xludf.DUMMYFUNCTION("""COMPUTED_VALUE"""),0)</f>
        <v>0</v>
      </c>
      <c r="U455" s="32"/>
      <c r="V455" s="32">
        <f ca="1">IFERROR(__xludf.DUMMYFUNCTION("""COMPUTED_VALUE"""),0)</f>
        <v>0</v>
      </c>
      <c r="W455" s="32"/>
      <c r="X455" s="32">
        <f ca="1">IFERROR(__xludf.DUMMYFUNCTION("""COMPUTED_VALUE"""),0)</f>
        <v>0</v>
      </c>
      <c r="Y455" s="32"/>
      <c r="Z455" s="2"/>
      <c r="AA455" s="2"/>
      <c r="AB455" s="2"/>
      <c r="AC455" s="2"/>
      <c r="AD455" s="2"/>
      <c r="AE455" s="2"/>
    </row>
    <row r="456" spans="1:31" ht="12.75" x14ac:dyDescent="0.2">
      <c r="A456" s="28">
        <f ca="1">IFERROR(__xludf.DUMMYFUNCTION("""COMPUTED_VALUE"""),93)</f>
        <v>93</v>
      </c>
      <c r="B456" s="29" t="str">
        <f ca="1">IFERROR(__xludf.DUMMYFUNCTION("""COMPUTED_VALUE"""),"MN Vàng Anh Trường Thọ KV3")</f>
        <v>MN Vàng Anh Trường Thọ KV3</v>
      </c>
      <c r="C456" s="33" t="str">
        <f ca="1">IFERROR(__xludf.DUMMYFUNCTION("""COMPUTED_VALUE"""),"MN")</f>
        <v>MN</v>
      </c>
      <c r="D456" s="30" t="str">
        <f ca="1">IFERROR(__xludf.DUMMYFUNCTION("""COMPUTED_VALUE"""),"Tp. Thủ Đức")</f>
        <v>Tp. Thủ Đức</v>
      </c>
      <c r="E456" s="31">
        <f ca="1">IFERROR(__xludf.DUMMYFUNCTION("""COMPUTED_VALUE"""),13)</f>
        <v>13</v>
      </c>
      <c r="F456" s="32">
        <f ca="1">IFERROR(__xludf.DUMMYFUNCTION("""COMPUTED_VALUE"""),13)</f>
        <v>13</v>
      </c>
      <c r="G456" s="32"/>
      <c r="H456" s="32">
        <f ca="1">IFERROR(__xludf.DUMMYFUNCTION("""COMPUTED_VALUE"""),13)</f>
        <v>13</v>
      </c>
      <c r="I456" s="32"/>
      <c r="J456" s="32">
        <f ca="1">IFERROR(__xludf.DUMMYFUNCTION("""COMPUTED_VALUE"""),12)</f>
        <v>12</v>
      </c>
      <c r="K456" s="32"/>
      <c r="L456" s="32">
        <f ca="1">IFERROR(__xludf.DUMMYFUNCTION("""COMPUTED_VALUE"""),0)</f>
        <v>0</v>
      </c>
      <c r="M456" s="32"/>
      <c r="N456" s="31">
        <f ca="1">IFERROR(__xludf.DUMMYFUNCTION("""COMPUTED_VALUE"""),0)</f>
        <v>0</v>
      </c>
      <c r="O456" s="32">
        <f ca="1">IFERROR(__xludf.DUMMYFUNCTION("""COMPUTED_VALUE"""),0)</f>
        <v>0</v>
      </c>
      <c r="P456" s="32"/>
      <c r="Q456" s="32">
        <f ca="1">IFERROR(__xludf.DUMMYFUNCTION("""COMPUTED_VALUE"""),0)</f>
        <v>0</v>
      </c>
      <c r="R456" s="32"/>
      <c r="S456" s="31">
        <f ca="1">IFERROR(__xludf.DUMMYFUNCTION("""COMPUTED_VALUE"""),0)</f>
        <v>0</v>
      </c>
      <c r="T456" s="32">
        <f ca="1">IFERROR(__xludf.DUMMYFUNCTION("""COMPUTED_VALUE"""),0)</f>
        <v>0</v>
      </c>
      <c r="U456" s="32"/>
      <c r="V456" s="32">
        <f ca="1">IFERROR(__xludf.DUMMYFUNCTION("""COMPUTED_VALUE"""),0)</f>
        <v>0</v>
      </c>
      <c r="W456" s="32"/>
      <c r="X456" s="32">
        <f ca="1">IFERROR(__xludf.DUMMYFUNCTION("""COMPUTED_VALUE"""),0)</f>
        <v>0</v>
      </c>
      <c r="Y456" s="32"/>
      <c r="Z456" s="2"/>
      <c r="AA456" s="2"/>
      <c r="AB456" s="2"/>
      <c r="AC456" s="2"/>
      <c r="AD456" s="2"/>
      <c r="AE456" s="2"/>
    </row>
    <row r="457" spans="1:31" ht="12.75" x14ac:dyDescent="0.2">
      <c r="A457" s="28">
        <f ca="1">IFERROR(__xludf.DUMMYFUNCTION("""COMPUTED_VALUE"""),94)</f>
        <v>94</v>
      </c>
      <c r="B457" s="29" t="str">
        <f ca="1">IFERROR(__xludf.DUMMYFUNCTION("""COMPUTED_VALUE"""),"MN Vầng Dương KV3")</f>
        <v>MN Vầng Dương KV3</v>
      </c>
      <c r="C457" s="33" t="str">
        <f ca="1">IFERROR(__xludf.DUMMYFUNCTION("""COMPUTED_VALUE"""),"MN")</f>
        <v>MN</v>
      </c>
      <c r="D457" s="30" t="str">
        <f ca="1">IFERROR(__xludf.DUMMYFUNCTION("""COMPUTED_VALUE"""),"Tp. Thủ Đức")</f>
        <v>Tp. Thủ Đức</v>
      </c>
      <c r="E457" s="31">
        <f ca="1">IFERROR(__xludf.DUMMYFUNCTION("""COMPUTED_VALUE"""),27)</f>
        <v>27</v>
      </c>
      <c r="F457" s="32">
        <f ca="1">IFERROR(__xludf.DUMMYFUNCTION("""COMPUTED_VALUE"""),27)</f>
        <v>27</v>
      </c>
      <c r="G457" s="32"/>
      <c r="H457" s="32">
        <f ca="1">IFERROR(__xludf.DUMMYFUNCTION("""COMPUTED_VALUE"""),27)</f>
        <v>27</v>
      </c>
      <c r="I457" s="32"/>
      <c r="J457" s="32">
        <f ca="1">IFERROR(__xludf.DUMMYFUNCTION("""COMPUTED_VALUE"""),27)</f>
        <v>27</v>
      </c>
      <c r="K457" s="32"/>
      <c r="L457" s="32">
        <f ca="1">IFERROR(__xludf.DUMMYFUNCTION("""COMPUTED_VALUE"""),0)</f>
        <v>0</v>
      </c>
      <c r="M457" s="32"/>
      <c r="N457" s="31">
        <f ca="1">IFERROR(__xludf.DUMMYFUNCTION("""COMPUTED_VALUE"""),0)</f>
        <v>0</v>
      </c>
      <c r="O457" s="32">
        <f ca="1">IFERROR(__xludf.DUMMYFUNCTION("""COMPUTED_VALUE"""),0)</f>
        <v>0</v>
      </c>
      <c r="P457" s="32"/>
      <c r="Q457" s="32">
        <f ca="1">IFERROR(__xludf.DUMMYFUNCTION("""COMPUTED_VALUE"""),0)</f>
        <v>0</v>
      </c>
      <c r="R457" s="32"/>
      <c r="S457" s="31">
        <f ca="1">IFERROR(__xludf.DUMMYFUNCTION("""COMPUTED_VALUE"""),0)</f>
        <v>0</v>
      </c>
      <c r="T457" s="32">
        <f ca="1">IFERROR(__xludf.DUMMYFUNCTION("""COMPUTED_VALUE"""),0)</f>
        <v>0</v>
      </c>
      <c r="U457" s="32"/>
      <c r="V457" s="32">
        <f ca="1">IFERROR(__xludf.DUMMYFUNCTION("""COMPUTED_VALUE"""),0)</f>
        <v>0</v>
      </c>
      <c r="W457" s="32"/>
      <c r="X457" s="32">
        <f ca="1">IFERROR(__xludf.DUMMYFUNCTION("""COMPUTED_VALUE"""),0)</f>
        <v>0</v>
      </c>
      <c r="Y457" s="32"/>
      <c r="Z457" s="2"/>
      <c r="AA457" s="2"/>
      <c r="AB457" s="2"/>
      <c r="AC457" s="2"/>
      <c r="AD457" s="2"/>
      <c r="AE457" s="2"/>
    </row>
    <row r="458" spans="1:31" ht="12.75" x14ac:dyDescent="0.2">
      <c r="A458" s="28">
        <f ca="1">IFERROR(__xludf.DUMMYFUNCTION("""COMPUTED_VALUE"""),95)</f>
        <v>95</v>
      </c>
      <c r="B458" s="29" t="str">
        <f ca="1">IFERROR(__xludf.DUMMYFUNCTION("""COMPUTED_VALUE"""),"MN Việt Anh KV3")</f>
        <v>MN Việt Anh KV3</v>
      </c>
      <c r="C458" s="33" t="str">
        <f ca="1">IFERROR(__xludf.DUMMYFUNCTION("""COMPUTED_VALUE"""),"MN")</f>
        <v>MN</v>
      </c>
      <c r="D458" s="30" t="str">
        <f ca="1">IFERROR(__xludf.DUMMYFUNCTION("""COMPUTED_VALUE"""),"Tp. Thủ Đức")</f>
        <v>Tp. Thủ Đức</v>
      </c>
      <c r="E458" s="31">
        <f ca="1">IFERROR(__xludf.DUMMYFUNCTION("""COMPUTED_VALUE"""),40)</f>
        <v>40</v>
      </c>
      <c r="F458" s="32">
        <f ca="1">IFERROR(__xludf.DUMMYFUNCTION("""COMPUTED_VALUE"""),40)</f>
        <v>40</v>
      </c>
      <c r="G458" s="32"/>
      <c r="H458" s="32">
        <f ca="1">IFERROR(__xludf.DUMMYFUNCTION("""COMPUTED_VALUE"""),40)</f>
        <v>40</v>
      </c>
      <c r="I458" s="32"/>
      <c r="J458" s="32">
        <f ca="1">IFERROR(__xludf.DUMMYFUNCTION("""COMPUTED_VALUE"""),33)</f>
        <v>33</v>
      </c>
      <c r="K458" s="32"/>
      <c r="L458" s="32">
        <f ca="1">IFERROR(__xludf.DUMMYFUNCTION("""COMPUTED_VALUE"""),0)</f>
        <v>0</v>
      </c>
      <c r="M458" s="32"/>
      <c r="N458" s="31">
        <f ca="1">IFERROR(__xludf.DUMMYFUNCTION("""COMPUTED_VALUE"""),0)</f>
        <v>0</v>
      </c>
      <c r="O458" s="32">
        <f ca="1">IFERROR(__xludf.DUMMYFUNCTION("""COMPUTED_VALUE"""),0)</f>
        <v>0</v>
      </c>
      <c r="P458" s="32"/>
      <c r="Q458" s="32">
        <f ca="1">IFERROR(__xludf.DUMMYFUNCTION("""COMPUTED_VALUE"""),0)</f>
        <v>0</v>
      </c>
      <c r="R458" s="32"/>
      <c r="S458" s="31">
        <f ca="1">IFERROR(__xludf.DUMMYFUNCTION("""COMPUTED_VALUE"""),0)</f>
        <v>0</v>
      </c>
      <c r="T458" s="32">
        <f ca="1">IFERROR(__xludf.DUMMYFUNCTION("""COMPUTED_VALUE"""),0)</f>
        <v>0</v>
      </c>
      <c r="U458" s="32"/>
      <c r="V458" s="32">
        <f ca="1">IFERROR(__xludf.DUMMYFUNCTION("""COMPUTED_VALUE"""),0)</f>
        <v>0</v>
      </c>
      <c r="W458" s="32"/>
      <c r="X458" s="32">
        <f ca="1">IFERROR(__xludf.DUMMYFUNCTION("""COMPUTED_VALUE"""),0)</f>
        <v>0</v>
      </c>
      <c r="Y458" s="32"/>
      <c r="Z458" s="2"/>
      <c r="AA458" s="2"/>
      <c r="AB458" s="2"/>
      <c r="AC458" s="2"/>
      <c r="AD458" s="2"/>
      <c r="AE458" s="2"/>
    </row>
    <row r="459" spans="1:31" ht="12.75" x14ac:dyDescent="0.2">
      <c r="A459" s="28">
        <f ca="1">IFERROR(__xludf.DUMMYFUNCTION("""COMPUTED_VALUE"""),96)</f>
        <v>96</v>
      </c>
      <c r="B459" s="29" t="str">
        <f ca="1">IFERROR(__xludf.DUMMYFUNCTION("""COMPUTED_VALUE"""),"MN Việt Đông Dương KV3")</f>
        <v>MN Việt Đông Dương KV3</v>
      </c>
      <c r="C459" s="33" t="str">
        <f ca="1">IFERROR(__xludf.DUMMYFUNCTION("""COMPUTED_VALUE"""),"MN")</f>
        <v>MN</v>
      </c>
      <c r="D459" s="30" t="str">
        <f ca="1">IFERROR(__xludf.DUMMYFUNCTION("""COMPUTED_VALUE"""),"Tp. Thủ Đức")</f>
        <v>Tp. Thủ Đức</v>
      </c>
      <c r="E459" s="31">
        <f ca="1">IFERROR(__xludf.DUMMYFUNCTION("""COMPUTED_VALUE"""),28)</f>
        <v>28</v>
      </c>
      <c r="F459" s="32">
        <f ca="1">IFERROR(__xludf.DUMMYFUNCTION("""COMPUTED_VALUE"""),28)</f>
        <v>28</v>
      </c>
      <c r="G459" s="32"/>
      <c r="H459" s="32">
        <f ca="1">IFERROR(__xludf.DUMMYFUNCTION("""COMPUTED_VALUE"""),27)</f>
        <v>27</v>
      </c>
      <c r="I459" s="32"/>
      <c r="J459" s="32">
        <f ca="1">IFERROR(__xludf.DUMMYFUNCTION("""COMPUTED_VALUE"""),22)</f>
        <v>22</v>
      </c>
      <c r="K459" s="32"/>
      <c r="L459" s="32">
        <f ca="1">IFERROR(__xludf.DUMMYFUNCTION("""COMPUTED_VALUE"""),2)</f>
        <v>2</v>
      </c>
      <c r="M459" s="32"/>
      <c r="N459" s="31">
        <f ca="1">IFERROR(__xludf.DUMMYFUNCTION("""COMPUTED_VALUE"""),0)</f>
        <v>0</v>
      </c>
      <c r="O459" s="32">
        <f ca="1">IFERROR(__xludf.DUMMYFUNCTION("""COMPUTED_VALUE"""),0)</f>
        <v>0</v>
      </c>
      <c r="P459" s="32"/>
      <c r="Q459" s="32">
        <f ca="1">IFERROR(__xludf.DUMMYFUNCTION("""COMPUTED_VALUE"""),0)</f>
        <v>0</v>
      </c>
      <c r="R459" s="32"/>
      <c r="S459" s="31">
        <f ca="1">IFERROR(__xludf.DUMMYFUNCTION("""COMPUTED_VALUE"""),0)</f>
        <v>0</v>
      </c>
      <c r="T459" s="32">
        <f ca="1">IFERROR(__xludf.DUMMYFUNCTION("""COMPUTED_VALUE"""),0)</f>
        <v>0</v>
      </c>
      <c r="U459" s="32"/>
      <c r="V459" s="32">
        <f ca="1">IFERROR(__xludf.DUMMYFUNCTION("""COMPUTED_VALUE"""),0)</f>
        <v>0</v>
      </c>
      <c r="W459" s="32"/>
      <c r="X459" s="32">
        <f ca="1">IFERROR(__xludf.DUMMYFUNCTION("""COMPUTED_VALUE"""),0)</f>
        <v>0</v>
      </c>
      <c r="Y459" s="32"/>
      <c r="Z459" s="2"/>
      <c r="AA459" s="2"/>
      <c r="AB459" s="2"/>
      <c r="AC459" s="2"/>
      <c r="AD459" s="2"/>
      <c r="AE459" s="2"/>
    </row>
    <row r="460" spans="1:31" ht="12.75" x14ac:dyDescent="0.2">
      <c r="A460" s="28">
        <f ca="1">IFERROR(__xludf.DUMMYFUNCTION("""COMPUTED_VALUE"""),97)</f>
        <v>97</v>
      </c>
      <c r="B460" s="29" t="str">
        <f ca="1">IFERROR(__xludf.DUMMYFUNCTION("""COMPUTED_VALUE"""),"MN Việt Mỹ KV3")</f>
        <v>MN Việt Mỹ KV3</v>
      </c>
      <c r="C460" s="33" t="str">
        <f ca="1">IFERROR(__xludf.DUMMYFUNCTION("""COMPUTED_VALUE"""),"MN")</f>
        <v>MN</v>
      </c>
      <c r="D460" s="30" t="str">
        <f ca="1">IFERROR(__xludf.DUMMYFUNCTION("""COMPUTED_VALUE"""),"Tp. Thủ Đức")</f>
        <v>Tp. Thủ Đức</v>
      </c>
      <c r="E460" s="31">
        <f ca="1">IFERROR(__xludf.DUMMYFUNCTION("""COMPUTED_VALUE"""),18)</f>
        <v>18</v>
      </c>
      <c r="F460" s="32">
        <f ca="1">IFERROR(__xludf.DUMMYFUNCTION("""COMPUTED_VALUE"""),18)</f>
        <v>18</v>
      </c>
      <c r="G460" s="32"/>
      <c r="H460" s="32">
        <f ca="1">IFERROR(__xludf.DUMMYFUNCTION("""COMPUTED_VALUE"""),18)</f>
        <v>18</v>
      </c>
      <c r="I460" s="32"/>
      <c r="J460" s="32">
        <f ca="1">IFERROR(__xludf.DUMMYFUNCTION("""COMPUTED_VALUE"""),16)</f>
        <v>16</v>
      </c>
      <c r="K460" s="32"/>
      <c r="L460" s="32">
        <f ca="1">IFERROR(__xludf.DUMMYFUNCTION("""COMPUTED_VALUE"""),10)</f>
        <v>10</v>
      </c>
      <c r="M460" s="32"/>
      <c r="N460" s="31">
        <f ca="1">IFERROR(__xludf.DUMMYFUNCTION("""COMPUTED_VALUE"""),0)</f>
        <v>0</v>
      </c>
      <c r="O460" s="32">
        <f ca="1">IFERROR(__xludf.DUMMYFUNCTION("""COMPUTED_VALUE"""),0)</f>
        <v>0</v>
      </c>
      <c r="P460" s="32"/>
      <c r="Q460" s="32">
        <f ca="1">IFERROR(__xludf.DUMMYFUNCTION("""COMPUTED_VALUE"""),0)</f>
        <v>0</v>
      </c>
      <c r="R460" s="32"/>
      <c r="S460" s="31">
        <f ca="1">IFERROR(__xludf.DUMMYFUNCTION("""COMPUTED_VALUE"""),0)</f>
        <v>0</v>
      </c>
      <c r="T460" s="32">
        <f ca="1">IFERROR(__xludf.DUMMYFUNCTION("""COMPUTED_VALUE"""),0)</f>
        <v>0</v>
      </c>
      <c r="U460" s="32"/>
      <c r="V460" s="32">
        <f ca="1">IFERROR(__xludf.DUMMYFUNCTION("""COMPUTED_VALUE"""),0)</f>
        <v>0</v>
      </c>
      <c r="W460" s="32"/>
      <c r="X460" s="32">
        <f ca="1">IFERROR(__xludf.DUMMYFUNCTION("""COMPUTED_VALUE"""),0)</f>
        <v>0</v>
      </c>
      <c r="Y460" s="32"/>
      <c r="Z460" s="2"/>
      <c r="AA460" s="2"/>
      <c r="AB460" s="2"/>
      <c r="AC460" s="2"/>
      <c r="AD460" s="2"/>
      <c r="AE460" s="2"/>
    </row>
    <row r="461" spans="1:31" ht="12.75" x14ac:dyDescent="0.2">
      <c r="A461" s="28">
        <f ca="1">IFERROR(__xludf.DUMMYFUNCTION("""COMPUTED_VALUE"""),98)</f>
        <v>98</v>
      </c>
      <c r="B461" s="35" t="str">
        <f ca="1">IFERROR(__xludf.DUMMYFUNCTION("""COMPUTED_VALUE"""),"MN Việt Mỹ Sài Gòn KV3")</f>
        <v>MN Việt Mỹ Sài Gòn KV3</v>
      </c>
      <c r="C461" s="33" t="str">
        <f ca="1">IFERROR(__xludf.DUMMYFUNCTION("""COMPUTED_VALUE"""),"MN")</f>
        <v>MN</v>
      </c>
      <c r="D461" s="30" t="str">
        <f ca="1">IFERROR(__xludf.DUMMYFUNCTION("""COMPUTED_VALUE"""),"Tp. Thủ Đức")</f>
        <v>Tp. Thủ Đức</v>
      </c>
      <c r="E461" s="31">
        <f ca="1">IFERROR(__xludf.DUMMYFUNCTION("""COMPUTED_VALUE"""),15)</f>
        <v>15</v>
      </c>
      <c r="F461" s="32">
        <f ca="1">IFERROR(__xludf.DUMMYFUNCTION("""COMPUTED_VALUE"""),15)</f>
        <v>15</v>
      </c>
      <c r="G461" s="32"/>
      <c r="H461" s="32">
        <f ca="1">IFERROR(__xludf.DUMMYFUNCTION("""COMPUTED_VALUE"""),15)</f>
        <v>15</v>
      </c>
      <c r="I461" s="32"/>
      <c r="J461" s="32">
        <f ca="1">IFERROR(__xludf.DUMMYFUNCTION("""COMPUTED_VALUE"""),12)</f>
        <v>12</v>
      </c>
      <c r="K461" s="32"/>
      <c r="L461" s="32">
        <f ca="1">IFERROR(__xludf.DUMMYFUNCTION("""COMPUTED_VALUE"""),8)</f>
        <v>8</v>
      </c>
      <c r="M461" s="32"/>
      <c r="N461" s="31">
        <f ca="1">IFERROR(__xludf.DUMMYFUNCTION("""COMPUTED_VALUE"""),0)</f>
        <v>0</v>
      </c>
      <c r="O461" s="32">
        <f ca="1">IFERROR(__xludf.DUMMYFUNCTION("""COMPUTED_VALUE"""),0)</f>
        <v>0</v>
      </c>
      <c r="P461" s="32"/>
      <c r="Q461" s="32">
        <f ca="1">IFERROR(__xludf.DUMMYFUNCTION("""COMPUTED_VALUE"""),0)</f>
        <v>0</v>
      </c>
      <c r="R461" s="32"/>
      <c r="S461" s="31">
        <f ca="1">IFERROR(__xludf.DUMMYFUNCTION("""COMPUTED_VALUE"""),0)</f>
        <v>0</v>
      </c>
      <c r="T461" s="32">
        <f ca="1">IFERROR(__xludf.DUMMYFUNCTION("""COMPUTED_VALUE"""),0)</f>
        <v>0</v>
      </c>
      <c r="U461" s="32"/>
      <c r="V461" s="32">
        <f ca="1">IFERROR(__xludf.DUMMYFUNCTION("""COMPUTED_VALUE"""),0)</f>
        <v>0</v>
      </c>
      <c r="W461" s="32"/>
      <c r="X461" s="32">
        <f ca="1">IFERROR(__xludf.DUMMYFUNCTION("""COMPUTED_VALUE"""),0)</f>
        <v>0</v>
      </c>
      <c r="Y461" s="32"/>
      <c r="Z461" s="2"/>
      <c r="AA461" s="2"/>
      <c r="AB461" s="2"/>
      <c r="AC461" s="2"/>
      <c r="AD461" s="2"/>
      <c r="AE461" s="2"/>
    </row>
    <row r="462" spans="1:31" ht="12.75" x14ac:dyDescent="0.2">
      <c r="A462" s="28">
        <f ca="1">IFERROR(__xludf.DUMMYFUNCTION("""COMPUTED_VALUE"""),99)</f>
        <v>99</v>
      </c>
      <c r="B462" s="29" t="str">
        <f ca="1">IFERROR(__xludf.DUMMYFUNCTION("""COMPUTED_VALUE"""),"MN Vườn Tuổi Thơ KV3")</f>
        <v>MN Vườn Tuổi Thơ KV3</v>
      </c>
      <c r="C462" s="33" t="str">
        <f ca="1">IFERROR(__xludf.DUMMYFUNCTION("""COMPUTED_VALUE"""),"MN")</f>
        <v>MN</v>
      </c>
      <c r="D462" s="30" t="str">
        <f ca="1">IFERROR(__xludf.DUMMYFUNCTION("""COMPUTED_VALUE"""),"Tp. Thủ Đức")</f>
        <v>Tp. Thủ Đức</v>
      </c>
      <c r="E462" s="31">
        <f ca="1">IFERROR(__xludf.DUMMYFUNCTION("""COMPUTED_VALUE"""),12)</f>
        <v>12</v>
      </c>
      <c r="F462" s="32">
        <f ca="1">IFERROR(__xludf.DUMMYFUNCTION("""COMPUTED_VALUE"""),12)</f>
        <v>12</v>
      </c>
      <c r="G462" s="32"/>
      <c r="H462" s="32">
        <f ca="1">IFERROR(__xludf.DUMMYFUNCTION("""COMPUTED_VALUE"""),12)</f>
        <v>12</v>
      </c>
      <c r="I462" s="32"/>
      <c r="J462" s="32">
        <f ca="1">IFERROR(__xludf.DUMMYFUNCTION("""COMPUTED_VALUE"""),10)</f>
        <v>10</v>
      </c>
      <c r="K462" s="32"/>
      <c r="L462" s="32">
        <f ca="1">IFERROR(__xludf.DUMMYFUNCTION("""COMPUTED_VALUE"""),6)</f>
        <v>6</v>
      </c>
      <c r="M462" s="32"/>
      <c r="N462" s="31">
        <f ca="1">IFERROR(__xludf.DUMMYFUNCTION("""COMPUTED_VALUE"""),0)</f>
        <v>0</v>
      </c>
      <c r="O462" s="32">
        <f ca="1">IFERROR(__xludf.DUMMYFUNCTION("""COMPUTED_VALUE"""),0)</f>
        <v>0</v>
      </c>
      <c r="P462" s="32"/>
      <c r="Q462" s="32">
        <f ca="1">IFERROR(__xludf.DUMMYFUNCTION("""COMPUTED_VALUE"""),0)</f>
        <v>0</v>
      </c>
      <c r="R462" s="32"/>
      <c r="S462" s="31">
        <f ca="1">IFERROR(__xludf.DUMMYFUNCTION("""COMPUTED_VALUE"""),0)</f>
        <v>0</v>
      </c>
      <c r="T462" s="32">
        <f ca="1">IFERROR(__xludf.DUMMYFUNCTION("""COMPUTED_VALUE"""),0)</f>
        <v>0</v>
      </c>
      <c r="U462" s="32"/>
      <c r="V462" s="32">
        <f ca="1">IFERROR(__xludf.DUMMYFUNCTION("""COMPUTED_VALUE"""),0)</f>
        <v>0</v>
      </c>
      <c r="W462" s="32"/>
      <c r="X462" s="32">
        <f ca="1">IFERROR(__xludf.DUMMYFUNCTION("""COMPUTED_VALUE"""),0)</f>
        <v>0</v>
      </c>
      <c r="Y462" s="32"/>
      <c r="Z462" s="2"/>
      <c r="AA462" s="2"/>
      <c r="AB462" s="2"/>
      <c r="AC462" s="2"/>
      <c r="AD462" s="2"/>
      <c r="AE462" s="2"/>
    </row>
    <row r="463" spans="1:31" ht="12.75" x14ac:dyDescent="0.2">
      <c r="A463" s="34"/>
      <c r="B463" s="35" t="str">
        <f ca="1">IFERROR(__xludf.DUMMYFUNCTION("""COMPUTED_VALUE"""),"NHÓM LỚP NHÀ TRẺ - KHU VỰC 3")</f>
        <v>NHÓM LỚP NHÀ TRẺ - KHU VỰC 3</v>
      </c>
      <c r="C463" s="41" t="str">
        <f ca="1">IFERROR(__xludf.DUMMYFUNCTION("""COMPUTED_VALUE"""),"MN")</f>
        <v>MN</v>
      </c>
      <c r="D463" s="30" t="str">
        <f ca="1">IFERROR(__xludf.DUMMYFUNCTION("""COMPUTED_VALUE"""),"Tp. Thủ Đức")</f>
        <v>Tp. Thủ Đức</v>
      </c>
      <c r="E463" s="37"/>
      <c r="F463" s="38"/>
      <c r="G463" s="38"/>
      <c r="H463" s="38"/>
      <c r="I463" s="38"/>
      <c r="J463" s="38"/>
      <c r="K463" s="38"/>
      <c r="L463" s="38"/>
      <c r="M463" s="38"/>
      <c r="N463" s="42">
        <f ca="1">IFERROR(__xludf.DUMMYFUNCTION("""COMPUTED_VALUE"""),0)</f>
        <v>0</v>
      </c>
      <c r="O463" s="43">
        <f ca="1">IFERROR(__xludf.DUMMYFUNCTION("""COMPUTED_VALUE"""),0)</f>
        <v>0</v>
      </c>
      <c r="P463" s="43"/>
      <c r="Q463" s="43">
        <f ca="1">IFERROR(__xludf.DUMMYFUNCTION("""COMPUTED_VALUE"""),0)</f>
        <v>0</v>
      </c>
      <c r="R463" s="43"/>
      <c r="S463" s="42">
        <f ca="1">IFERROR(__xludf.DUMMYFUNCTION("""COMPUTED_VALUE"""),0)</f>
        <v>0</v>
      </c>
      <c r="T463" s="43">
        <f ca="1">IFERROR(__xludf.DUMMYFUNCTION("""COMPUTED_VALUE"""),0)</f>
        <v>0</v>
      </c>
      <c r="U463" s="43"/>
      <c r="V463" s="43">
        <f ca="1">IFERROR(__xludf.DUMMYFUNCTION("""COMPUTED_VALUE"""),0)</f>
        <v>0</v>
      </c>
      <c r="W463" s="43"/>
      <c r="X463" s="43">
        <f ca="1">IFERROR(__xludf.DUMMYFUNCTION("""COMPUTED_VALUE"""),0)</f>
        <v>0</v>
      </c>
      <c r="Y463" s="43"/>
      <c r="Z463" s="2"/>
      <c r="AA463" s="2"/>
      <c r="AB463" s="2"/>
      <c r="AC463" s="2"/>
      <c r="AD463" s="2"/>
      <c r="AE463" s="2"/>
    </row>
    <row r="464" spans="1:31" ht="12.75" x14ac:dyDescent="0.2">
      <c r="A464" s="28">
        <f ca="1">IFERROR(__xludf.DUMMYFUNCTION("""COMPUTED_VALUE"""),1)</f>
        <v>1</v>
      </c>
      <c r="B464" s="29" t="str">
        <f ca="1">IFERROR(__xludf.DUMMYFUNCTION("""COMPUTED_VALUE"""),"NT Ánh Linh KV3")</f>
        <v>NT Ánh Linh KV3</v>
      </c>
      <c r="C464" s="33" t="str">
        <f ca="1">IFERROR(__xludf.DUMMYFUNCTION("""COMPUTED_VALUE"""),"MN")</f>
        <v>MN</v>
      </c>
      <c r="D464" s="30" t="str">
        <f ca="1">IFERROR(__xludf.DUMMYFUNCTION("""COMPUTED_VALUE"""),"Tp. Thủ Đức")</f>
        <v>Tp. Thủ Đức</v>
      </c>
      <c r="E464" s="31">
        <f ca="1">IFERROR(__xludf.DUMMYFUNCTION("""COMPUTED_VALUE"""),6)</f>
        <v>6</v>
      </c>
      <c r="F464" s="32">
        <f ca="1">IFERROR(__xludf.DUMMYFUNCTION("""COMPUTED_VALUE"""),6)</f>
        <v>6</v>
      </c>
      <c r="G464" s="32"/>
      <c r="H464" s="32">
        <f ca="1">IFERROR(__xludf.DUMMYFUNCTION("""COMPUTED_VALUE"""),6)</f>
        <v>6</v>
      </c>
      <c r="I464" s="32"/>
      <c r="J464" s="32">
        <f ca="1">IFERROR(__xludf.DUMMYFUNCTION("""COMPUTED_VALUE"""),6)</f>
        <v>6</v>
      </c>
      <c r="K464" s="32"/>
      <c r="L464" s="32">
        <f ca="1">IFERROR(__xludf.DUMMYFUNCTION("""COMPUTED_VALUE"""),0)</f>
        <v>0</v>
      </c>
      <c r="M464" s="32"/>
      <c r="N464" s="31">
        <f ca="1">IFERROR(__xludf.DUMMYFUNCTION("""COMPUTED_VALUE"""),0)</f>
        <v>0</v>
      </c>
      <c r="O464" s="32">
        <f ca="1">IFERROR(__xludf.DUMMYFUNCTION("""COMPUTED_VALUE"""),0)</f>
        <v>0</v>
      </c>
      <c r="P464" s="32"/>
      <c r="Q464" s="32">
        <f ca="1">IFERROR(__xludf.DUMMYFUNCTION("""COMPUTED_VALUE"""),0)</f>
        <v>0</v>
      </c>
      <c r="R464" s="32"/>
      <c r="S464" s="31">
        <f ca="1">IFERROR(__xludf.DUMMYFUNCTION("""COMPUTED_VALUE"""),0)</f>
        <v>0</v>
      </c>
      <c r="T464" s="32">
        <f ca="1">IFERROR(__xludf.DUMMYFUNCTION("""COMPUTED_VALUE"""),0)</f>
        <v>0</v>
      </c>
      <c r="U464" s="32"/>
      <c r="V464" s="32">
        <f ca="1">IFERROR(__xludf.DUMMYFUNCTION("""COMPUTED_VALUE"""),0)</f>
        <v>0</v>
      </c>
      <c r="W464" s="32"/>
      <c r="X464" s="32">
        <f ca="1">IFERROR(__xludf.DUMMYFUNCTION("""COMPUTED_VALUE"""),0)</f>
        <v>0</v>
      </c>
      <c r="Y464" s="32"/>
      <c r="Z464" s="2"/>
      <c r="AA464" s="2"/>
      <c r="AB464" s="2"/>
      <c r="AC464" s="2"/>
      <c r="AD464" s="2"/>
      <c r="AE464" s="2"/>
    </row>
    <row r="465" spans="1:31" ht="12.75" x14ac:dyDescent="0.2">
      <c r="A465" s="28">
        <f ca="1">IFERROR(__xludf.DUMMYFUNCTION("""COMPUTED_VALUE"""),2)</f>
        <v>2</v>
      </c>
      <c r="B465" s="29" t="str">
        <f ca="1">IFERROR(__xludf.DUMMYFUNCTION("""COMPUTED_VALUE"""),"NT Bé Thơ KV3")</f>
        <v>NT Bé Thơ KV3</v>
      </c>
      <c r="C465" s="33" t="str">
        <f ca="1">IFERROR(__xludf.DUMMYFUNCTION("""COMPUTED_VALUE"""),"MN")</f>
        <v>MN</v>
      </c>
      <c r="D465" s="30" t="str">
        <f ca="1">IFERROR(__xludf.DUMMYFUNCTION("""COMPUTED_VALUE"""),"Tp. Thủ Đức")</f>
        <v>Tp. Thủ Đức</v>
      </c>
      <c r="E465" s="31">
        <f ca="1">IFERROR(__xludf.DUMMYFUNCTION("""COMPUTED_VALUE"""),6)</f>
        <v>6</v>
      </c>
      <c r="F465" s="32">
        <f ca="1">IFERROR(__xludf.DUMMYFUNCTION("""COMPUTED_VALUE"""),6)</f>
        <v>6</v>
      </c>
      <c r="G465" s="32"/>
      <c r="H465" s="32">
        <f ca="1">IFERROR(__xludf.DUMMYFUNCTION("""COMPUTED_VALUE"""),6)</f>
        <v>6</v>
      </c>
      <c r="I465" s="32"/>
      <c r="J465" s="32">
        <f ca="1">IFERROR(__xludf.DUMMYFUNCTION("""COMPUTED_VALUE"""),6)</f>
        <v>6</v>
      </c>
      <c r="K465" s="32"/>
      <c r="L465" s="32">
        <f ca="1">IFERROR(__xludf.DUMMYFUNCTION("""COMPUTED_VALUE"""),2)</f>
        <v>2</v>
      </c>
      <c r="M465" s="32"/>
      <c r="N465" s="31">
        <f ca="1">IFERROR(__xludf.DUMMYFUNCTION("""COMPUTED_VALUE"""),0)</f>
        <v>0</v>
      </c>
      <c r="O465" s="32">
        <f ca="1">IFERROR(__xludf.DUMMYFUNCTION("""COMPUTED_VALUE"""),0)</f>
        <v>0</v>
      </c>
      <c r="P465" s="32"/>
      <c r="Q465" s="32">
        <f ca="1">IFERROR(__xludf.DUMMYFUNCTION("""COMPUTED_VALUE"""),0)</f>
        <v>0</v>
      </c>
      <c r="R465" s="32"/>
      <c r="S465" s="31">
        <f ca="1">IFERROR(__xludf.DUMMYFUNCTION("""COMPUTED_VALUE"""),0)</f>
        <v>0</v>
      </c>
      <c r="T465" s="32">
        <f ca="1">IFERROR(__xludf.DUMMYFUNCTION("""COMPUTED_VALUE"""),0)</f>
        <v>0</v>
      </c>
      <c r="U465" s="32"/>
      <c r="V465" s="32">
        <f ca="1">IFERROR(__xludf.DUMMYFUNCTION("""COMPUTED_VALUE"""),0)</f>
        <v>0</v>
      </c>
      <c r="W465" s="32"/>
      <c r="X465" s="32">
        <f ca="1">IFERROR(__xludf.DUMMYFUNCTION("""COMPUTED_VALUE"""),0)</f>
        <v>0</v>
      </c>
      <c r="Y465" s="32"/>
      <c r="Z465" s="2"/>
      <c r="AA465" s="2"/>
      <c r="AB465" s="2"/>
      <c r="AC465" s="2"/>
      <c r="AD465" s="2"/>
      <c r="AE465" s="2"/>
    </row>
    <row r="466" spans="1:31" ht="12.75" x14ac:dyDescent="0.2">
      <c r="A466" s="28">
        <f ca="1">IFERROR(__xludf.DUMMYFUNCTION("""COMPUTED_VALUE"""),3)</f>
        <v>3</v>
      </c>
      <c r="B466" s="29" t="str">
        <f ca="1">IFERROR(__xludf.DUMMYFUNCTION("""COMPUTED_VALUE"""),"NT Búp Măng Non KV3")</f>
        <v>NT Búp Măng Non KV3</v>
      </c>
      <c r="C466" s="33" t="str">
        <f ca="1">IFERROR(__xludf.DUMMYFUNCTION("""COMPUTED_VALUE"""),"MN")</f>
        <v>MN</v>
      </c>
      <c r="D466" s="30" t="str">
        <f ca="1">IFERROR(__xludf.DUMMYFUNCTION("""COMPUTED_VALUE"""),"Tp. Thủ Đức")</f>
        <v>Tp. Thủ Đức</v>
      </c>
      <c r="E466" s="31">
        <f ca="1">IFERROR(__xludf.DUMMYFUNCTION("""COMPUTED_VALUE"""),4)</f>
        <v>4</v>
      </c>
      <c r="F466" s="32">
        <f ca="1">IFERROR(__xludf.DUMMYFUNCTION("""COMPUTED_VALUE"""),4)</f>
        <v>4</v>
      </c>
      <c r="G466" s="32"/>
      <c r="H466" s="32">
        <f ca="1">IFERROR(__xludf.DUMMYFUNCTION("""COMPUTED_VALUE"""),4)</f>
        <v>4</v>
      </c>
      <c r="I466" s="32"/>
      <c r="J466" s="32">
        <f ca="1">IFERROR(__xludf.DUMMYFUNCTION("""COMPUTED_VALUE"""),0)</f>
        <v>0</v>
      </c>
      <c r="K466" s="32"/>
      <c r="L466" s="32">
        <f ca="1">IFERROR(__xludf.DUMMYFUNCTION("""COMPUTED_VALUE"""),0)</f>
        <v>0</v>
      </c>
      <c r="M466" s="32"/>
      <c r="N466" s="31">
        <f ca="1">IFERROR(__xludf.DUMMYFUNCTION("""COMPUTED_VALUE"""),0)</f>
        <v>0</v>
      </c>
      <c r="O466" s="32">
        <f ca="1">IFERROR(__xludf.DUMMYFUNCTION("""COMPUTED_VALUE"""),0)</f>
        <v>0</v>
      </c>
      <c r="P466" s="32"/>
      <c r="Q466" s="32">
        <f ca="1">IFERROR(__xludf.DUMMYFUNCTION("""COMPUTED_VALUE"""),0)</f>
        <v>0</v>
      </c>
      <c r="R466" s="32"/>
      <c r="S466" s="31">
        <f ca="1">IFERROR(__xludf.DUMMYFUNCTION("""COMPUTED_VALUE"""),0)</f>
        <v>0</v>
      </c>
      <c r="T466" s="32">
        <f ca="1">IFERROR(__xludf.DUMMYFUNCTION("""COMPUTED_VALUE"""),0)</f>
        <v>0</v>
      </c>
      <c r="U466" s="32"/>
      <c r="V466" s="32">
        <f ca="1">IFERROR(__xludf.DUMMYFUNCTION("""COMPUTED_VALUE"""),0)</f>
        <v>0</v>
      </c>
      <c r="W466" s="32"/>
      <c r="X466" s="32">
        <f ca="1">IFERROR(__xludf.DUMMYFUNCTION("""COMPUTED_VALUE"""),0)</f>
        <v>0</v>
      </c>
      <c r="Y466" s="32"/>
      <c r="Z466" s="2"/>
      <c r="AA466" s="2"/>
      <c r="AB466" s="2"/>
      <c r="AC466" s="2"/>
      <c r="AD466" s="2"/>
      <c r="AE466" s="2"/>
    </row>
    <row r="467" spans="1:31" ht="12.75" x14ac:dyDescent="0.2">
      <c r="A467" s="28">
        <f ca="1">IFERROR(__xludf.DUMMYFUNCTION("""COMPUTED_VALUE"""),4)</f>
        <v>4</v>
      </c>
      <c r="B467" s="29" t="str">
        <f ca="1">IFERROR(__xludf.DUMMYFUNCTION("""COMPUTED_VALUE"""),"NT Cánh Diều Vàng KV3")</f>
        <v>NT Cánh Diều Vàng KV3</v>
      </c>
      <c r="C467" s="33" t="str">
        <f ca="1">IFERROR(__xludf.DUMMYFUNCTION("""COMPUTED_VALUE"""),"MN")</f>
        <v>MN</v>
      </c>
      <c r="D467" s="30" t="str">
        <f ca="1">IFERROR(__xludf.DUMMYFUNCTION("""COMPUTED_VALUE"""),"Tp. Thủ Đức")</f>
        <v>Tp. Thủ Đức</v>
      </c>
      <c r="E467" s="31">
        <f ca="1">IFERROR(__xludf.DUMMYFUNCTION("""COMPUTED_VALUE"""),4)</f>
        <v>4</v>
      </c>
      <c r="F467" s="32">
        <f ca="1">IFERROR(__xludf.DUMMYFUNCTION("""COMPUTED_VALUE"""),4)</f>
        <v>4</v>
      </c>
      <c r="G467" s="32"/>
      <c r="H467" s="32">
        <f ca="1">IFERROR(__xludf.DUMMYFUNCTION("""COMPUTED_VALUE"""),4)</f>
        <v>4</v>
      </c>
      <c r="I467" s="32"/>
      <c r="J467" s="32">
        <f ca="1">IFERROR(__xludf.DUMMYFUNCTION("""COMPUTED_VALUE"""),4)</f>
        <v>4</v>
      </c>
      <c r="K467" s="32"/>
      <c r="L467" s="32">
        <f ca="1">IFERROR(__xludf.DUMMYFUNCTION("""COMPUTED_VALUE"""),0)</f>
        <v>0</v>
      </c>
      <c r="M467" s="32"/>
      <c r="N467" s="31">
        <f ca="1">IFERROR(__xludf.DUMMYFUNCTION("""COMPUTED_VALUE"""),0)</f>
        <v>0</v>
      </c>
      <c r="O467" s="32">
        <f ca="1">IFERROR(__xludf.DUMMYFUNCTION("""COMPUTED_VALUE"""),0)</f>
        <v>0</v>
      </c>
      <c r="P467" s="32"/>
      <c r="Q467" s="32">
        <f ca="1">IFERROR(__xludf.DUMMYFUNCTION("""COMPUTED_VALUE"""),0)</f>
        <v>0</v>
      </c>
      <c r="R467" s="32"/>
      <c r="S467" s="31">
        <f ca="1">IFERROR(__xludf.DUMMYFUNCTION("""COMPUTED_VALUE"""),0)</f>
        <v>0</v>
      </c>
      <c r="T467" s="32">
        <f ca="1">IFERROR(__xludf.DUMMYFUNCTION("""COMPUTED_VALUE"""),0)</f>
        <v>0</v>
      </c>
      <c r="U467" s="32"/>
      <c r="V467" s="32">
        <f ca="1">IFERROR(__xludf.DUMMYFUNCTION("""COMPUTED_VALUE"""),0)</f>
        <v>0</v>
      </c>
      <c r="W467" s="32"/>
      <c r="X467" s="32">
        <f ca="1">IFERROR(__xludf.DUMMYFUNCTION("""COMPUTED_VALUE"""),0)</f>
        <v>0</v>
      </c>
      <c r="Y467" s="32"/>
      <c r="Z467" s="2"/>
      <c r="AA467" s="2"/>
      <c r="AB467" s="2"/>
      <c r="AC467" s="2"/>
      <c r="AD467" s="2"/>
      <c r="AE467" s="2"/>
    </row>
    <row r="468" spans="1:31" ht="12.75" x14ac:dyDescent="0.2">
      <c r="A468" s="28">
        <f ca="1">IFERROR(__xludf.DUMMYFUNCTION("""COMPUTED_VALUE"""),5)</f>
        <v>5</v>
      </c>
      <c r="B468" s="29" t="str">
        <f ca="1">IFERROR(__xludf.DUMMYFUNCTION("""COMPUTED_VALUE"""),"NT Dâu Tây KV3")</f>
        <v>NT Dâu Tây KV3</v>
      </c>
      <c r="C468" s="33" t="str">
        <f ca="1">IFERROR(__xludf.DUMMYFUNCTION("""COMPUTED_VALUE"""),"MN")</f>
        <v>MN</v>
      </c>
      <c r="D468" s="30" t="str">
        <f ca="1">IFERROR(__xludf.DUMMYFUNCTION("""COMPUTED_VALUE"""),"Tp. Thủ Đức")</f>
        <v>Tp. Thủ Đức</v>
      </c>
      <c r="E468" s="31">
        <f ca="1">IFERROR(__xludf.DUMMYFUNCTION("""COMPUTED_VALUE"""),6)</f>
        <v>6</v>
      </c>
      <c r="F468" s="32">
        <f ca="1">IFERROR(__xludf.DUMMYFUNCTION("""COMPUTED_VALUE"""),6)</f>
        <v>6</v>
      </c>
      <c r="G468" s="32"/>
      <c r="H468" s="32">
        <f ca="1">IFERROR(__xludf.DUMMYFUNCTION("""COMPUTED_VALUE"""),6)</f>
        <v>6</v>
      </c>
      <c r="I468" s="32"/>
      <c r="J468" s="32">
        <f ca="1">IFERROR(__xludf.DUMMYFUNCTION("""COMPUTED_VALUE"""),6)</f>
        <v>6</v>
      </c>
      <c r="K468" s="32"/>
      <c r="L468" s="32">
        <f ca="1">IFERROR(__xludf.DUMMYFUNCTION("""COMPUTED_VALUE"""),4)</f>
        <v>4</v>
      </c>
      <c r="M468" s="32"/>
      <c r="N468" s="31">
        <f ca="1">IFERROR(__xludf.DUMMYFUNCTION("""COMPUTED_VALUE"""),0)</f>
        <v>0</v>
      </c>
      <c r="O468" s="32">
        <f ca="1">IFERROR(__xludf.DUMMYFUNCTION("""COMPUTED_VALUE"""),0)</f>
        <v>0</v>
      </c>
      <c r="P468" s="32"/>
      <c r="Q468" s="32">
        <f ca="1">IFERROR(__xludf.DUMMYFUNCTION("""COMPUTED_VALUE"""),0)</f>
        <v>0</v>
      </c>
      <c r="R468" s="32"/>
      <c r="S468" s="31">
        <f ca="1">IFERROR(__xludf.DUMMYFUNCTION("""COMPUTED_VALUE"""),0)</f>
        <v>0</v>
      </c>
      <c r="T468" s="32">
        <f ca="1">IFERROR(__xludf.DUMMYFUNCTION("""COMPUTED_VALUE"""),0)</f>
        <v>0</v>
      </c>
      <c r="U468" s="32"/>
      <c r="V468" s="32">
        <f ca="1">IFERROR(__xludf.DUMMYFUNCTION("""COMPUTED_VALUE"""),0)</f>
        <v>0</v>
      </c>
      <c r="W468" s="32"/>
      <c r="X468" s="32">
        <f ca="1">IFERROR(__xludf.DUMMYFUNCTION("""COMPUTED_VALUE"""),0)</f>
        <v>0</v>
      </c>
      <c r="Y468" s="32"/>
      <c r="Z468" s="2"/>
      <c r="AA468" s="2"/>
      <c r="AB468" s="2"/>
      <c r="AC468" s="2"/>
      <c r="AD468" s="2"/>
      <c r="AE468" s="2"/>
    </row>
    <row r="469" spans="1:31" ht="12.75" x14ac:dyDescent="0.2">
      <c r="A469" s="28">
        <f ca="1">IFERROR(__xludf.DUMMYFUNCTION("""COMPUTED_VALUE"""),6)</f>
        <v>6</v>
      </c>
      <c r="B469" s="29" t="str">
        <f ca="1">IFERROR(__xludf.DUMMYFUNCTION("""COMPUTED_VALUE"""),"NT Gấu Bông KV3")</f>
        <v>NT Gấu Bông KV3</v>
      </c>
      <c r="C469" s="33" t="str">
        <f ca="1">IFERROR(__xludf.DUMMYFUNCTION("""COMPUTED_VALUE"""),"MN")</f>
        <v>MN</v>
      </c>
      <c r="D469" s="30" t="str">
        <f ca="1">IFERROR(__xludf.DUMMYFUNCTION("""COMPUTED_VALUE"""),"Tp. Thủ Đức")</f>
        <v>Tp. Thủ Đức</v>
      </c>
      <c r="E469" s="31">
        <f ca="1">IFERROR(__xludf.DUMMYFUNCTION("""COMPUTED_VALUE"""),4)</f>
        <v>4</v>
      </c>
      <c r="F469" s="32">
        <f ca="1">IFERROR(__xludf.DUMMYFUNCTION("""COMPUTED_VALUE"""),4)</f>
        <v>4</v>
      </c>
      <c r="G469" s="32"/>
      <c r="H469" s="32">
        <f ca="1">IFERROR(__xludf.DUMMYFUNCTION("""COMPUTED_VALUE"""),4)</f>
        <v>4</v>
      </c>
      <c r="I469" s="32"/>
      <c r="J469" s="32">
        <f ca="1">IFERROR(__xludf.DUMMYFUNCTION("""COMPUTED_VALUE"""),4)</f>
        <v>4</v>
      </c>
      <c r="K469" s="32"/>
      <c r="L469" s="32">
        <f ca="1">IFERROR(__xludf.DUMMYFUNCTION("""COMPUTED_VALUE"""),0)</f>
        <v>0</v>
      </c>
      <c r="M469" s="32"/>
      <c r="N469" s="31">
        <f ca="1">IFERROR(__xludf.DUMMYFUNCTION("""COMPUTED_VALUE"""),0)</f>
        <v>0</v>
      </c>
      <c r="O469" s="32">
        <f ca="1">IFERROR(__xludf.DUMMYFUNCTION("""COMPUTED_VALUE"""),0)</f>
        <v>0</v>
      </c>
      <c r="P469" s="32"/>
      <c r="Q469" s="32">
        <f ca="1">IFERROR(__xludf.DUMMYFUNCTION("""COMPUTED_VALUE"""),0)</f>
        <v>0</v>
      </c>
      <c r="R469" s="32"/>
      <c r="S469" s="31">
        <f ca="1">IFERROR(__xludf.DUMMYFUNCTION("""COMPUTED_VALUE"""),0)</f>
        <v>0</v>
      </c>
      <c r="T469" s="32">
        <f ca="1">IFERROR(__xludf.DUMMYFUNCTION("""COMPUTED_VALUE"""),0)</f>
        <v>0</v>
      </c>
      <c r="U469" s="32"/>
      <c r="V469" s="32">
        <f ca="1">IFERROR(__xludf.DUMMYFUNCTION("""COMPUTED_VALUE"""),0)</f>
        <v>0</v>
      </c>
      <c r="W469" s="32"/>
      <c r="X469" s="32">
        <f ca="1">IFERROR(__xludf.DUMMYFUNCTION("""COMPUTED_VALUE"""),0)</f>
        <v>0</v>
      </c>
      <c r="Y469" s="32"/>
      <c r="Z469" s="2"/>
      <c r="AA469" s="2"/>
      <c r="AB469" s="2"/>
      <c r="AC469" s="2"/>
      <c r="AD469" s="2"/>
      <c r="AE469" s="2"/>
    </row>
    <row r="470" spans="1:31" ht="12.75" x14ac:dyDescent="0.2">
      <c r="A470" s="28">
        <f ca="1">IFERROR(__xludf.DUMMYFUNCTION("""COMPUTED_VALUE"""),7)</f>
        <v>7</v>
      </c>
      <c r="B470" s="29" t="str">
        <f ca="1">IFERROR(__xludf.DUMMYFUNCTION("""COMPUTED_VALUE"""),"NT Hòa Bình KV3")</f>
        <v>NT Hòa Bình KV3</v>
      </c>
      <c r="C470" s="33" t="str">
        <f ca="1">IFERROR(__xludf.DUMMYFUNCTION("""COMPUTED_VALUE"""),"MN")</f>
        <v>MN</v>
      </c>
      <c r="D470" s="30" t="str">
        <f ca="1">IFERROR(__xludf.DUMMYFUNCTION("""COMPUTED_VALUE"""),"Tp. Thủ Đức")</f>
        <v>Tp. Thủ Đức</v>
      </c>
      <c r="E470" s="31">
        <f ca="1">IFERROR(__xludf.DUMMYFUNCTION("""COMPUTED_VALUE"""),10)</f>
        <v>10</v>
      </c>
      <c r="F470" s="32">
        <f ca="1">IFERROR(__xludf.DUMMYFUNCTION("""COMPUTED_VALUE"""),10)</f>
        <v>10</v>
      </c>
      <c r="G470" s="32"/>
      <c r="H470" s="32">
        <f ca="1">IFERROR(__xludf.DUMMYFUNCTION("""COMPUTED_VALUE"""),10)</f>
        <v>10</v>
      </c>
      <c r="I470" s="32"/>
      <c r="J470" s="32">
        <f ca="1">IFERROR(__xludf.DUMMYFUNCTION("""COMPUTED_VALUE"""),10)</f>
        <v>10</v>
      </c>
      <c r="K470" s="32"/>
      <c r="L470" s="32">
        <f ca="1">IFERROR(__xludf.DUMMYFUNCTION("""COMPUTED_VALUE"""),0)</f>
        <v>0</v>
      </c>
      <c r="M470" s="32"/>
      <c r="N470" s="31">
        <f ca="1">IFERROR(__xludf.DUMMYFUNCTION("""COMPUTED_VALUE"""),0)</f>
        <v>0</v>
      </c>
      <c r="O470" s="32">
        <f ca="1">IFERROR(__xludf.DUMMYFUNCTION("""COMPUTED_VALUE"""),0)</f>
        <v>0</v>
      </c>
      <c r="P470" s="32"/>
      <c r="Q470" s="32">
        <f ca="1">IFERROR(__xludf.DUMMYFUNCTION("""COMPUTED_VALUE"""),0)</f>
        <v>0</v>
      </c>
      <c r="R470" s="32"/>
      <c r="S470" s="31">
        <f ca="1">IFERROR(__xludf.DUMMYFUNCTION("""COMPUTED_VALUE"""),0)</f>
        <v>0</v>
      </c>
      <c r="T470" s="32">
        <f ca="1">IFERROR(__xludf.DUMMYFUNCTION("""COMPUTED_VALUE"""),0)</f>
        <v>0</v>
      </c>
      <c r="U470" s="32"/>
      <c r="V470" s="32">
        <f ca="1">IFERROR(__xludf.DUMMYFUNCTION("""COMPUTED_VALUE"""),0)</f>
        <v>0</v>
      </c>
      <c r="W470" s="32"/>
      <c r="X470" s="32">
        <f ca="1">IFERROR(__xludf.DUMMYFUNCTION("""COMPUTED_VALUE"""),0)</f>
        <v>0</v>
      </c>
      <c r="Y470" s="32"/>
      <c r="Z470" s="2"/>
      <c r="AA470" s="2"/>
      <c r="AB470" s="2"/>
      <c r="AC470" s="2"/>
      <c r="AD470" s="2"/>
      <c r="AE470" s="2"/>
    </row>
    <row r="471" spans="1:31" ht="12.75" x14ac:dyDescent="0.2">
      <c r="A471" s="28">
        <f ca="1">IFERROR(__xludf.DUMMYFUNCTION("""COMPUTED_VALUE"""),8)</f>
        <v>8</v>
      </c>
      <c r="B471" s="29" t="str">
        <f ca="1">IFERROR(__xludf.DUMMYFUNCTION("""COMPUTED_VALUE"""),"NT Hồng Hà KV3")</f>
        <v>NT Hồng Hà KV3</v>
      </c>
      <c r="C471" s="33" t="str">
        <f ca="1">IFERROR(__xludf.DUMMYFUNCTION("""COMPUTED_VALUE"""),"MN")</f>
        <v>MN</v>
      </c>
      <c r="D471" s="30" t="str">
        <f ca="1">IFERROR(__xludf.DUMMYFUNCTION("""COMPUTED_VALUE"""),"Tp. Thủ Đức")</f>
        <v>Tp. Thủ Đức</v>
      </c>
      <c r="E471" s="31">
        <f ca="1">IFERROR(__xludf.DUMMYFUNCTION("""COMPUTED_VALUE"""),12)</f>
        <v>12</v>
      </c>
      <c r="F471" s="32">
        <f ca="1">IFERROR(__xludf.DUMMYFUNCTION("""COMPUTED_VALUE"""),12)</f>
        <v>12</v>
      </c>
      <c r="G471" s="32"/>
      <c r="H471" s="32">
        <f ca="1">IFERROR(__xludf.DUMMYFUNCTION("""COMPUTED_VALUE"""),12)</f>
        <v>12</v>
      </c>
      <c r="I471" s="32"/>
      <c r="J471" s="32">
        <f ca="1">IFERROR(__xludf.DUMMYFUNCTION("""COMPUTED_VALUE"""),10)</f>
        <v>10</v>
      </c>
      <c r="K471" s="32"/>
      <c r="L471" s="32">
        <f ca="1">IFERROR(__xludf.DUMMYFUNCTION("""COMPUTED_VALUE"""),2)</f>
        <v>2</v>
      </c>
      <c r="M471" s="32"/>
      <c r="N471" s="31">
        <f ca="1">IFERROR(__xludf.DUMMYFUNCTION("""COMPUTED_VALUE"""),0)</f>
        <v>0</v>
      </c>
      <c r="O471" s="32">
        <f ca="1">IFERROR(__xludf.DUMMYFUNCTION("""COMPUTED_VALUE"""),0)</f>
        <v>0</v>
      </c>
      <c r="P471" s="32"/>
      <c r="Q471" s="32">
        <f ca="1">IFERROR(__xludf.DUMMYFUNCTION("""COMPUTED_VALUE"""),0)</f>
        <v>0</v>
      </c>
      <c r="R471" s="32"/>
      <c r="S471" s="31">
        <f ca="1">IFERROR(__xludf.DUMMYFUNCTION("""COMPUTED_VALUE"""),0)</f>
        <v>0</v>
      </c>
      <c r="T471" s="32">
        <f ca="1">IFERROR(__xludf.DUMMYFUNCTION("""COMPUTED_VALUE"""),0)</f>
        <v>0</v>
      </c>
      <c r="U471" s="32"/>
      <c r="V471" s="32">
        <f ca="1">IFERROR(__xludf.DUMMYFUNCTION("""COMPUTED_VALUE"""),0)</f>
        <v>0</v>
      </c>
      <c r="W471" s="32"/>
      <c r="X471" s="32">
        <f ca="1">IFERROR(__xludf.DUMMYFUNCTION("""COMPUTED_VALUE"""),0)</f>
        <v>0</v>
      </c>
      <c r="Y471" s="32"/>
      <c r="Z471" s="2"/>
      <c r="AA471" s="2"/>
      <c r="AB471" s="2"/>
      <c r="AC471" s="2"/>
      <c r="AD471" s="2"/>
      <c r="AE471" s="2"/>
    </row>
    <row r="472" spans="1:31" ht="12.75" x14ac:dyDescent="0.2">
      <c r="A472" s="28">
        <f ca="1">IFERROR(__xludf.DUMMYFUNCTION("""COMPUTED_VALUE"""),9)</f>
        <v>9</v>
      </c>
      <c r="B472" s="29" t="str">
        <f ca="1">IFERROR(__xludf.DUMMYFUNCTION("""COMPUTED_VALUE"""),"NT Hương Quế KV3")</f>
        <v>NT Hương Quế KV3</v>
      </c>
      <c r="C472" s="33" t="str">
        <f ca="1">IFERROR(__xludf.DUMMYFUNCTION("""COMPUTED_VALUE"""),"MN")</f>
        <v>MN</v>
      </c>
      <c r="D472" s="30" t="str">
        <f ca="1">IFERROR(__xludf.DUMMYFUNCTION("""COMPUTED_VALUE"""),"Tp. Thủ Đức")</f>
        <v>Tp. Thủ Đức</v>
      </c>
      <c r="E472" s="31">
        <f ca="1">IFERROR(__xludf.DUMMYFUNCTION("""COMPUTED_VALUE"""),4)</f>
        <v>4</v>
      </c>
      <c r="F472" s="32">
        <f ca="1">IFERROR(__xludf.DUMMYFUNCTION("""COMPUTED_VALUE"""),4)</f>
        <v>4</v>
      </c>
      <c r="G472" s="32"/>
      <c r="H472" s="32">
        <f ca="1">IFERROR(__xludf.DUMMYFUNCTION("""COMPUTED_VALUE"""),4)</f>
        <v>4</v>
      </c>
      <c r="I472" s="32"/>
      <c r="J472" s="32">
        <f ca="1">IFERROR(__xludf.DUMMYFUNCTION("""COMPUTED_VALUE"""),4)</f>
        <v>4</v>
      </c>
      <c r="K472" s="32"/>
      <c r="L472" s="32">
        <f ca="1">IFERROR(__xludf.DUMMYFUNCTION("""COMPUTED_VALUE"""),0)</f>
        <v>0</v>
      </c>
      <c r="M472" s="32"/>
      <c r="N472" s="31">
        <f ca="1">IFERROR(__xludf.DUMMYFUNCTION("""COMPUTED_VALUE"""),0)</f>
        <v>0</v>
      </c>
      <c r="O472" s="32">
        <f ca="1">IFERROR(__xludf.DUMMYFUNCTION("""COMPUTED_VALUE"""),0)</f>
        <v>0</v>
      </c>
      <c r="P472" s="32"/>
      <c r="Q472" s="32">
        <f ca="1">IFERROR(__xludf.DUMMYFUNCTION("""COMPUTED_VALUE"""),0)</f>
        <v>0</v>
      </c>
      <c r="R472" s="32"/>
      <c r="S472" s="31">
        <f ca="1">IFERROR(__xludf.DUMMYFUNCTION("""COMPUTED_VALUE"""),0)</f>
        <v>0</v>
      </c>
      <c r="T472" s="32">
        <f ca="1">IFERROR(__xludf.DUMMYFUNCTION("""COMPUTED_VALUE"""),0)</f>
        <v>0</v>
      </c>
      <c r="U472" s="32"/>
      <c r="V472" s="32">
        <f ca="1">IFERROR(__xludf.DUMMYFUNCTION("""COMPUTED_VALUE"""),0)</f>
        <v>0</v>
      </c>
      <c r="W472" s="32"/>
      <c r="X472" s="32">
        <f ca="1">IFERROR(__xludf.DUMMYFUNCTION("""COMPUTED_VALUE"""),0)</f>
        <v>0</v>
      </c>
      <c r="Y472" s="32"/>
      <c r="Z472" s="2"/>
      <c r="AA472" s="2"/>
      <c r="AB472" s="2"/>
      <c r="AC472" s="2"/>
      <c r="AD472" s="2"/>
      <c r="AE472" s="2"/>
    </row>
    <row r="473" spans="1:31" ht="12.75" x14ac:dyDescent="0.2">
      <c r="A473" s="28">
        <f ca="1">IFERROR(__xludf.DUMMYFUNCTION("""COMPUTED_VALUE"""),10)</f>
        <v>10</v>
      </c>
      <c r="B473" s="29" t="str">
        <f ca="1">IFERROR(__xludf.DUMMYFUNCTION("""COMPUTED_VALUE"""),"NT Huyền Trâm KV3")</f>
        <v>NT Huyền Trâm KV3</v>
      </c>
      <c r="C473" s="33" t="str">
        <f ca="1">IFERROR(__xludf.DUMMYFUNCTION("""COMPUTED_VALUE"""),"MN")</f>
        <v>MN</v>
      </c>
      <c r="D473" s="30" t="str">
        <f ca="1">IFERROR(__xludf.DUMMYFUNCTION("""COMPUTED_VALUE"""),"Tp. Thủ Đức")</f>
        <v>Tp. Thủ Đức</v>
      </c>
      <c r="E473" s="31">
        <f ca="1">IFERROR(__xludf.DUMMYFUNCTION("""COMPUTED_VALUE"""),4)</f>
        <v>4</v>
      </c>
      <c r="F473" s="32">
        <f ca="1">IFERROR(__xludf.DUMMYFUNCTION("""COMPUTED_VALUE"""),4)</f>
        <v>4</v>
      </c>
      <c r="G473" s="32"/>
      <c r="H473" s="32">
        <f ca="1">IFERROR(__xludf.DUMMYFUNCTION("""COMPUTED_VALUE"""),4)</f>
        <v>4</v>
      </c>
      <c r="I473" s="32"/>
      <c r="J473" s="32">
        <f ca="1">IFERROR(__xludf.DUMMYFUNCTION("""COMPUTED_VALUE"""),4)</f>
        <v>4</v>
      </c>
      <c r="K473" s="32"/>
      <c r="L473" s="32">
        <f ca="1">IFERROR(__xludf.DUMMYFUNCTION("""COMPUTED_VALUE"""),2)</f>
        <v>2</v>
      </c>
      <c r="M473" s="32"/>
      <c r="N473" s="31">
        <f ca="1">IFERROR(__xludf.DUMMYFUNCTION("""COMPUTED_VALUE"""),0)</f>
        <v>0</v>
      </c>
      <c r="O473" s="32">
        <f ca="1">IFERROR(__xludf.DUMMYFUNCTION("""COMPUTED_VALUE"""),0)</f>
        <v>0</v>
      </c>
      <c r="P473" s="32"/>
      <c r="Q473" s="32">
        <f ca="1">IFERROR(__xludf.DUMMYFUNCTION("""COMPUTED_VALUE"""),0)</f>
        <v>0</v>
      </c>
      <c r="R473" s="32"/>
      <c r="S473" s="31">
        <f ca="1">IFERROR(__xludf.DUMMYFUNCTION("""COMPUTED_VALUE"""),0)</f>
        <v>0</v>
      </c>
      <c r="T473" s="32">
        <f ca="1">IFERROR(__xludf.DUMMYFUNCTION("""COMPUTED_VALUE"""),0)</f>
        <v>0</v>
      </c>
      <c r="U473" s="32"/>
      <c r="V473" s="32">
        <f ca="1">IFERROR(__xludf.DUMMYFUNCTION("""COMPUTED_VALUE"""),0)</f>
        <v>0</v>
      </c>
      <c r="W473" s="32"/>
      <c r="X473" s="32">
        <f ca="1">IFERROR(__xludf.DUMMYFUNCTION("""COMPUTED_VALUE"""),0)</f>
        <v>0</v>
      </c>
      <c r="Y473" s="32"/>
      <c r="Z473" s="2"/>
      <c r="AA473" s="2"/>
      <c r="AB473" s="2"/>
      <c r="AC473" s="2"/>
      <c r="AD473" s="2"/>
      <c r="AE473" s="2"/>
    </row>
    <row r="474" spans="1:31" ht="12.75" x14ac:dyDescent="0.2">
      <c r="A474" s="28">
        <f ca="1">IFERROR(__xludf.DUMMYFUNCTION("""COMPUTED_VALUE"""),11)</f>
        <v>11</v>
      </c>
      <c r="B474" s="29" t="str">
        <f ca="1">IFERROR(__xludf.DUMMYFUNCTION("""COMPUTED_VALUE"""),"NT Mai Hoa KV3")</f>
        <v>NT Mai Hoa KV3</v>
      </c>
      <c r="C474" s="33" t="str">
        <f ca="1">IFERROR(__xludf.DUMMYFUNCTION("""COMPUTED_VALUE"""),"MN")</f>
        <v>MN</v>
      </c>
      <c r="D474" s="30" t="str">
        <f ca="1">IFERROR(__xludf.DUMMYFUNCTION("""COMPUTED_VALUE"""),"Tp. Thủ Đức")</f>
        <v>Tp. Thủ Đức</v>
      </c>
      <c r="E474" s="31">
        <f ca="1">IFERROR(__xludf.DUMMYFUNCTION("""COMPUTED_VALUE"""),8)</f>
        <v>8</v>
      </c>
      <c r="F474" s="32">
        <f ca="1">IFERROR(__xludf.DUMMYFUNCTION("""COMPUTED_VALUE"""),8)</f>
        <v>8</v>
      </c>
      <c r="G474" s="32"/>
      <c r="H474" s="32">
        <f ca="1">IFERROR(__xludf.DUMMYFUNCTION("""COMPUTED_VALUE"""),8)</f>
        <v>8</v>
      </c>
      <c r="I474" s="32"/>
      <c r="J474" s="32">
        <f ca="1">IFERROR(__xludf.DUMMYFUNCTION("""COMPUTED_VALUE"""),6)</f>
        <v>6</v>
      </c>
      <c r="K474" s="32"/>
      <c r="L474" s="32">
        <f ca="1">IFERROR(__xludf.DUMMYFUNCTION("""COMPUTED_VALUE"""),0)</f>
        <v>0</v>
      </c>
      <c r="M474" s="32"/>
      <c r="N474" s="31">
        <f ca="1">IFERROR(__xludf.DUMMYFUNCTION("""COMPUTED_VALUE"""),0)</f>
        <v>0</v>
      </c>
      <c r="O474" s="32">
        <f ca="1">IFERROR(__xludf.DUMMYFUNCTION("""COMPUTED_VALUE"""),0)</f>
        <v>0</v>
      </c>
      <c r="P474" s="32"/>
      <c r="Q474" s="32">
        <f ca="1">IFERROR(__xludf.DUMMYFUNCTION("""COMPUTED_VALUE"""),0)</f>
        <v>0</v>
      </c>
      <c r="R474" s="32"/>
      <c r="S474" s="31">
        <f ca="1">IFERROR(__xludf.DUMMYFUNCTION("""COMPUTED_VALUE"""),0)</f>
        <v>0</v>
      </c>
      <c r="T474" s="32">
        <f ca="1">IFERROR(__xludf.DUMMYFUNCTION("""COMPUTED_VALUE"""),0)</f>
        <v>0</v>
      </c>
      <c r="U474" s="32"/>
      <c r="V474" s="32">
        <f ca="1">IFERROR(__xludf.DUMMYFUNCTION("""COMPUTED_VALUE"""),0)</f>
        <v>0</v>
      </c>
      <c r="W474" s="32"/>
      <c r="X474" s="32">
        <f ca="1">IFERROR(__xludf.DUMMYFUNCTION("""COMPUTED_VALUE"""),0)</f>
        <v>0</v>
      </c>
      <c r="Y474" s="32"/>
      <c r="Z474" s="2"/>
      <c r="AA474" s="2"/>
      <c r="AB474" s="2"/>
      <c r="AC474" s="2"/>
      <c r="AD474" s="2"/>
      <c r="AE474" s="2"/>
    </row>
    <row r="475" spans="1:31" ht="12.75" x14ac:dyDescent="0.2">
      <c r="A475" s="28">
        <f ca="1">IFERROR(__xludf.DUMMYFUNCTION("""COMPUTED_VALUE"""),12)</f>
        <v>12</v>
      </c>
      <c r="B475" s="29" t="str">
        <f ca="1">IFERROR(__xludf.DUMMYFUNCTION("""COMPUTED_VALUE"""),"NT Ngôi Sao Xanh KV3")</f>
        <v>NT Ngôi Sao Xanh KV3</v>
      </c>
      <c r="C475" s="33" t="str">
        <f ca="1">IFERROR(__xludf.DUMMYFUNCTION("""COMPUTED_VALUE"""),"MN")</f>
        <v>MN</v>
      </c>
      <c r="D475" s="30" t="str">
        <f ca="1">IFERROR(__xludf.DUMMYFUNCTION("""COMPUTED_VALUE"""),"Tp. Thủ Đức")</f>
        <v>Tp. Thủ Đức</v>
      </c>
      <c r="E475" s="31">
        <f ca="1">IFERROR(__xludf.DUMMYFUNCTION("""COMPUTED_VALUE"""),7)</f>
        <v>7</v>
      </c>
      <c r="F475" s="32">
        <f ca="1">IFERROR(__xludf.DUMMYFUNCTION("""COMPUTED_VALUE"""),7)</f>
        <v>7</v>
      </c>
      <c r="G475" s="32"/>
      <c r="H475" s="32">
        <f ca="1">IFERROR(__xludf.DUMMYFUNCTION("""COMPUTED_VALUE"""),7)</f>
        <v>7</v>
      </c>
      <c r="I475" s="32"/>
      <c r="J475" s="32">
        <f ca="1">IFERROR(__xludf.DUMMYFUNCTION("""COMPUTED_VALUE"""),7)</f>
        <v>7</v>
      </c>
      <c r="K475" s="32"/>
      <c r="L475" s="32">
        <f ca="1">IFERROR(__xludf.DUMMYFUNCTION("""COMPUTED_VALUE"""),2)</f>
        <v>2</v>
      </c>
      <c r="M475" s="32"/>
      <c r="N475" s="31">
        <f ca="1">IFERROR(__xludf.DUMMYFUNCTION("""COMPUTED_VALUE"""),0)</f>
        <v>0</v>
      </c>
      <c r="O475" s="32">
        <f ca="1">IFERROR(__xludf.DUMMYFUNCTION("""COMPUTED_VALUE"""),0)</f>
        <v>0</v>
      </c>
      <c r="P475" s="32"/>
      <c r="Q475" s="32">
        <f ca="1">IFERROR(__xludf.DUMMYFUNCTION("""COMPUTED_VALUE"""),0)</f>
        <v>0</v>
      </c>
      <c r="R475" s="32"/>
      <c r="S475" s="31">
        <f ca="1">IFERROR(__xludf.DUMMYFUNCTION("""COMPUTED_VALUE"""),0)</f>
        <v>0</v>
      </c>
      <c r="T475" s="32">
        <f ca="1">IFERROR(__xludf.DUMMYFUNCTION("""COMPUTED_VALUE"""),0)</f>
        <v>0</v>
      </c>
      <c r="U475" s="32"/>
      <c r="V475" s="32">
        <f ca="1">IFERROR(__xludf.DUMMYFUNCTION("""COMPUTED_VALUE"""),0)</f>
        <v>0</v>
      </c>
      <c r="W475" s="32"/>
      <c r="X475" s="32">
        <f ca="1">IFERROR(__xludf.DUMMYFUNCTION("""COMPUTED_VALUE"""),0)</f>
        <v>0</v>
      </c>
      <c r="Y475" s="32"/>
      <c r="Z475" s="2"/>
      <c r="AA475" s="2"/>
      <c r="AB475" s="2"/>
      <c r="AC475" s="2"/>
      <c r="AD475" s="2"/>
      <c r="AE475" s="2"/>
    </row>
    <row r="476" spans="1:31" ht="12.75" x14ac:dyDescent="0.2">
      <c r="A476" s="28">
        <f ca="1">IFERROR(__xludf.DUMMYFUNCTION("""COMPUTED_VALUE"""),13)</f>
        <v>13</v>
      </c>
      <c r="B476" s="29" t="str">
        <f ca="1">IFERROR(__xludf.DUMMYFUNCTION("""COMPUTED_VALUE"""),"NT Nhà Thiên Thần KV3")</f>
        <v>NT Nhà Thiên Thần KV3</v>
      </c>
      <c r="C476" s="33" t="str">
        <f ca="1">IFERROR(__xludf.DUMMYFUNCTION("""COMPUTED_VALUE"""),"MN")</f>
        <v>MN</v>
      </c>
      <c r="D476" s="30" t="str">
        <f ca="1">IFERROR(__xludf.DUMMYFUNCTION("""COMPUTED_VALUE"""),"Tp. Thủ Đức")</f>
        <v>Tp. Thủ Đức</v>
      </c>
      <c r="E476" s="31">
        <f ca="1">IFERROR(__xludf.DUMMYFUNCTION("""COMPUTED_VALUE"""),4)</f>
        <v>4</v>
      </c>
      <c r="F476" s="32">
        <f ca="1">IFERROR(__xludf.DUMMYFUNCTION("""COMPUTED_VALUE"""),4)</f>
        <v>4</v>
      </c>
      <c r="G476" s="32"/>
      <c r="H476" s="32">
        <f ca="1">IFERROR(__xludf.DUMMYFUNCTION("""COMPUTED_VALUE"""),4)</f>
        <v>4</v>
      </c>
      <c r="I476" s="32"/>
      <c r="J476" s="32">
        <f ca="1">IFERROR(__xludf.DUMMYFUNCTION("""COMPUTED_VALUE"""),4)</f>
        <v>4</v>
      </c>
      <c r="K476" s="32"/>
      <c r="L476" s="32">
        <f ca="1">IFERROR(__xludf.DUMMYFUNCTION("""COMPUTED_VALUE"""),0)</f>
        <v>0</v>
      </c>
      <c r="M476" s="32"/>
      <c r="N476" s="31">
        <f ca="1">IFERROR(__xludf.DUMMYFUNCTION("""COMPUTED_VALUE"""),0)</f>
        <v>0</v>
      </c>
      <c r="O476" s="32">
        <f ca="1">IFERROR(__xludf.DUMMYFUNCTION("""COMPUTED_VALUE"""),0)</f>
        <v>0</v>
      </c>
      <c r="P476" s="32"/>
      <c r="Q476" s="32">
        <f ca="1">IFERROR(__xludf.DUMMYFUNCTION("""COMPUTED_VALUE"""),0)</f>
        <v>0</v>
      </c>
      <c r="R476" s="32"/>
      <c r="S476" s="31">
        <f ca="1">IFERROR(__xludf.DUMMYFUNCTION("""COMPUTED_VALUE"""),0)</f>
        <v>0</v>
      </c>
      <c r="T476" s="32">
        <f ca="1">IFERROR(__xludf.DUMMYFUNCTION("""COMPUTED_VALUE"""),0)</f>
        <v>0</v>
      </c>
      <c r="U476" s="32"/>
      <c r="V476" s="32">
        <f ca="1">IFERROR(__xludf.DUMMYFUNCTION("""COMPUTED_VALUE"""),0)</f>
        <v>0</v>
      </c>
      <c r="W476" s="32"/>
      <c r="X476" s="32">
        <f ca="1">IFERROR(__xludf.DUMMYFUNCTION("""COMPUTED_VALUE"""),0)</f>
        <v>0</v>
      </c>
      <c r="Y476" s="32"/>
      <c r="Z476" s="2"/>
      <c r="AA476" s="2"/>
      <c r="AB476" s="2"/>
      <c r="AC476" s="2"/>
      <c r="AD476" s="2"/>
      <c r="AE476" s="2"/>
    </row>
    <row r="477" spans="1:31" ht="12.75" x14ac:dyDescent="0.2">
      <c r="A477" s="28">
        <f ca="1">IFERROR(__xludf.DUMMYFUNCTION("""COMPUTED_VALUE"""),14)</f>
        <v>14</v>
      </c>
      <c r="B477" s="29" t="str">
        <f ca="1">IFERROR(__xludf.DUMMYFUNCTION("""COMPUTED_VALUE"""),"NT Phúc Ân KV3")</f>
        <v>NT Phúc Ân KV3</v>
      </c>
      <c r="C477" s="33" t="str">
        <f ca="1">IFERROR(__xludf.DUMMYFUNCTION("""COMPUTED_VALUE"""),"MN")</f>
        <v>MN</v>
      </c>
      <c r="D477" s="30" t="str">
        <f ca="1">IFERROR(__xludf.DUMMYFUNCTION("""COMPUTED_VALUE"""),"Tp. Thủ Đức")</f>
        <v>Tp. Thủ Đức</v>
      </c>
      <c r="E477" s="31">
        <f ca="1">IFERROR(__xludf.DUMMYFUNCTION("""COMPUTED_VALUE"""),6)</f>
        <v>6</v>
      </c>
      <c r="F477" s="32">
        <f ca="1">IFERROR(__xludf.DUMMYFUNCTION("""COMPUTED_VALUE"""),6)</f>
        <v>6</v>
      </c>
      <c r="G477" s="32"/>
      <c r="H477" s="32">
        <f ca="1">IFERROR(__xludf.DUMMYFUNCTION("""COMPUTED_VALUE"""),6)</f>
        <v>6</v>
      </c>
      <c r="I477" s="32"/>
      <c r="J477" s="32">
        <f ca="1">IFERROR(__xludf.DUMMYFUNCTION("""COMPUTED_VALUE"""),6)</f>
        <v>6</v>
      </c>
      <c r="K477" s="32"/>
      <c r="L477" s="32">
        <f ca="1">IFERROR(__xludf.DUMMYFUNCTION("""COMPUTED_VALUE"""),0)</f>
        <v>0</v>
      </c>
      <c r="M477" s="32"/>
      <c r="N477" s="31">
        <f ca="1">IFERROR(__xludf.DUMMYFUNCTION("""COMPUTED_VALUE"""),0)</f>
        <v>0</v>
      </c>
      <c r="O477" s="32">
        <f ca="1">IFERROR(__xludf.DUMMYFUNCTION("""COMPUTED_VALUE"""),0)</f>
        <v>0</v>
      </c>
      <c r="P477" s="32"/>
      <c r="Q477" s="32">
        <f ca="1">IFERROR(__xludf.DUMMYFUNCTION("""COMPUTED_VALUE"""),0)</f>
        <v>0</v>
      </c>
      <c r="R477" s="32"/>
      <c r="S477" s="31">
        <f ca="1">IFERROR(__xludf.DUMMYFUNCTION("""COMPUTED_VALUE"""),0)</f>
        <v>0</v>
      </c>
      <c r="T477" s="32">
        <f ca="1">IFERROR(__xludf.DUMMYFUNCTION("""COMPUTED_VALUE"""),0)</f>
        <v>0</v>
      </c>
      <c r="U477" s="32"/>
      <c r="V477" s="32">
        <f ca="1">IFERROR(__xludf.DUMMYFUNCTION("""COMPUTED_VALUE"""),0)</f>
        <v>0</v>
      </c>
      <c r="W477" s="32"/>
      <c r="X477" s="32">
        <f ca="1">IFERROR(__xludf.DUMMYFUNCTION("""COMPUTED_VALUE"""),0)</f>
        <v>0</v>
      </c>
      <c r="Y477" s="32"/>
      <c r="Z477" s="2"/>
      <c r="AA477" s="2"/>
      <c r="AB477" s="2"/>
      <c r="AC477" s="2"/>
      <c r="AD477" s="2"/>
      <c r="AE477" s="2"/>
    </row>
    <row r="478" spans="1:31" ht="12.75" x14ac:dyDescent="0.2">
      <c r="A478" s="28">
        <f ca="1">IFERROR(__xludf.DUMMYFUNCTION("""COMPUTED_VALUE"""),15)</f>
        <v>15</v>
      </c>
      <c r="B478" s="29" t="str">
        <f ca="1">IFERROR(__xludf.DUMMYFUNCTION("""COMPUTED_VALUE"""),"NT Phương Mi KV3")</f>
        <v>NT Phương Mi KV3</v>
      </c>
      <c r="C478" s="33" t="str">
        <f ca="1">IFERROR(__xludf.DUMMYFUNCTION("""COMPUTED_VALUE"""),"MN")</f>
        <v>MN</v>
      </c>
      <c r="D478" s="30" t="str">
        <f ca="1">IFERROR(__xludf.DUMMYFUNCTION("""COMPUTED_VALUE"""),"Tp. Thủ Đức")</f>
        <v>Tp. Thủ Đức</v>
      </c>
      <c r="E478" s="31">
        <f ca="1">IFERROR(__xludf.DUMMYFUNCTION("""COMPUTED_VALUE"""),4)</f>
        <v>4</v>
      </c>
      <c r="F478" s="32">
        <f ca="1">IFERROR(__xludf.DUMMYFUNCTION("""COMPUTED_VALUE"""),4)</f>
        <v>4</v>
      </c>
      <c r="G478" s="32"/>
      <c r="H478" s="32">
        <f ca="1">IFERROR(__xludf.DUMMYFUNCTION("""COMPUTED_VALUE"""),4)</f>
        <v>4</v>
      </c>
      <c r="I478" s="32"/>
      <c r="J478" s="32">
        <f ca="1">IFERROR(__xludf.DUMMYFUNCTION("""COMPUTED_VALUE"""),2)</f>
        <v>2</v>
      </c>
      <c r="K478" s="32"/>
      <c r="L478" s="32">
        <f ca="1">IFERROR(__xludf.DUMMYFUNCTION("""COMPUTED_VALUE"""),0)</f>
        <v>0</v>
      </c>
      <c r="M478" s="32"/>
      <c r="N478" s="31">
        <f ca="1">IFERROR(__xludf.DUMMYFUNCTION("""COMPUTED_VALUE"""),0)</f>
        <v>0</v>
      </c>
      <c r="O478" s="32">
        <f ca="1">IFERROR(__xludf.DUMMYFUNCTION("""COMPUTED_VALUE"""),0)</f>
        <v>0</v>
      </c>
      <c r="P478" s="32"/>
      <c r="Q478" s="32">
        <f ca="1">IFERROR(__xludf.DUMMYFUNCTION("""COMPUTED_VALUE"""),0)</f>
        <v>0</v>
      </c>
      <c r="R478" s="32"/>
      <c r="S478" s="31">
        <f ca="1">IFERROR(__xludf.DUMMYFUNCTION("""COMPUTED_VALUE"""),0)</f>
        <v>0</v>
      </c>
      <c r="T478" s="32">
        <f ca="1">IFERROR(__xludf.DUMMYFUNCTION("""COMPUTED_VALUE"""),0)</f>
        <v>0</v>
      </c>
      <c r="U478" s="32"/>
      <c r="V478" s="32">
        <f ca="1">IFERROR(__xludf.DUMMYFUNCTION("""COMPUTED_VALUE"""),0)</f>
        <v>0</v>
      </c>
      <c r="W478" s="32"/>
      <c r="X478" s="32">
        <f ca="1">IFERROR(__xludf.DUMMYFUNCTION("""COMPUTED_VALUE"""),0)</f>
        <v>0</v>
      </c>
      <c r="Y478" s="32"/>
      <c r="Z478" s="2"/>
      <c r="AA478" s="2"/>
      <c r="AB478" s="2"/>
      <c r="AC478" s="2"/>
      <c r="AD478" s="2"/>
      <c r="AE478" s="2"/>
    </row>
    <row r="479" spans="1:31" ht="12.75" x14ac:dyDescent="0.2">
      <c r="A479" s="28">
        <f ca="1">IFERROR(__xludf.DUMMYFUNCTION("""COMPUTED_VALUE"""),16)</f>
        <v>16</v>
      </c>
      <c r="B479" s="29" t="str">
        <f ca="1">IFERROR(__xludf.DUMMYFUNCTION("""COMPUTED_VALUE"""),"NT Sài Gòn Nhỏ KV3")</f>
        <v>NT Sài Gòn Nhỏ KV3</v>
      </c>
      <c r="C479" s="33" t="str">
        <f ca="1">IFERROR(__xludf.DUMMYFUNCTION("""COMPUTED_VALUE"""),"MN")</f>
        <v>MN</v>
      </c>
      <c r="D479" s="30" t="str">
        <f ca="1">IFERROR(__xludf.DUMMYFUNCTION("""COMPUTED_VALUE"""),"Tp. Thủ Đức")</f>
        <v>Tp. Thủ Đức</v>
      </c>
      <c r="E479" s="31">
        <f ca="1">IFERROR(__xludf.DUMMYFUNCTION("""COMPUTED_VALUE"""),6)</f>
        <v>6</v>
      </c>
      <c r="F479" s="32">
        <f ca="1">IFERROR(__xludf.DUMMYFUNCTION("""COMPUTED_VALUE"""),6)</f>
        <v>6</v>
      </c>
      <c r="G479" s="32"/>
      <c r="H479" s="32">
        <f ca="1">IFERROR(__xludf.DUMMYFUNCTION("""COMPUTED_VALUE"""),6)</f>
        <v>6</v>
      </c>
      <c r="I479" s="32"/>
      <c r="J479" s="32">
        <f ca="1">IFERROR(__xludf.DUMMYFUNCTION("""COMPUTED_VALUE"""),6)</f>
        <v>6</v>
      </c>
      <c r="K479" s="32"/>
      <c r="L479" s="32">
        <f ca="1">IFERROR(__xludf.DUMMYFUNCTION("""COMPUTED_VALUE"""),4)</f>
        <v>4</v>
      </c>
      <c r="M479" s="32"/>
      <c r="N479" s="31">
        <f ca="1">IFERROR(__xludf.DUMMYFUNCTION("""COMPUTED_VALUE"""),0)</f>
        <v>0</v>
      </c>
      <c r="O479" s="32">
        <f ca="1">IFERROR(__xludf.DUMMYFUNCTION("""COMPUTED_VALUE"""),0)</f>
        <v>0</v>
      </c>
      <c r="P479" s="32"/>
      <c r="Q479" s="32">
        <f ca="1">IFERROR(__xludf.DUMMYFUNCTION("""COMPUTED_VALUE"""),0)</f>
        <v>0</v>
      </c>
      <c r="R479" s="32"/>
      <c r="S479" s="31">
        <f ca="1">IFERROR(__xludf.DUMMYFUNCTION("""COMPUTED_VALUE"""),0)</f>
        <v>0</v>
      </c>
      <c r="T479" s="32">
        <f ca="1">IFERROR(__xludf.DUMMYFUNCTION("""COMPUTED_VALUE"""),0)</f>
        <v>0</v>
      </c>
      <c r="U479" s="32"/>
      <c r="V479" s="32">
        <f ca="1">IFERROR(__xludf.DUMMYFUNCTION("""COMPUTED_VALUE"""),0)</f>
        <v>0</v>
      </c>
      <c r="W479" s="32"/>
      <c r="X479" s="32">
        <f ca="1">IFERROR(__xludf.DUMMYFUNCTION("""COMPUTED_VALUE"""),0)</f>
        <v>0</v>
      </c>
      <c r="Y479" s="32"/>
      <c r="Z479" s="2"/>
      <c r="AA479" s="2"/>
      <c r="AB479" s="2"/>
      <c r="AC479" s="2"/>
      <c r="AD479" s="2"/>
      <c r="AE479" s="2"/>
    </row>
    <row r="480" spans="1:31" ht="12.75" x14ac:dyDescent="0.2">
      <c r="A480" s="28">
        <f ca="1">IFERROR(__xludf.DUMMYFUNCTION("""COMPUTED_VALUE"""),17)</f>
        <v>17</v>
      </c>
      <c r="B480" s="29" t="str">
        <f ca="1">IFERROR(__xludf.DUMMYFUNCTION("""COMPUTED_VALUE"""),"NT Sao Việt KV3")</f>
        <v>NT Sao Việt KV3</v>
      </c>
      <c r="C480" s="33" t="str">
        <f ca="1">IFERROR(__xludf.DUMMYFUNCTION("""COMPUTED_VALUE"""),"MN")</f>
        <v>MN</v>
      </c>
      <c r="D480" s="30" t="str">
        <f ca="1">IFERROR(__xludf.DUMMYFUNCTION("""COMPUTED_VALUE"""),"Tp. Thủ Đức")</f>
        <v>Tp. Thủ Đức</v>
      </c>
      <c r="E480" s="31">
        <f ca="1">IFERROR(__xludf.DUMMYFUNCTION("""COMPUTED_VALUE"""),9)</f>
        <v>9</v>
      </c>
      <c r="F480" s="32">
        <f ca="1">IFERROR(__xludf.DUMMYFUNCTION("""COMPUTED_VALUE"""),9)</f>
        <v>9</v>
      </c>
      <c r="G480" s="32"/>
      <c r="H480" s="32">
        <f ca="1">IFERROR(__xludf.DUMMYFUNCTION("""COMPUTED_VALUE"""),9)</f>
        <v>9</v>
      </c>
      <c r="I480" s="32"/>
      <c r="J480" s="32">
        <f ca="1">IFERROR(__xludf.DUMMYFUNCTION("""COMPUTED_VALUE"""),7)</f>
        <v>7</v>
      </c>
      <c r="K480" s="32"/>
      <c r="L480" s="32">
        <f ca="1">IFERROR(__xludf.DUMMYFUNCTION("""COMPUTED_VALUE"""),2)</f>
        <v>2</v>
      </c>
      <c r="M480" s="32"/>
      <c r="N480" s="31">
        <f ca="1">IFERROR(__xludf.DUMMYFUNCTION("""COMPUTED_VALUE"""),0)</f>
        <v>0</v>
      </c>
      <c r="O480" s="32">
        <f ca="1">IFERROR(__xludf.DUMMYFUNCTION("""COMPUTED_VALUE"""),0)</f>
        <v>0</v>
      </c>
      <c r="P480" s="32"/>
      <c r="Q480" s="32">
        <f ca="1">IFERROR(__xludf.DUMMYFUNCTION("""COMPUTED_VALUE"""),0)</f>
        <v>0</v>
      </c>
      <c r="R480" s="32"/>
      <c r="S480" s="31">
        <f ca="1">IFERROR(__xludf.DUMMYFUNCTION("""COMPUTED_VALUE"""),0)</f>
        <v>0</v>
      </c>
      <c r="T480" s="32">
        <f ca="1">IFERROR(__xludf.DUMMYFUNCTION("""COMPUTED_VALUE"""),0)</f>
        <v>0</v>
      </c>
      <c r="U480" s="32"/>
      <c r="V480" s="32">
        <f ca="1">IFERROR(__xludf.DUMMYFUNCTION("""COMPUTED_VALUE"""),0)</f>
        <v>0</v>
      </c>
      <c r="W480" s="32"/>
      <c r="X480" s="32">
        <f ca="1">IFERROR(__xludf.DUMMYFUNCTION("""COMPUTED_VALUE"""),0)</f>
        <v>0</v>
      </c>
      <c r="Y480" s="32"/>
      <c r="Z480" s="2"/>
      <c r="AA480" s="2"/>
      <c r="AB480" s="2"/>
      <c r="AC480" s="2"/>
      <c r="AD480" s="2"/>
      <c r="AE480" s="2"/>
    </row>
    <row r="481" spans="1:31" ht="12.75" x14ac:dyDescent="0.2">
      <c r="A481" s="28">
        <f ca="1">IFERROR(__xludf.DUMMYFUNCTION("""COMPUTED_VALUE"""),18)</f>
        <v>18</v>
      </c>
      <c r="B481" s="29" t="str">
        <f ca="1">IFERROR(__xludf.DUMMYFUNCTION("""COMPUTED_VALUE"""),"NT Tâm Sen KV3")</f>
        <v>NT Tâm Sen KV3</v>
      </c>
      <c r="C481" s="33" t="str">
        <f ca="1">IFERROR(__xludf.DUMMYFUNCTION("""COMPUTED_VALUE"""),"MN")</f>
        <v>MN</v>
      </c>
      <c r="D481" s="30" t="str">
        <f ca="1">IFERROR(__xludf.DUMMYFUNCTION("""COMPUTED_VALUE"""),"Tp. Thủ Đức")</f>
        <v>Tp. Thủ Đức</v>
      </c>
      <c r="E481" s="31">
        <f ca="1">IFERROR(__xludf.DUMMYFUNCTION("""COMPUTED_VALUE"""),5)</f>
        <v>5</v>
      </c>
      <c r="F481" s="32">
        <f ca="1">IFERROR(__xludf.DUMMYFUNCTION("""COMPUTED_VALUE"""),5)</f>
        <v>5</v>
      </c>
      <c r="G481" s="32"/>
      <c r="H481" s="32">
        <f ca="1">IFERROR(__xludf.DUMMYFUNCTION("""COMPUTED_VALUE"""),5)</f>
        <v>5</v>
      </c>
      <c r="I481" s="32"/>
      <c r="J481" s="32">
        <f ca="1">IFERROR(__xludf.DUMMYFUNCTION("""COMPUTED_VALUE"""),5)</f>
        <v>5</v>
      </c>
      <c r="K481" s="32"/>
      <c r="L481" s="32">
        <f ca="1">IFERROR(__xludf.DUMMYFUNCTION("""COMPUTED_VALUE"""),2)</f>
        <v>2</v>
      </c>
      <c r="M481" s="32"/>
      <c r="N481" s="31">
        <f ca="1">IFERROR(__xludf.DUMMYFUNCTION("""COMPUTED_VALUE"""),0)</f>
        <v>0</v>
      </c>
      <c r="O481" s="32">
        <f ca="1">IFERROR(__xludf.DUMMYFUNCTION("""COMPUTED_VALUE"""),0)</f>
        <v>0</v>
      </c>
      <c r="P481" s="32"/>
      <c r="Q481" s="32">
        <f ca="1">IFERROR(__xludf.DUMMYFUNCTION("""COMPUTED_VALUE"""),0)</f>
        <v>0</v>
      </c>
      <c r="R481" s="32"/>
      <c r="S481" s="31">
        <f ca="1">IFERROR(__xludf.DUMMYFUNCTION("""COMPUTED_VALUE"""),0)</f>
        <v>0</v>
      </c>
      <c r="T481" s="32">
        <f ca="1">IFERROR(__xludf.DUMMYFUNCTION("""COMPUTED_VALUE"""),0)</f>
        <v>0</v>
      </c>
      <c r="U481" s="32"/>
      <c r="V481" s="32">
        <f ca="1">IFERROR(__xludf.DUMMYFUNCTION("""COMPUTED_VALUE"""),0)</f>
        <v>0</v>
      </c>
      <c r="W481" s="32"/>
      <c r="X481" s="32">
        <f ca="1">IFERROR(__xludf.DUMMYFUNCTION("""COMPUTED_VALUE"""),0)</f>
        <v>0</v>
      </c>
      <c r="Y481" s="32"/>
      <c r="Z481" s="2"/>
      <c r="AA481" s="2"/>
      <c r="AB481" s="2"/>
      <c r="AC481" s="2"/>
      <c r="AD481" s="2"/>
      <c r="AE481" s="2"/>
    </row>
    <row r="482" spans="1:31" ht="12.75" x14ac:dyDescent="0.2">
      <c r="A482" s="28">
        <f ca="1">IFERROR(__xludf.DUMMYFUNCTION("""COMPUTED_VALUE"""),19)</f>
        <v>19</v>
      </c>
      <c r="B482" s="29" t="str">
        <f ca="1">IFERROR(__xludf.DUMMYFUNCTION("""COMPUTED_VALUE"""),"NT Tháp Hồng KV3")</f>
        <v>NT Tháp Hồng KV3</v>
      </c>
      <c r="C482" s="33" t="str">
        <f ca="1">IFERROR(__xludf.DUMMYFUNCTION("""COMPUTED_VALUE"""),"MN")</f>
        <v>MN</v>
      </c>
      <c r="D482" s="30" t="str">
        <f ca="1">IFERROR(__xludf.DUMMYFUNCTION("""COMPUTED_VALUE"""),"Tp. Thủ Đức")</f>
        <v>Tp. Thủ Đức</v>
      </c>
      <c r="E482" s="31">
        <f ca="1">IFERROR(__xludf.DUMMYFUNCTION("""COMPUTED_VALUE"""),6)</f>
        <v>6</v>
      </c>
      <c r="F482" s="32">
        <f ca="1">IFERROR(__xludf.DUMMYFUNCTION("""COMPUTED_VALUE"""),6)</f>
        <v>6</v>
      </c>
      <c r="G482" s="32"/>
      <c r="H482" s="32">
        <f ca="1">IFERROR(__xludf.DUMMYFUNCTION("""COMPUTED_VALUE"""),6)</f>
        <v>6</v>
      </c>
      <c r="I482" s="32"/>
      <c r="J482" s="32">
        <f ca="1">IFERROR(__xludf.DUMMYFUNCTION("""COMPUTED_VALUE"""),6)</f>
        <v>6</v>
      </c>
      <c r="K482" s="32"/>
      <c r="L482" s="32">
        <f ca="1">IFERROR(__xludf.DUMMYFUNCTION("""COMPUTED_VALUE"""),3)</f>
        <v>3</v>
      </c>
      <c r="M482" s="32"/>
      <c r="N482" s="31">
        <f ca="1">IFERROR(__xludf.DUMMYFUNCTION("""COMPUTED_VALUE"""),0)</f>
        <v>0</v>
      </c>
      <c r="O482" s="32">
        <f ca="1">IFERROR(__xludf.DUMMYFUNCTION("""COMPUTED_VALUE"""),0)</f>
        <v>0</v>
      </c>
      <c r="P482" s="32"/>
      <c r="Q482" s="32">
        <f ca="1">IFERROR(__xludf.DUMMYFUNCTION("""COMPUTED_VALUE"""),0)</f>
        <v>0</v>
      </c>
      <c r="R482" s="32"/>
      <c r="S482" s="31">
        <f ca="1">IFERROR(__xludf.DUMMYFUNCTION("""COMPUTED_VALUE"""),0)</f>
        <v>0</v>
      </c>
      <c r="T482" s="32">
        <f ca="1">IFERROR(__xludf.DUMMYFUNCTION("""COMPUTED_VALUE"""),0)</f>
        <v>0</v>
      </c>
      <c r="U482" s="32"/>
      <c r="V482" s="32">
        <f ca="1">IFERROR(__xludf.DUMMYFUNCTION("""COMPUTED_VALUE"""),0)</f>
        <v>0</v>
      </c>
      <c r="W482" s="32"/>
      <c r="X482" s="32">
        <f ca="1">IFERROR(__xludf.DUMMYFUNCTION("""COMPUTED_VALUE"""),0)</f>
        <v>0</v>
      </c>
      <c r="Y482" s="32"/>
      <c r="Z482" s="2"/>
      <c r="AA482" s="2"/>
      <c r="AB482" s="2"/>
      <c r="AC482" s="2"/>
      <c r="AD482" s="2"/>
      <c r="AE482" s="2"/>
    </row>
    <row r="483" spans="1:31" ht="12.75" x14ac:dyDescent="0.2">
      <c r="A483" s="28">
        <f ca="1">IFERROR(__xludf.DUMMYFUNCTION("""COMPUTED_VALUE"""),20)</f>
        <v>20</v>
      </c>
      <c r="B483" s="29" t="str">
        <f ca="1">IFERROR(__xludf.DUMMYFUNCTION("""COMPUTED_VALUE"""),"NT Uyên Nhi KV3")</f>
        <v>NT Uyên Nhi KV3</v>
      </c>
      <c r="C483" s="33" t="str">
        <f ca="1">IFERROR(__xludf.DUMMYFUNCTION("""COMPUTED_VALUE"""),"MN")</f>
        <v>MN</v>
      </c>
      <c r="D483" s="30" t="str">
        <f ca="1">IFERROR(__xludf.DUMMYFUNCTION("""COMPUTED_VALUE"""),"Tp. Thủ Đức")</f>
        <v>Tp. Thủ Đức</v>
      </c>
      <c r="E483" s="31">
        <f ca="1">IFERROR(__xludf.DUMMYFUNCTION("""COMPUTED_VALUE"""),5)</f>
        <v>5</v>
      </c>
      <c r="F483" s="32">
        <f ca="1">IFERROR(__xludf.DUMMYFUNCTION("""COMPUTED_VALUE"""),5)</f>
        <v>5</v>
      </c>
      <c r="G483" s="32"/>
      <c r="H483" s="32">
        <f ca="1">IFERROR(__xludf.DUMMYFUNCTION("""COMPUTED_VALUE"""),5)</f>
        <v>5</v>
      </c>
      <c r="I483" s="32"/>
      <c r="J483" s="32">
        <f ca="1">IFERROR(__xludf.DUMMYFUNCTION("""COMPUTED_VALUE"""),5)</f>
        <v>5</v>
      </c>
      <c r="K483" s="32"/>
      <c r="L483" s="32">
        <f ca="1">IFERROR(__xludf.DUMMYFUNCTION("""COMPUTED_VALUE"""),0)</f>
        <v>0</v>
      </c>
      <c r="M483" s="32"/>
      <c r="N483" s="31">
        <f ca="1">IFERROR(__xludf.DUMMYFUNCTION("""COMPUTED_VALUE"""),0)</f>
        <v>0</v>
      </c>
      <c r="O483" s="32">
        <f ca="1">IFERROR(__xludf.DUMMYFUNCTION("""COMPUTED_VALUE"""),0)</f>
        <v>0</v>
      </c>
      <c r="P483" s="32"/>
      <c r="Q483" s="32">
        <f ca="1">IFERROR(__xludf.DUMMYFUNCTION("""COMPUTED_VALUE"""),0)</f>
        <v>0</v>
      </c>
      <c r="R483" s="32"/>
      <c r="S483" s="31">
        <f ca="1">IFERROR(__xludf.DUMMYFUNCTION("""COMPUTED_VALUE"""),0)</f>
        <v>0</v>
      </c>
      <c r="T483" s="32">
        <f ca="1">IFERROR(__xludf.DUMMYFUNCTION("""COMPUTED_VALUE"""),0)</f>
        <v>0</v>
      </c>
      <c r="U483" s="32"/>
      <c r="V483" s="32">
        <f ca="1">IFERROR(__xludf.DUMMYFUNCTION("""COMPUTED_VALUE"""),0)</f>
        <v>0</v>
      </c>
      <c r="W483" s="32"/>
      <c r="X483" s="32">
        <f ca="1">IFERROR(__xludf.DUMMYFUNCTION("""COMPUTED_VALUE"""),0)</f>
        <v>0</v>
      </c>
      <c r="Y483" s="32"/>
      <c r="Z483" s="2"/>
      <c r="AA483" s="2"/>
      <c r="AB483" s="2"/>
      <c r="AC483" s="2"/>
      <c r="AD483" s="2"/>
      <c r="AE483" s="2"/>
    </row>
    <row r="484" spans="1:31" ht="12.75" x14ac:dyDescent="0.2">
      <c r="A484" s="28">
        <f ca="1">IFERROR(__xludf.DUMMYFUNCTION("""COMPUTED_VALUE"""),21)</f>
        <v>21</v>
      </c>
      <c r="B484" s="29" t="str">
        <f ca="1">IFERROR(__xludf.DUMMYFUNCTION("""COMPUTED_VALUE"""),"NT Việt Ý KV3")</f>
        <v>NT Việt Ý KV3</v>
      </c>
      <c r="C484" s="33" t="str">
        <f ca="1">IFERROR(__xludf.DUMMYFUNCTION("""COMPUTED_VALUE"""),"MN")</f>
        <v>MN</v>
      </c>
      <c r="D484" s="30" t="str">
        <f ca="1">IFERROR(__xludf.DUMMYFUNCTION("""COMPUTED_VALUE"""),"Tp. Thủ Đức")</f>
        <v>Tp. Thủ Đức</v>
      </c>
      <c r="E484" s="31">
        <f ca="1">IFERROR(__xludf.DUMMYFUNCTION("""COMPUTED_VALUE"""),9)</f>
        <v>9</v>
      </c>
      <c r="F484" s="32">
        <f ca="1">IFERROR(__xludf.DUMMYFUNCTION("""COMPUTED_VALUE"""),9)</f>
        <v>9</v>
      </c>
      <c r="G484" s="32"/>
      <c r="H484" s="32">
        <f ca="1">IFERROR(__xludf.DUMMYFUNCTION("""COMPUTED_VALUE"""),9)</f>
        <v>9</v>
      </c>
      <c r="I484" s="32"/>
      <c r="J484" s="32">
        <f ca="1">IFERROR(__xludf.DUMMYFUNCTION("""COMPUTED_VALUE"""),9)</f>
        <v>9</v>
      </c>
      <c r="K484" s="32"/>
      <c r="L484" s="32">
        <f ca="1">IFERROR(__xludf.DUMMYFUNCTION("""COMPUTED_VALUE"""),0)</f>
        <v>0</v>
      </c>
      <c r="M484" s="32"/>
      <c r="N484" s="31">
        <f ca="1">IFERROR(__xludf.DUMMYFUNCTION("""COMPUTED_VALUE"""),0)</f>
        <v>0</v>
      </c>
      <c r="O484" s="32">
        <f ca="1">IFERROR(__xludf.DUMMYFUNCTION("""COMPUTED_VALUE"""),0)</f>
        <v>0</v>
      </c>
      <c r="P484" s="32"/>
      <c r="Q484" s="32">
        <f ca="1">IFERROR(__xludf.DUMMYFUNCTION("""COMPUTED_VALUE"""),0)</f>
        <v>0</v>
      </c>
      <c r="R484" s="32"/>
      <c r="S484" s="31">
        <f ca="1">IFERROR(__xludf.DUMMYFUNCTION("""COMPUTED_VALUE"""),0)</f>
        <v>0</v>
      </c>
      <c r="T484" s="32">
        <f ca="1">IFERROR(__xludf.DUMMYFUNCTION("""COMPUTED_VALUE"""),0)</f>
        <v>0</v>
      </c>
      <c r="U484" s="32"/>
      <c r="V484" s="32">
        <f ca="1">IFERROR(__xludf.DUMMYFUNCTION("""COMPUTED_VALUE"""),0)</f>
        <v>0</v>
      </c>
      <c r="W484" s="32"/>
      <c r="X484" s="32">
        <f ca="1">IFERROR(__xludf.DUMMYFUNCTION("""COMPUTED_VALUE"""),0)</f>
        <v>0</v>
      </c>
      <c r="Y484" s="32"/>
      <c r="Z484" s="2"/>
      <c r="AA484" s="2"/>
      <c r="AB484" s="2"/>
      <c r="AC484" s="2"/>
      <c r="AD484" s="2"/>
      <c r="AE484" s="2"/>
    </row>
    <row r="485" spans="1:31" ht="12.75" x14ac:dyDescent="0.2">
      <c r="A485" s="28">
        <f ca="1">IFERROR(__xludf.DUMMYFUNCTION("""COMPUTED_VALUE"""),22)</f>
        <v>22</v>
      </c>
      <c r="B485" s="29" t="str">
        <f ca="1">IFERROR(__xludf.DUMMYFUNCTION("""COMPUTED_VALUE"""),"LMG 1/6 KV3")</f>
        <v>LMG 1/6 KV3</v>
      </c>
      <c r="C485" s="33" t="str">
        <f ca="1">IFERROR(__xludf.DUMMYFUNCTION("""COMPUTED_VALUE"""),"MN")</f>
        <v>MN</v>
      </c>
      <c r="D485" s="30" t="str">
        <f ca="1">IFERROR(__xludf.DUMMYFUNCTION("""COMPUTED_VALUE"""),"Tp. Thủ Đức")</f>
        <v>Tp. Thủ Đức</v>
      </c>
      <c r="E485" s="31">
        <f ca="1">IFERROR(__xludf.DUMMYFUNCTION("""COMPUTED_VALUE"""),5)</f>
        <v>5</v>
      </c>
      <c r="F485" s="32">
        <f ca="1">IFERROR(__xludf.DUMMYFUNCTION("""COMPUTED_VALUE"""),5)</f>
        <v>5</v>
      </c>
      <c r="G485" s="32"/>
      <c r="H485" s="32">
        <f ca="1">IFERROR(__xludf.DUMMYFUNCTION("""COMPUTED_VALUE"""),5)</f>
        <v>5</v>
      </c>
      <c r="I485" s="32"/>
      <c r="J485" s="32">
        <f ca="1">IFERROR(__xludf.DUMMYFUNCTION("""COMPUTED_VALUE"""),2)</f>
        <v>2</v>
      </c>
      <c r="K485" s="32"/>
      <c r="L485" s="32">
        <f ca="1">IFERROR(__xludf.DUMMYFUNCTION("""COMPUTED_VALUE"""),0)</f>
        <v>0</v>
      </c>
      <c r="M485" s="32"/>
      <c r="N485" s="31">
        <f ca="1">IFERROR(__xludf.DUMMYFUNCTION("""COMPUTED_VALUE"""),0)</f>
        <v>0</v>
      </c>
      <c r="O485" s="32">
        <f ca="1">IFERROR(__xludf.DUMMYFUNCTION("""COMPUTED_VALUE"""),0)</f>
        <v>0</v>
      </c>
      <c r="P485" s="32"/>
      <c r="Q485" s="32">
        <f ca="1">IFERROR(__xludf.DUMMYFUNCTION("""COMPUTED_VALUE"""),0)</f>
        <v>0</v>
      </c>
      <c r="R485" s="32"/>
      <c r="S485" s="31">
        <f ca="1">IFERROR(__xludf.DUMMYFUNCTION("""COMPUTED_VALUE"""),0)</f>
        <v>0</v>
      </c>
      <c r="T485" s="32">
        <f ca="1">IFERROR(__xludf.DUMMYFUNCTION("""COMPUTED_VALUE"""),0)</f>
        <v>0</v>
      </c>
      <c r="U485" s="32"/>
      <c r="V485" s="32">
        <f ca="1">IFERROR(__xludf.DUMMYFUNCTION("""COMPUTED_VALUE"""),0)</f>
        <v>0</v>
      </c>
      <c r="W485" s="32"/>
      <c r="X485" s="32">
        <f ca="1">IFERROR(__xludf.DUMMYFUNCTION("""COMPUTED_VALUE"""),0)</f>
        <v>0</v>
      </c>
      <c r="Y485" s="32"/>
      <c r="Z485" s="2"/>
      <c r="AA485" s="2"/>
      <c r="AB485" s="2"/>
      <c r="AC485" s="2"/>
      <c r="AD485" s="2"/>
      <c r="AE485" s="2"/>
    </row>
    <row r="486" spans="1:31" ht="12.75" x14ac:dyDescent="0.2">
      <c r="A486" s="28">
        <f ca="1">IFERROR(__xludf.DUMMYFUNCTION("""COMPUTED_VALUE"""),23)</f>
        <v>23</v>
      </c>
      <c r="B486" s="29" t="str">
        <f ca="1">IFERROR(__xludf.DUMMYFUNCTION("""COMPUTED_VALUE"""),"LMG ABC KV3")</f>
        <v>LMG ABC KV3</v>
      </c>
      <c r="C486" s="33" t="str">
        <f ca="1">IFERROR(__xludf.DUMMYFUNCTION("""COMPUTED_VALUE"""),"MN")</f>
        <v>MN</v>
      </c>
      <c r="D486" s="30" t="str">
        <f ca="1">IFERROR(__xludf.DUMMYFUNCTION("""COMPUTED_VALUE"""),"Tp. Thủ Đức")</f>
        <v>Tp. Thủ Đức</v>
      </c>
      <c r="E486" s="31">
        <f ca="1">IFERROR(__xludf.DUMMYFUNCTION("""COMPUTED_VALUE"""),5)</f>
        <v>5</v>
      </c>
      <c r="F486" s="32">
        <f ca="1">IFERROR(__xludf.DUMMYFUNCTION("""COMPUTED_VALUE"""),5)</f>
        <v>5</v>
      </c>
      <c r="G486" s="32"/>
      <c r="H486" s="32">
        <f ca="1">IFERROR(__xludf.DUMMYFUNCTION("""COMPUTED_VALUE"""),5)</f>
        <v>5</v>
      </c>
      <c r="I486" s="32"/>
      <c r="J486" s="32">
        <f ca="1">IFERROR(__xludf.DUMMYFUNCTION("""COMPUTED_VALUE"""),4)</f>
        <v>4</v>
      </c>
      <c r="K486" s="32"/>
      <c r="L486" s="32">
        <f ca="1">IFERROR(__xludf.DUMMYFUNCTION("""COMPUTED_VALUE"""),0)</f>
        <v>0</v>
      </c>
      <c r="M486" s="32"/>
      <c r="N486" s="31">
        <f ca="1">IFERROR(__xludf.DUMMYFUNCTION("""COMPUTED_VALUE"""),0)</f>
        <v>0</v>
      </c>
      <c r="O486" s="32">
        <f ca="1">IFERROR(__xludf.DUMMYFUNCTION("""COMPUTED_VALUE"""),0)</f>
        <v>0</v>
      </c>
      <c r="P486" s="32"/>
      <c r="Q486" s="32">
        <f ca="1">IFERROR(__xludf.DUMMYFUNCTION("""COMPUTED_VALUE"""),0)</f>
        <v>0</v>
      </c>
      <c r="R486" s="32"/>
      <c r="S486" s="31">
        <f ca="1">IFERROR(__xludf.DUMMYFUNCTION("""COMPUTED_VALUE"""),0)</f>
        <v>0</v>
      </c>
      <c r="T486" s="32">
        <f ca="1">IFERROR(__xludf.DUMMYFUNCTION("""COMPUTED_VALUE"""),0)</f>
        <v>0</v>
      </c>
      <c r="U486" s="32"/>
      <c r="V486" s="32">
        <f ca="1">IFERROR(__xludf.DUMMYFUNCTION("""COMPUTED_VALUE"""),0)</f>
        <v>0</v>
      </c>
      <c r="W486" s="32"/>
      <c r="X486" s="32">
        <f ca="1">IFERROR(__xludf.DUMMYFUNCTION("""COMPUTED_VALUE"""),0)</f>
        <v>0</v>
      </c>
      <c r="Y486" s="32"/>
      <c r="Z486" s="2"/>
      <c r="AA486" s="2"/>
      <c r="AB486" s="2"/>
      <c r="AC486" s="2"/>
      <c r="AD486" s="2"/>
      <c r="AE486" s="2"/>
    </row>
    <row r="487" spans="1:31" ht="12.75" x14ac:dyDescent="0.2">
      <c r="A487" s="28">
        <f ca="1">IFERROR(__xludf.DUMMYFUNCTION("""COMPUTED_VALUE"""),24)</f>
        <v>24</v>
      </c>
      <c r="B487" s="29" t="str">
        <f ca="1">IFERROR(__xludf.DUMMYFUNCTION("""COMPUTED_VALUE"""),"LMG An Ý KV3")</f>
        <v>LMG An Ý KV3</v>
      </c>
      <c r="C487" s="33" t="str">
        <f ca="1">IFERROR(__xludf.DUMMYFUNCTION("""COMPUTED_VALUE"""),"MN")</f>
        <v>MN</v>
      </c>
      <c r="D487" s="30" t="str">
        <f ca="1">IFERROR(__xludf.DUMMYFUNCTION("""COMPUTED_VALUE"""),"Tp. Thủ Đức")</f>
        <v>Tp. Thủ Đức</v>
      </c>
      <c r="E487" s="31">
        <f ca="1">IFERROR(__xludf.DUMMYFUNCTION("""COMPUTED_VALUE"""),4)</f>
        <v>4</v>
      </c>
      <c r="F487" s="32">
        <f ca="1">IFERROR(__xludf.DUMMYFUNCTION("""COMPUTED_VALUE"""),4)</f>
        <v>4</v>
      </c>
      <c r="G487" s="32"/>
      <c r="H487" s="32">
        <f ca="1">IFERROR(__xludf.DUMMYFUNCTION("""COMPUTED_VALUE"""),4)</f>
        <v>4</v>
      </c>
      <c r="I487" s="32"/>
      <c r="J487" s="32">
        <f ca="1">IFERROR(__xludf.DUMMYFUNCTION("""COMPUTED_VALUE"""),4)</f>
        <v>4</v>
      </c>
      <c r="K487" s="32"/>
      <c r="L487" s="32">
        <f ca="1">IFERROR(__xludf.DUMMYFUNCTION("""COMPUTED_VALUE"""),2)</f>
        <v>2</v>
      </c>
      <c r="M487" s="32"/>
      <c r="N487" s="31">
        <f ca="1">IFERROR(__xludf.DUMMYFUNCTION("""COMPUTED_VALUE"""),0)</f>
        <v>0</v>
      </c>
      <c r="O487" s="32">
        <f ca="1">IFERROR(__xludf.DUMMYFUNCTION("""COMPUTED_VALUE"""),0)</f>
        <v>0</v>
      </c>
      <c r="P487" s="32"/>
      <c r="Q487" s="32">
        <f ca="1">IFERROR(__xludf.DUMMYFUNCTION("""COMPUTED_VALUE"""),0)</f>
        <v>0</v>
      </c>
      <c r="R487" s="32"/>
      <c r="S487" s="31">
        <f ca="1">IFERROR(__xludf.DUMMYFUNCTION("""COMPUTED_VALUE"""),0)</f>
        <v>0</v>
      </c>
      <c r="T487" s="32">
        <f ca="1">IFERROR(__xludf.DUMMYFUNCTION("""COMPUTED_VALUE"""),0)</f>
        <v>0</v>
      </c>
      <c r="U487" s="32"/>
      <c r="V487" s="32">
        <f ca="1">IFERROR(__xludf.DUMMYFUNCTION("""COMPUTED_VALUE"""),0)</f>
        <v>0</v>
      </c>
      <c r="W487" s="32"/>
      <c r="X487" s="32">
        <f ca="1">IFERROR(__xludf.DUMMYFUNCTION("""COMPUTED_VALUE"""),0)</f>
        <v>0</v>
      </c>
      <c r="Y487" s="32"/>
      <c r="Z487" s="2"/>
      <c r="AA487" s="2"/>
      <c r="AB487" s="2"/>
      <c r="AC487" s="2"/>
      <c r="AD487" s="2"/>
      <c r="AE487" s="2"/>
    </row>
    <row r="488" spans="1:31" ht="12.75" x14ac:dyDescent="0.2">
      <c r="A488" s="28">
        <f ca="1">IFERROR(__xludf.DUMMYFUNCTION("""COMPUTED_VALUE"""),25)</f>
        <v>25</v>
      </c>
      <c r="B488" s="29" t="str">
        <f ca="1">IFERROR(__xludf.DUMMYFUNCTION("""COMPUTED_VALUE"""),"LMG Ánh Sáng KV3")</f>
        <v>LMG Ánh Sáng KV3</v>
      </c>
      <c r="C488" s="33" t="str">
        <f ca="1">IFERROR(__xludf.DUMMYFUNCTION("""COMPUTED_VALUE"""),"MN")</f>
        <v>MN</v>
      </c>
      <c r="D488" s="30" t="str">
        <f ca="1">IFERROR(__xludf.DUMMYFUNCTION("""COMPUTED_VALUE"""),"Tp. Thủ Đức")</f>
        <v>Tp. Thủ Đức</v>
      </c>
      <c r="E488" s="31">
        <f ca="1">IFERROR(__xludf.DUMMYFUNCTION("""COMPUTED_VALUE"""),5)</f>
        <v>5</v>
      </c>
      <c r="F488" s="32">
        <f ca="1">IFERROR(__xludf.DUMMYFUNCTION("""COMPUTED_VALUE"""),5)</f>
        <v>5</v>
      </c>
      <c r="G488" s="32"/>
      <c r="H488" s="32">
        <f ca="1">IFERROR(__xludf.DUMMYFUNCTION("""COMPUTED_VALUE"""),5)</f>
        <v>5</v>
      </c>
      <c r="I488" s="32"/>
      <c r="J488" s="32">
        <f ca="1">IFERROR(__xludf.DUMMYFUNCTION("""COMPUTED_VALUE"""),5)</f>
        <v>5</v>
      </c>
      <c r="K488" s="32"/>
      <c r="L488" s="32">
        <f ca="1">IFERROR(__xludf.DUMMYFUNCTION("""COMPUTED_VALUE"""),0)</f>
        <v>0</v>
      </c>
      <c r="M488" s="32"/>
      <c r="N488" s="31">
        <f ca="1">IFERROR(__xludf.DUMMYFUNCTION("""COMPUTED_VALUE"""),0)</f>
        <v>0</v>
      </c>
      <c r="O488" s="32">
        <f ca="1">IFERROR(__xludf.DUMMYFUNCTION("""COMPUTED_VALUE"""),0)</f>
        <v>0</v>
      </c>
      <c r="P488" s="32"/>
      <c r="Q488" s="32">
        <f ca="1">IFERROR(__xludf.DUMMYFUNCTION("""COMPUTED_VALUE"""),0)</f>
        <v>0</v>
      </c>
      <c r="R488" s="32"/>
      <c r="S488" s="31">
        <f ca="1">IFERROR(__xludf.DUMMYFUNCTION("""COMPUTED_VALUE"""),0)</f>
        <v>0</v>
      </c>
      <c r="T488" s="32">
        <f ca="1">IFERROR(__xludf.DUMMYFUNCTION("""COMPUTED_VALUE"""),0)</f>
        <v>0</v>
      </c>
      <c r="U488" s="32"/>
      <c r="V488" s="32">
        <f ca="1">IFERROR(__xludf.DUMMYFUNCTION("""COMPUTED_VALUE"""),0)</f>
        <v>0</v>
      </c>
      <c r="W488" s="32"/>
      <c r="X488" s="32">
        <f ca="1">IFERROR(__xludf.DUMMYFUNCTION("""COMPUTED_VALUE"""),0)</f>
        <v>0</v>
      </c>
      <c r="Y488" s="32"/>
      <c r="Z488" s="2"/>
      <c r="AA488" s="2"/>
      <c r="AB488" s="2"/>
      <c r="AC488" s="2"/>
      <c r="AD488" s="2"/>
      <c r="AE488" s="2"/>
    </row>
    <row r="489" spans="1:31" ht="12.75" x14ac:dyDescent="0.2">
      <c r="A489" s="28">
        <f ca="1">IFERROR(__xludf.DUMMYFUNCTION("""COMPUTED_VALUE"""),26)</f>
        <v>26</v>
      </c>
      <c r="B489" s="29" t="str">
        <f ca="1">IFERROR(__xludf.DUMMYFUNCTION("""COMPUTED_VALUE"""),"LMG Ánh Sao KV3")</f>
        <v>LMG Ánh Sao KV3</v>
      </c>
      <c r="C489" s="33" t="str">
        <f ca="1">IFERROR(__xludf.DUMMYFUNCTION("""COMPUTED_VALUE"""),"MN")</f>
        <v>MN</v>
      </c>
      <c r="D489" s="30" t="str">
        <f ca="1">IFERROR(__xludf.DUMMYFUNCTION("""COMPUTED_VALUE"""),"Tp. Thủ Đức")</f>
        <v>Tp. Thủ Đức</v>
      </c>
      <c r="E489" s="31">
        <f ca="1">IFERROR(__xludf.DUMMYFUNCTION("""COMPUTED_VALUE"""),5)</f>
        <v>5</v>
      </c>
      <c r="F489" s="32">
        <f ca="1">IFERROR(__xludf.DUMMYFUNCTION("""COMPUTED_VALUE"""),5)</f>
        <v>5</v>
      </c>
      <c r="G489" s="32"/>
      <c r="H489" s="32">
        <f ca="1">IFERROR(__xludf.DUMMYFUNCTION("""COMPUTED_VALUE"""),5)</f>
        <v>5</v>
      </c>
      <c r="I489" s="32"/>
      <c r="J489" s="32">
        <f ca="1">IFERROR(__xludf.DUMMYFUNCTION("""COMPUTED_VALUE"""),5)</f>
        <v>5</v>
      </c>
      <c r="K489" s="32"/>
      <c r="L489" s="32">
        <f ca="1">IFERROR(__xludf.DUMMYFUNCTION("""COMPUTED_VALUE"""),0)</f>
        <v>0</v>
      </c>
      <c r="M489" s="32"/>
      <c r="N489" s="31">
        <f ca="1">IFERROR(__xludf.DUMMYFUNCTION("""COMPUTED_VALUE"""),0)</f>
        <v>0</v>
      </c>
      <c r="O489" s="32">
        <f ca="1">IFERROR(__xludf.DUMMYFUNCTION("""COMPUTED_VALUE"""),0)</f>
        <v>0</v>
      </c>
      <c r="P489" s="32"/>
      <c r="Q489" s="32">
        <f ca="1">IFERROR(__xludf.DUMMYFUNCTION("""COMPUTED_VALUE"""),0)</f>
        <v>0</v>
      </c>
      <c r="R489" s="32"/>
      <c r="S489" s="31">
        <f ca="1">IFERROR(__xludf.DUMMYFUNCTION("""COMPUTED_VALUE"""),0)</f>
        <v>0</v>
      </c>
      <c r="T489" s="32">
        <f ca="1">IFERROR(__xludf.DUMMYFUNCTION("""COMPUTED_VALUE"""),0)</f>
        <v>0</v>
      </c>
      <c r="U489" s="32"/>
      <c r="V489" s="32">
        <f ca="1">IFERROR(__xludf.DUMMYFUNCTION("""COMPUTED_VALUE"""),0)</f>
        <v>0</v>
      </c>
      <c r="W489" s="32"/>
      <c r="X489" s="32">
        <f ca="1">IFERROR(__xludf.DUMMYFUNCTION("""COMPUTED_VALUE"""),0)</f>
        <v>0</v>
      </c>
      <c r="Y489" s="32"/>
      <c r="Z489" s="2"/>
      <c r="AA489" s="2"/>
      <c r="AB489" s="2"/>
      <c r="AC489" s="2"/>
      <c r="AD489" s="2"/>
      <c r="AE489" s="2"/>
    </row>
    <row r="490" spans="1:31" ht="12.75" x14ac:dyDescent="0.2">
      <c r="A490" s="28">
        <f ca="1">IFERROR(__xludf.DUMMYFUNCTION("""COMPUTED_VALUE"""),27)</f>
        <v>27</v>
      </c>
      <c r="B490" s="29" t="str">
        <f ca="1">IFERROR(__xludf.DUMMYFUNCTION("""COMPUTED_VALUE"""),"LMG Băng Băng KV3")</f>
        <v>LMG Băng Băng KV3</v>
      </c>
      <c r="C490" s="33" t="str">
        <f ca="1">IFERROR(__xludf.DUMMYFUNCTION("""COMPUTED_VALUE"""),"MN")</f>
        <v>MN</v>
      </c>
      <c r="D490" s="30" t="str">
        <f ca="1">IFERROR(__xludf.DUMMYFUNCTION("""COMPUTED_VALUE"""),"Tp. Thủ Đức")</f>
        <v>Tp. Thủ Đức</v>
      </c>
      <c r="E490" s="31">
        <f ca="1">IFERROR(__xludf.DUMMYFUNCTION("""COMPUTED_VALUE"""),4)</f>
        <v>4</v>
      </c>
      <c r="F490" s="32">
        <f ca="1">IFERROR(__xludf.DUMMYFUNCTION("""COMPUTED_VALUE"""),4)</f>
        <v>4</v>
      </c>
      <c r="G490" s="32"/>
      <c r="H490" s="32">
        <f ca="1">IFERROR(__xludf.DUMMYFUNCTION("""COMPUTED_VALUE"""),4)</f>
        <v>4</v>
      </c>
      <c r="I490" s="32"/>
      <c r="J490" s="32">
        <f ca="1">IFERROR(__xludf.DUMMYFUNCTION("""COMPUTED_VALUE"""),4)</f>
        <v>4</v>
      </c>
      <c r="K490" s="32"/>
      <c r="L490" s="32">
        <f ca="1">IFERROR(__xludf.DUMMYFUNCTION("""COMPUTED_VALUE"""),2)</f>
        <v>2</v>
      </c>
      <c r="M490" s="32"/>
      <c r="N490" s="31">
        <f ca="1">IFERROR(__xludf.DUMMYFUNCTION("""COMPUTED_VALUE"""),0)</f>
        <v>0</v>
      </c>
      <c r="O490" s="32">
        <f ca="1">IFERROR(__xludf.DUMMYFUNCTION("""COMPUTED_VALUE"""),0)</f>
        <v>0</v>
      </c>
      <c r="P490" s="32"/>
      <c r="Q490" s="32">
        <f ca="1">IFERROR(__xludf.DUMMYFUNCTION("""COMPUTED_VALUE"""),0)</f>
        <v>0</v>
      </c>
      <c r="R490" s="32"/>
      <c r="S490" s="31">
        <f ca="1">IFERROR(__xludf.DUMMYFUNCTION("""COMPUTED_VALUE"""),0)</f>
        <v>0</v>
      </c>
      <c r="T490" s="32">
        <f ca="1">IFERROR(__xludf.DUMMYFUNCTION("""COMPUTED_VALUE"""),0)</f>
        <v>0</v>
      </c>
      <c r="U490" s="32"/>
      <c r="V490" s="32">
        <f ca="1">IFERROR(__xludf.DUMMYFUNCTION("""COMPUTED_VALUE"""),0)</f>
        <v>0</v>
      </c>
      <c r="W490" s="32"/>
      <c r="X490" s="32">
        <f ca="1">IFERROR(__xludf.DUMMYFUNCTION("""COMPUTED_VALUE"""),0)</f>
        <v>0</v>
      </c>
      <c r="Y490" s="32"/>
      <c r="Z490" s="2"/>
      <c r="AA490" s="2"/>
      <c r="AB490" s="2"/>
      <c r="AC490" s="2"/>
      <c r="AD490" s="2"/>
      <c r="AE490" s="2"/>
    </row>
    <row r="491" spans="1:31" ht="12.75" x14ac:dyDescent="0.2">
      <c r="A491" s="28">
        <f ca="1">IFERROR(__xludf.DUMMYFUNCTION("""COMPUTED_VALUE"""),28)</f>
        <v>28</v>
      </c>
      <c r="B491" s="29" t="str">
        <f ca="1">IFERROR(__xludf.DUMMYFUNCTION("""COMPUTED_VALUE"""),"LMG Bảo Châu KV3")</f>
        <v>LMG Bảo Châu KV3</v>
      </c>
      <c r="C491" s="33" t="str">
        <f ca="1">IFERROR(__xludf.DUMMYFUNCTION("""COMPUTED_VALUE"""),"MN")</f>
        <v>MN</v>
      </c>
      <c r="D491" s="30" t="str">
        <f ca="1">IFERROR(__xludf.DUMMYFUNCTION("""COMPUTED_VALUE"""),"Tp. Thủ Đức")</f>
        <v>Tp. Thủ Đức</v>
      </c>
      <c r="E491" s="31">
        <f ca="1">IFERROR(__xludf.DUMMYFUNCTION("""COMPUTED_VALUE"""),4)</f>
        <v>4</v>
      </c>
      <c r="F491" s="32">
        <f ca="1">IFERROR(__xludf.DUMMYFUNCTION("""COMPUTED_VALUE"""),4)</f>
        <v>4</v>
      </c>
      <c r="G491" s="32"/>
      <c r="H491" s="32">
        <f ca="1">IFERROR(__xludf.DUMMYFUNCTION("""COMPUTED_VALUE"""),4)</f>
        <v>4</v>
      </c>
      <c r="I491" s="32"/>
      <c r="J491" s="32">
        <f ca="1">IFERROR(__xludf.DUMMYFUNCTION("""COMPUTED_VALUE"""),4)</f>
        <v>4</v>
      </c>
      <c r="K491" s="32"/>
      <c r="L491" s="32">
        <f ca="1">IFERROR(__xludf.DUMMYFUNCTION("""COMPUTED_VALUE"""),0)</f>
        <v>0</v>
      </c>
      <c r="M491" s="32"/>
      <c r="N491" s="31">
        <f ca="1">IFERROR(__xludf.DUMMYFUNCTION("""COMPUTED_VALUE"""),0)</f>
        <v>0</v>
      </c>
      <c r="O491" s="32">
        <f ca="1">IFERROR(__xludf.DUMMYFUNCTION("""COMPUTED_VALUE"""),0)</f>
        <v>0</v>
      </c>
      <c r="P491" s="32"/>
      <c r="Q491" s="32">
        <f ca="1">IFERROR(__xludf.DUMMYFUNCTION("""COMPUTED_VALUE"""),0)</f>
        <v>0</v>
      </c>
      <c r="R491" s="32"/>
      <c r="S491" s="31">
        <f ca="1">IFERROR(__xludf.DUMMYFUNCTION("""COMPUTED_VALUE"""),0)</f>
        <v>0</v>
      </c>
      <c r="T491" s="32">
        <f ca="1">IFERROR(__xludf.DUMMYFUNCTION("""COMPUTED_VALUE"""),0)</f>
        <v>0</v>
      </c>
      <c r="U491" s="32"/>
      <c r="V491" s="32">
        <f ca="1">IFERROR(__xludf.DUMMYFUNCTION("""COMPUTED_VALUE"""),0)</f>
        <v>0</v>
      </c>
      <c r="W491" s="32"/>
      <c r="X491" s="32">
        <f ca="1">IFERROR(__xludf.DUMMYFUNCTION("""COMPUTED_VALUE"""),0)</f>
        <v>0</v>
      </c>
      <c r="Y491" s="32"/>
      <c r="Z491" s="2"/>
      <c r="AA491" s="2"/>
      <c r="AB491" s="2"/>
      <c r="AC491" s="2"/>
      <c r="AD491" s="2"/>
      <c r="AE491" s="2"/>
    </row>
    <row r="492" spans="1:31" ht="12.75" x14ac:dyDescent="0.2">
      <c r="A492" s="28">
        <f ca="1">IFERROR(__xludf.DUMMYFUNCTION("""COMPUTED_VALUE"""),29)</f>
        <v>29</v>
      </c>
      <c r="B492" s="29" t="str">
        <f ca="1">IFERROR(__xludf.DUMMYFUNCTION("""COMPUTED_VALUE"""),"LMG Bảo Hân KV3")</f>
        <v>LMG Bảo Hân KV3</v>
      </c>
      <c r="C492" s="33" t="str">
        <f ca="1">IFERROR(__xludf.DUMMYFUNCTION("""COMPUTED_VALUE"""),"MN")</f>
        <v>MN</v>
      </c>
      <c r="D492" s="30" t="str">
        <f ca="1">IFERROR(__xludf.DUMMYFUNCTION("""COMPUTED_VALUE"""),"Tp. Thủ Đức")</f>
        <v>Tp. Thủ Đức</v>
      </c>
      <c r="E492" s="31">
        <f ca="1">IFERROR(__xludf.DUMMYFUNCTION("""COMPUTED_VALUE"""),6)</f>
        <v>6</v>
      </c>
      <c r="F492" s="32">
        <f ca="1">IFERROR(__xludf.DUMMYFUNCTION("""COMPUTED_VALUE"""),6)</f>
        <v>6</v>
      </c>
      <c r="G492" s="32"/>
      <c r="H492" s="32">
        <f ca="1">IFERROR(__xludf.DUMMYFUNCTION("""COMPUTED_VALUE"""),6)</f>
        <v>6</v>
      </c>
      <c r="I492" s="32"/>
      <c r="J492" s="32">
        <f ca="1">IFERROR(__xludf.DUMMYFUNCTION("""COMPUTED_VALUE"""),3)</f>
        <v>3</v>
      </c>
      <c r="K492" s="32"/>
      <c r="L492" s="32">
        <f ca="1">IFERROR(__xludf.DUMMYFUNCTION("""COMPUTED_VALUE"""),0)</f>
        <v>0</v>
      </c>
      <c r="M492" s="32"/>
      <c r="N492" s="31">
        <f ca="1">IFERROR(__xludf.DUMMYFUNCTION("""COMPUTED_VALUE"""),0)</f>
        <v>0</v>
      </c>
      <c r="O492" s="32">
        <f ca="1">IFERROR(__xludf.DUMMYFUNCTION("""COMPUTED_VALUE"""),0)</f>
        <v>0</v>
      </c>
      <c r="P492" s="32"/>
      <c r="Q492" s="32">
        <f ca="1">IFERROR(__xludf.DUMMYFUNCTION("""COMPUTED_VALUE"""),0)</f>
        <v>0</v>
      </c>
      <c r="R492" s="32"/>
      <c r="S492" s="31">
        <f ca="1">IFERROR(__xludf.DUMMYFUNCTION("""COMPUTED_VALUE"""),0)</f>
        <v>0</v>
      </c>
      <c r="T492" s="32">
        <f ca="1">IFERROR(__xludf.DUMMYFUNCTION("""COMPUTED_VALUE"""),0)</f>
        <v>0</v>
      </c>
      <c r="U492" s="32"/>
      <c r="V492" s="32">
        <f ca="1">IFERROR(__xludf.DUMMYFUNCTION("""COMPUTED_VALUE"""),0)</f>
        <v>0</v>
      </c>
      <c r="W492" s="32"/>
      <c r="X492" s="32">
        <f ca="1">IFERROR(__xludf.DUMMYFUNCTION("""COMPUTED_VALUE"""),0)</f>
        <v>0</v>
      </c>
      <c r="Y492" s="32"/>
      <c r="Z492" s="2"/>
      <c r="AA492" s="2"/>
      <c r="AB492" s="2"/>
      <c r="AC492" s="2"/>
      <c r="AD492" s="2"/>
      <c r="AE492" s="2"/>
    </row>
    <row r="493" spans="1:31" ht="12.75" x14ac:dyDescent="0.2">
      <c r="A493" s="28">
        <f ca="1">IFERROR(__xludf.DUMMYFUNCTION("""COMPUTED_VALUE"""),30)</f>
        <v>30</v>
      </c>
      <c r="B493" s="29" t="str">
        <f ca="1">IFERROR(__xludf.DUMMYFUNCTION("""COMPUTED_VALUE"""),"LMG Bé Ngoan KV3")</f>
        <v>LMG Bé Ngoan KV3</v>
      </c>
      <c r="C493" s="33" t="str">
        <f ca="1">IFERROR(__xludf.DUMMYFUNCTION("""COMPUTED_VALUE"""),"MN")</f>
        <v>MN</v>
      </c>
      <c r="D493" s="30" t="str">
        <f ca="1">IFERROR(__xludf.DUMMYFUNCTION("""COMPUTED_VALUE"""),"Tp. Thủ Đức")</f>
        <v>Tp. Thủ Đức</v>
      </c>
      <c r="E493" s="31">
        <f ca="1">IFERROR(__xludf.DUMMYFUNCTION("""COMPUTED_VALUE"""),5)</f>
        <v>5</v>
      </c>
      <c r="F493" s="32">
        <f ca="1">IFERROR(__xludf.DUMMYFUNCTION("""COMPUTED_VALUE"""),5)</f>
        <v>5</v>
      </c>
      <c r="G493" s="32"/>
      <c r="H493" s="32">
        <f ca="1">IFERROR(__xludf.DUMMYFUNCTION("""COMPUTED_VALUE"""),5)</f>
        <v>5</v>
      </c>
      <c r="I493" s="32"/>
      <c r="J493" s="32">
        <f ca="1">IFERROR(__xludf.DUMMYFUNCTION("""COMPUTED_VALUE"""),3)</f>
        <v>3</v>
      </c>
      <c r="K493" s="32"/>
      <c r="L493" s="32">
        <f ca="1">IFERROR(__xludf.DUMMYFUNCTION("""COMPUTED_VALUE"""),0)</f>
        <v>0</v>
      </c>
      <c r="M493" s="32"/>
      <c r="N493" s="31">
        <f ca="1">IFERROR(__xludf.DUMMYFUNCTION("""COMPUTED_VALUE"""),0)</f>
        <v>0</v>
      </c>
      <c r="O493" s="32">
        <f ca="1">IFERROR(__xludf.DUMMYFUNCTION("""COMPUTED_VALUE"""),0)</f>
        <v>0</v>
      </c>
      <c r="P493" s="32"/>
      <c r="Q493" s="32">
        <f ca="1">IFERROR(__xludf.DUMMYFUNCTION("""COMPUTED_VALUE"""),0)</f>
        <v>0</v>
      </c>
      <c r="R493" s="32"/>
      <c r="S493" s="31">
        <f ca="1">IFERROR(__xludf.DUMMYFUNCTION("""COMPUTED_VALUE"""),0)</f>
        <v>0</v>
      </c>
      <c r="T493" s="32">
        <f ca="1">IFERROR(__xludf.DUMMYFUNCTION("""COMPUTED_VALUE"""),0)</f>
        <v>0</v>
      </c>
      <c r="U493" s="32"/>
      <c r="V493" s="32">
        <f ca="1">IFERROR(__xludf.DUMMYFUNCTION("""COMPUTED_VALUE"""),0)</f>
        <v>0</v>
      </c>
      <c r="W493" s="32"/>
      <c r="X493" s="32">
        <f ca="1">IFERROR(__xludf.DUMMYFUNCTION("""COMPUTED_VALUE"""),0)</f>
        <v>0</v>
      </c>
      <c r="Y493" s="32"/>
      <c r="Z493" s="2"/>
      <c r="AA493" s="2"/>
      <c r="AB493" s="2"/>
      <c r="AC493" s="2"/>
      <c r="AD493" s="2"/>
      <c r="AE493" s="2"/>
    </row>
    <row r="494" spans="1:31" ht="12.75" x14ac:dyDescent="0.2">
      <c r="A494" s="28">
        <f ca="1">IFERROR(__xludf.DUMMYFUNCTION("""COMPUTED_VALUE"""),31)</f>
        <v>31</v>
      </c>
      <c r="B494" s="29" t="str">
        <f ca="1">IFERROR(__xludf.DUMMYFUNCTION("""COMPUTED_VALUE"""),"LMG Bí Ngô KV3")</f>
        <v>LMG Bí Ngô KV3</v>
      </c>
      <c r="C494" s="33" t="str">
        <f ca="1">IFERROR(__xludf.DUMMYFUNCTION("""COMPUTED_VALUE"""),"MN")</f>
        <v>MN</v>
      </c>
      <c r="D494" s="30" t="str">
        <f ca="1">IFERROR(__xludf.DUMMYFUNCTION("""COMPUTED_VALUE"""),"Tp. Thủ Đức")</f>
        <v>Tp. Thủ Đức</v>
      </c>
      <c r="E494" s="31">
        <f ca="1">IFERROR(__xludf.DUMMYFUNCTION("""COMPUTED_VALUE"""),6)</f>
        <v>6</v>
      </c>
      <c r="F494" s="32">
        <f ca="1">IFERROR(__xludf.DUMMYFUNCTION("""COMPUTED_VALUE"""),6)</f>
        <v>6</v>
      </c>
      <c r="G494" s="32"/>
      <c r="H494" s="32">
        <f ca="1">IFERROR(__xludf.DUMMYFUNCTION("""COMPUTED_VALUE"""),6)</f>
        <v>6</v>
      </c>
      <c r="I494" s="32"/>
      <c r="J494" s="32">
        <f ca="1">IFERROR(__xludf.DUMMYFUNCTION("""COMPUTED_VALUE"""),6)</f>
        <v>6</v>
      </c>
      <c r="K494" s="32"/>
      <c r="L494" s="32">
        <f ca="1">IFERROR(__xludf.DUMMYFUNCTION("""COMPUTED_VALUE"""),0)</f>
        <v>0</v>
      </c>
      <c r="M494" s="32"/>
      <c r="N494" s="31">
        <f ca="1">IFERROR(__xludf.DUMMYFUNCTION("""COMPUTED_VALUE"""),0)</f>
        <v>0</v>
      </c>
      <c r="O494" s="32">
        <f ca="1">IFERROR(__xludf.DUMMYFUNCTION("""COMPUTED_VALUE"""),0)</f>
        <v>0</v>
      </c>
      <c r="P494" s="32"/>
      <c r="Q494" s="32">
        <f ca="1">IFERROR(__xludf.DUMMYFUNCTION("""COMPUTED_VALUE"""),0)</f>
        <v>0</v>
      </c>
      <c r="R494" s="32"/>
      <c r="S494" s="31">
        <f ca="1">IFERROR(__xludf.DUMMYFUNCTION("""COMPUTED_VALUE"""),0)</f>
        <v>0</v>
      </c>
      <c r="T494" s="32">
        <f ca="1">IFERROR(__xludf.DUMMYFUNCTION("""COMPUTED_VALUE"""),0)</f>
        <v>0</v>
      </c>
      <c r="U494" s="32"/>
      <c r="V494" s="32">
        <f ca="1">IFERROR(__xludf.DUMMYFUNCTION("""COMPUTED_VALUE"""),0)</f>
        <v>0</v>
      </c>
      <c r="W494" s="32"/>
      <c r="X494" s="32">
        <f ca="1">IFERROR(__xludf.DUMMYFUNCTION("""COMPUTED_VALUE"""),0)</f>
        <v>0</v>
      </c>
      <c r="Y494" s="32"/>
      <c r="Z494" s="2"/>
      <c r="AA494" s="2"/>
      <c r="AB494" s="2"/>
      <c r="AC494" s="2"/>
      <c r="AD494" s="2"/>
      <c r="AE494" s="2"/>
    </row>
    <row r="495" spans="1:31" ht="12.75" x14ac:dyDescent="0.2">
      <c r="A495" s="28">
        <f ca="1">IFERROR(__xludf.DUMMYFUNCTION("""COMPUTED_VALUE"""),32)</f>
        <v>32</v>
      </c>
      <c r="B495" s="29" t="str">
        <f ca="1">IFERROR(__xludf.DUMMYFUNCTION("""COMPUTED_VALUE"""),"LMG Bình Minh KV3")</f>
        <v>LMG Bình Minh KV3</v>
      </c>
      <c r="C495" s="33" t="str">
        <f ca="1">IFERROR(__xludf.DUMMYFUNCTION("""COMPUTED_VALUE"""),"MN")</f>
        <v>MN</v>
      </c>
      <c r="D495" s="30" t="str">
        <f ca="1">IFERROR(__xludf.DUMMYFUNCTION("""COMPUTED_VALUE"""),"Tp. Thủ Đức")</f>
        <v>Tp. Thủ Đức</v>
      </c>
      <c r="E495" s="31">
        <f ca="1">IFERROR(__xludf.DUMMYFUNCTION("""COMPUTED_VALUE"""),6)</f>
        <v>6</v>
      </c>
      <c r="F495" s="32">
        <f ca="1">IFERROR(__xludf.DUMMYFUNCTION("""COMPUTED_VALUE"""),6)</f>
        <v>6</v>
      </c>
      <c r="G495" s="32"/>
      <c r="H495" s="32">
        <f ca="1">IFERROR(__xludf.DUMMYFUNCTION("""COMPUTED_VALUE"""),6)</f>
        <v>6</v>
      </c>
      <c r="I495" s="32"/>
      <c r="J495" s="32">
        <f ca="1">IFERROR(__xludf.DUMMYFUNCTION("""COMPUTED_VALUE"""),6)</f>
        <v>6</v>
      </c>
      <c r="K495" s="32"/>
      <c r="L495" s="32">
        <f ca="1">IFERROR(__xludf.DUMMYFUNCTION("""COMPUTED_VALUE"""),0)</f>
        <v>0</v>
      </c>
      <c r="M495" s="32"/>
      <c r="N495" s="31">
        <f ca="1">IFERROR(__xludf.DUMMYFUNCTION("""COMPUTED_VALUE"""),0)</f>
        <v>0</v>
      </c>
      <c r="O495" s="32">
        <f ca="1">IFERROR(__xludf.DUMMYFUNCTION("""COMPUTED_VALUE"""),0)</f>
        <v>0</v>
      </c>
      <c r="P495" s="32"/>
      <c r="Q495" s="32">
        <f ca="1">IFERROR(__xludf.DUMMYFUNCTION("""COMPUTED_VALUE"""),0)</f>
        <v>0</v>
      </c>
      <c r="R495" s="32"/>
      <c r="S495" s="31">
        <f ca="1">IFERROR(__xludf.DUMMYFUNCTION("""COMPUTED_VALUE"""),0)</f>
        <v>0</v>
      </c>
      <c r="T495" s="32">
        <f ca="1">IFERROR(__xludf.DUMMYFUNCTION("""COMPUTED_VALUE"""),0)</f>
        <v>0</v>
      </c>
      <c r="U495" s="32"/>
      <c r="V495" s="32">
        <f ca="1">IFERROR(__xludf.DUMMYFUNCTION("""COMPUTED_VALUE"""),0)</f>
        <v>0</v>
      </c>
      <c r="W495" s="32"/>
      <c r="X495" s="32">
        <f ca="1">IFERROR(__xludf.DUMMYFUNCTION("""COMPUTED_VALUE"""),0)</f>
        <v>0</v>
      </c>
      <c r="Y495" s="32"/>
      <c r="Z495" s="2"/>
      <c r="AA495" s="2"/>
      <c r="AB495" s="2"/>
      <c r="AC495" s="2"/>
      <c r="AD495" s="2"/>
      <c r="AE495" s="2"/>
    </row>
    <row r="496" spans="1:31" ht="12.75" x14ac:dyDescent="0.2">
      <c r="A496" s="28">
        <f ca="1">IFERROR(__xludf.DUMMYFUNCTION("""COMPUTED_VALUE"""),33)</f>
        <v>33</v>
      </c>
      <c r="B496" s="29" t="str">
        <f ca="1">IFERROR(__xludf.DUMMYFUNCTION("""COMPUTED_VALUE"""),"LMG Cầu Vồng KV3")</f>
        <v>LMG Cầu Vồng KV3</v>
      </c>
      <c r="C496" s="33" t="str">
        <f ca="1">IFERROR(__xludf.DUMMYFUNCTION("""COMPUTED_VALUE"""),"MN")</f>
        <v>MN</v>
      </c>
      <c r="D496" s="30" t="str">
        <f ca="1">IFERROR(__xludf.DUMMYFUNCTION("""COMPUTED_VALUE"""),"Tp. Thủ Đức")</f>
        <v>Tp. Thủ Đức</v>
      </c>
      <c r="E496" s="31">
        <f ca="1">IFERROR(__xludf.DUMMYFUNCTION("""COMPUTED_VALUE"""),5)</f>
        <v>5</v>
      </c>
      <c r="F496" s="32">
        <f ca="1">IFERROR(__xludf.DUMMYFUNCTION("""COMPUTED_VALUE"""),5)</f>
        <v>5</v>
      </c>
      <c r="G496" s="32"/>
      <c r="H496" s="32">
        <f ca="1">IFERROR(__xludf.DUMMYFUNCTION("""COMPUTED_VALUE"""),5)</f>
        <v>5</v>
      </c>
      <c r="I496" s="32"/>
      <c r="J496" s="32">
        <f ca="1">IFERROR(__xludf.DUMMYFUNCTION("""COMPUTED_VALUE"""),5)</f>
        <v>5</v>
      </c>
      <c r="K496" s="32"/>
      <c r="L496" s="32">
        <f ca="1">IFERROR(__xludf.DUMMYFUNCTION("""COMPUTED_VALUE"""),2)</f>
        <v>2</v>
      </c>
      <c r="M496" s="32"/>
      <c r="N496" s="31">
        <f ca="1">IFERROR(__xludf.DUMMYFUNCTION("""COMPUTED_VALUE"""),0)</f>
        <v>0</v>
      </c>
      <c r="O496" s="32">
        <f ca="1">IFERROR(__xludf.DUMMYFUNCTION("""COMPUTED_VALUE"""),0)</f>
        <v>0</v>
      </c>
      <c r="P496" s="32"/>
      <c r="Q496" s="32">
        <f ca="1">IFERROR(__xludf.DUMMYFUNCTION("""COMPUTED_VALUE"""),0)</f>
        <v>0</v>
      </c>
      <c r="R496" s="32"/>
      <c r="S496" s="31">
        <f ca="1">IFERROR(__xludf.DUMMYFUNCTION("""COMPUTED_VALUE"""),0)</f>
        <v>0</v>
      </c>
      <c r="T496" s="32">
        <f ca="1">IFERROR(__xludf.DUMMYFUNCTION("""COMPUTED_VALUE"""),0)</f>
        <v>0</v>
      </c>
      <c r="U496" s="32"/>
      <c r="V496" s="32">
        <f ca="1">IFERROR(__xludf.DUMMYFUNCTION("""COMPUTED_VALUE"""),0)</f>
        <v>0</v>
      </c>
      <c r="W496" s="32"/>
      <c r="X496" s="32">
        <f ca="1">IFERROR(__xludf.DUMMYFUNCTION("""COMPUTED_VALUE"""),0)</f>
        <v>0</v>
      </c>
      <c r="Y496" s="32"/>
      <c r="Z496" s="2"/>
      <c r="AA496" s="2"/>
      <c r="AB496" s="2"/>
      <c r="AC496" s="2"/>
      <c r="AD496" s="2"/>
      <c r="AE496" s="2"/>
    </row>
    <row r="497" spans="1:31" ht="12.75" x14ac:dyDescent="0.2">
      <c r="A497" s="28">
        <f ca="1">IFERROR(__xludf.DUMMYFUNCTION("""COMPUTED_VALUE"""),34)</f>
        <v>34</v>
      </c>
      <c r="B497" s="29" t="str">
        <f ca="1">IFERROR(__xludf.DUMMYFUNCTION("""COMPUTED_VALUE"""),"LMG Chích Chòe Bông KV3")</f>
        <v>LMG Chích Chòe Bông KV3</v>
      </c>
      <c r="C497" s="33" t="str">
        <f ca="1">IFERROR(__xludf.DUMMYFUNCTION("""COMPUTED_VALUE"""),"MN")</f>
        <v>MN</v>
      </c>
      <c r="D497" s="30" t="str">
        <f ca="1">IFERROR(__xludf.DUMMYFUNCTION("""COMPUTED_VALUE"""),"Tp. Thủ Đức")</f>
        <v>Tp. Thủ Đức</v>
      </c>
      <c r="E497" s="31">
        <f ca="1">IFERROR(__xludf.DUMMYFUNCTION("""COMPUTED_VALUE"""),4)</f>
        <v>4</v>
      </c>
      <c r="F497" s="32">
        <f ca="1">IFERROR(__xludf.DUMMYFUNCTION("""COMPUTED_VALUE"""),4)</f>
        <v>4</v>
      </c>
      <c r="G497" s="32"/>
      <c r="H497" s="32">
        <f ca="1">IFERROR(__xludf.DUMMYFUNCTION("""COMPUTED_VALUE"""),4)</f>
        <v>4</v>
      </c>
      <c r="I497" s="32"/>
      <c r="J497" s="32">
        <f ca="1">IFERROR(__xludf.DUMMYFUNCTION("""COMPUTED_VALUE"""),4)</f>
        <v>4</v>
      </c>
      <c r="K497" s="32"/>
      <c r="L497" s="32">
        <f ca="1">IFERROR(__xludf.DUMMYFUNCTION("""COMPUTED_VALUE"""),1)</f>
        <v>1</v>
      </c>
      <c r="M497" s="32"/>
      <c r="N497" s="31">
        <f ca="1">IFERROR(__xludf.DUMMYFUNCTION("""COMPUTED_VALUE"""),0)</f>
        <v>0</v>
      </c>
      <c r="O497" s="32">
        <f ca="1">IFERROR(__xludf.DUMMYFUNCTION("""COMPUTED_VALUE"""),0)</f>
        <v>0</v>
      </c>
      <c r="P497" s="32"/>
      <c r="Q497" s="32">
        <f ca="1">IFERROR(__xludf.DUMMYFUNCTION("""COMPUTED_VALUE"""),0)</f>
        <v>0</v>
      </c>
      <c r="R497" s="32"/>
      <c r="S497" s="31">
        <f ca="1">IFERROR(__xludf.DUMMYFUNCTION("""COMPUTED_VALUE"""),0)</f>
        <v>0</v>
      </c>
      <c r="T497" s="32">
        <f ca="1">IFERROR(__xludf.DUMMYFUNCTION("""COMPUTED_VALUE"""),0)</f>
        <v>0</v>
      </c>
      <c r="U497" s="32"/>
      <c r="V497" s="32">
        <f ca="1">IFERROR(__xludf.DUMMYFUNCTION("""COMPUTED_VALUE"""),0)</f>
        <v>0</v>
      </c>
      <c r="W497" s="32"/>
      <c r="X497" s="32">
        <f ca="1">IFERROR(__xludf.DUMMYFUNCTION("""COMPUTED_VALUE"""),0)</f>
        <v>0</v>
      </c>
      <c r="Y497" s="32"/>
      <c r="Z497" s="2"/>
      <c r="AA497" s="2"/>
      <c r="AB497" s="2"/>
      <c r="AC497" s="2"/>
      <c r="AD497" s="2"/>
      <c r="AE497" s="2"/>
    </row>
    <row r="498" spans="1:31" ht="12.75" x14ac:dyDescent="0.2">
      <c r="A498" s="28">
        <f ca="1">IFERROR(__xludf.DUMMYFUNCTION("""COMPUTED_VALUE"""),35)</f>
        <v>35</v>
      </c>
      <c r="B498" s="29" t="str">
        <f ca="1">IFERROR(__xludf.DUMMYFUNCTION("""COMPUTED_VALUE"""),"LMG Chim Vàng Anh KV3")</f>
        <v>LMG Chim Vàng Anh KV3</v>
      </c>
      <c r="C498" s="33" t="str">
        <f ca="1">IFERROR(__xludf.DUMMYFUNCTION("""COMPUTED_VALUE"""),"MN")</f>
        <v>MN</v>
      </c>
      <c r="D498" s="30" t="str">
        <f ca="1">IFERROR(__xludf.DUMMYFUNCTION("""COMPUTED_VALUE"""),"Tp. Thủ Đức")</f>
        <v>Tp. Thủ Đức</v>
      </c>
      <c r="E498" s="31">
        <f ca="1">IFERROR(__xludf.DUMMYFUNCTION("""COMPUTED_VALUE"""),4)</f>
        <v>4</v>
      </c>
      <c r="F498" s="32">
        <f ca="1">IFERROR(__xludf.DUMMYFUNCTION("""COMPUTED_VALUE"""),4)</f>
        <v>4</v>
      </c>
      <c r="G498" s="32"/>
      <c r="H498" s="32">
        <f ca="1">IFERROR(__xludf.DUMMYFUNCTION("""COMPUTED_VALUE"""),4)</f>
        <v>4</v>
      </c>
      <c r="I498" s="32"/>
      <c r="J498" s="32">
        <f ca="1">IFERROR(__xludf.DUMMYFUNCTION("""COMPUTED_VALUE"""),4)</f>
        <v>4</v>
      </c>
      <c r="K498" s="32"/>
      <c r="L498" s="32">
        <f ca="1">IFERROR(__xludf.DUMMYFUNCTION("""COMPUTED_VALUE"""),0)</f>
        <v>0</v>
      </c>
      <c r="M498" s="32"/>
      <c r="N498" s="31">
        <f ca="1">IFERROR(__xludf.DUMMYFUNCTION("""COMPUTED_VALUE"""),0)</f>
        <v>0</v>
      </c>
      <c r="O498" s="32">
        <f ca="1">IFERROR(__xludf.DUMMYFUNCTION("""COMPUTED_VALUE"""),0)</f>
        <v>0</v>
      </c>
      <c r="P498" s="32"/>
      <c r="Q498" s="32">
        <f ca="1">IFERROR(__xludf.DUMMYFUNCTION("""COMPUTED_VALUE"""),0)</f>
        <v>0</v>
      </c>
      <c r="R498" s="32"/>
      <c r="S498" s="31">
        <f ca="1">IFERROR(__xludf.DUMMYFUNCTION("""COMPUTED_VALUE"""),0)</f>
        <v>0</v>
      </c>
      <c r="T498" s="32">
        <f ca="1">IFERROR(__xludf.DUMMYFUNCTION("""COMPUTED_VALUE"""),0)</f>
        <v>0</v>
      </c>
      <c r="U498" s="32"/>
      <c r="V498" s="32">
        <f ca="1">IFERROR(__xludf.DUMMYFUNCTION("""COMPUTED_VALUE"""),0)</f>
        <v>0</v>
      </c>
      <c r="W498" s="32"/>
      <c r="X498" s="32">
        <f ca="1">IFERROR(__xludf.DUMMYFUNCTION("""COMPUTED_VALUE"""),0)</f>
        <v>0</v>
      </c>
      <c r="Y498" s="32"/>
      <c r="Z498" s="2"/>
      <c r="AA498" s="2"/>
      <c r="AB498" s="2"/>
      <c r="AC498" s="2"/>
      <c r="AD498" s="2"/>
      <c r="AE498" s="2"/>
    </row>
    <row r="499" spans="1:31" ht="12.75" x14ac:dyDescent="0.2">
      <c r="A499" s="28">
        <f ca="1">IFERROR(__xludf.DUMMYFUNCTION("""COMPUTED_VALUE"""),36)</f>
        <v>36</v>
      </c>
      <c r="B499" s="29" t="str">
        <f ca="1">IFERROR(__xludf.DUMMYFUNCTION("""COMPUTED_VALUE"""),"LMG Duy Khang KV3")</f>
        <v>LMG Duy Khang KV3</v>
      </c>
      <c r="C499" s="33" t="str">
        <f ca="1">IFERROR(__xludf.DUMMYFUNCTION("""COMPUTED_VALUE"""),"MN")</f>
        <v>MN</v>
      </c>
      <c r="D499" s="30" t="str">
        <f ca="1">IFERROR(__xludf.DUMMYFUNCTION("""COMPUTED_VALUE"""),"Tp. Thủ Đức")</f>
        <v>Tp. Thủ Đức</v>
      </c>
      <c r="E499" s="31">
        <f ca="1">IFERROR(__xludf.DUMMYFUNCTION("""COMPUTED_VALUE"""),6)</f>
        <v>6</v>
      </c>
      <c r="F499" s="32">
        <f ca="1">IFERROR(__xludf.DUMMYFUNCTION("""COMPUTED_VALUE"""),6)</f>
        <v>6</v>
      </c>
      <c r="G499" s="32"/>
      <c r="H499" s="32">
        <f ca="1">IFERROR(__xludf.DUMMYFUNCTION("""COMPUTED_VALUE"""),6)</f>
        <v>6</v>
      </c>
      <c r="I499" s="32"/>
      <c r="J499" s="32">
        <f ca="1">IFERROR(__xludf.DUMMYFUNCTION("""COMPUTED_VALUE"""),6)</f>
        <v>6</v>
      </c>
      <c r="K499" s="32"/>
      <c r="L499" s="32">
        <f ca="1">IFERROR(__xludf.DUMMYFUNCTION("""COMPUTED_VALUE"""),0)</f>
        <v>0</v>
      </c>
      <c r="M499" s="32"/>
      <c r="N499" s="31">
        <f ca="1">IFERROR(__xludf.DUMMYFUNCTION("""COMPUTED_VALUE"""),0)</f>
        <v>0</v>
      </c>
      <c r="O499" s="32">
        <f ca="1">IFERROR(__xludf.DUMMYFUNCTION("""COMPUTED_VALUE"""),0)</f>
        <v>0</v>
      </c>
      <c r="P499" s="32"/>
      <c r="Q499" s="32">
        <f ca="1">IFERROR(__xludf.DUMMYFUNCTION("""COMPUTED_VALUE"""),0)</f>
        <v>0</v>
      </c>
      <c r="R499" s="32"/>
      <c r="S499" s="31">
        <f ca="1">IFERROR(__xludf.DUMMYFUNCTION("""COMPUTED_VALUE"""),0)</f>
        <v>0</v>
      </c>
      <c r="T499" s="32">
        <f ca="1">IFERROR(__xludf.DUMMYFUNCTION("""COMPUTED_VALUE"""),0)</f>
        <v>0</v>
      </c>
      <c r="U499" s="32"/>
      <c r="V499" s="32">
        <f ca="1">IFERROR(__xludf.DUMMYFUNCTION("""COMPUTED_VALUE"""),0)</f>
        <v>0</v>
      </c>
      <c r="W499" s="32"/>
      <c r="X499" s="32">
        <f ca="1">IFERROR(__xludf.DUMMYFUNCTION("""COMPUTED_VALUE"""),0)</f>
        <v>0</v>
      </c>
      <c r="Y499" s="32"/>
      <c r="Z499" s="2"/>
      <c r="AA499" s="2"/>
      <c r="AB499" s="2"/>
      <c r="AC499" s="2"/>
      <c r="AD499" s="2"/>
      <c r="AE499" s="2"/>
    </row>
    <row r="500" spans="1:31" ht="12.75" x14ac:dyDescent="0.2">
      <c r="A500" s="28">
        <f ca="1">IFERROR(__xludf.DUMMYFUNCTION("""COMPUTED_VALUE"""),37)</f>
        <v>37</v>
      </c>
      <c r="B500" s="29" t="str">
        <f ca="1">IFERROR(__xludf.DUMMYFUNCTION("""COMPUTED_VALUE"""),"LMG Em Bé Hạnh Phúc KV3")</f>
        <v>LMG Em Bé Hạnh Phúc KV3</v>
      </c>
      <c r="C500" s="33" t="str">
        <f ca="1">IFERROR(__xludf.DUMMYFUNCTION("""COMPUTED_VALUE"""),"MN")</f>
        <v>MN</v>
      </c>
      <c r="D500" s="30" t="str">
        <f ca="1">IFERROR(__xludf.DUMMYFUNCTION("""COMPUTED_VALUE"""),"Tp. Thủ Đức")</f>
        <v>Tp. Thủ Đức</v>
      </c>
      <c r="E500" s="31">
        <f ca="1">IFERROR(__xludf.DUMMYFUNCTION("""COMPUTED_VALUE"""),10)</f>
        <v>10</v>
      </c>
      <c r="F500" s="32">
        <f ca="1">IFERROR(__xludf.DUMMYFUNCTION("""COMPUTED_VALUE"""),10)</f>
        <v>10</v>
      </c>
      <c r="G500" s="32"/>
      <c r="H500" s="32">
        <f ca="1">IFERROR(__xludf.DUMMYFUNCTION("""COMPUTED_VALUE"""),10)</f>
        <v>10</v>
      </c>
      <c r="I500" s="32"/>
      <c r="J500" s="32">
        <f ca="1">IFERROR(__xludf.DUMMYFUNCTION("""COMPUTED_VALUE"""),9)</f>
        <v>9</v>
      </c>
      <c r="K500" s="32"/>
      <c r="L500" s="32">
        <f ca="1">IFERROR(__xludf.DUMMYFUNCTION("""COMPUTED_VALUE"""),1)</f>
        <v>1</v>
      </c>
      <c r="M500" s="32"/>
      <c r="N500" s="31">
        <f ca="1">IFERROR(__xludf.DUMMYFUNCTION("""COMPUTED_VALUE"""),0)</f>
        <v>0</v>
      </c>
      <c r="O500" s="32">
        <f ca="1">IFERROR(__xludf.DUMMYFUNCTION("""COMPUTED_VALUE"""),0)</f>
        <v>0</v>
      </c>
      <c r="P500" s="32"/>
      <c r="Q500" s="32">
        <f ca="1">IFERROR(__xludf.DUMMYFUNCTION("""COMPUTED_VALUE"""),0)</f>
        <v>0</v>
      </c>
      <c r="R500" s="32"/>
      <c r="S500" s="31">
        <f ca="1">IFERROR(__xludf.DUMMYFUNCTION("""COMPUTED_VALUE"""),0)</f>
        <v>0</v>
      </c>
      <c r="T500" s="32">
        <f ca="1">IFERROR(__xludf.DUMMYFUNCTION("""COMPUTED_VALUE"""),0)</f>
        <v>0</v>
      </c>
      <c r="U500" s="32"/>
      <c r="V500" s="32">
        <f ca="1">IFERROR(__xludf.DUMMYFUNCTION("""COMPUTED_VALUE"""),0)</f>
        <v>0</v>
      </c>
      <c r="W500" s="32"/>
      <c r="X500" s="32">
        <f ca="1">IFERROR(__xludf.DUMMYFUNCTION("""COMPUTED_VALUE"""),0)</f>
        <v>0</v>
      </c>
      <c r="Y500" s="32"/>
      <c r="Z500" s="2"/>
      <c r="AA500" s="2"/>
      <c r="AB500" s="2"/>
      <c r="AC500" s="2"/>
      <c r="AD500" s="2"/>
      <c r="AE500" s="2"/>
    </row>
    <row r="501" spans="1:31" ht="12.75" x14ac:dyDescent="0.2">
      <c r="A501" s="28">
        <f ca="1">IFERROR(__xludf.DUMMYFUNCTION("""COMPUTED_VALUE"""),38)</f>
        <v>38</v>
      </c>
      <c r="B501" s="29" t="str">
        <f ca="1">IFERROR(__xludf.DUMMYFUNCTION("""COMPUTED_VALUE"""),"LMG Họa Mi KV3")</f>
        <v>LMG Họa Mi KV3</v>
      </c>
      <c r="C501" s="33" t="str">
        <f ca="1">IFERROR(__xludf.DUMMYFUNCTION("""COMPUTED_VALUE"""),"MN")</f>
        <v>MN</v>
      </c>
      <c r="D501" s="30" t="str">
        <f ca="1">IFERROR(__xludf.DUMMYFUNCTION("""COMPUTED_VALUE"""),"Tp. Thủ Đức")</f>
        <v>Tp. Thủ Đức</v>
      </c>
      <c r="E501" s="31">
        <f ca="1">IFERROR(__xludf.DUMMYFUNCTION("""COMPUTED_VALUE"""),5)</f>
        <v>5</v>
      </c>
      <c r="F501" s="32">
        <f ca="1">IFERROR(__xludf.DUMMYFUNCTION("""COMPUTED_VALUE"""),5)</f>
        <v>5</v>
      </c>
      <c r="G501" s="32"/>
      <c r="H501" s="32">
        <f ca="1">IFERROR(__xludf.DUMMYFUNCTION("""COMPUTED_VALUE"""),5)</f>
        <v>5</v>
      </c>
      <c r="I501" s="32"/>
      <c r="J501" s="32">
        <f ca="1">IFERROR(__xludf.DUMMYFUNCTION("""COMPUTED_VALUE"""),5)</f>
        <v>5</v>
      </c>
      <c r="K501" s="32"/>
      <c r="L501" s="32">
        <f ca="1">IFERROR(__xludf.DUMMYFUNCTION("""COMPUTED_VALUE"""),1)</f>
        <v>1</v>
      </c>
      <c r="M501" s="32"/>
      <c r="N501" s="31">
        <f ca="1">IFERROR(__xludf.DUMMYFUNCTION("""COMPUTED_VALUE"""),0)</f>
        <v>0</v>
      </c>
      <c r="O501" s="32">
        <f ca="1">IFERROR(__xludf.DUMMYFUNCTION("""COMPUTED_VALUE"""),0)</f>
        <v>0</v>
      </c>
      <c r="P501" s="32"/>
      <c r="Q501" s="32">
        <f ca="1">IFERROR(__xludf.DUMMYFUNCTION("""COMPUTED_VALUE"""),0)</f>
        <v>0</v>
      </c>
      <c r="R501" s="32"/>
      <c r="S501" s="31">
        <f ca="1">IFERROR(__xludf.DUMMYFUNCTION("""COMPUTED_VALUE"""),0)</f>
        <v>0</v>
      </c>
      <c r="T501" s="32">
        <f ca="1">IFERROR(__xludf.DUMMYFUNCTION("""COMPUTED_VALUE"""),0)</f>
        <v>0</v>
      </c>
      <c r="U501" s="32"/>
      <c r="V501" s="32">
        <f ca="1">IFERROR(__xludf.DUMMYFUNCTION("""COMPUTED_VALUE"""),0)</f>
        <v>0</v>
      </c>
      <c r="W501" s="32"/>
      <c r="X501" s="32">
        <f ca="1">IFERROR(__xludf.DUMMYFUNCTION("""COMPUTED_VALUE"""),0)</f>
        <v>0</v>
      </c>
      <c r="Y501" s="32"/>
      <c r="Z501" s="2"/>
      <c r="AA501" s="2"/>
      <c r="AB501" s="2"/>
      <c r="AC501" s="2"/>
      <c r="AD501" s="2"/>
      <c r="AE501" s="2"/>
    </row>
    <row r="502" spans="1:31" ht="12.75" x14ac:dyDescent="0.2">
      <c r="A502" s="28">
        <f ca="1">IFERROR(__xludf.DUMMYFUNCTION("""COMPUTED_VALUE"""),39)</f>
        <v>39</v>
      </c>
      <c r="B502" s="29" t="str">
        <f ca="1">IFERROR(__xludf.DUMMYFUNCTION("""COMPUTED_VALUE"""),"LMG Hoa Mộc Lan KV3")</f>
        <v>LMG Hoa Mộc Lan KV3</v>
      </c>
      <c r="C502" s="33" t="str">
        <f ca="1">IFERROR(__xludf.DUMMYFUNCTION("""COMPUTED_VALUE"""),"MN")</f>
        <v>MN</v>
      </c>
      <c r="D502" s="30" t="str">
        <f ca="1">IFERROR(__xludf.DUMMYFUNCTION("""COMPUTED_VALUE"""),"Tp. Thủ Đức")</f>
        <v>Tp. Thủ Đức</v>
      </c>
      <c r="E502" s="31">
        <f ca="1">IFERROR(__xludf.DUMMYFUNCTION("""COMPUTED_VALUE"""),7)</f>
        <v>7</v>
      </c>
      <c r="F502" s="32">
        <f ca="1">IFERROR(__xludf.DUMMYFUNCTION("""COMPUTED_VALUE"""),7)</f>
        <v>7</v>
      </c>
      <c r="G502" s="32"/>
      <c r="H502" s="32">
        <f ca="1">IFERROR(__xludf.DUMMYFUNCTION("""COMPUTED_VALUE"""),7)</f>
        <v>7</v>
      </c>
      <c r="I502" s="32"/>
      <c r="J502" s="32">
        <f ca="1">IFERROR(__xludf.DUMMYFUNCTION("""COMPUTED_VALUE"""),7)</f>
        <v>7</v>
      </c>
      <c r="K502" s="32"/>
      <c r="L502" s="32">
        <f ca="1">IFERROR(__xludf.DUMMYFUNCTION("""COMPUTED_VALUE"""),7)</f>
        <v>7</v>
      </c>
      <c r="M502" s="32"/>
      <c r="N502" s="31">
        <f ca="1">IFERROR(__xludf.DUMMYFUNCTION("""COMPUTED_VALUE"""),0)</f>
        <v>0</v>
      </c>
      <c r="O502" s="32">
        <f ca="1">IFERROR(__xludf.DUMMYFUNCTION("""COMPUTED_VALUE"""),0)</f>
        <v>0</v>
      </c>
      <c r="P502" s="32"/>
      <c r="Q502" s="32">
        <f ca="1">IFERROR(__xludf.DUMMYFUNCTION("""COMPUTED_VALUE"""),0)</f>
        <v>0</v>
      </c>
      <c r="R502" s="32"/>
      <c r="S502" s="31">
        <f ca="1">IFERROR(__xludf.DUMMYFUNCTION("""COMPUTED_VALUE"""),0)</f>
        <v>0</v>
      </c>
      <c r="T502" s="32">
        <f ca="1">IFERROR(__xludf.DUMMYFUNCTION("""COMPUTED_VALUE"""),0)</f>
        <v>0</v>
      </c>
      <c r="U502" s="32"/>
      <c r="V502" s="32">
        <f ca="1">IFERROR(__xludf.DUMMYFUNCTION("""COMPUTED_VALUE"""),0)</f>
        <v>0</v>
      </c>
      <c r="W502" s="32"/>
      <c r="X502" s="32">
        <f ca="1">IFERROR(__xludf.DUMMYFUNCTION("""COMPUTED_VALUE"""),0)</f>
        <v>0</v>
      </c>
      <c r="Y502" s="32"/>
      <c r="Z502" s="2"/>
      <c r="AA502" s="2"/>
      <c r="AB502" s="2"/>
      <c r="AC502" s="2"/>
      <c r="AD502" s="2"/>
      <c r="AE502" s="2"/>
    </row>
    <row r="503" spans="1:31" ht="12.75" x14ac:dyDescent="0.2">
      <c r="A503" s="28">
        <f ca="1">IFERROR(__xludf.DUMMYFUNCTION("""COMPUTED_VALUE"""),40)</f>
        <v>40</v>
      </c>
      <c r="B503" s="29" t="str">
        <f ca="1">IFERROR(__xludf.DUMMYFUNCTION("""COMPUTED_VALUE"""),"LMG Hoa Nắng KV3")</f>
        <v>LMG Hoa Nắng KV3</v>
      </c>
      <c r="C503" s="33" t="str">
        <f ca="1">IFERROR(__xludf.DUMMYFUNCTION("""COMPUTED_VALUE"""),"MN")</f>
        <v>MN</v>
      </c>
      <c r="D503" s="30" t="str">
        <f ca="1">IFERROR(__xludf.DUMMYFUNCTION("""COMPUTED_VALUE"""),"Tp. Thủ Đức")</f>
        <v>Tp. Thủ Đức</v>
      </c>
      <c r="E503" s="31">
        <f ca="1">IFERROR(__xludf.DUMMYFUNCTION("""COMPUTED_VALUE"""),4)</f>
        <v>4</v>
      </c>
      <c r="F503" s="32">
        <f ca="1">IFERROR(__xludf.DUMMYFUNCTION("""COMPUTED_VALUE"""),4)</f>
        <v>4</v>
      </c>
      <c r="G503" s="32"/>
      <c r="H503" s="32">
        <f ca="1">IFERROR(__xludf.DUMMYFUNCTION("""COMPUTED_VALUE"""),4)</f>
        <v>4</v>
      </c>
      <c r="I503" s="32"/>
      <c r="J503" s="32">
        <f ca="1">IFERROR(__xludf.DUMMYFUNCTION("""COMPUTED_VALUE"""),4)</f>
        <v>4</v>
      </c>
      <c r="K503" s="32"/>
      <c r="L503" s="32">
        <f ca="1">IFERROR(__xludf.DUMMYFUNCTION("""COMPUTED_VALUE"""),0)</f>
        <v>0</v>
      </c>
      <c r="M503" s="32"/>
      <c r="N503" s="31">
        <f ca="1">IFERROR(__xludf.DUMMYFUNCTION("""COMPUTED_VALUE"""),0)</f>
        <v>0</v>
      </c>
      <c r="O503" s="32">
        <f ca="1">IFERROR(__xludf.DUMMYFUNCTION("""COMPUTED_VALUE"""),0)</f>
        <v>0</v>
      </c>
      <c r="P503" s="32"/>
      <c r="Q503" s="32">
        <f ca="1">IFERROR(__xludf.DUMMYFUNCTION("""COMPUTED_VALUE"""),0)</f>
        <v>0</v>
      </c>
      <c r="R503" s="32"/>
      <c r="S503" s="31">
        <f ca="1">IFERROR(__xludf.DUMMYFUNCTION("""COMPUTED_VALUE"""),0)</f>
        <v>0</v>
      </c>
      <c r="T503" s="32">
        <f ca="1">IFERROR(__xludf.DUMMYFUNCTION("""COMPUTED_VALUE"""),0)</f>
        <v>0</v>
      </c>
      <c r="U503" s="32"/>
      <c r="V503" s="32">
        <f ca="1">IFERROR(__xludf.DUMMYFUNCTION("""COMPUTED_VALUE"""),0)</f>
        <v>0</v>
      </c>
      <c r="W503" s="32"/>
      <c r="X503" s="32">
        <f ca="1">IFERROR(__xludf.DUMMYFUNCTION("""COMPUTED_VALUE"""),0)</f>
        <v>0</v>
      </c>
      <c r="Y503" s="32"/>
      <c r="Z503" s="2"/>
      <c r="AA503" s="2"/>
      <c r="AB503" s="2"/>
      <c r="AC503" s="2"/>
      <c r="AD503" s="2"/>
      <c r="AE503" s="2"/>
    </row>
    <row r="504" spans="1:31" ht="12.75" x14ac:dyDescent="0.2">
      <c r="A504" s="28">
        <f ca="1">IFERROR(__xludf.DUMMYFUNCTION("""COMPUTED_VALUE"""),41)</f>
        <v>41</v>
      </c>
      <c r="B504" s="29" t="str">
        <f ca="1">IFERROR(__xludf.DUMMYFUNCTION("""COMPUTED_VALUE"""),"LMG Hoa Phượng Đỏ KV3")</f>
        <v>LMG Hoa Phượng Đỏ KV3</v>
      </c>
      <c r="C504" s="33" t="str">
        <f ca="1">IFERROR(__xludf.DUMMYFUNCTION("""COMPUTED_VALUE"""),"MN")</f>
        <v>MN</v>
      </c>
      <c r="D504" s="30" t="str">
        <f ca="1">IFERROR(__xludf.DUMMYFUNCTION("""COMPUTED_VALUE"""),"Tp. Thủ Đức")</f>
        <v>Tp. Thủ Đức</v>
      </c>
      <c r="E504" s="31">
        <f ca="1">IFERROR(__xludf.DUMMYFUNCTION("""COMPUTED_VALUE"""),4)</f>
        <v>4</v>
      </c>
      <c r="F504" s="32">
        <f ca="1">IFERROR(__xludf.DUMMYFUNCTION("""COMPUTED_VALUE"""),4)</f>
        <v>4</v>
      </c>
      <c r="G504" s="32"/>
      <c r="H504" s="32">
        <f ca="1">IFERROR(__xludf.DUMMYFUNCTION("""COMPUTED_VALUE"""),4)</f>
        <v>4</v>
      </c>
      <c r="I504" s="32"/>
      <c r="J504" s="32">
        <f ca="1">IFERROR(__xludf.DUMMYFUNCTION("""COMPUTED_VALUE"""),4)</f>
        <v>4</v>
      </c>
      <c r="K504" s="32"/>
      <c r="L504" s="32">
        <f ca="1">IFERROR(__xludf.DUMMYFUNCTION("""COMPUTED_VALUE"""),0)</f>
        <v>0</v>
      </c>
      <c r="M504" s="32"/>
      <c r="N504" s="31">
        <f ca="1">IFERROR(__xludf.DUMMYFUNCTION("""COMPUTED_VALUE"""),0)</f>
        <v>0</v>
      </c>
      <c r="O504" s="32">
        <f ca="1">IFERROR(__xludf.DUMMYFUNCTION("""COMPUTED_VALUE"""),0)</f>
        <v>0</v>
      </c>
      <c r="P504" s="32"/>
      <c r="Q504" s="32">
        <f ca="1">IFERROR(__xludf.DUMMYFUNCTION("""COMPUTED_VALUE"""),0)</f>
        <v>0</v>
      </c>
      <c r="R504" s="32"/>
      <c r="S504" s="31">
        <f ca="1">IFERROR(__xludf.DUMMYFUNCTION("""COMPUTED_VALUE"""),0)</f>
        <v>0</v>
      </c>
      <c r="T504" s="32">
        <f ca="1">IFERROR(__xludf.DUMMYFUNCTION("""COMPUTED_VALUE"""),0)</f>
        <v>0</v>
      </c>
      <c r="U504" s="32"/>
      <c r="V504" s="32">
        <f ca="1">IFERROR(__xludf.DUMMYFUNCTION("""COMPUTED_VALUE"""),0)</f>
        <v>0</v>
      </c>
      <c r="W504" s="32"/>
      <c r="X504" s="32">
        <f ca="1">IFERROR(__xludf.DUMMYFUNCTION("""COMPUTED_VALUE"""),0)</f>
        <v>0</v>
      </c>
      <c r="Y504" s="32"/>
      <c r="Z504" s="2"/>
      <c r="AA504" s="2"/>
      <c r="AB504" s="2"/>
      <c r="AC504" s="2"/>
      <c r="AD504" s="2"/>
      <c r="AE504" s="2"/>
    </row>
    <row r="505" spans="1:31" ht="12.75" x14ac:dyDescent="0.2">
      <c r="A505" s="28">
        <f ca="1">IFERROR(__xludf.DUMMYFUNCTION("""COMPUTED_VALUE"""),42)</f>
        <v>42</v>
      </c>
      <c r="B505" s="29" t="str">
        <f ca="1">IFERROR(__xludf.DUMMYFUNCTION("""COMPUTED_VALUE"""),"LMG Hoa Trạng Nguyên KV3")</f>
        <v>LMG Hoa Trạng Nguyên KV3</v>
      </c>
      <c r="C505" s="33" t="str">
        <f ca="1">IFERROR(__xludf.DUMMYFUNCTION("""COMPUTED_VALUE"""),"MN")</f>
        <v>MN</v>
      </c>
      <c r="D505" s="30" t="str">
        <f ca="1">IFERROR(__xludf.DUMMYFUNCTION("""COMPUTED_VALUE"""),"Tp. Thủ Đức")</f>
        <v>Tp. Thủ Đức</v>
      </c>
      <c r="E505" s="31">
        <f ca="1">IFERROR(__xludf.DUMMYFUNCTION("""COMPUTED_VALUE"""),6)</f>
        <v>6</v>
      </c>
      <c r="F505" s="32">
        <f ca="1">IFERROR(__xludf.DUMMYFUNCTION("""COMPUTED_VALUE"""),6)</f>
        <v>6</v>
      </c>
      <c r="G505" s="32"/>
      <c r="H505" s="32">
        <f ca="1">IFERROR(__xludf.DUMMYFUNCTION("""COMPUTED_VALUE"""),6)</f>
        <v>6</v>
      </c>
      <c r="I505" s="32"/>
      <c r="J505" s="32">
        <f ca="1">IFERROR(__xludf.DUMMYFUNCTION("""COMPUTED_VALUE"""),6)</f>
        <v>6</v>
      </c>
      <c r="K505" s="32"/>
      <c r="L505" s="32">
        <f ca="1">IFERROR(__xludf.DUMMYFUNCTION("""COMPUTED_VALUE"""),0)</f>
        <v>0</v>
      </c>
      <c r="M505" s="32"/>
      <c r="N505" s="31">
        <f ca="1">IFERROR(__xludf.DUMMYFUNCTION("""COMPUTED_VALUE"""),0)</f>
        <v>0</v>
      </c>
      <c r="O505" s="32">
        <f ca="1">IFERROR(__xludf.DUMMYFUNCTION("""COMPUTED_VALUE"""),0)</f>
        <v>0</v>
      </c>
      <c r="P505" s="32"/>
      <c r="Q505" s="32">
        <f ca="1">IFERROR(__xludf.DUMMYFUNCTION("""COMPUTED_VALUE"""),0)</f>
        <v>0</v>
      </c>
      <c r="R505" s="32"/>
      <c r="S505" s="31">
        <f ca="1">IFERROR(__xludf.DUMMYFUNCTION("""COMPUTED_VALUE"""),0)</f>
        <v>0</v>
      </c>
      <c r="T505" s="32">
        <f ca="1">IFERROR(__xludf.DUMMYFUNCTION("""COMPUTED_VALUE"""),0)</f>
        <v>0</v>
      </c>
      <c r="U505" s="32"/>
      <c r="V505" s="32">
        <f ca="1">IFERROR(__xludf.DUMMYFUNCTION("""COMPUTED_VALUE"""),0)</f>
        <v>0</v>
      </c>
      <c r="W505" s="32"/>
      <c r="X505" s="32">
        <f ca="1">IFERROR(__xludf.DUMMYFUNCTION("""COMPUTED_VALUE"""),0)</f>
        <v>0</v>
      </c>
      <c r="Y505" s="32"/>
      <c r="Z505" s="2"/>
      <c r="AA505" s="2"/>
      <c r="AB505" s="2"/>
      <c r="AC505" s="2"/>
      <c r="AD505" s="2"/>
      <c r="AE505" s="2"/>
    </row>
    <row r="506" spans="1:31" ht="12.75" x14ac:dyDescent="0.2">
      <c r="A506" s="28">
        <f ca="1">IFERROR(__xludf.DUMMYFUNCTION("""COMPUTED_VALUE"""),43)</f>
        <v>43</v>
      </c>
      <c r="B506" s="29" t="str">
        <f ca="1">IFERROR(__xludf.DUMMYFUNCTION("""COMPUTED_VALUE"""),"LMG Hoàng Hạc KV3")</f>
        <v>LMG Hoàng Hạc KV3</v>
      </c>
      <c r="C506" s="33" t="str">
        <f ca="1">IFERROR(__xludf.DUMMYFUNCTION("""COMPUTED_VALUE"""),"MN")</f>
        <v>MN</v>
      </c>
      <c r="D506" s="30" t="str">
        <f ca="1">IFERROR(__xludf.DUMMYFUNCTION("""COMPUTED_VALUE"""),"Tp. Thủ Đức")</f>
        <v>Tp. Thủ Đức</v>
      </c>
      <c r="E506" s="31">
        <f ca="1">IFERROR(__xludf.DUMMYFUNCTION("""COMPUTED_VALUE"""),6)</f>
        <v>6</v>
      </c>
      <c r="F506" s="32">
        <f ca="1">IFERROR(__xludf.DUMMYFUNCTION("""COMPUTED_VALUE"""),6)</f>
        <v>6</v>
      </c>
      <c r="G506" s="32"/>
      <c r="H506" s="32">
        <f ca="1">IFERROR(__xludf.DUMMYFUNCTION("""COMPUTED_VALUE"""),6)</f>
        <v>6</v>
      </c>
      <c r="I506" s="32"/>
      <c r="J506" s="32">
        <f ca="1">IFERROR(__xludf.DUMMYFUNCTION("""COMPUTED_VALUE"""),6)</f>
        <v>6</v>
      </c>
      <c r="K506" s="32"/>
      <c r="L506" s="32">
        <f ca="1">IFERROR(__xludf.DUMMYFUNCTION("""COMPUTED_VALUE"""),0)</f>
        <v>0</v>
      </c>
      <c r="M506" s="32"/>
      <c r="N506" s="31">
        <f ca="1">IFERROR(__xludf.DUMMYFUNCTION("""COMPUTED_VALUE"""),0)</f>
        <v>0</v>
      </c>
      <c r="O506" s="32">
        <f ca="1">IFERROR(__xludf.DUMMYFUNCTION("""COMPUTED_VALUE"""),0)</f>
        <v>0</v>
      </c>
      <c r="P506" s="32"/>
      <c r="Q506" s="32">
        <f ca="1">IFERROR(__xludf.DUMMYFUNCTION("""COMPUTED_VALUE"""),0)</f>
        <v>0</v>
      </c>
      <c r="R506" s="32"/>
      <c r="S506" s="31">
        <f ca="1">IFERROR(__xludf.DUMMYFUNCTION("""COMPUTED_VALUE"""),0)</f>
        <v>0</v>
      </c>
      <c r="T506" s="32">
        <f ca="1">IFERROR(__xludf.DUMMYFUNCTION("""COMPUTED_VALUE"""),0)</f>
        <v>0</v>
      </c>
      <c r="U506" s="32"/>
      <c r="V506" s="32">
        <f ca="1">IFERROR(__xludf.DUMMYFUNCTION("""COMPUTED_VALUE"""),0)</f>
        <v>0</v>
      </c>
      <c r="W506" s="32"/>
      <c r="X506" s="32">
        <f ca="1">IFERROR(__xludf.DUMMYFUNCTION("""COMPUTED_VALUE"""),0)</f>
        <v>0</v>
      </c>
      <c r="Y506" s="32"/>
      <c r="Z506" s="2"/>
      <c r="AA506" s="2"/>
      <c r="AB506" s="2"/>
      <c r="AC506" s="2"/>
      <c r="AD506" s="2"/>
      <c r="AE506" s="2"/>
    </row>
    <row r="507" spans="1:31" ht="12.75" x14ac:dyDescent="0.2">
      <c r="A507" s="28">
        <f ca="1">IFERROR(__xludf.DUMMYFUNCTION("""COMPUTED_VALUE"""),44)</f>
        <v>44</v>
      </c>
      <c r="B507" s="29" t="str">
        <f ca="1">IFERROR(__xludf.DUMMYFUNCTION("""COMPUTED_VALUE"""),"LMG Hoàng Kim KV3")</f>
        <v>LMG Hoàng Kim KV3</v>
      </c>
      <c r="C507" s="33" t="str">
        <f ca="1">IFERROR(__xludf.DUMMYFUNCTION("""COMPUTED_VALUE"""),"MN")</f>
        <v>MN</v>
      </c>
      <c r="D507" s="30" t="str">
        <f ca="1">IFERROR(__xludf.DUMMYFUNCTION("""COMPUTED_VALUE"""),"Tp. Thủ Đức")</f>
        <v>Tp. Thủ Đức</v>
      </c>
      <c r="E507" s="31">
        <f ca="1">IFERROR(__xludf.DUMMYFUNCTION("""COMPUTED_VALUE"""),6)</f>
        <v>6</v>
      </c>
      <c r="F507" s="32">
        <f ca="1">IFERROR(__xludf.DUMMYFUNCTION("""COMPUTED_VALUE"""),6)</f>
        <v>6</v>
      </c>
      <c r="G507" s="32"/>
      <c r="H507" s="32">
        <f ca="1">IFERROR(__xludf.DUMMYFUNCTION("""COMPUTED_VALUE"""),6)</f>
        <v>6</v>
      </c>
      <c r="I507" s="32"/>
      <c r="J507" s="32">
        <f ca="1">IFERROR(__xludf.DUMMYFUNCTION("""COMPUTED_VALUE"""),6)</f>
        <v>6</v>
      </c>
      <c r="K507" s="32"/>
      <c r="L507" s="32">
        <f ca="1">IFERROR(__xludf.DUMMYFUNCTION("""COMPUTED_VALUE"""),1)</f>
        <v>1</v>
      </c>
      <c r="M507" s="32"/>
      <c r="N507" s="31">
        <f ca="1">IFERROR(__xludf.DUMMYFUNCTION("""COMPUTED_VALUE"""),0)</f>
        <v>0</v>
      </c>
      <c r="O507" s="32">
        <f ca="1">IFERROR(__xludf.DUMMYFUNCTION("""COMPUTED_VALUE"""),0)</f>
        <v>0</v>
      </c>
      <c r="P507" s="32"/>
      <c r="Q507" s="32">
        <f ca="1">IFERROR(__xludf.DUMMYFUNCTION("""COMPUTED_VALUE"""),0)</f>
        <v>0</v>
      </c>
      <c r="R507" s="32"/>
      <c r="S507" s="31">
        <f ca="1">IFERROR(__xludf.DUMMYFUNCTION("""COMPUTED_VALUE"""),0)</f>
        <v>0</v>
      </c>
      <c r="T507" s="32">
        <f ca="1">IFERROR(__xludf.DUMMYFUNCTION("""COMPUTED_VALUE"""),0)</f>
        <v>0</v>
      </c>
      <c r="U507" s="32"/>
      <c r="V507" s="32">
        <f ca="1">IFERROR(__xludf.DUMMYFUNCTION("""COMPUTED_VALUE"""),0)</f>
        <v>0</v>
      </c>
      <c r="W507" s="32"/>
      <c r="X507" s="32">
        <f ca="1">IFERROR(__xludf.DUMMYFUNCTION("""COMPUTED_VALUE"""),0)</f>
        <v>0</v>
      </c>
      <c r="Y507" s="32"/>
      <c r="Z507" s="2"/>
      <c r="AA507" s="2"/>
      <c r="AB507" s="2"/>
      <c r="AC507" s="2"/>
      <c r="AD507" s="2"/>
      <c r="AE507" s="2"/>
    </row>
    <row r="508" spans="1:31" ht="12.75" x14ac:dyDescent="0.2">
      <c r="A508" s="28">
        <f ca="1">IFERROR(__xludf.DUMMYFUNCTION("""COMPUTED_VALUE"""),45)</f>
        <v>45</v>
      </c>
      <c r="B508" s="29" t="str">
        <f ca="1">IFERROR(__xludf.DUMMYFUNCTION("""COMPUTED_VALUE"""),"LMG Hồng Phúc KV3")</f>
        <v>LMG Hồng Phúc KV3</v>
      </c>
      <c r="C508" s="33" t="str">
        <f ca="1">IFERROR(__xludf.DUMMYFUNCTION("""COMPUTED_VALUE"""),"MN")</f>
        <v>MN</v>
      </c>
      <c r="D508" s="30" t="str">
        <f ca="1">IFERROR(__xludf.DUMMYFUNCTION("""COMPUTED_VALUE"""),"Tp. Thủ Đức")</f>
        <v>Tp. Thủ Đức</v>
      </c>
      <c r="E508" s="31">
        <f ca="1">IFERROR(__xludf.DUMMYFUNCTION("""COMPUTED_VALUE"""),7)</f>
        <v>7</v>
      </c>
      <c r="F508" s="32">
        <f ca="1">IFERROR(__xludf.DUMMYFUNCTION("""COMPUTED_VALUE"""),7)</f>
        <v>7</v>
      </c>
      <c r="G508" s="32"/>
      <c r="H508" s="32">
        <f ca="1">IFERROR(__xludf.DUMMYFUNCTION("""COMPUTED_VALUE"""),7)</f>
        <v>7</v>
      </c>
      <c r="I508" s="32"/>
      <c r="J508" s="32">
        <f ca="1">IFERROR(__xludf.DUMMYFUNCTION("""COMPUTED_VALUE"""),7)</f>
        <v>7</v>
      </c>
      <c r="K508" s="32"/>
      <c r="L508" s="32">
        <f ca="1">IFERROR(__xludf.DUMMYFUNCTION("""COMPUTED_VALUE"""),0)</f>
        <v>0</v>
      </c>
      <c r="M508" s="32"/>
      <c r="N508" s="31">
        <f ca="1">IFERROR(__xludf.DUMMYFUNCTION("""COMPUTED_VALUE"""),0)</f>
        <v>0</v>
      </c>
      <c r="O508" s="32">
        <f ca="1">IFERROR(__xludf.DUMMYFUNCTION("""COMPUTED_VALUE"""),0)</f>
        <v>0</v>
      </c>
      <c r="P508" s="32"/>
      <c r="Q508" s="32">
        <f ca="1">IFERROR(__xludf.DUMMYFUNCTION("""COMPUTED_VALUE"""),0)</f>
        <v>0</v>
      </c>
      <c r="R508" s="32"/>
      <c r="S508" s="31">
        <f ca="1">IFERROR(__xludf.DUMMYFUNCTION("""COMPUTED_VALUE"""),0)</f>
        <v>0</v>
      </c>
      <c r="T508" s="32">
        <f ca="1">IFERROR(__xludf.DUMMYFUNCTION("""COMPUTED_VALUE"""),0)</f>
        <v>0</v>
      </c>
      <c r="U508" s="32"/>
      <c r="V508" s="32">
        <f ca="1">IFERROR(__xludf.DUMMYFUNCTION("""COMPUTED_VALUE"""),0)</f>
        <v>0</v>
      </c>
      <c r="W508" s="32"/>
      <c r="X508" s="32">
        <f ca="1">IFERROR(__xludf.DUMMYFUNCTION("""COMPUTED_VALUE"""),0)</f>
        <v>0</v>
      </c>
      <c r="Y508" s="32"/>
      <c r="Z508" s="2"/>
      <c r="AA508" s="2"/>
      <c r="AB508" s="2"/>
      <c r="AC508" s="2"/>
      <c r="AD508" s="2"/>
      <c r="AE508" s="2"/>
    </row>
    <row r="509" spans="1:31" ht="12.75" x14ac:dyDescent="0.2">
      <c r="A509" s="28">
        <f ca="1">IFERROR(__xludf.DUMMYFUNCTION("""COMPUTED_VALUE"""),46)</f>
        <v>46</v>
      </c>
      <c r="B509" s="29" t="str">
        <f ca="1">IFERROR(__xludf.DUMMYFUNCTION("""COMPUTED_VALUE"""),"LMG Hừng Đông KV3")</f>
        <v>LMG Hừng Đông KV3</v>
      </c>
      <c r="C509" s="33" t="str">
        <f ca="1">IFERROR(__xludf.DUMMYFUNCTION("""COMPUTED_VALUE"""),"MN")</f>
        <v>MN</v>
      </c>
      <c r="D509" s="30" t="str">
        <f ca="1">IFERROR(__xludf.DUMMYFUNCTION("""COMPUTED_VALUE"""),"Tp. Thủ Đức")</f>
        <v>Tp. Thủ Đức</v>
      </c>
      <c r="E509" s="31">
        <f ca="1">IFERROR(__xludf.DUMMYFUNCTION("""COMPUTED_VALUE"""),7)</f>
        <v>7</v>
      </c>
      <c r="F509" s="32">
        <f ca="1">IFERROR(__xludf.DUMMYFUNCTION("""COMPUTED_VALUE"""),7)</f>
        <v>7</v>
      </c>
      <c r="G509" s="32"/>
      <c r="H509" s="32">
        <f ca="1">IFERROR(__xludf.DUMMYFUNCTION("""COMPUTED_VALUE"""),7)</f>
        <v>7</v>
      </c>
      <c r="I509" s="32"/>
      <c r="J509" s="32">
        <f ca="1">IFERROR(__xludf.DUMMYFUNCTION("""COMPUTED_VALUE"""),7)</f>
        <v>7</v>
      </c>
      <c r="K509" s="32"/>
      <c r="L509" s="32">
        <f ca="1">IFERROR(__xludf.DUMMYFUNCTION("""COMPUTED_VALUE"""),0)</f>
        <v>0</v>
      </c>
      <c r="M509" s="32"/>
      <c r="N509" s="31">
        <f ca="1">IFERROR(__xludf.DUMMYFUNCTION("""COMPUTED_VALUE"""),0)</f>
        <v>0</v>
      </c>
      <c r="O509" s="32">
        <f ca="1">IFERROR(__xludf.DUMMYFUNCTION("""COMPUTED_VALUE"""),0)</f>
        <v>0</v>
      </c>
      <c r="P509" s="32"/>
      <c r="Q509" s="32">
        <f ca="1">IFERROR(__xludf.DUMMYFUNCTION("""COMPUTED_VALUE"""),0)</f>
        <v>0</v>
      </c>
      <c r="R509" s="32"/>
      <c r="S509" s="31">
        <f ca="1">IFERROR(__xludf.DUMMYFUNCTION("""COMPUTED_VALUE"""),0)</f>
        <v>0</v>
      </c>
      <c r="T509" s="32">
        <f ca="1">IFERROR(__xludf.DUMMYFUNCTION("""COMPUTED_VALUE"""),0)</f>
        <v>0</v>
      </c>
      <c r="U509" s="32"/>
      <c r="V509" s="32">
        <f ca="1">IFERROR(__xludf.DUMMYFUNCTION("""COMPUTED_VALUE"""),0)</f>
        <v>0</v>
      </c>
      <c r="W509" s="32"/>
      <c r="X509" s="32">
        <f ca="1">IFERROR(__xludf.DUMMYFUNCTION("""COMPUTED_VALUE"""),0)</f>
        <v>0</v>
      </c>
      <c r="Y509" s="32"/>
      <c r="Z509" s="2"/>
      <c r="AA509" s="2"/>
      <c r="AB509" s="2"/>
      <c r="AC509" s="2"/>
      <c r="AD509" s="2"/>
      <c r="AE509" s="2"/>
    </row>
    <row r="510" spans="1:31" ht="12.75" x14ac:dyDescent="0.2">
      <c r="A510" s="28">
        <f ca="1">IFERROR(__xludf.DUMMYFUNCTION("""COMPUTED_VALUE"""),47)</f>
        <v>47</v>
      </c>
      <c r="B510" s="29" t="str">
        <f ca="1">IFERROR(__xludf.DUMMYFUNCTION("""COMPUTED_VALUE"""),"LMG Hy Vọng KV3")</f>
        <v>LMG Hy Vọng KV3</v>
      </c>
      <c r="C510" s="33" t="str">
        <f ca="1">IFERROR(__xludf.DUMMYFUNCTION("""COMPUTED_VALUE"""),"MN")</f>
        <v>MN</v>
      </c>
      <c r="D510" s="30" t="str">
        <f ca="1">IFERROR(__xludf.DUMMYFUNCTION("""COMPUTED_VALUE"""),"Tp. Thủ Đức")</f>
        <v>Tp. Thủ Đức</v>
      </c>
      <c r="E510" s="31">
        <f ca="1">IFERROR(__xludf.DUMMYFUNCTION("""COMPUTED_VALUE"""),6)</f>
        <v>6</v>
      </c>
      <c r="F510" s="32">
        <f ca="1">IFERROR(__xludf.DUMMYFUNCTION("""COMPUTED_VALUE"""),6)</f>
        <v>6</v>
      </c>
      <c r="G510" s="32"/>
      <c r="H510" s="32">
        <f ca="1">IFERROR(__xludf.DUMMYFUNCTION("""COMPUTED_VALUE"""),6)</f>
        <v>6</v>
      </c>
      <c r="I510" s="32"/>
      <c r="J510" s="32">
        <f ca="1">IFERROR(__xludf.DUMMYFUNCTION("""COMPUTED_VALUE"""),6)</f>
        <v>6</v>
      </c>
      <c r="K510" s="32"/>
      <c r="L510" s="32">
        <f ca="1">IFERROR(__xludf.DUMMYFUNCTION("""COMPUTED_VALUE"""),3)</f>
        <v>3</v>
      </c>
      <c r="M510" s="32"/>
      <c r="N510" s="31">
        <f ca="1">IFERROR(__xludf.DUMMYFUNCTION("""COMPUTED_VALUE"""),0)</f>
        <v>0</v>
      </c>
      <c r="O510" s="32">
        <f ca="1">IFERROR(__xludf.DUMMYFUNCTION("""COMPUTED_VALUE"""),0)</f>
        <v>0</v>
      </c>
      <c r="P510" s="32"/>
      <c r="Q510" s="32">
        <f ca="1">IFERROR(__xludf.DUMMYFUNCTION("""COMPUTED_VALUE"""),0)</f>
        <v>0</v>
      </c>
      <c r="R510" s="32"/>
      <c r="S510" s="31">
        <f ca="1">IFERROR(__xludf.DUMMYFUNCTION("""COMPUTED_VALUE"""),0)</f>
        <v>0</v>
      </c>
      <c r="T510" s="32">
        <f ca="1">IFERROR(__xludf.DUMMYFUNCTION("""COMPUTED_VALUE"""),0)</f>
        <v>0</v>
      </c>
      <c r="U510" s="32"/>
      <c r="V510" s="32">
        <f ca="1">IFERROR(__xludf.DUMMYFUNCTION("""COMPUTED_VALUE"""),0)</f>
        <v>0</v>
      </c>
      <c r="W510" s="32"/>
      <c r="X510" s="32">
        <f ca="1">IFERROR(__xludf.DUMMYFUNCTION("""COMPUTED_VALUE"""),0)</f>
        <v>0</v>
      </c>
      <c r="Y510" s="32"/>
      <c r="Z510" s="2"/>
      <c r="AA510" s="2"/>
      <c r="AB510" s="2"/>
      <c r="AC510" s="2"/>
      <c r="AD510" s="2"/>
      <c r="AE510" s="2"/>
    </row>
    <row r="511" spans="1:31" ht="12.75" x14ac:dyDescent="0.2">
      <c r="A511" s="28">
        <f ca="1">IFERROR(__xludf.DUMMYFUNCTION("""COMPUTED_VALUE"""),48)</f>
        <v>48</v>
      </c>
      <c r="B511" s="29" t="str">
        <f ca="1">IFERROR(__xludf.DUMMYFUNCTION("""COMPUTED_VALUE"""),"LMG Khang Nguyên KV3")</f>
        <v>LMG Khang Nguyên KV3</v>
      </c>
      <c r="C511" s="33" t="str">
        <f ca="1">IFERROR(__xludf.DUMMYFUNCTION("""COMPUTED_VALUE"""),"MN")</f>
        <v>MN</v>
      </c>
      <c r="D511" s="30" t="str">
        <f ca="1">IFERROR(__xludf.DUMMYFUNCTION("""COMPUTED_VALUE"""),"Tp. Thủ Đức")</f>
        <v>Tp. Thủ Đức</v>
      </c>
      <c r="E511" s="31">
        <f ca="1">IFERROR(__xludf.DUMMYFUNCTION("""COMPUTED_VALUE"""),4)</f>
        <v>4</v>
      </c>
      <c r="F511" s="32">
        <f ca="1">IFERROR(__xludf.DUMMYFUNCTION("""COMPUTED_VALUE"""),4)</f>
        <v>4</v>
      </c>
      <c r="G511" s="32"/>
      <c r="H511" s="32">
        <f ca="1">IFERROR(__xludf.DUMMYFUNCTION("""COMPUTED_VALUE"""),4)</f>
        <v>4</v>
      </c>
      <c r="I511" s="32"/>
      <c r="J511" s="32">
        <f ca="1">IFERROR(__xludf.DUMMYFUNCTION("""COMPUTED_VALUE"""),4)</f>
        <v>4</v>
      </c>
      <c r="K511" s="32"/>
      <c r="L511" s="32">
        <f ca="1">IFERROR(__xludf.DUMMYFUNCTION("""COMPUTED_VALUE"""),0)</f>
        <v>0</v>
      </c>
      <c r="M511" s="32"/>
      <c r="N511" s="31">
        <f ca="1">IFERROR(__xludf.DUMMYFUNCTION("""COMPUTED_VALUE"""),0)</f>
        <v>0</v>
      </c>
      <c r="O511" s="32">
        <f ca="1">IFERROR(__xludf.DUMMYFUNCTION("""COMPUTED_VALUE"""),0)</f>
        <v>0</v>
      </c>
      <c r="P511" s="32"/>
      <c r="Q511" s="32">
        <f ca="1">IFERROR(__xludf.DUMMYFUNCTION("""COMPUTED_VALUE"""),0)</f>
        <v>0</v>
      </c>
      <c r="R511" s="32"/>
      <c r="S511" s="31">
        <f ca="1">IFERROR(__xludf.DUMMYFUNCTION("""COMPUTED_VALUE"""),0)</f>
        <v>0</v>
      </c>
      <c r="T511" s="32">
        <f ca="1">IFERROR(__xludf.DUMMYFUNCTION("""COMPUTED_VALUE"""),0)</f>
        <v>0</v>
      </c>
      <c r="U511" s="32"/>
      <c r="V511" s="32">
        <f ca="1">IFERROR(__xludf.DUMMYFUNCTION("""COMPUTED_VALUE"""),0)</f>
        <v>0</v>
      </c>
      <c r="W511" s="32"/>
      <c r="X511" s="32">
        <f ca="1">IFERROR(__xludf.DUMMYFUNCTION("""COMPUTED_VALUE"""),0)</f>
        <v>0</v>
      </c>
      <c r="Y511" s="32"/>
      <c r="Z511" s="2"/>
      <c r="AA511" s="2"/>
      <c r="AB511" s="2"/>
      <c r="AC511" s="2"/>
      <c r="AD511" s="2"/>
      <c r="AE511" s="2"/>
    </row>
    <row r="512" spans="1:31" ht="12.75" x14ac:dyDescent="0.2">
      <c r="A512" s="28">
        <f ca="1">IFERROR(__xludf.DUMMYFUNCTION("""COMPUTED_VALUE"""),49)</f>
        <v>49</v>
      </c>
      <c r="B512" s="29" t="str">
        <f ca="1">IFERROR(__xludf.DUMMYFUNCTION("""COMPUTED_VALUE"""),"LMG Mimosa KV3")</f>
        <v>LMG Mimosa KV3</v>
      </c>
      <c r="C512" s="33" t="str">
        <f ca="1">IFERROR(__xludf.DUMMYFUNCTION("""COMPUTED_VALUE"""),"MN")</f>
        <v>MN</v>
      </c>
      <c r="D512" s="30" t="str">
        <f ca="1">IFERROR(__xludf.DUMMYFUNCTION("""COMPUTED_VALUE"""),"Tp. Thủ Đức")</f>
        <v>Tp. Thủ Đức</v>
      </c>
      <c r="E512" s="31">
        <f ca="1">IFERROR(__xludf.DUMMYFUNCTION("""COMPUTED_VALUE"""),4)</f>
        <v>4</v>
      </c>
      <c r="F512" s="32">
        <f ca="1">IFERROR(__xludf.DUMMYFUNCTION("""COMPUTED_VALUE"""),4)</f>
        <v>4</v>
      </c>
      <c r="G512" s="32"/>
      <c r="H512" s="32">
        <f ca="1">IFERROR(__xludf.DUMMYFUNCTION("""COMPUTED_VALUE"""),4)</f>
        <v>4</v>
      </c>
      <c r="I512" s="32"/>
      <c r="J512" s="32">
        <f ca="1">IFERROR(__xludf.DUMMYFUNCTION("""COMPUTED_VALUE"""),3)</f>
        <v>3</v>
      </c>
      <c r="K512" s="32"/>
      <c r="L512" s="32">
        <f ca="1">IFERROR(__xludf.DUMMYFUNCTION("""COMPUTED_VALUE"""),0)</f>
        <v>0</v>
      </c>
      <c r="M512" s="32"/>
      <c r="N512" s="31">
        <f ca="1">IFERROR(__xludf.DUMMYFUNCTION("""COMPUTED_VALUE"""),0)</f>
        <v>0</v>
      </c>
      <c r="O512" s="32">
        <f ca="1">IFERROR(__xludf.DUMMYFUNCTION("""COMPUTED_VALUE"""),0)</f>
        <v>0</v>
      </c>
      <c r="P512" s="32"/>
      <c r="Q512" s="32">
        <f ca="1">IFERROR(__xludf.DUMMYFUNCTION("""COMPUTED_VALUE"""),0)</f>
        <v>0</v>
      </c>
      <c r="R512" s="32"/>
      <c r="S512" s="31">
        <f ca="1">IFERROR(__xludf.DUMMYFUNCTION("""COMPUTED_VALUE"""),0)</f>
        <v>0</v>
      </c>
      <c r="T512" s="32">
        <f ca="1">IFERROR(__xludf.DUMMYFUNCTION("""COMPUTED_VALUE"""),0)</f>
        <v>0</v>
      </c>
      <c r="U512" s="32"/>
      <c r="V512" s="32">
        <f ca="1">IFERROR(__xludf.DUMMYFUNCTION("""COMPUTED_VALUE"""),0)</f>
        <v>0</v>
      </c>
      <c r="W512" s="32"/>
      <c r="X512" s="32">
        <f ca="1">IFERROR(__xludf.DUMMYFUNCTION("""COMPUTED_VALUE"""),0)</f>
        <v>0</v>
      </c>
      <c r="Y512" s="32"/>
      <c r="Z512" s="2"/>
      <c r="AA512" s="2"/>
      <c r="AB512" s="2"/>
      <c r="AC512" s="2"/>
      <c r="AD512" s="2"/>
      <c r="AE512" s="2"/>
    </row>
    <row r="513" spans="1:31" ht="12.75" x14ac:dyDescent="0.2">
      <c r="A513" s="28">
        <f ca="1">IFERROR(__xludf.DUMMYFUNCTION("""COMPUTED_VALUE"""),50)</f>
        <v>50</v>
      </c>
      <c r="B513" s="29" t="str">
        <f ca="1">IFERROR(__xludf.DUMMYFUNCTION("""COMPUTED_VALUE"""),"LMG Ngọc Đạt KV3")</f>
        <v>LMG Ngọc Đạt KV3</v>
      </c>
      <c r="C513" s="33" t="str">
        <f ca="1">IFERROR(__xludf.DUMMYFUNCTION("""COMPUTED_VALUE"""),"MN")</f>
        <v>MN</v>
      </c>
      <c r="D513" s="30" t="str">
        <f ca="1">IFERROR(__xludf.DUMMYFUNCTION("""COMPUTED_VALUE"""),"Tp. Thủ Đức")</f>
        <v>Tp. Thủ Đức</v>
      </c>
      <c r="E513" s="31">
        <f ca="1">IFERROR(__xludf.DUMMYFUNCTION("""COMPUTED_VALUE"""),4)</f>
        <v>4</v>
      </c>
      <c r="F513" s="32">
        <f ca="1">IFERROR(__xludf.DUMMYFUNCTION("""COMPUTED_VALUE"""),4)</f>
        <v>4</v>
      </c>
      <c r="G513" s="32"/>
      <c r="H513" s="32">
        <f ca="1">IFERROR(__xludf.DUMMYFUNCTION("""COMPUTED_VALUE"""),4)</f>
        <v>4</v>
      </c>
      <c r="I513" s="32"/>
      <c r="J513" s="32">
        <f ca="1">IFERROR(__xludf.DUMMYFUNCTION("""COMPUTED_VALUE"""),4)</f>
        <v>4</v>
      </c>
      <c r="K513" s="32"/>
      <c r="L513" s="32">
        <f ca="1">IFERROR(__xludf.DUMMYFUNCTION("""COMPUTED_VALUE"""),0)</f>
        <v>0</v>
      </c>
      <c r="M513" s="32"/>
      <c r="N513" s="31">
        <f ca="1">IFERROR(__xludf.DUMMYFUNCTION("""COMPUTED_VALUE"""),0)</f>
        <v>0</v>
      </c>
      <c r="O513" s="32">
        <f ca="1">IFERROR(__xludf.DUMMYFUNCTION("""COMPUTED_VALUE"""),0)</f>
        <v>0</v>
      </c>
      <c r="P513" s="32"/>
      <c r="Q513" s="32">
        <f ca="1">IFERROR(__xludf.DUMMYFUNCTION("""COMPUTED_VALUE"""),0)</f>
        <v>0</v>
      </c>
      <c r="R513" s="32"/>
      <c r="S513" s="31">
        <f ca="1">IFERROR(__xludf.DUMMYFUNCTION("""COMPUTED_VALUE"""),0)</f>
        <v>0</v>
      </c>
      <c r="T513" s="32">
        <f ca="1">IFERROR(__xludf.DUMMYFUNCTION("""COMPUTED_VALUE"""),0)</f>
        <v>0</v>
      </c>
      <c r="U513" s="32"/>
      <c r="V513" s="32">
        <f ca="1">IFERROR(__xludf.DUMMYFUNCTION("""COMPUTED_VALUE"""),0)</f>
        <v>0</v>
      </c>
      <c r="W513" s="32"/>
      <c r="X513" s="32">
        <f ca="1">IFERROR(__xludf.DUMMYFUNCTION("""COMPUTED_VALUE"""),0)</f>
        <v>0</v>
      </c>
      <c r="Y513" s="32"/>
      <c r="Z513" s="2"/>
      <c r="AA513" s="2"/>
      <c r="AB513" s="2"/>
      <c r="AC513" s="2"/>
      <c r="AD513" s="2"/>
      <c r="AE513" s="2"/>
    </row>
    <row r="514" spans="1:31" ht="12.75" x14ac:dyDescent="0.2">
      <c r="A514" s="28">
        <f ca="1">IFERROR(__xludf.DUMMYFUNCTION("""COMPUTED_VALUE"""),51)</f>
        <v>51</v>
      </c>
      <c r="B514" s="29" t="str">
        <f ca="1">IFERROR(__xludf.DUMMYFUNCTION("""COMPUTED_VALUE"""),"LMG Ngọc Phúc KV3")</f>
        <v>LMG Ngọc Phúc KV3</v>
      </c>
      <c r="C514" s="33" t="str">
        <f ca="1">IFERROR(__xludf.DUMMYFUNCTION("""COMPUTED_VALUE"""),"MN")</f>
        <v>MN</v>
      </c>
      <c r="D514" s="30" t="str">
        <f ca="1">IFERROR(__xludf.DUMMYFUNCTION("""COMPUTED_VALUE"""),"Tp. Thủ Đức")</f>
        <v>Tp. Thủ Đức</v>
      </c>
      <c r="E514" s="31">
        <f ca="1">IFERROR(__xludf.DUMMYFUNCTION("""COMPUTED_VALUE"""),5)</f>
        <v>5</v>
      </c>
      <c r="F514" s="32">
        <f ca="1">IFERROR(__xludf.DUMMYFUNCTION("""COMPUTED_VALUE"""),5)</f>
        <v>5</v>
      </c>
      <c r="G514" s="32"/>
      <c r="H514" s="32">
        <f ca="1">IFERROR(__xludf.DUMMYFUNCTION("""COMPUTED_VALUE"""),5)</f>
        <v>5</v>
      </c>
      <c r="I514" s="32"/>
      <c r="J514" s="32">
        <f ca="1">IFERROR(__xludf.DUMMYFUNCTION("""COMPUTED_VALUE"""),5)</f>
        <v>5</v>
      </c>
      <c r="K514" s="32"/>
      <c r="L514" s="32">
        <f ca="1">IFERROR(__xludf.DUMMYFUNCTION("""COMPUTED_VALUE"""),0)</f>
        <v>0</v>
      </c>
      <c r="M514" s="32"/>
      <c r="N514" s="31">
        <f ca="1">IFERROR(__xludf.DUMMYFUNCTION("""COMPUTED_VALUE"""),0)</f>
        <v>0</v>
      </c>
      <c r="O514" s="32">
        <f ca="1">IFERROR(__xludf.DUMMYFUNCTION("""COMPUTED_VALUE"""),0)</f>
        <v>0</v>
      </c>
      <c r="P514" s="32"/>
      <c r="Q514" s="32">
        <f ca="1">IFERROR(__xludf.DUMMYFUNCTION("""COMPUTED_VALUE"""),0)</f>
        <v>0</v>
      </c>
      <c r="R514" s="32"/>
      <c r="S514" s="31">
        <f ca="1">IFERROR(__xludf.DUMMYFUNCTION("""COMPUTED_VALUE"""),0)</f>
        <v>0</v>
      </c>
      <c r="T514" s="32">
        <f ca="1">IFERROR(__xludf.DUMMYFUNCTION("""COMPUTED_VALUE"""),0)</f>
        <v>0</v>
      </c>
      <c r="U514" s="32"/>
      <c r="V514" s="32">
        <f ca="1">IFERROR(__xludf.DUMMYFUNCTION("""COMPUTED_VALUE"""),0)</f>
        <v>0</v>
      </c>
      <c r="W514" s="32"/>
      <c r="X514" s="32">
        <f ca="1">IFERROR(__xludf.DUMMYFUNCTION("""COMPUTED_VALUE"""),0)</f>
        <v>0</v>
      </c>
      <c r="Y514" s="32"/>
      <c r="Z514" s="2"/>
      <c r="AA514" s="2"/>
      <c r="AB514" s="2"/>
      <c r="AC514" s="2"/>
      <c r="AD514" s="2"/>
      <c r="AE514" s="2"/>
    </row>
    <row r="515" spans="1:31" ht="12.75" x14ac:dyDescent="0.2">
      <c r="A515" s="28">
        <f ca="1">IFERROR(__xludf.DUMMYFUNCTION("""COMPUTED_VALUE"""),52)</f>
        <v>52</v>
      </c>
      <c r="B515" s="29" t="str">
        <f ca="1">IFERROR(__xludf.DUMMYFUNCTION("""COMPUTED_VALUE"""),"LMG Ngôi Nhà Trẻ Thơ KV3")</f>
        <v>LMG Ngôi Nhà Trẻ Thơ KV3</v>
      </c>
      <c r="C515" s="33" t="str">
        <f ca="1">IFERROR(__xludf.DUMMYFUNCTION("""COMPUTED_VALUE"""),"MN")</f>
        <v>MN</v>
      </c>
      <c r="D515" s="30" t="str">
        <f ca="1">IFERROR(__xludf.DUMMYFUNCTION("""COMPUTED_VALUE"""),"Tp. Thủ Đức")</f>
        <v>Tp. Thủ Đức</v>
      </c>
      <c r="E515" s="31">
        <f ca="1">IFERROR(__xludf.DUMMYFUNCTION("""COMPUTED_VALUE"""),7)</f>
        <v>7</v>
      </c>
      <c r="F515" s="32">
        <f ca="1">IFERROR(__xludf.DUMMYFUNCTION("""COMPUTED_VALUE"""),7)</f>
        <v>7</v>
      </c>
      <c r="G515" s="32"/>
      <c r="H515" s="32">
        <f ca="1">IFERROR(__xludf.DUMMYFUNCTION("""COMPUTED_VALUE"""),7)</f>
        <v>7</v>
      </c>
      <c r="I515" s="32"/>
      <c r="J515" s="32">
        <f ca="1">IFERROR(__xludf.DUMMYFUNCTION("""COMPUTED_VALUE"""),6)</f>
        <v>6</v>
      </c>
      <c r="K515" s="32"/>
      <c r="L515" s="32">
        <f ca="1">IFERROR(__xludf.DUMMYFUNCTION("""COMPUTED_VALUE"""),0)</f>
        <v>0</v>
      </c>
      <c r="M515" s="32"/>
      <c r="N515" s="31">
        <f ca="1">IFERROR(__xludf.DUMMYFUNCTION("""COMPUTED_VALUE"""),0)</f>
        <v>0</v>
      </c>
      <c r="O515" s="32">
        <f ca="1">IFERROR(__xludf.DUMMYFUNCTION("""COMPUTED_VALUE"""),0)</f>
        <v>0</v>
      </c>
      <c r="P515" s="32"/>
      <c r="Q515" s="32">
        <f ca="1">IFERROR(__xludf.DUMMYFUNCTION("""COMPUTED_VALUE"""),0)</f>
        <v>0</v>
      </c>
      <c r="R515" s="32"/>
      <c r="S515" s="31">
        <f ca="1">IFERROR(__xludf.DUMMYFUNCTION("""COMPUTED_VALUE"""),0)</f>
        <v>0</v>
      </c>
      <c r="T515" s="32">
        <f ca="1">IFERROR(__xludf.DUMMYFUNCTION("""COMPUTED_VALUE"""),0)</f>
        <v>0</v>
      </c>
      <c r="U515" s="32"/>
      <c r="V515" s="32">
        <f ca="1">IFERROR(__xludf.DUMMYFUNCTION("""COMPUTED_VALUE"""),0)</f>
        <v>0</v>
      </c>
      <c r="W515" s="32"/>
      <c r="X515" s="32">
        <f ca="1">IFERROR(__xludf.DUMMYFUNCTION("""COMPUTED_VALUE"""),0)</f>
        <v>0</v>
      </c>
      <c r="Y515" s="32"/>
      <c r="Z515" s="2"/>
      <c r="AA515" s="2"/>
      <c r="AB515" s="2"/>
      <c r="AC515" s="2"/>
      <c r="AD515" s="2"/>
      <c r="AE515" s="2"/>
    </row>
    <row r="516" spans="1:31" ht="12.75" x14ac:dyDescent="0.2">
      <c r="A516" s="28">
        <f ca="1">IFERROR(__xludf.DUMMYFUNCTION("""COMPUTED_VALUE"""),53)</f>
        <v>53</v>
      </c>
      <c r="B516" s="29" t="str">
        <f ca="1">IFERROR(__xludf.DUMMYFUNCTION("""COMPUTED_VALUE"""),"LMG Ong Vàng KV3")</f>
        <v>LMG Ong Vàng KV3</v>
      </c>
      <c r="C516" s="33" t="str">
        <f ca="1">IFERROR(__xludf.DUMMYFUNCTION("""COMPUTED_VALUE"""),"MN")</f>
        <v>MN</v>
      </c>
      <c r="D516" s="30" t="str">
        <f ca="1">IFERROR(__xludf.DUMMYFUNCTION("""COMPUTED_VALUE"""),"Tp. Thủ Đức")</f>
        <v>Tp. Thủ Đức</v>
      </c>
      <c r="E516" s="31">
        <f ca="1">IFERROR(__xludf.DUMMYFUNCTION("""COMPUTED_VALUE"""),6)</f>
        <v>6</v>
      </c>
      <c r="F516" s="32">
        <f ca="1">IFERROR(__xludf.DUMMYFUNCTION("""COMPUTED_VALUE"""),6)</f>
        <v>6</v>
      </c>
      <c r="G516" s="32"/>
      <c r="H516" s="32">
        <f ca="1">IFERROR(__xludf.DUMMYFUNCTION("""COMPUTED_VALUE"""),6)</f>
        <v>6</v>
      </c>
      <c r="I516" s="32"/>
      <c r="J516" s="32">
        <f ca="1">IFERROR(__xludf.DUMMYFUNCTION("""COMPUTED_VALUE"""),6)</f>
        <v>6</v>
      </c>
      <c r="K516" s="32"/>
      <c r="L516" s="32">
        <f ca="1">IFERROR(__xludf.DUMMYFUNCTION("""COMPUTED_VALUE"""),0)</f>
        <v>0</v>
      </c>
      <c r="M516" s="32"/>
      <c r="N516" s="31">
        <f ca="1">IFERROR(__xludf.DUMMYFUNCTION("""COMPUTED_VALUE"""),0)</f>
        <v>0</v>
      </c>
      <c r="O516" s="32">
        <f ca="1">IFERROR(__xludf.DUMMYFUNCTION("""COMPUTED_VALUE"""),0)</f>
        <v>0</v>
      </c>
      <c r="P516" s="32"/>
      <c r="Q516" s="32">
        <f ca="1">IFERROR(__xludf.DUMMYFUNCTION("""COMPUTED_VALUE"""),0)</f>
        <v>0</v>
      </c>
      <c r="R516" s="32"/>
      <c r="S516" s="31">
        <f ca="1">IFERROR(__xludf.DUMMYFUNCTION("""COMPUTED_VALUE"""),0)</f>
        <v>0</v>
      </c>
      <c r="T516" s="32">
        <f ca="1">IFERROR(__xludf.DUMMYFUNCTION("""COMPUTED_VALUE"""),0)</f>
        <v>0</v>
      </c>
      <c r="U516" s="32"/>
      <c r="V516" s="32">
        <f ca="1">IFERROR(__xludf.DUMMYFUNCTION("""COMPUTED_VALUE"""),0)</f>
        <v>0</v>
      </c>
      <c r="W516" s="32"/>
      <c r="X516" s="32">
        <f ca="1">IFERROR(__xludf.DUMMYFUNCTION("""COMPUTED_VALUE"""),0)</f>
        <v>0</v>
      </c>
      <c r="Y516" s="32"/>
      <c r="Z516" s="2"/>
      <c r="AA516" s="2"/>
      <c r="AB516" s="2"/>
      <c r="AC516" s="2"/>
      <c r="AD516" s="2"/>
      <c r="AE516" s="2"/>
    </row>
    <row r="517" spans="1:31" ht="12.75" x14ac:dyDescent="0.2">
      <c r="A517" s="28">
        <f ca="1">IFERROR(__xludf.DUMMYFUNCTION("""COMPUTED_VALUE"""),54)</f>
        <v>54</v>
      </c>
      <c r="B517" s="29" t="str">
        <f ca="1">IFERROR(__xludf.DUMMYFUNCTION("""COMPUTED_VALUE"""),"LMG Phúc An KV3")</f>
        <v>LMG Phúc An KV3</v>
      </c>
      <c r="C517" s="33" t="str">
        <f ca="1">IFERROR(__xludf.DUMMYFUNCTION("""COMPUTED_VALUE"""),"MN")</f>
        <v>MN</v>
      </c>
      <c r="D517" s="30" t="str">
        <f ca="1">IFERROR(__xludf.DUMMYFUNCTION("""COMPUTED_VALUE"""),"Tp. Thủ Đức")</f>
        <v>Tp. Thủ Đức</v>
      </c>
      <c r="E517" s="31">
        <f ca="1">IFERROR(__xludf.DUMMYFUNCTION("""COMPUTED_VALUE"""),4)</f>
        <v>4</v>
      </c>
      <c r="F517" s="32">
        <f ca="1">IFERROR(__xludf.DUMMYFUNCTION("""COMPUTED_VALUE"""),4)</f>
        <v>4</v>
      </c>
      <c r="G517" s="32"/>
      <c r="H517" s="32">
        <f ca="1">IFERROR(__xludf.DUMMYFUNCTION("""COMPUTED_VALUE"""),4)</f>
        <v>4</v>
      </c>
      <c r="I517" s="32"/>
      <c r="J517" s="32">
        <f ca="1">IFERROR(__xludf.DUMMYFUNCTION("""COMPUTED_VALUE"""),4)</f>
        <v>4</v>
      </c>
      <c r="K517" s="32"/>
      <c r="L517" s="32">
        <f ca="1">IFERROR(__xludf.DUMMYFUNCTION("""COMPUTED_VALUE"""),0)</f>
        <v>0</v>
      </c>
      <c r="M517" s="32"/>
      <c r="N517" s="31">
        <f ca="1">IFERROR(__xludf.DUMMYFUNCTION("""COMPUTED_VALUE"""),0)</f>
        <v>0</v>
      </c>
      <c r="O517" s="32">
        <f ca="1">IFERROR(__xludf.DUMMYFUNCTION("""COMPUTED_VALUE"""),0)</f>
        <v>0</v>
      </c>
      <c r="P517" s="32"/>
      <c r="Q517" s="32">
        <f ca="1">IFERROR(__xludf.DUMMYFUNCTION("""COMPUTED_VALUE"""),0)</f>
        <v>0</v>
      </c>
      <c r="R517" s="32"/>
      <c r="S517" s="31">
        <f ca="1">IFERROR(__xludf.DUMMYFUNCTION("""COMPUTED_VALUE"""),0)</f>
        <v>0</v>
      </c>
      <c r="T517" s="32">
        <f ca="1">IFERROR(__xludf.DUMMYFUNCTION("""COMPUTED_VALUE"""),0)</f>
        <v>0</v>
      </c>
      <c r="U517" s="32"/>
      <c r="V517" s="32">
        <f ca="1">IFERROR(__xludf.DUMMYFUNCTION("""COMPUTED_VALUE"""),0)</f>
        <v>0</v>
      </c>
      <c r="W517" s="32"/>
      <c r="X517" s="32">
        <f ca="1">IFERROR(__xludf.DUMMYFUNCTION("""COMPUTED_VALUE"""),0)</f>
        <v>0</v>
      </c>
      <c r="Y517" s="32"/>
      <c r="Z517" s="2"/>
      <c r="AA517" s="2"/>
      <c r="AB517" s="2"/>
      <c r="AC517" s="2"/>
      <c r="AD517" s="2"/>
      <c r="AE517" s="2"/>
    </row>
    <row r="518" spans="1:31" ht="12.75" x14ac:dyDescent="0.2">
      <c r="A518" s="28">
        <f ca="1">IFERROR(__xludf.DUMMYFUNCTION("""COMPUTED_VALUE"""),55)</f>
        <v>55</v>
      </c>
      <c r="B518" s="29" t="str">
        <f ca="1">IFERROR(__xludf.DUMMYFUNCTION("""COMPUTED_VALUE"""),"LMG Phượng Hoàng KV3")</f>
        <v>LMG Phượng Hoàng KV3</v>
      </c>
      <c r="C518" s="33" t="str">
        <f ca="1">IFERROR(__xludf.DUMMYFUNCTION("""COMPUTED_VALUE"""),"MN")</f>
        <v>MN</v>
      </c>
      <c r="D518" s="30" t="str">
        <f ca="1">IFERROR(__xludf.DUMMYFUNCTION("""COMPUTED_VALUE"""),"Tp. Thủ Đức")</f>
        <v>Tp. Thủ Đức</v>
      </c>
      <c r="E518" s="31">
        <f ca="1">IFERROR(__xludf.DUMMYFUNCTION("""COMPUTED_VALUE"""),7)</f>
        <v>7</v>
      </c>
      <c r="F518" s="32">
        <f ca="1">IFERROR(__xludf.DUMMYFUNCTION("""COMPUTED_VALUE"""),7)</f>
        <v>7</v>
      </c>
      <c r="G518" s="32"/>
      <c r="H518" s="32">
        <f ca="1">IFERROR(__xludf.DUMMYFUNCTION("""COMPUTED_VALUE"""),7)</f>
        <v>7</v>
      </c>
      <c r="I518" s="32"/>
      <c r="J518" s="32">
        <f ca="1">IFERROR(__xludf.DUMMYFUNCTION("""COMPUTED_VALUE"""),6)</f>
        <v>6</v>
      </c>
      <c r="K518" s="32"/>
      <c r="L518" s="32">
        <f ca="1">IFERROR(__xludf.DUMMYFUNCTION("""COMPUTED_VALUE"""),4)</f>
        <v>4</v>
      </c>
      <c r="M518" s="32"/>
      <c r="N518" s="31">
        <f ca="1">IFERROR(__xludf.DUMMYFUNCTION("""COMPUTED_VALUE"""),0)</f>
        <v>0</v>
      </c>
      <c r="O518" s="32">
        <f ca="1">IFERROR(__xludf.DUMMYFUNCTION("""COMPUTED_VALUE"""),0)</f>
        <v>0</v>
      </c>
      <c r="P518" s="32"/>
      <c r="Q518" s="32">
        <f ca="1">IFERROR(__xludf.DUMMYFUNCTION("""COMPUTED_VALUE"""),0)</f>
        <v>0</v>
      </c>
      <c r="R518" s="32"/>
      <c r="S518" s="31">
        <f ca="1">IFERROR(__xludf.DUMMYFUNCTION("""COMPUTED_VALUE"""),0)</f>
        <v>0</v>
      </c>
      <c r="T518" s="32">
        <f ca="1">IFERROR(__xludf.DUMMYFUNCTION("""COMPUTED_VALUE"""),0)</f>
        <v>0</v>
      </c>
      <c r="U518" s="32"/>
      <c r="V518" s="32">
        <f ca="1">IFERROR(__xludf.DUMMYFUNCTION("""COMPUTED_VALUE"""),0)</f>
        <v>0</v>
      </c>
      <c r="W518" s="32"/>
      <c r="X518" s="32">
        <f ca="1">IFERROR(__xludf.DUMMYFUNCTION("""COMPUTED_VALUE"""),0)</f>
        <v>0</v>
      </c>
      <c r="Y518" s="32"/>
      <c r="Z518" s="2"/>
      <c r="AA518" s="2"/>
      <c r="AB518" s="2"/>
      <c r="AC518" s="2"/>
      <c r="AD518" s="2"/>
      <c r="AE518" s="2"/>
    </row>
    <row r="519" spans="1:31" ht="12.75" x14ac:dyDescent="0.2">
      <c r="A519" s="28">
        <f ca="1">IFERROR(__xludf.DUMMYFUNCTION("""COMPUTED_VALUE"""),56)</f>
        <v>56</v>
      </c>
      <c r="B519" s="29" t="str">
        <f ca="1">IFERROR(__xludf.DUMMYFUNCTION("""COMPUTED_VALUE"""),"LMG Phượng Hồng KV3")</f>
        <v>LMG Phượng Hồng KV3</v>
      </c>
      <c r="C519" s="33" t="str">
        <f ca="1">IFERROR(__xludf.DUMMYFUNCTION("""COMPUTED_VALUE"""),"MN")</f>
        <v>MN</v>
      </c>
      <c r="D519" s="30" t="str">
        <f ca="1">IFERROR(__xludf.DUMMYFUNCTION("""COMPUTED_VALUE"""),"Tp. Thủ Đức")</f>
        <v>Tp. Thủ Đức</v>
      </c>
      <c r="E519" s="31">
        <f ca="1">IFERROR(__xludf.DUMMYFUNCTION("""COMPUTED_VALUE"""),5)</f>
        <v>5</v>
      </c>
      <c r="F519" s="32">
        <f ca="1">IFERROR(__xludf.DUMMYFUNCTION("""COMPUTED_VALUE"""),5)</f>
        <v>5</v>
      </c>
      <c r="G519" s="32"/>
      <c r="H519" s="32">
        <f ca="1">IFERROR(__xludf.DUMMYFUNCTION("""COMPUTED_VALUE"""),5)</f>
        <v>5</v>
      </c>
      <c r="I519" s="32"/>
      <c r="J519" s="32">
        <f ca="1">IFERROR(__xludf.DUMMYFUNCTION("""COMPUTED_VALUE"""),5)</f>
        <v>5</v>
      </c>
      <c r="K519" s="32"/>
      <c r="L519" s="32">
        <f ca="1">IFERROR(__xludf.DUMMYFUNCTION("""COMPUTED_VALUE"""),0)</f>
        <v>0</v>
      </c>
      <c r="M519" s="32"/>
      <c r="N519" s="31">
        <f ca="1">IFERROR(__xludf.DUMMYFUNCTION("""COMPUTED_VALUE"""),0)</f>
        <v>0</v>
      </c>
      <c r="O519" s="32">
        <f ca="1">IFERROR(__xludf.DUMMYFUNCTION("""COMPUTED_VALUE"""),0)</f>
        <v>0</v>
      </c>
      <c r="P519" s="32"/>
      <c r="Q519" s="32">
        <f ca="1">IFERROR(__xludf.DUMMYFUNCTION("""COMPUTED_VALUE"""),0)</f>
        <v>0</v>
      </c>
      <c r="R519" s="32"/>
      <c r="S519" s="31">
        <f ca="1">IFERROR(__xludf.DUMMYFUNCTION("""COMPUTED_VALUE"""),0)</f>
        <v>0</v>
      </c>
      <c r="T519" s="32">
        <f ca="1">IFERROR(__xludf.DUMMYFUNCTION("""COMPUTED_VALUE"""),0)</f>
        <v>0</v>
      </c>
      <c r="U519" s="32"/>
      <c r="V519" s="32">
        <f ca="1">IFERROR(__xludf.DUMMYFUNCTION("""COMPUTED_VALUE"""),0)</f>
        <v>0</v>
      </c>
      <c r="W519" s="32"/>
      <c r="X519" s="32">
        <f ca="1">IFERROR(__xludf.DUMMYFUNCTION("""COMPUTED_VALUE"""),0)</f>
        <v>0</v>
      </c>
      <c r="Y519" s="32"/>
      <c r="Z519" s="2"/>
      <c r="AA519" s="2"/>
      <c r="AB519" s="2"/>
      <c r="AC519" s="2"/>
      <c r="AD519" s="2"/>
      <c r="AE519" s="2"/>
    </row>
    <row r="520" spans="1:31" ht="12.75" x14ac:dyDescent="0.2">
      <c r="A520" s="28">
        <f ca="1">IFERROR(__xludf.DUMMYFUNCTION("""COMPUTED_VALUE"""),57)</f>
        <v>57</v>
      </c>
      <c r="B520" s="29" t="str">
        <f ca="1">IFERROR(__xludf.DUMMYFUNCTION("""COMPUTED_VALUE"""),"LMG Phương Nhật KV3")</f>
        <v>LMG Phương Nhật KV3</v>
      </c>
      <c r="C520" s="33" t="str">
        <f ca="1">IFERROR(__xludf.DUMMYFUNCTION("""COMPUTED_VALUE"""),"MN")</f>
        <v>MN</v>
      </c>
      <c r="D520" s="30" t="str">
        <f ca="1">IFERROR(__xludf.DUMMYFUNCTION("""COMPUTED_VALUE"""),"Tp. Thủ Đức")</f>
        <v>Tp. Thủ Đức</v>
      </c>
      <c r="E520" s="31">
        <f ca="1">IFERROR(__xludf.DUMMYFUNCTION("""COMPUTED_VALUE"""),6)</f>
        <v>6</v>
      </c>
      <c r="F520" s="32">
        <f ca="1">IFERROR(__xludf.DUMMYFUNCTION("""COMPUTED_VALUE"""),6)</f>
        <v>6</v>
      </c>
      <c r="G520" s="32"/>
      <c r="H520" s="32">
        <f ca="1">IFERROR(__xludf.DUMMYFUNCTION("""COMPUTED_VALUE"""),6)</f>
        <v>6</v>
      </c>
      <c r="I520" s="32"/>
      <c r="J520" s="32">
        <f ca="1">IFERROR(__xludf.DUMMYFUNCTION("""COMPUTED_VALUE"""),6)</f>
        <v>6</v>
      </c>
      <c r="K520" s="32"/>
      <c r="L520" s="32">
        <f ca="1">IFERROR(__xludf.DUMMYFUNCTION("""COMPUTED_VALUE"""),6)</f>
        <v>6</v>
      </c>
      <c r="M520" s="32"/>
      <c r="N520" s="31">
        <f ca="1">IFERROR(__xludf.DUMMYFUNCTION("""COMPUTED_VALUE"""),0)</f>
        <v>0</v>
      </c>
      <c r="O520" s="32">
        <f ca="1">IFERROR(__xludf.DUMMYFUNCTION("""COMPUTED_VALUE"""),0)</f>
        <v>0</v>
      </c>
      <c r="P520" s="32"/>
      <c r="Q520" s="32">
        <f ca="1">IFERROR(__xludf.DUMMYFUNCTION("""COMPUTED_VALUE"""),0)</f>
        <v>0</v>
      </c>
      <c r="R520" s="32"/>
      <c r="S520" s="31">
        <f ca="1">IFERROR(__xludf.DUMMYFUNCTION("""COMPUTED_VALUE"""),0)</f>
        <v>0</v>
      </c>
      <c r="T520" s="32">
        <f ca="1">IFERROR(__xludf.DUMMYFUNCTION("""COMPUTED_VALUE"""),0)</f>
        <v>0</v>
      </c>
      <c r="U520" s="32"/>
      <c r="V520" s="32">
        <f ca="1">IFERROR(__xludf.DUMMYFUNCTION("""COMPUTED_VALUE"""),0)</f>
        <v>0</v>
      </c>
      <c r="W520" s="32"/>
      <c r="X520" s="32">
        <f ca="1">IFERROR(__xludf.DUMMYFUNCTION("""COMPUTED_VALUE"""),0)</f>
        <v>0</v>
      </c>
      <c r="Y520" s="32"/>
      <c r="Z520" s="2"/>
      <c r="AA520" s="2"/>
      <c r="AB520" s="2"/>
      <c r="AC520" s="2"/>
      <c r="AD520" s="2"/>
      <c r="AE520" s="2"/>
    </row>
    <row r="521" spans="1:31" ht="12.75" x14ac:dyDescent="0.2">
      <c r="A521" s="28">
        <f ca="1">IFERROR(__xludf.DUMMYFUNCTION("""COMPUTED_VALUE"""),58)</f>
        <v>58</v>
      </c>
      <c r="B521" s="29" t="str">
        <f ca="1">IFERROR(__xludf.DUMMYFUNCTION("""COMPUTED_VALUE"""),"LMG Sao Việt Mỹ KV3")</f>
        <v>LMG Sao Việt Mỹ KV3</v>
      </c>
      <c r="C521" s="33" t="str">
        <f ca="1">IFERROR(__xludf.DUMMYFUNCTION("""COMPUTED_VALUE"""),"MN")</f>
        <v>MN</v>
      </c>
      <c r="D521" s="30" t="str">
        <f ca="1">IFERROR(__xludf.DUMMYFUNCTION("""COMPUTED_VALUE"""),"Tp. Thủ Đức")</f>
        <v>Tp. Thủ Đức</v>
      </c>
      <c r="E521" s="31">
        <f ca="1">IFERROR(__xludf.DUMMYFUNCTION("""COMPUTED_VALUE"""),7)</f>
        <v>7</v>
      </c>
      <c r="F521" s="32">
        <f ca="1">IFERROR(__xludf.DUMMYFUNCTION("""COMPUTED_VALUE"""),7)</f>
        <v>7</v>
      </c>
      <c r="G521" s="32"/>
      <c r="H521" s="32">
        <f ca="1">IFERROR(__xludf.DUMMYFUNCTION("""COMPUTED_VALUE"""),7)</f>
        <v>7</v>
      </c>
      <c r="I521" s="32"/>
      <c r="J521" s="32">
        <f ca="1">IFERROR(__xludf.DUMMYFUNCTION("""COMPUTED_VALUE"""),3)</f>
        <v>3</v>
      </c>
      <c r="K521" s="32"/>
      <c r="L521" s="32">
        <f ca="1">IFERROR(__xludf.DUMMYFUNCTION("""COMPUTED_VALUE"""),0)</f>
        <v>0</v>
      </c>
      <c r="M521" s="32"/>
      <c r="N521" s="31">
        <f ca="1">IFERROR(__xludf.DUMMYFUNCTION("""COMPUTED_VALUE"""),0)</f>
        <v>0</v>
      </c>
      <c r="O521" s="32">
        <f ca="1">IFERROR(__xludf.DUMMYFUNCTION("""COMPUTED_VALUE"""),0)</f>
        <v>0</v>
      </c>
      <c r="P521" s="32"/>
      <c r="Q521" s="32">
        <f ca="1">IFERROR(__xludf.DUMMYFUNCTION("""COMPUTED_VALUE"""),0)</f>
        <v>0</v>
      </c>
      <c r="R521" s="32"/>
      <c r="S521" s="31">
        <f ca="1">IFERROR(__xludf.DUMMYFUNCTION("""COMPUTED_VALUE"""),0)</f>
        <v>0</v>
      </c>
      <c r="T521" s="32">
        <f ca="1">IFERROR(__xludf.DUMMYFUNCTION("""COMPUTED_VALUE"""),0)</f>
        <v>0</v>
      </c>
      <c r="U521" s="32"/>
      <c r="V521" s="32">
        <f ca="1">IFERROR(__xludf.DUMMYFUNCTION("""COMPUTED_VALUE"""),0)</f>
        <v>0</v>
      </c>
      <c r="W521" s="32"/>
      <c r="X521" s="32">
        <f ca="1">IFERROR(__xludf.DUMMYFUNCTION("""COMPUTED_VALUE"""),0)</f>
        <v>0</v>
      </c>
      <c r="Y521" s="32"/>
      <c r="Z521" s="2"/>
      <c r="AA521" s="2"/>
      <c r="AB521" s="2"/>
      <c r="AC521" s="2"/>
      <c r="AD521" s="2"/>
      <c r="AE521" s="2"/>
    </row>
    <row r="522" spans="1:31" ht="12.75" x14ac:dyDescent="0.2">
      <c r="A522" s="28">
        <f ca="1">IFERROR(__xludf.DUMMYFUNCTION("""COMPUTED_VALUE"""),59)</f>
        <v>59</v>
      </c>
      <c r="B522" s="29" t="str">
        <f ca="1">IFERROR(__xludf.DUMMYFUNCTION("""COMPUTED_VALUE"""),"LMG Tâm An KV3")</f>
        <v>LMG Tâm An KV3</v>
      </c>
      <c r="C522" s="33" t="str">
        <f ca="1">IFERROR(__xludf.DUMMYFUNCTION("""COMPUTED_VALUE"""),"MN")</f>
        <v>MN</v>
      </c>
      <c r="D522" s="30" t="str">
        <f ca="1">IFERROR(__xludf.DUMMYFUNCTION("""COMPUTED_VALUE"""),"Tp. Thủ Đức")</f>
        <v>Tp. Thủ Đức</v>
      </c>
      <c r="E522" s="31">
        <f ca="1">IFERROR(__xludf.DUMMYFUNCTION("""COMPUTED_VALUE"""),10)</f>
        <v>10</v>
      </c>
      <c r="F522" s="32">
        <f ca="1">IFERROR(__xludf.DUMMYFUNCTION("""COMPUTED_VALUE"""),10)</f>
        <v>10</v>
      </c>
      <c r="G522" s="32"/>
      <c r="H522" s="32">
        <f ca="1">IFERROR(__xludf.DUMMYFUNCTION("""COMPUTED_VALUE"""),10)</f>
        <v>10</v>
      </c>
      <c r="I522" s="32"/>
      <c r="J522" s="32">
        <f ca="1">IFERROR(__xludf.DUMMYFUNCTION("""COMPUTED_VALUE"""),7)</f>
        <v>7</v>
      </c>
      <c r="K522" s="32"/>
      <c r="L522" s="32">
        <f ca="1">IFERROR(__xludf.DUMMYFUNCTION("""COMPUTED_VALUE"""),0)</f>
        <v>0</v>
      </c>
      <c r="M522" s="32"/>
      <c r="N522" s="31">
        <f ca="1">IFERROR(__xludf.DUMMYFUNCTION("""COMPUTED_VALUE"""),0)</f>
        <v>0</v>
      </c>
      <c r="O522" s="32">
        <f ca="1">IFERROR(__xludf.DUMMYFUNCTION("""COMPUTED_VALUE"""),0)</f>
        <v>0</v>
      </c>
      <c r="P522" s="32"/>
      <c r="Q522" s="32">
        <f ca="1">IFERROR(__xludf.DUMMYFUNCTION("""COMPUTED_VALUE"""),0)</f>
        <v>0</v>
      </c>
      <c r="R522" s="32"/>
      <c r="S522" s="31">
        <f ca="1">IFERROR(__xludf.DUMMYFUNCTION("""COMPUTED_VALUE"""),0)</f>
        <v>0</v>
      </c>
      <c r="T522" s="32">
        <f ca="1">IFERROR(__xludf.DUMMYFUNCTION("""COMPUTED_VALUE"""),0)</f>
        <v>0</v>
      </c>
      <c r="U522" s="32"/>
      <c r="V522" s="32">
        <f ca="1">IFERROR(__xludf.DUMMYFUNCTION("""COMPUTED_VALUE"""),0)</f>
        <v>0</v>
      </c>
      <c r="W522" s="32"/>
      <c r="X522" s="32">
        <f ca="1">IFERROR(__xludf.DUMMYFUNCTION("""COMPUTED_VALUE"""),0)</f>
        <v>0</v>
      </c>
      <c r="Y522" s="32"/>
      <c r="Z522" s="2"/>
      <c r="AA522" s="2"/>
      <c r="AB522" s="2"/>
      <c r="AC522" s="2"/>
      <c r="AD522" s="2"/>
      <c r="AE522" s="2"/>
    </row>
    <row r="523" spans="1:31" ht="12.75" x14ac:dyDescent="0.2">
      <c r="A523" s="28">
        <f ca="1">IFERROR(__xludf.DUMMYFUNCTION("""COMPUTED_VALUE"""),60)</f>
        <v>60</v>
      </c>
      <c r="B523" s="29" t="str">
        <f ca="1">IFERROR(__xludf.DUMMYFUNCTION("""COMPUTED_VALUE"""),"LMG Thiên An KV3")</f>
        <v>LMG Thiên An KV3</v>
      </c>
      <c r="C523" s="33" t="str">
        <f ca="1">IFERROR(__xludf.DUMMYFUNCTION("""COMPUTED_VALUE"""),"MN")</f>
        <v>MN</v>
      </c>
      <c r="D523" s="30" t="str">
        <f ca="1">IFERROR(__xludf.DUMMYFUNCTION("""COMPUTED_VALUE"""),"Tp. Thủ Đức")</f>
        <v>Tp. Thủ Đức</v>
      </c>
      <c r="E523" s="31">
        <f ca="1">IFERROR(__xludf.DUMMYFUNCTION("""COMPUTED_VALUE"""),7)</f>
        <v>7</v>
      </c>
      <c r="F523" s="32">
        <f ca="1">IFERROR(__xludf.DUMMYFUNCTION("""COMPUTED_VALUE"""),7)</f>
        <v>7</v>
      </c>
      <c r="G523" s="32"/>
      <c r="H523" s="32">
        <f ca="1">IFERROR(__xludf.DUMMYFUNCTION("""COMPUTED_VALUE"""),7)</f>
        <v>7</v>
      </c>
      <c r="I523" s="32"/>
      <c r="J523" s="32">
        <f ca="1">IFERROR(__xludf.DUMMYFUNCTION("""COMPUTED_VALUE"""),7)</f>
        <v>7</v>
      </c>
      <c r="K523" s="32"/>
      <c r="L523" s="32">
        <f ca="1">IFERROR(__xludf.DUMMYFUNCTION("""COMPUTED_VALUE"""),0)</f>
        <v>0</v>
      </c>
      <c r="M523" s="32"/>
      <c r="N523" s="31">
        <f ca="1">IFERROR(__xludf.DUMMYFUNCTION("""COMPUTED_VALUE"""),0)</f>
        <v>0</v>
      </c>
      <c r="O523" s="32">
        <f ca="1">IFERROR(__xludf.DUMMYFUNCTION("""COMPUTED_VALUE"""),0)</f>
        <v>0</v>
      </c>
      <c r="P523" s="32"/>
      <c r="Q523" s="32">
        <f ca="1">IFERROR(__xludf.DUMMYFUNCTION("""COMPUTED_VALUE"""),0)</f>
        <v>0</v>
      </c>
      <c r="R523" s="32"/>
      <c r="S523" s="31">
        <f ca="1">IFERROR(__xludf.DUMMYFUNCTION("""COMPUTED_VALUE"""),0)</f>
        <v>0</v>
      </c>
      <c r="T523" s="32">
        <f ca="1">IFERROR(__xludf.DUMMYFUNCTION("""COMPUTED_VALUE"""),0)</f>
        <v>0</v>
      </c>
      <c r="U523" s="32"/>
      <c r="V523" s="32">
        <f ca="1">IFERROR(__xludf.DUMMYFUNCTION("""COMPUTED_VALUE"""),0)</f>
        <v>0</v>
      </c>
      <c r="W523" s="32"/>
      <c r="X523" s="32">
        <f ca="1">IFERROR(__xludf.DUMMYFUNCTION("""COMPUTED_VALUE"""),0)</f>
        <v>0</v>
      </c>
      <c r="Y523" s="32"/>
      <c r="Z523" s="2"/>
      <c r="AA523" s="2"/>
      <c r="AB523" s="2"/>
      <c r="AC523" s="2"/>
      <c r="AD523" s="2"/>
      <c r="AE523" s="2"/>
    </row>
    <row r="524" spans="1:31" ht="12.75" x14ac:dyDescent="0.2">
      <c r="A524" s="28">
        <f ca="1">IFERROR(__xludf.DUMMYFUNCTION("""COMPUTED_VALUE"""),61)</f>
        <v>61</v>
      </c>
      <c r="B524" s="29" t="str">
        <f ca="1">IFERROR(__xludf.DUMMYFUNCTION("""COMPUTED_VALUE"""),"LMG Thiên Hương KV3")</f>
        <v>LMG Thiên Hương KV3</v>
      </c>
      <c r="C524" s="33" t="str">
        <f ca="1">IFERROR(__xludf.DUMMYFUNCTION("""COMPUTED_VALUE"""),"MN")</f>
        <v>MN</v>
      </c>
      <c r="D524" s="30" t="str">
        <f ca="1">IFERROR(__xludf.DUMMYFUNCTION("""COMPUTED_VALUE"""),"Tp. Thủ Đức")</f>
        <v>Tp. Thủ Đức</v>
      </c>
      <c r="E524" s="31">
        <f ca="1">IFERROR(__xludf.DUMMYFUNCTION("""COMPUTED_VALUE"""),7)</f>
        <v>7</v>
      </c>
      <c r="F524" s="32">
        <f ca="1">IFERROR(__xludf.DUMMYFUNCTION("""COMPUTED_VALUE"""),7)</f>
        <v>7</v>
      </c>
      <c r="G524" s="32"/>
      <c r="H524" s="32">
        <f ca="1">IFERROR(__xludf.DUMMYFUNCTION("""COMPUTED_VALUE"""),7)</f>
        <v>7</v>
      </c>
      <c r="I524" s="32"/>
      <c r="J524" s="32">
        <f ca="1">IFERROR(__xludf.DUMMYFUNCTION("""COMPUTED_VALUE"""),7)</f>
        <v>7</v>
      </c>
      <c r="K524" s="32"/>
      <c r="L524" s="32">
        <f ca="1">IFERROR(__xludf.DUMMYFUNCTION("""COMPUTED_VALUE"""),0)</f>
        <v>0</v>
      </c>
      <c r="M524" s="32"/>
      <c r="N524" s="31">
        <f ca="1">IFERROR(__xludf.DUMMYFUNCTION("""COMPUTED_VALUE"""),0)</f>
        <v>0</v>
      </c>
      <c r="O524" s="32">
        <f ca="1">IFERROR(__xludf.DUMMYFUNCTION("""COMPUTED_VALUE"""),0)</f>
        <v>0</v>
      </c>
      <c r="P524" s="32"/>
      <c r="Q524" s="32">
        <f ca="1">IFERROR(__xludf.DUMMYFUNCTION("""COMPUTED_VALUE"""),0)</f>
        <v>0</v>
      </c>
      <c r="R524" s="32"/>
      <c r="S524" s="31">
        <f ca="1">IFERROR(__xludf.DUMMYFUNCTION("""COMPUTED_VALUE"""),0)</f>
        <v>0</v>
      </c>
      <c r="T524" s="32">
        <f ca="1">IFERROR(__xludf.DUMMYFUNCTION("""COMPUTED_VALUE"""),0)</f>
        <v>0</v>
      </c>
      <c r="U524" s="32"/>
      <c r="V524" s="32">
        <f ca="1">IFERROR(__xludf.DUMMYFUNCTION("""COMPUTED_VALUE"""),0)</f>
        <v>0</v>
      </c>
      <c r="W524" s="32"/>
      <c r="X524" s="32">
        <f ca="1">IFERROR(__xludf.DUMMYFUNCTION("""COMPUTED_VALUE"""),0)</f>
        <v>0</v>
      </c>
      <c r="Y524" s="32"/>
      <c r="Z524" s="2"/>
      <c r="AA524" s="2"/>
      <c r="AB524" s="2"/>
      <c r="AC524" s="2"/>
      <c r="AD524" s="2"/>
      <c r="AE524" s="2"/>
    </row>
    <row r="525" spans="1:31" ht="12.75" x14ac:dyDescent="0.2">
      <c r="A525" s="28">
        <f ca="1">IFERROR(__xludf.DUMMYFUNCTION("""COMPUTED_VALUE"""),62)</f>
        <v>62</v>
      </c>
      <c r="B525" s="29" t="str">
        <f ca="1">IFERROR(__xludf.DUMMYFUNCTION("""COMPUTED_VALUE"""),"LMG Thiên Nhi KV3")</f>
        <v>LMG Thiên Nhi KV3</v>
      </c>
      <c r="C525" s="33" t="str">
        <f ca="1">IFERROR(__xludf.DUMMYFUNCTION("""COMPUTED_VALUE"""),"MN")</f>
        <v>MN</v>
      </c>
      <c r="D525" s="30" t="str">
        <f ca="1">IFERROR(__xludf.DUMMYFUNCTION("""COMPUTED_VALUE"""),"Tp. Thủ Đức")</f>
        <v>Tp. Thủ Đức</v>
      </c>
      <c r="E525" s="31">
        <f ca="1">IFERROR(__xludf.DUMMYFUNCTION("""COMPUTED_VALUE"""),5)</f>
        <v>5</v>
      </c>
      <c r="F525" s="32">
        <f ca="1">IFERROR(__xludf.DUMMYFUNCTION("""COMPUTED_VALUE"""),5)</f>
        <v>5</v>
      </c>
      <c r="G525" s="32"/>
      <c r="H525" s="32">
        <f ca="1">IFERROR(__xludf.DUMMYFUNCTION("""COMPUTED_VALUE"""),5)</f>
        <v>5</v>
      </c>
      <c r="I525" s="32"/>
      <c r="J525" s="32">
        <f ca="1">IFERROR(__xludf.DUMMYFUNCTION("""COMPUTED_VALUE"""),5)</f>
        <v>5</v>
      </c>
      <c r="K525" s="32"/>
      <c r="L525" s="32">
        <f ca="1">IFERROR(__xludf.DUMMYFUNCTION("""COMPUTED_VALUE"""),0)</f>
        <v>0</v>
      </c>
      <c r="M525" s="32"/>
      <c r="N525" s="31">
        <f ca="1">IFERROR(__xludf.DUMMYFUNCTION("""COMPUTED_VALUE"""),0)</f>
        <v>0</v>
      </c>
      <c r="O525" s="32">
        <f ca="1">IFERROR(__xludf.DUMMYFUNCTION("""COMPUTED_VALUE"""),0)</f>
        <v>0</v>
      </c>
      <c r="P525" s="32"/>
      <c r="Q525" s="32">
        <f ca="1">IFERROR(__xludf.DUMMYFUNCTION("""COMPUTED_VALUE"""),0)</f>
        <v>0</v>
      </c>
      <c r="R525" s="32"/>
      <c r="S525" s="31">
        <f ca="1">IFERROR(__xludf.DUMMYFUNCTION("""COMPUTED_VALUE"""),0)</f>
        <v>0</v>
      </c>
      <c r="T525" s="32">
        <f ca="1">IFERROR(__xludf.DUMMYFUNCTION("""COMPUTED_VALUE"""),0)</f>
        <v>0</v>
      </c>
      <c r="U525" s="32"/>
      <c r="V525" s="32">
        <f ca="1">IFERROR(__xludf.DUMMYFUNCTION("""COMPUTED_VALUE"""),0)</f>
        <v>0</v>
      </c>
      <c r="W525" s="32"/>
      <c r="X525" s="32">
        <f ca="1">IFERROR(__xludf.DUMMYFUNCTION("""COMPUTED_VALUE"""),0)</f>
        <v>0</v>
      </c>
      <c r="Y525" s="32"/>
      <c r="Z525" s="2"/>
      <c r="AA525" s="2"/>
      <c r="AB525" s="2"/>
      <c r="AC525" s="2"/>
      <c r="AD525" s="2"/>
      <c r="AE525" s="2"/>
    </row>
    <row r="526" spans="1:31" ht="12.75" x14ac:dyDescent="0.2">
      <c r="A526" s="28">
        <f ca="1">IFERROR(__xludf.DUMMYFUNCTION("""COMPUTED_VALUE"""),63)</f>
        <v>63</v>
      </c>
      <c r="B526" s="29" t="str">
        <f ca="1">IFERROR(__xludf.DUMMYFUNCTION("""COMPUTED_VALUE"""),"LMG Thiên Ý KV3")</f>
        <v>LMG Thiên Ý KV3</v>
      </c>
      <c r="C526" s="33" t="str">
        <f ca="1">IFERROR(__xludf.DUMMYFUNCTION("""COMPUTED_VALUE"""),"MN")</f>
        <v>MN</v>
      </c>
      <c r="D526" s="30" t="str">
        <f ca="1">IFERROR(__xludf.DUMMYFUNCTION("""COMPUTED_VALUE"""),"Tp. Thủ Đức")</f>
        <v>Tp. Thủ Đức</v>
      </c>
      <c r="E526" s="31">
        <f ca="1">IFERROR(__xludf.DUMMYFUNCTION("""COMPUTED_VALUE"""),4)</f>
        <v>4</v>
      </c>
      <c r="F526" s="32">
        <f ca="1">IFERROR(__xludf.DUMMYFUNCTION("""COMPUTED_VALUE"""),4)</f>
        <v>4</v>
      </c>
      <c r="G526" s="32"/>
      <c r="H526" s="32">
        <f ca="1">IFERROR(__xludf.DUMMYFUNCTION("""COMPUTED_VALUE"""),4)</f>
        <v>4</v>
      </c>
      <c r="I526" s="32"/>
      <c r="J526" s="32">
        <f ca="1">IFERROR(__xludf.DUMMYFUNCTION("""COMPUTED_VALUE"""),4)</f>
        <v>4</v>
      </c>
      <c r="K526" s="32"/>
      <c r="L526" s="32">
        <f ca="1">IFERROR(__xludf.DUMMYFUNCTION("""COMPUTED_VALUE"""),1)</f>
        <v>1</v>
      </c>
      <c r="M526" s="32"/>
      <c r="N526" s="31">
        <f ca="1">IFERROR(__xludf.DUMMYFUNCTION("""COMPUTED_VALUE"""),0)</f>
        <v>0</v>
      </c>
      <c r="O526" s="32">
        <f ca="1">IFERROR(__xludf.DUMMYFUNCTION("""COMPUTED_VALUE"""),0)</f>
        <v>0</v>
      </c>
      <c r="P526" s="32"/>
      <c r="Q526" s="32">
        <f ca="1">IFERROR(__xludf.DUMMYFUNCTION("""COMPUTED_VALUE"""),0)</f>
        <v>0</v>
      </c>
      <c r="R526" s="32"/>
      <c r="S526" s="31">
        <f ca="1">IFERROR(__xludf.DUMMYFUNCTION("""COMPUTED_VALUE"""),0)</f>
        <v>0</v>
      </c>
      <c r="T526" s="32">
        <f ca="1">IFERROR(__xludf.DUMMYFUNCTION("""COMPUTED_VALUE"""),0)</f>
        <v>0</v>
      </c>
      <c r="U526" s="32"/>
      <c r="V526" s="32">
        <f ca="1">IFERROR(__xludf.DUMMYFUNCTION("""COMPUTED_VALUE"""),0)</f>
        <v>0</v>
      </c>
      <c r="W526" s="32"/>
      <c r="X526" s="32">
        <f ca="1">IFERROR(__xludf.DUMMYFUNCTION("""COMPUTED_VALUE"""),0)</f>
        <v>0</v>
      </c>
      <c r="Y526" s="32"/>
      <c r="Z526" s="2"/>
      <c r="AA526" s="2"/>
      <c r="AB526" s="2"/>
      <c r="AC526" s="2"/>
      <c r="AD526" s="2"/>
      <c r="AE526" s="2"/>
    </row>
    <row r="527" spans="1:31" ht="12.75" x14ac:dyDescent="0.2">
      <c r="A527" s="28">
        <f ca="1">IFERROR(__xludf.DUMMYFUNCTION("""COMPUTED_VALUE"""),64)</f>
        <v>64</v>
      </c>
      <c r="B527" s="29" t="str">
        <f ca="1">IFERROR(__xludf.DUMMYFUNCTION("""COMPUTED_VALUE"""),"LMG Thủy Trúc KV3")</f>
        <v>LMG Thủy Trúc KV3</v>
      </c>
      <c r="C527" s="33" t="str">
        <f ca="1">IFERROR(__xludf.DUMMYFUNCTION("""COMPUTED_VALUE"""),"MN")</f>
        <v>MN</v>
      </c>
      <c r="D527" s="30" t="str">
        <f ca="1">IFERROR(__xludf.DUMMYFUNCTION("""COMPUTED_VALUE"""),"Tp. Thủ Đức")</f>
        <v>Tp. Thủ Đức</v>
      </c>
      <c r="E527" s="31">
        <f ca="1">IFERROR(__xludf.DUMMYFUNCTION("""COMPUTED_VALUE"""),9)</f>
        <v>9</v>
      </c>
      <c r="F527" s="32">
        <f ca="1">IFERROR(__xludf.DUMMYFUNCTION("""COMPUTED_VALUE"""),9)</f>
        <v>9</v>
      </c>
      <c r="G527" s="32"/>
      <c r="H527" s="32">
        <f ca="1">IFERROR(__xludf.DUMMYFUNCTION("""COMPUTED_VALUE"""),9)</f>
        <v>9</v>
      </c>
      <c r="I527" s="32"/>
      <c r="J527" s="32">
        <f ca="1">IFERROR(__xludf.DUMMYFUNCTION("""COMPUTED_VALUE"""),6)</f>
        <v>6</v>
      </c>
      <c r="K527" s="32"/>
      <c r="L527" s="32">
        <f ca="1">IFERROR(__xludf.DUMMYFUNCTION("""COMPUTED_VALUE"""),3)</f>
        <v>3</v>
      </c>
      <c r="M527" s="32"/>
      <c r="N527" s="31">
        <f ca="1">IFERROR(__xludf.DUMMYFUNCTION("""COMPUTED_VALUE"""),0)</f>
        <v>0</v>
      </c>
      <c r="O527" s="32">
        <f ca="1">IFERROR(__xludf.DUMMYFUNCTION("""COMPUTED_VALUE"""),0)</f>
        <v>0</v>
      </c>
      <c r="P527" s="32"/>
      <c r="Q527" s="32">
        <f ca="1">IFERROR(__xludf.DUMMYFUNCTION("""COMPUTED_VALUE"""),0)</f>
        <v>0</v>
      </c>
      <c r="R527" s="32"/>
      <c r="S527" s="31">
        <f ca="1">IFERROR(__xludf.DUMMYFUNCTION("""COMPUTED_VALUE"""),0)</f>
        <v>0</v>
      </c>
      <c r="T527" s="32">
        <f ca="1">IFERROR(__xludf.DUMMYFUNCTION("""COMPUTED_VALUE"""),0)</f>
        <v>0</v>
      </c>
      <c r="U527" s="32"/>
      <c r="V527" s="32">
        <f ca="1">IFERROR(__xludf.DUMMYFUNCTION("""COMPUTED_VALUE"""),0)</f>
        <v>0</v>
      </c>
      <c r="W527" s="32"/>
      <c r="X527" s="32">
        <f ca="1">IFERROR(__xludf.DUMMYFUNCTION("""COMPUTED_VALUE"""),0)</f>
        <v>0</v>
      </c>
      <c r="Y527" s="32"/>
      <c r="Z527" s="2"/>
      <c r="AA527" s="2"/>
      <c r="AB527" s="2"/>
      <c r="AC527" s="2"/>
      <c r="AD527" s="2"/>
      <c r="AE527" s="2"/>
    </row>
    <row r="528" spans="1:31" ht="12.75" x14ac:dyDescent="0.2">
      <c r="A528" s="28">
        <f ca="1">IFERROR(__xludf.DUMMYFUNCTION("""COMPUTED_VALUE"""),65)</f>
        <v>65</v>
      </c>
      <c r="B528" s="29" t="str">
        <f ca="1">IFERROR(__xludf.DUMMYFUNCTION("""COMPUTED_VALUE"""),"LMG Tí Bo KV3")</f>
        <v>LMG Tí Bo KV3</v>
      </c>
      <c r="C528" s="33" t="str">
        <f ca="1">IFERROR(__xludf.DUMMYFUNCTION("""COMPUTED_VALUE"""),"MN")</f>
        <v>MN</v>
      </c>
      <c r="D528" s="30" t="str">
        <f ca="1">IFERROR(__xludf.DUMMYFUNCTION("""COMPUTED_VALUE"""),"Tp. Thủ Đức")</f>
        <v>Tp. Thủ Đức</v>
      </c>
      <c r="E528" s="31">
        <f ca="1">IFERROR(__xludf.DUMMYFUNCTION("""COMPUTED_VALUE"""),5)</f>
        <v>5</v>
      </c>
      <c r="F528" s="32">
        <f ca="1">IFERROR(__xludf.DUMMYFUNCTION("""COMPUTED_VALUE"""),5)</f>
        <v>5</v>
      </c>
      <c r="G528" s="32"/>
      <c r="H528" s="32">
        <f ca="1">IFERROR(__xludf.DUMMYFUNCTION("""COMPUTED_VALUE"""),5)</f>
        <v>5</v>
      </c>
      <c r="I528" s="32"/>
      <c r="J528" s="32">
        <f ca="1">IFERROR(__xludf.DUMMYFUNCTION("""COMPUTED_VALUE"""),5)</f>
        <v>5</v>
      </c>
      <c r="K528" s="32"/>
      <c r="L528" s="32">
        <f ca="1">IFERROR(__xludf.DUMMYFUNCTION("""COMPUTED_VALUE"""),1)</f>
        <v>1</v>
      </c>
      <c r="M528" s="32"/>
      <c r="N528" s="31">
        <f ca="1">IFERROR(__xludf.DUMMYFUNCTION("""COMPUTED_VALUE"""),0)</f>
        <v>0</v>
      </c>
      <c r="O528" s="32">
        <f ca="1">IFERROR(__xludf.DUMMYFUNCTION("""COMPUTED_VALUE"""),0)</f>
        <v>0</v>
      </c>
      <c r="P528" s="32"/>
      <c r="Q528" s="32">
        <f ca="1">IFERROR(__xludf.DUMMYFUNCTION("""COMPUTED_VALUE"""),0)</f>
        <v>0</v>
      </c>
      <c r="R528" s="32"/>
      <c r="S528" s="31">
        <f ca="1">IFERROR(__xludf.DUMMYFUNCTION("""COMPUTED_VALUE"""),0)</f>
        <v>0</v>
      </c>
      <c r="T528" s="32">
        <f ca="1">IFERROR(__xludf.DUMMYFUNCTION("""COMPUTED_VALUE"""),0)</f>
        <v>0</v>
      </c>
      <c r="U528" s="32"/>
      <c r="V528" s="32">
        <f ca="1">IFERROR(__xludf.DUMMYFUNCTION("""COMPUTED_VALUE"""),0)</f>
        <v>0</v>
      </c>
      <c r="W528" s="32"/>
      <c r="X528" s="32">
        <f ca="1">IFERROR(__xludf.DUMMYFUNCTION("""COMPUTED_VALUE"""),0)</f>
        <v>0</v>
      </c>
      <c r="Y528" s="32"/>
      <c r="Z528" s="2"/>
      <c r="AA528" s="2"/>
      <c r="AB528" s="2"/>
      <c r="AC528" s="2"/>
      <c r="AD528" s="2"/>
      <c r="AE528" s="2"/>
    </row>
    <row r="529" spans="1:31" ht="12.75" x14ac:dyDescent="0.2">
      <c r="A529" s="28">
        <f ca="1">IFERROR(__xludf.DUMMYFUNCTION("""COMPUTED_VALUE"""),66)</f>
        <v>66</v>
      </c>
      <c r="B529" s="29" t="str">
        <f ca="1">IFERROR(__xludf.DUMMYFUNCTION("""COMPUTED_VALUE"""),"LMG Trăng Vàng KV3")</f>
        <v>LMG Trăng Vàng KV3</v>
      </c>
      <c r="C529" s="33" t="str">
        <f ca="1">IFERROR(__xludf.DUMMYFUNCTION("""COMPUTED_VALUE"""),"MN")</f>
        <v>MN</v>
      </c>
      <c r="D529" s="30" t="str">
        <f ca="1">IFERROR(__xludf.DUMMYFUNCTION("""COMPUTED_VALUE"""),"Tp. Thủ Đức")</f>
        <v>Tp. Thủ Đức</v>
      </c>
      <c r="E529" s="31">
        <f ca="1">IFERROR(__xludf.DUMMYFUNCTION("""COMPUTED_VALUE"""),12)</f>
        <v>12</v>
      </c>
      <c r="F529" s="32">
        <f ca="1">IFERROR(__xludf.DUMMYFUNCTION("""COMPUTED_VALUE"""),12)</f>
        <v>12</v>
      </c>
      <c r="G529" s="32"/>
      <c r="H529" s="32">
        <f ca="1">IFERROR(__xludf.DUMMYFUNCTION("""COMPUTED_VALUE"""),12)</f>
        <v>12</v>
      </c>
      <c r="I529" s="32"/>
      <c r="J529" s="32">
        <f ca="1">IFERROR(__xludf.DUMMYFUNCTION("""COMPUTED_VALUE"""),12)</f>
        <v>12</v>
      </c>
      <c r="K529" s="32"/>
      <c r="L529" s="32">
        <f ca="1">IFERROR(__xludf.DUMMYFUNCTION("""COMPUTED_VALUE"""),0)</f>
        <v>0</v>
      </c>
      <c r="M529" s="32"/>
      <c r="N529" s="31">
        <f ca="1">IFERROR(__xludf.DUMMYFUNCTION("""COMPUTED_VALUE"""),0)</f>
        <v>0</v>
      </c>
      <c r="O529" s="32">
        <f ca="1">IFERROR(__xludf.DUMMYFUNCTION("""COMPUTED_VALUE"""),0)</f>
        <v>0</v>
      </c>
      <c r="P529" s="32"/>
      <c r="Q529" s="32">
        <f ca="1">IFERROR(__xludf.DUMMYFUNCTION("""COMPUTED_VALUE"""),0)</f>
        <v>0</v>
      </c>
      <c r="R529" s="32"/>
      <c r="S529" s="31">
        <f ca="1">IFERROR(__xludf.DUMMYFUNCTION("""COMPUTED_VALUE"""),0)</f>
        <v>0</v>
      </c>
      <c r="T529" s="32">
        <f ca="1">IFERROR(__xludf.DUMMYFUNCTION("""COMPUTED_VALUE"""),0)</f>
        <v>0</v>
      </c>
      <c r="U529" s="32"/>
      <c r="V529" s="32">
        <f ca="1">IFERROR(__xludf.DUMMYFUNCTION("""COMPUTED_VALUE"""),0)</f>
        <v>0</v>
      </c>
      <c r="W529" s="32"/>
      <c r="X529" s="32">
        <f ca="1">IFERROR(__xludf.DUMMYFUNCTION("""COMPUTED_VALUE"""),0)</f>
        <v>0</v>
      </c>
      <c r="Y529" s="32"/>
      <c r="Z529" s="2"/>
      <c r="AA529" s="2"/>
      <c r="AB529" s="2"/>
      <c r="AC529" s="2"/>
      <c r="AD529" s="2"/>
      <c r="AE529" s="2"/>
    </row>
    <row r="530" spans="1:31" ht="12.75" x14ac:dyDescent="0.2">
      <c r="A530" s="28">
        <f ca="1">IFERROR(__xludf.DUMMYFUNCTION("""COMPUTED_VALUE"""),67)</f>
        <v>67</v>
      </c>
      <c r="B530" s="29" t="str">
        <f ca="1">IFERROR(__xludf.DUMMYFUNCTION("""COMPUTED_VALUE"""),"LMG Trí Tuệ KV3")</f>
        <v>LMG Trí Tuệ KV3</v>
      </c>
      <c r="C530" s="33" t="str">
        <f ca="1">IFERROR(__xludf.DUMMYFUNCTION("""COMPUTED_VALUE"""),"MN")</f>
        <v>MN</v>
      </c>
      <c r="D530" s="30" t="str">
        <f ca="1">IFERROR(__xludf.DUMMYFUNCTION("""COMPUTED_VALUE"""),"Tp. Thủ Đức")</f>
        <v>Tp. Thủ Đức</v>
      </c>
      <c r="E530" s="31">
        <f ca="1">IFERROR(__xludf.DUMMYFUNCTION("""COMPUTED_VALUE"""),14)</f>
        <v>14</v>
      </c>
      <c r="F530" s="32">
        <f ca="1">IFERROR(__xludf.DUMMYFUNCTION("""COMPUTED_VALUE"""),14)</f>
        <v>14</v>
      </c>
      <c r="G530" s="32"/>
      <c r="H530" s="32">
        <f ca="1">IFERROR(__xludf.DUMMYFUNCTION("""COMPUTED_VALUE"""),14)</f>
        <v>14</v>
      </c>
      <c r="I530" s="32"/>
      <c r="J530" s="32">
        <f ca="1">IFERROR(__xludf.DUMMYFUNCTION("""COMPUTED_VALUE"""),14)</f>
        <v>14</v>
      </c>
      <c r="K530" s="32"/>
      <c r="L530" s="32">
        <f ca="1">IFERROR(__xludf.DUMMYFUNCTION("""COMPUTED_VALUE"""),0)</f>
        <v>0</v>
      </c>
      <c r="M530" s="32"/>
      <c r="N530" s="31">
        <f ca="1">IFERROR(__xludf.DUMMYFUNCTION("""COMPUTED_VALUE"""),0)</f>
        <v>0</v>
      </c>
      <c r="O530" s="32">
        <f ca="1">IFERROR(__xludf.DUMMYFUNCTION("""COMPUTED_VALUE"""),0)</f>
        <v>0</v>
      </c>
      <c r="P530" s="32"/>
      <c r="Q530" s="32">
        <f ca="1">IFERROR(__xludf.DUMMYFUNCTION("""COMPUTED_VALUE"""),0)</f>
        <v>0</v>
      </c>
      <c r="R530" s="32"/>
      <c r="S530" s="31">
        <f ca="1">IFERROR(__xludf.DUMMYFUNCTION("""COMPUTED_VALUE"""),0)</f>
        <v>0</v>
      </c>
      <c r="T530" s="32">
        <f ca="1">IFERROR(__xludf.DUMMYFUNCTION("""COMPUTED_VALUE"""),0)</f>
        <v>0</v>
      </c>
      <c r="U530" s="32"/>
      <c r="V530" s="32">
        <f ca="1">IFERROR(__xludf.DUMMYFUNCTION("""COMPUTED_VALUE"""),0)</f>
        <v>0</v>
      </c>
      <c r="W530" s="32"/>
      <c r="X530" s="32">
        <f ca="1">IFERROR(__xludf.DUMMYFUNCTION("""COMPUTED_VALUE"""),0)</f>
        <v>0</v>
      </c>
      <c r="Y530" s="32"/>
      <c r="Z530" s="2"/>
      <c r="AA530" s="2"/>
      <c r="AB530" s="2"/>
      <c r="AC530" s="2"/>
      <c r="AD530" s="2"/>
      <c r="AE530" s="2"/>
    </row>
    <row r="531" spans="1:31" ht="12.75" x14ac:dyDescent="0.2">
      <c r="A531" s="28">
        <f ca="1">IFERROR(__xludf.DUMMYFUNCTION("""COMPUTED_VALUE"""),68)</f>
        <v>68</v>
      </c>
      <c r="B531" s="29" t="str">
        <f ca="1">IFERROR(__xludf.DUMMYFUNCTION("""COMPUTED_VALUE"""),"LMG Trúc Xinh KV3")</f>
        <v>LMG Trúc Xinh KV3</v>
      </c>
      <c r="C531" s="33" t="str">
        <f ca="1">IFERROR(__xludf.DUMMYFUNCTION("""COMPUTED_VALUE"""),"MN")</f>
        <v>MN</v>
      </c>
      <c r="D531" s="30" t="str">
        <f ca="1">IFERROR(__xludf.DUMMYFUNCTION("""COMPUTED_VALUE"""),"Tp. Thủ Đức")</f>
        <v>Tp. Thủ Đức</v>
      </c>
      <c r="E531" s="31">
        <f ca="1">IFERROR(__xludf.DUMMYFUNCTION("""COMPUTED_VALUE"""),5)</f>
        <v>5</v>
      </c>
      <c r="F531" s="32">
        <f ca="1">IFERROR(__xludf.DUMMYFUNCTION("""COMPUTED_VALUE"""),5)</f>
        <v>5</v>
      </c>
      <c r="G531" s="32"/>
      <c r="H531" s="32">
        <f ca="1">IFERROR(__xludf.DUMMYFUNCTION("""COMPUTED_VALUE"""),5)</f>
        <v>5</v>
      </c>
      <c r="I531" s="32"/>
      <c r="J531" s="32">
        <f ca="1">IFERROR(__xludf.DUMMYFUNCTION("""COMPUTED_VALUE"""),5)</f>
        <v>5</v>
      </c>
      <c r="K531" s="32"/>
      <c r="L531" s="32">
        <f ca="1">IFERROR(__xludf.DUMMYFUNCTION("""COMPUTED_VALUE"""),0)</f>
        <v>0</v>
      </c>
      <c r="M531" s="32"/>
      <c r="N531" s="31">
        <f ca="1">IFERROR(__xludf.DUMMYFUNCTION("""COMPUTED_VALUE"""),5)</f>
        <v>5</v>
      </c>
      <c r="O531" s="32">
        <f ca="1">IFERROR(__xludf.DUMMYFUNCTION("""COMPUTED_VALUE"""),0)</f>
        <v>0</v>
      </c>
      <c r="P531" s="32"/>
      <c r="Q531" s="32">
        <f ca="1">IFERROR(__xludf.DUMMYFUNCTION("""COMPUTED_VALUE"""),0)</f>
        <v>0</v>
      </c>
      <c r="R531" s="32"/>
      <c r="S531" s="31">
        <f ca="1">IFERROR(__xludf.DUMMYFUNCTION("""COMPUTED_VALUE"""),0)</f>
        <v>0</v>
      </c>
      <c r="T531" s="32">
        <f ca="1">IFERROR(__xludf.DUMMYFUNCTION("""COMPUTED_VALUE"""),0)</f>
        <v>0</v>
      </c>
      <c r="U531" s="32"/>
      <c r="V531" s="32">
        <f ca="1">IFERROR(__xludf.DUMMYFUNCTION("""COMPUTED_VALUE"""),0)</f>
        <v>0</v>
      </c>
      <c r="W531" s="32"/>
      <c r="X531" s="32">
        <f ca="1">IFERROR(__xludf.DUMMYFUNCTION("""COMPUTED_VALUE"""),0)</f>
        <v>0</v>
      </c>
      <c r="Y531" s="32"/>
      <c r="Z531" s="2"/>
      <c r="AA531" s="2"/>
      <c r="AB531" s="2"/>
      <c r="AC531" s="2"/>
      <c r="AD531" s="2"/>
      <c r="AE531" s="2"/>
    </row>
    <row r="532" spans="1:31" ht="12.75" x14ac:dyDescent="0.2">
      <c r="A532" s="28">
        <f ca="1">IFERROR(__xludf.DUMMYFUNCTION("""COMPUTED_VALUE"""),69)</f>
        <v>69</v>
      </c>
      <c r="B532" s="29" t="str">
        <f ca="1">IFERROR(__xludf.DUMMYFUNCTION("""COMPUTED_VALUE"""),"LMG Tuổi Thơ KV3")</f>
        <v>LMG Tuổi Thơ KV3</v>
      </c>
      <c r="C532" s="33" t="str">
        <f ca="1">IFERROR(__xludf.DUMMYFUNCTION("""COMPUTED_VALUE"""),"MN")</f>
        <v>MN</v>
      </c>
      <c r="D532" s="30" t="str">
        <f ca="1">IFERROR(__xludf.DUMMYFUNCTION("""COMPUTED_VALUE"""),"Tp. Thủ Đức")</f>
        <v>Tp. Thủ Đức</v>
      </c>
      <c r="E532" s="31">
        <f ca="1">IFERROR(__xludf.DUMMYFUNCTION("""COMPUTED_VALUE"""),4)</f>
        <v>4</v>
      </c>
      <c r="F532" s="32">
        <f ca="1">IFERROR(__xludf.DUMMYFUNCTION("""COMPUTED_VALUE"""),4)</f>
        <v>4</v>
      </c>
      <c r="G532" s="32"/>
      <c r="H532" s="32">
        <f ca="1">IFERROR(__xludf.DUMMYFUNCTION("""COMPUTED_VALUE"""),4)</f>
        <v>4</v>
      </c>
      <c r="I532" s="32"/>
      <c r="J532" s="32">
        <f ca="1">IFERROR(__xludf.DUMMYFUNCTION("""COMPUTED_VALUE"""),4)</f>
        <v>4</v>
      </c>
      <c r="K532" s="32"/>
      <c r="L532" s="32">
        <f ca="1">IFERROR(__xludf.DUMMYFUNCTION("""COMPUTED_VALUE"""),0)</f>
        <v>0</v>
      </c>
      <c r="M532" s="32"/>
      <c r="N532" s="31">
        <f ca="1">IFERROR(__xludf.DUMMYFUNCTION("""COMPUTED_VALUE"""),0)</f>
        <v>0</v>
      </c>
      <c r="O532" s="32">
        <f ca="1">IFERROR(__xludf.DUMMYFUNCTION("""COMPUTED_VALUE"""),0)</f>
        <v>0</v>
      </c>
      <c r="P532" s="32"/>
      <c r="Q532" s="32">
        <f ca="1">IFERROR(__xludf.DUMMYFUNCTION("""COMPUTED_VALUE"""),0)</f>
        <v>0</v>
      </c>
      <c r="R532" s="32"/>
      <c r="S532" s="31">
        <f ca="1">IFERROR(__xludf.DUMMYFUNCTION("""COMPUTED_VALUE"""),0)</f>
        <v>0</v>
      </c>
      <c r="T532" s="32">
        <f ca="1">IFERROR(__xludf.DUMMYFUNCTION("""COMPUTED_VALUE"""),0)</f>
        <v>0</v>
      </c>
      <c r="U532" s="32"/>
      <c r="V532" s="32">
        <f ca="1">IFERROR(__xludf.DUMMYFUNCTION("""COMPUTED_VALUE"""),0)</f>
        <v>0</v>
      </c>
      <c r="W532" s="32"/>
      <c r="X532" s="32">
        <f ca="1">IFERROR(__xludf.DUMMYFUNCTION("""COMPUTED_VALUE"""),0)</f>
        <v>0</v>
      </c>
      <c r="Y532" s="32"/>
      <c r="Z532" s="2"/>
      <c r="AA532" s="2"/>
      <c r="AB532" s="2"/>
      <c r="AC532" s="2"/>
      <c r="AD532" s="2"/>
      <c r="AE532" s="2"/>
    </row>
    <row r="533" spans="1:31" ht="12.75" x14ac:dyDescent="0.2">
      <c r="A533" s="28">
        <f ca="1">IFERROR(__xludf.DUMMYFUNCTION("""COMPUTED_VALUE"""),70)</f>
        <v>70</v>
      </c>
      <c r="B533" s="29" t="str">
        <f ca="1">IFERROR(__xludf.DUMMYFUNCTION("""COMPUTED_VALUE"""),"LMG Tuổi Thơ Tài Năng KV3")</f>
        <v>LMG Tuổi Thơ Tài Năng KV3</v>
      </c>
      <c r="C533" s="33" t="str">
        <f ca="1">IFERROR(__xludf.DUMMYFUNCTION("""COMPUTED_VALUE"""),"MN")</f>
        <v>MN</v>
      </c>
      <c r="D533" s="30" t="str">
        <f ca="1">IFERROR(__xludf.DUMMYFUNCTION("""COMPUTED_VALUE"""),"Tp. Thủ Đức")</f>
        <v>Tp. Thủ Đức</v>
      </c>
      <c r="E533" s="31">
        <f ca="1">IFERROR(__xludf.DUMMYFUNCTION("""COMPUTED_VALUE"""),8)</f>
        <v>8</v>
      </c>
      <c r="F533" s="32">
        <f ca="1">IFERROR(__xludf.DUMMYFUNCTION("""COMPUTED_VALUE"""),8)</f>
        <v>8</v>
      </c>
      <c r="G533" s="32"/>
      <c r="H533" s="32">
        <f ca="1">IFERROR(__xludf.DUMMYFUNCTION("""COMPUTED_VALUE"""),8)</f>
        <v>8</v>
      </c>
      <c r="I533" s="32"/>
      <c r="J533" s="32">
        <f ca="1">IFERROR(__xludf.DUMMYFUNCTION("""COMPUTED_VALUE"""),4)</f>
        <v>4</v>
      </c>
      <c r="K533" s="32"/>
      <c r="L533" s="32">
        <f ca="1">IFERROR(__xludf.DUMMYFUNCTION("""COMPUTED_VALUE"""),0)</f>
        <v>0</v>
      </c>
      <c r="M533" s="32"/>
      <c r="N533" s="31">
        <f ca="1">IFERROR(__xludf.DUMMYFUNCTION("""COMPUTED_VALUE"""),0)</f>
        <v>0</v>
      </c>
      <c r="O533" s="32">
        <f ca="1">IFERROR(__xludf.DUMMYFUNCTION("""COMPUTED_VALUE"""),0)</f>
        <v>0</v>
      </c>
      <c r="P533" s="32"/>
      <c r="Q533" s="32">
        <f ca="1">IFERROR(__xludf.DUMMYFUNCTION("""COMPUTED_VALUE"""),0)</f>
        <v>0</v>
      </c>
      <c r="R533" s="32"/>
      <c r="S533" s="31">
        <f ca="1">IFERROR(__xludf.DUMMYFUNCTION("""COMPUTED_VALUE"""),0)</f>
        <v>0</v>
      </c>
      <c r="T533" s="32">
        <f ca="1">IFERROR(__xludf.DUMMYFUNCTION("""COMPUTED_VALUE"""),0)</f>
        <v>0</v>
      </c>
      <c r="U533" s="32"/>
      <c r="V533" s="32">
        <f ca="1">IFERROR(__xludf.DUMMYFUNCTION("""COMPUTED_VALUE"""),0)</f>
        <v>0</v>
      </c>
      <c r="W533" s="32"/>
      <c r="X533" s="32">
        <f ca="1">IFERROR(__xludf.DUMMYFUNCTION("""COMPUTED_VALUE"""),0)</f>
        <v>0</v>
      </c>
      <c r="Y533" s="32"/>
      <c r="Z533" s="2"/>
      <c r="AA533" s="2"/>
      <c r="AB533" s="2"/>
      <c r="AC533" s="2"/>
      <c r="AD533" s="2"/>
      <c r="AE533" s="2"/>
    </row>
    <row r="534" spans="1:31" ht="12.75" x14ac:dyDescent="0.2">
      <c r="A534" s="28">
        <f ca="1">IFERROR(__xludf.DUMMYFUNCTION("""COMPUTED_VALUE"""),71)</f>
        <v>71</v>
      </c>
      <c r="B534" s="29" t="str">
        <f ca="1">IFERROR(__xludf.DUMMYFUNCTION("""COMPUTED_VALUE"""),"LMG Tuổi Xinh KV3")</f>
        <v>LMG Tuổi Xinh KV3</v>
      </c>
      <c r="C534" s="33" t="str">
        <f ca="1">IFERROR(__xludf.DUMMYFUNCTION("""COMPUTED_VALUE"""),"MN")</f>
        <v>MN</v>
      </c>
      <c r="D534" s="30" t="str">
        <f ca="1">IFERROR(__xludf.DUMMYFUNCTION("""COMPUTED_VALUE"""),"Tp. Thủ Đức")</f>
        <v>Tp. Thủ Đức</v>
      </c>
      <c r="E534" s="31">
        <f ca="1">IFERROR(__xludf.DUMMYFUNCTION("""COMPUTED_VALUE"""),5)</f>
        <v>5</v>
      </c>
      <c r="F534" s="32">
        <f ca="1">IFERROR(__xludf.DUMMYFUNCTION("""COMPUTED_VALUE"""),5)</f>
        <v>5</v>
      </c>
      <c r="G534" s="32"/>
      <c r="H534" s="32">
        <f ca="1">IFERROR(__xludf.DUMMYFUNCTION("""COMPUTED_VALUE"""),5)</f>
        <v>5</v>
      </c>
      <c r="I534" s="32"/>
      <c r="J534" s="32">
        <f ca="1">IFERROR(__xludf.DUMMYFUNCTION("""COMPUTED_VALUE"""),2)</f>
        <v>2</v>
      </c>
      <c r="K534" s="32"/>
      <c r="L534" s="32">
        <f ca="1">IFERROR(__xludf.DUMMYFUNCTION("""COMPUTED_VALUE"""),0)</f>
        <v>0</v>
      </c>
      <c r="M534" s="32"/>
      <c r="N534" s="31">
        <f ca="1">IFERROR(__xludf.DUMMYFUNCTION("""COMPUTED_VALUE"""),0)</f>
        <v>0</v>
      </c>
      <c r="O534" s="32">
        <f ca="1">IFERROR(__xludf.DUMMYFUNCTION("""COMPUTED_VALUE"""),0)</f>
        <v>0</v>
      </c>
      <c r="P534" s="32"/>
      <c r="Q534" s="32">
        <f ca="1">IFERROR(__xludf.DUMMYFUNCTION("""COMPUTED_VALUE"""),0)</f>
        <v>0</v>
      </c>
      <c r="R534" s="32"/>
      <c r="S534" s="31">
        <f ca="1">IFERROR(__xludf.DUMMYFUNCTION("""COMPUTED_VALUE"""),0)</f>
        <v>0</v>
      </c>
      <c r="T534" s="32">
        <f ca="1">IFERROR(__xludf.DUMMYFUNCTION("""COMPUTED_VALUE"""),0)</f>
        <v>0</v>
      </c>
      <c r="U534" s="32"/>
      <c r="V534" s="32">
        <f ca="1">IFERROR(__xludf.DUMMYFUNCTION("""COMPUTED_VALUE"""),0)</f>
        <v>0</v>
      </c>
      <c r="W534" s="32"/>
      <c r="X534" s="32">
        <f ca="1">IFERROR(__xludf.DUMMYFUNCTION("""COMPUTED_VALUE"""),0)</f>
        <v>0</v>
      </c>
      <c r="Y534" s="32"/>
      <c r="Z534" s="2"/>
      <c r="AA534" s="2"/>
      <c r="AB534" s="2"/>
      <c r="AC534" s="2"/>
      <c r="AD534" s="2"/>
      <c r="AE534" s="2"/>
    </row>
    <row r="535" spans="1:31" ht="12.75" x14ac:dyDescent="0.2">
      <c r="A535" s="28">
        <f ca="1">IFERROR(__xludf.DUMMYFUNCTION("""COMPUTED_VALUE"""),72)</f>
        <v>72</v>
      </c>
      <c r="B535" s="29" t="str">
        <f ca="1">IFERROR(__xludf.DUMMYFUNCTION("""COMPUTED_VALUE"""),"LMG Tương Lai Việt KV3")</f>
        <v>LMG Tương Lai Việt KV3</v>
      </c>
      <c r="C535" s="33" t="str">
        <f ca="1">IFERROR(__xludf.DUMMYFUNCTION("""COMPUTED_VALUE"""),"MN")</f>
        <v>MN</v>
      </c>
      <c r="D535" s="30" t="str">
        <f ca="1">IFERROR(__xludf.DUMMYFUNCTION("""COMPUTED_VALUE"""),"Tp. Thủ Đức")</f>
        <v>Tp. Thủ Đức</v>
      </c>
      <c r="E535" s="31">
        <f ca="1">IFERROR(__xludf.DUMMYFUNCTION("""COMPUTED_VALUE"""),6)</f>
        <v>6</v>
      </c>
      <c r="F535" s="32">
        <f ca="1">IFERROR(__xludf.DUMMYFUNCTION("""COMPUTED_VALUE"""),6)</f>
        <v>6</v>
      </c>
      <c r="G535" s="32"/>
      <c r="H535" s="32">
        <f ca="1">IFERROR(__xludf.DUMMYFUNCTION("""COMPUTED_VALUE"""),6)</f>
        <v>6</v>
      </c>
      <c r="I535" s="32"/>
      <c r="J535" s="32">
        <f ca="1">IFERROR(__xludf.DUMMYFUNCTION("""COMPUTED_VALUE"""),6)</f>
        <v>6</v>
      </c>
      <c r="K535" s="32"/>
      <c r="L535" s="32">
        <f ca="1">IFERROR(__xludf.DUMMYFUNCTION("""COMPUTED_VALUE"""),0)</f>
        <v>0</v>
      </c>
      <c r="M535" s="32"/>
      <c r="N535" s="31">
        <f ca="1">IFERROR(__xludf.DUMMYFUNCTION("""COMPUTED_VALUE"""),0)</f>
        <v>0</v>
      </c>
      <c r="O535" s="32">
        <f ca="1">IFERROR(__xludf.DUMMYFUNCTION("""COMPUTED_VALUE"""),0)</f>
        <v>0</v>
      </c>
      <c r="P535" s="32"/>
      <c r="Q535" s="32">
        <f ca="1">IFERROR(__xludf.DUMMYFUNCTION("""COMPUTED_VALUE"""),0)</f>
        <v>0</v>
      </c>
      <c r="R535" s="32"/>
      <c r="S535" s="31">
        <f ca="1">IFERROR(__xludf.DUMMYFUNCTION("""COMPUTED_VALUE"""),0)</f>
        <v>0</v>
      </c>
      <c r="T535" s="32">
        <f ca="1">IFERROR(__xludf.DUMMYFUNCTION("""COMPUTED_VALUE"""),0)</f>
        <v>0</v>
      </c>
      <c r="U535" s="32"/>
      <c r="V535" s="32">
        <f ca="1">IFERROR(__xludf.DUMMYFUNCTION("""COMPUTED_VALUE"""),0)</f>
        <v>0</v>
      </c>
      <c r="W535" s="32"/>
      <c r="X535" s="32">
        <f ca="1">IFERROR(__xludf.DUMMYFUNCTION("""COMPUTED_VALUE"""),0)</f>
        <v>0</v>
      </c>
      <c r="Y535" s="32"/>
      <c r="Z535" s="2"/>
      <c r="AA535" s="2"/>
      <c r="AB535" s="2"/>
      <c r="AC535" s="2"/>
      <c r="AD535" s="2"/>
      <c r="AE535" s="2"/>
    </row>
    <row r="536" spans="1:31" ht="12.75" x14ac:dyDescent="0.2">
      <c r="A536" s="28">
        <f ca="1">IFERROR(__xludf.DUMMYFUNCTION("""COMPUTED_VALUE"""),73)</f>
        <v>73</v>
      </c>
      <c r="B536" s="29" t="str">
        <f ca="1">IFERROR(__xludf.DUMMYFUNCTION("""COMPUTED_VALUE"""),"LMG Vân Phong KV3")</f>
        <v>LMG Vân Phong KV3</v>
      </c>
      <c r="C536" s="33" t="str">
        <f ca="1">IFERROR(__xludf.DUMMYFUNCTION("""COMPUTED_VALUE"""),"MN")</f>
        <v>MN</v>
      </c>
      <c r="D536" s="30" t="str">
        <f ca="1">IFERROR(__xludf.DUMMYFUNCTION("""COMPUTED_VALUE"""),"Tp. Thủ Đức")</f>
        <v>Tp. Thủ Đức</v>
      </c>
      <c r="E536" s="31">
        <f ca="1">IFERROR(__xludf.DUMMYFUNCTION("""COMPUTED_VALUE"""),5)</f>
        <v>5</v>
      </c>
      <c r="F536" s="32">
        <f ca="1">IFERROR(__xludf.DUMMYFUNCTION("""COMPUTED_VALUE"""),5)</f>
        <v>5</v>
      </c>
      <c r="G536" s="32"/>
      <c r="H536" s="32">
        <f ca="1">IFERROR(__xludf.DUMMYFUNCTION("""COMPUTED_VALUE"""),5)</f>
        <v>5</v>
      </c>
      <c r="I536" s="32"/>
      <c r="J536" s="32">
        <f ca="1">IFERROR(__xludf.DUMMYFUNCTION("""COMPUTED_VALUE"""),4)</f>
        <v>4</v>
      </c>
      <c r="K536" s="32"/>
      <c r="L536" s="32">
        <f ca="1">IFERROR(__xludf.DUMMYFUNCTION("""COMPUTED_VALUE"""),1)</f>
        <v>1</v>
      </c>
      <c r="M536" s="32"/>
      <c r="N536" s="31">
        <f ca="1">IFERROR(__xludf.DUMMYFUNCTION("""COMPUTED_VALUE"""),0)</f>
        <v>0</v>
      </c>
      <c r="O536" s="32">
        <f ca="1">IFERROR(__xludf.DUMMYFUNCTION("""COMPUTED_VALUE"""),0)</f>
        <v>0</v>
      </c>
      <c r="P536" s="32"/>
      <c r="Q536" s="32">
        <f ca="1">IFERROR(__xludf.DUMMYFUNCTION("""COMPUTED_VALUE"""),0)</f>
        <v>0</v>
      </c>
      <c r="R536" s="32"/>
      <c r="S536" s="31">
        <f ca="1">IFERROR(__xludf.DUMMYFUNCTION("""COMPUTED_VALUE"""),0)</f>
        <v>0</v>
      </c>
      <c r="T536" s="32">
        <f ca="1">IFERROR(__xludf.DUMMYFUNCTION("""COMPUTED_VALUE"""),0)</f>
        <v>0</v>
      </c>
      <c r="U536" s="32"/>
      <c r="V536" s="32">
        <f ca="1">IFERROR(__xludf.DUMMYFUNCTION("""COMPUTED_VALUE"""),0)</f>
        <v>0</v>
      </c>
      <c r="W536" s="32"/>
      <c r="X536" s="32">
        <f ca="1">IFERROR(__xludf.DUMMYFUNCTION("""COMPUTED_VALUE"""),0)</f>
        <v>0</v>
      </c>
      <c r="Y536" s="32"/>
      <c r="Z536" s="2"/>
      <c r="AA536" s="2"/>
      <c r="AB536" s="2"/>
      <c r="AC536" s="2"/>
      <c r="AD536" s="2"/>
      <c r="AE536" s="2"/>
    </row>
    <row r="537" spans="1:31" ht="12.75" x14ac:dyDescent="0.2">
      <c r="A537" s="28">
        <f ca="1">IFERROR(__xludf.DUMMYFUNCTION("""COMPUTED_VALUE"""),74)</f>
        <v>74</v>
      </c>
      <c r="B537" s="29" t="str">
        <f ca="1">IFERROR(__xludf.DUMMYFUNCTION("""COMPUTED_VALUE"""),"LMG Việt Âu KV3")</f>
        <v>LMG Việt Âu KV3</v>
      </c>
      <c r="C537" s="33" t="str">
        <f ca="1">IFERROR(__xludf.DUMMYFUNCTION("""COMPUTED_VALUE"""),"MN")</f>
        <v>MN</v>
      </c>
      <c r="D537" s="30" t="str">
        <f ca="1">IFERROR(__xludf.DUMMYFUNCTION("""COMPUTED_VALUE"""),"Tp. Thủ Đức")</f>
        <v>Tp. Thủ Đức</v>
      </c>
      <c r="E537" s="31">
        <f ca="1">IFERROR(__xludf.DUMMYFUNCTION("""COMPUTED_VALUE"""),14)</f>
        <v>14</v>
      </c>
      <c r="F537" s="32">
        <f ca="1">IFERROR(__xludf.DUMMYFUNCTION("""COMPUTED_VALUE"""),14)</f>
        <v>14</v>
      </c>
      <c r="G537" s="32"/>
      <c r="H537" s="32">
        <f ca="1">IFERROR(__xludf.DUMMYFUNCTION("""COMPUTED_VALUE"""),14)</f>
        <v>14</v>
      </c>
      <c r="I537" s="32"/>
      <c r="J537" s="32">
        <f ca="1">IFERROR(__xludf.DUMMYFUNCTION("""COMPUTED_VALUE"""),9)</f>
        <v>9</v>
      </c>
      <c r="K537" s="32"/>
      <c r="L537" s="32">
        <f ca="1">IFERROR(__xludf.DUMMYFUNCTION("""COMPUTED_VALUE"""),0)</f>
        <v>0</v>
      </c>
      <c r="M537" s="32"/>
      <c r="N537" s="31">
        <f ca="1">IFERROR(__xludf.DUMMYFUNCTION("""COMPUTED_VALUE"""),7)</f>
        <v>7</v>
      </c>
      <c r="O537" s="32">
        <f ca="1">IFERROR(__xludf.DUMMYFUNCTION("""COMPUTED_VALUE"""),0)</f>
        <v>0</v>
      </c>
      <c r="P537" s="32"/>
      <c r="Q537" s="32">
        <f ca="1">IFERROR(__xludf.DUMMYFUNCTION("""COMPUTED_VALUE"""),0)</f>
        <v>0</v>
      </c>
      <c r="R537" s="32"/>
      <c r="S537" s="31">
        <f ca="1">IFERROR(__xludf.DUMMYFUNCTION("""COMPUTED_VALUE"""),0)</f>
        <v>0</v>
      </c>
      <c r="T537" s="32">
        <f ca="1">IFERROR(__xludf.DUMMYFUNCTION("""COMPUTED_VALUE"""),0)</f>
        <v>0</v>
      </c>
      <c r="U537" s="32"/>
      <c r="V537" s="32">
        <f ca="1">IFERROR(__xludf.DUMMYFUNCTION("""COMPUTED_VALUE"""),0)</f>
        <v>0</v>
      </c>
      <c r="W537" s="32"/>
      <c r="X537" s="32">
        <f ca="1">IFERROR(__xludf.DUMMYFUNCTION("""COMPUTED_VALUE"""),0)</f>
        <v>0</v>
      </c>
      <c r="Y537" s="32"/>
      <c r="Z537" s="2"/>
      <c r="AA537" s="2"/>
      <c r="AB537" s="2"/>
      <c r="AC537" s="2"/>
      <c r="AD537" s="2"/>
      <c r="AE537" s="2"/>
    </row>
    <row r="538" spans="1:31" ht="12.75" x14ac:dyDescent="0.2">
      <c r="A538" s="44" t="str">
        <f ca="1">IFERROR(__xludf.DUMMYFUNCTION("""COMPUTED_VALUE"""),"BẬC TIỂU HỌC")</f>
        <v>BẬC TIỂU HỌC</v>
      </c>
      <c r="B538" s="29"/>
      <c r="C538" s="29"/>
      <c r="D538" s="36"/>
      <c r="E538" s="39"/>
      <c r="F538" s="40"/>
      <c r="G538" s="40"/>
      <c r="H538" s="40"/>
      <c r="I538" s="40"/>
      <c r="J538" s="40"/>
      <c r="K538" s="40"/>
      <c r="L538" s="40"/>
      <c r="M538" s="40"/>
      <c r="N538" s="39"/>
      <c r="O538" s="40"/>
      <c r="P538" s="40"/>
      <c r="Q538" s="40"/>
      <c r="R538" s="40"/>
      <c r="S538" s="39"/>
      <c r="T538" s="40"/>
      <c r="U538" s="40"/>
      <c r="V538" s="40"/>
      <c r="W538" s="40"/>
      <c r="X538" s="40"/>
      <c r="Y538" s="40"/>
      <c r="Z538" s="2"/>
      <c r="AA538" s="2"/>
      <c r="AB538" s="2"/>
      <c r="AC538" s="2"/>
      <c r="AD538" s="2"/>
      <c r="AE538" s="2"/>
    </row>
    <row r="539" spans="1:31" ht="12.75" x14ac:dyDescent="0.2">
      <c r="A539" s="28">
        <f ca="1">IFERROR(__xludf.DUMMYFUNCTION("""COMPUTED_VALUE"""),1)</f>
        <v>1</v>
      </c>
      <c r="B539" s="29" t="str">
        <f ca="1">IFERROR(__xludf.DUMMYFUNCTION("""COMPUTED_VALUE"""),"TH An Khánh")</f>
        <v>TH An Khánh</v>
      </c>
      <c r="C539" s="33" t="str">
        <f ca="1">IFERROR(__xludf.DUMMYFUNCTION("""COMPUTED_VALUE"""),"Tiểu học")</f>
        <v>Tiểu học</v>
      </c>
      <c r="D539" s="30" t="str">
        <f ca="1">IFERROR(__xludf.DUMMYFUNCTION("""COMPUTED_VALUE"""),"Tp. Thủ Đức")</f>
        <v>Tp. Thủ Đức</v>
      </c>
      <c r="E539" s="31">
        <f ca="1">IFERROR(__xludf.DUMMYFUNCTION("""COMPUTED_VALUE"""),84)</f>
        <v>84</v>
      </c>
      <c r="F539" s="32">
        <f ca="1">IFERROR(__xludf.DUMMYFUNCTION("""COMPUTED_VALUE"""),84)</f>
        <v>84</v>
      </c>
      <c r="G539" s="32"/>
      <c r="H539" s="32">
        <f ca="1">IFERROR(__xludf.DUMMYFUNCTION("""COMPUTED_VALUE"""),84)</f>
        <v>84</v>
      </c>
      <c r="I539" s="32"/>
      <c r="J539" s="32">
        <f ca="1">IFERROR(__xludf.DUMMYFUNCTION("""COMPUTED_VALUE"""),81)</f>
        <v>81</v>
      </c>
      <c r="K539" s="32"/>
      <c r="L539" s="32">
        <f ca="1">IFERROR(__xludf.DUMMYFUNCTION("""COMPUTED_VALUE"""),15)</f>
        <v>15</v>
      </c>
      <c r="M539" s="32"/>
      <c r="N539" s="31">
        <f ca="1">IFERROR(__xludf.DUMMYFUNCTION("""COMPUTED_VALUE"""),1399)</f>
        <v>1399</v>
      </c>
      <c r="O539" s="32">
        <f ca="1">IFERROR(__xludf.DUMMYFUNCTION("""COMPUTED_VALUE"""),567)</f>
        <v>567</v>
      </c>
      <c r="P539" s="32"/>
      <c r="Q539" s="32">
        <f ca="1">IFERROR(__xludf.DUMMYFUNCTION("""COMPUTED_VALUE"""),328)</f>
        <v>328</v>
      </c>
      <c r="R539" s="32"/>
      <c r="S539" s="31">
        <f ca="1">IFERROR(__xludf.DUMMYFUNCTION("""COMPUTED_VALUE"""),0)</f>
        <v>0</v>
      </c>
      <c r="T539" s="32">
        <f ca="1">IFERROR(__xludf.DUMMYFUNCTION("""COMPUTED_VALUE"""),0)</f>
        <v>0</v>
      </c>
      <c r="U539" s="32"/>
      <c r="V539" s="32">
        <f ca="1">IFERROR(__xludf.DUMMYFUNCTION("""COMPUTED_VALUE"""),0)</f>
        <v>0</v>
      </c>
      <c r="W539" s="32"/>
      <c r="X539" s="32">
        <f ca="1">IFERROR(__xludf.DUMMYFUNCTION("""COMPUTED_VALUE"""),0)</f>
        <v>0</v>
      </c>
      <c r="Y539" s="32"/>
      <c r="Z539" s="2"/>
      <c r="AA539" s="2"/>
      <c r="AB539" s="2"/>
      <c r="AC539" s="2"/>
      <c r="AD539" s="2"/>
      <c r="AE539" s="2"/>
    </row>
    <row r="540" spans="1:31" ht="12.75" x14ac:dyDescent="0.2">
      <c r="A540" s="28">
        <f ca="1">IFERROR(__xludf.DUMMYFUNCTION("""COMPUTED_VALUE"""),2)</f>
        <v>2</v>
      </c>
      <c r="B540" s="29" t="str">
        <f ca="1">IFERROR(__xludf.DUMMYFUNCTION("""COMPUTED_VALUE"""),"TH An Bình")</f>
        <v>TH An Bình</v>
      </c>
      <c r="C540" s="33" t="str">
        <f ca="1">IFERROR(__xludf.DUMMYFUNCTION("""COMPUTED_VALUE"""),"Tiểu học")</f>
        <v>Tiểu học</v>
      </c>
      <c r="D540" s="30" t="str">
        <f ca="1">IFERROR(__xludf.DUMMYFUNCTION("""COMPUTED_VALUE"""),"Tp. Thủ Đức")</f>
        <v>Tp. Thủ Đức</v>
      </c>
      <c r="E540" s="31">
        <f ca="1">IFERROR(__xludf.DUMMYFUNCTION("""COMPUTED_VALUE"""),38)</f>
        <v>38</v>
      </c>
      <c r="F540" s="32">
        <f ca="1">IFERROR(__xludf.DUMMYFUNCTION("""COMPUTED_VALUE"""),38)</f>
        <v>38</v>
      </c>
      <c r="G540" s="32"/>
      <c r="H540" s="32">
        <f ca="1">IFERROR(__xludf.DUMMYFUNCTION("""COMPUTED_VALUE"""),38)</f>
        <v>38</v>
      </c>
      <c r="I540" s="32"/>
      <c r="J540" s="32">
        <f ca="1">IFERROR(__xludf.DUMMYFUNCTION("""COMPUTED_VALUE"""),34)</f>
        <v>34</v>
      </c>
      <c r="K540" s="32"/>
      <c r="L540" s="32">
        <f ca="1">IFERROR(__xludf.DUMMYFUNCTION("""COMPUTED_VALUE"""),18)</f>
        <v>18</v>
      </c>
      <c r="M540" s="32"/>
      <c r="N540" s="31">
        <f ca="1">IFERROR(__xludf.DUMMYFUNCTION("""COMPUTED_VALUE"""),928)</f>
        <v>928</v>
      </c>
      <c r="O540" s="32">
        <f ca="1">IFERROR(__xludf.DUMMYFUNCTION("""COMPUTED_VALUE"""),189)</f>
        <v>189</v>
      </c>
      <c r="P540" s="32"/>
      <c r="Q540" s="32">
        <f ca="1">IFERROR(__xludf.DUMMYFUNCTION("""COMPUTED_VALUE"""),85)</f>
        <v>85</v>
      </c>
      <c r="R540" s="32"/>
      <c r="S540" s="31">
        <f ca="1">IFERROR(__xludf.DUMMYFUNCTION("""COMPUTED_VALUE"""),0)</f>
        <v>0</v>
      </c>
      <c r="T540" s="32">
        <f ca="1">IFERROR(__xludf.DUMMYFUNCTION("""COMPUTED_VALUE"""),0)</f>
        <v>0</v>
      </c>
      <c r="U540" s="32"/>
      <c r="V540" s="32">
        <f ca="1">IFERROR(__xludf.DUMMYFUNCTION("""COMPUTED_VALUE"""),0)</f>
        <v>0</v>
      </c>
      <c r="W540" s="32"/>
      <c r="X540" s="32">
        <f ca="1">IFERROR(__xludf.DUMMYFUNCTION("""COMPUTED_VALUE"""),0)</f>
        <v>0</v>
      </c>
      <c r="Y540" s="32"/>
      <c r="Z540" s="2"/>
      <c r="AA540" s="2"/>
      <c r="AB540" s="2"/>
      <c r="AC540" s="2"/>
      <c r="AD540" s="2"/>
      <c r="AE540" s="2"/>
    </row>
    <row r="541" spans="1:31" ht="12.75" x14ac:dyDescent="0.2">
      <c r="A541" s="28">
        <f ca="1">IFERROR(__xludf.DUMMYFUNCTION("""COMPUTED_VALUE"""),3)</f>
        <v>3</v>
      </c>
      <c r="B541" s="29" t="str">
        <f ca="1">IFERROR(__xludf.DUMMYFUNCTION("""COMPUTED_VALUE"""),"TH An Phú")</f>
        <v>TH An Phú</v>
      </c>
      <c r="C541" s="33" t="str">
        <f ca="1">IFERROR(__xludf.DUMMYFUNCTION("""COMPUTED_VALUE"""),"Tiểu học")</f>
        <v>Tiểu học</v>
      </c>
      <c r="D541" s="30" t="str">
        <f ca="1">IFERROR(__xludf.DUMMYFUNCTION("""COMPUTED_VALUE"""),"Tp. Thủ Đức")</f>
        <v>Tp. Thủ Đức</v>
      </c>
      <c r="E541" s="31">
        <f ca="1">IFERROR(__xludf.DUMMYFUNCTION("""COMPUTED_VALUE"""),53)</f>
        <v>53</v>
      </c>
      <c r="F541" s="32">
        <f ca="1">IFERROR(__xludf.DUMMYFUNCTION("""COMPUTED_VALUE"""),53)</f>
        <v>53</v>
      </c>
      <c r="G541" s="32"/>
      <c r="H541" s="32">
        <f ca="1">IFERROR(__xludf.DUMMYFUNCTION("""COMPUTED_VALUE"""),53)</f>
        <v>53</v>
      </c>
      <c r="I541" s="32"/>
      <c r="J541" s="32">
        <f ca="1">IFERROR(__xludf.DUMMYFUNCTION("""COMPUTED_VALUE"""),50)</f>
        <v>50</v>
      </c>
      <c r="K541" s="32"/>
      <c r="L541" s="32">
        <f ca="1">IFERROR(__xludf.DUMMYFUNCTION("""COMPUTED_VALUE"""),26)</f>
        <v>26</v>
      </c>
      <c r="M541" s="32"/>
      <c r="N541" s="31">
        <f ca="1">IFERROR(__xludf.DUMMYFUNCTION("""COMPUTED_VALUE"""),866)</f>
        <v>866</v>
      </c>
      <c r="O541" s="32">
        <f ca="1">IFERROR(__xludf.DUMMYFUNCTION("""COMPUTED_VALUE"""),164)</f>
        <v>164</v>
      </c>
      <c r="P541" s="32"/>
      <c r="Q541" s="32">
        <f ca="1">IFERROR(__xludf.DUMMYFUNCTION("""COMPUTED_VALUE"""),138)</f>
        <v>138</v>
      </c>
      <c r="R541" s="32"/>
      <c r="S541" s="31">
        <f ca="1">IFERROR(__xludf.DUMMYFUNCTION("""COMPUTED_VALUE"""),0)</f>
        <v>0</v>
      </c>
      <c r="T541" s="32">
        <f ca="1">IFERROR(__xludf.DUMMYFUNCTION("""COMPUTED_VALUE"""),0)</f>
        <v>0</v>
      </c>
      <c r="U541" s="32"/>
      <c r="V541" s="32">
        <f ca="1">IFERROR(__xludf.DUMMYFUNCTION("""COMPUTED_VALUE"""),0)</f>
        <v>0</v>
      </c>
      <c r="W541" s="32"/>
      <c r="X541" s="32">
        <f ca="1">IFERROR(__xludf.DUMMYFUNCTION("""COMPUTED_VALUE"""),0)</f>
        <v>0</v>
      </c>
      <c r="Y541" s="32"/>
      <c r="Z541" s="2"/>
      <c r="AA541" s="2"/>
      <c r="AB541" s="2"/>
      <c r="AC541" s="2"/>
      <c r="AD541" s="2"/>
      <c r="AE541" s="2"/>
    </row>
    <row r="542" spans="1:31" ht="12.75" x14ac:dyDescent="0.2">
      <c r="A542" s="28">
        <f ca="1">IFERROR(__xludf.DUMMYFUNCTION("""COMPUTED_VALUE"""),4)</f>
        <v>4</v>
      </c>
      <c r="B542" s="29" t="str">
        <f ca="1">IFERROR(__xludf.DUMMYFUNCTION("""COMPUTED_VALUE"""),"TH Nguyễn Hiền")</f>
        <v>TH Nguyễn Hiền</v>
      </c>
      <c r="C542" s="33" t="str">
        <f ca="1">IFERROR(__xludf.DUMMYFUNCTION("""COMPUTED_VALUE"""),"Tiểu học")</f>
        <v>Tiểu học</v>
      </c>
      <c r="D542" s="30" t="str">
        <f ca="1">IFERROR(__xludf.DUMMYFUNCTION("""COMPUTED_VALUE"""),"Tp. Thủ Đức")</f>
        <v>Tp. Thủ Đức</v>
      </c>
      <c r="E542" s="31">
        <f ca="1">IFERROR(__xludf.DUMMYFUNCTION("""COMPUTED_VALUE"""),91)</f>
        <v>91</v>
      </c>
      <c r="F542" s="32">
        <f ca="1">IFERROR(__xludf.DUMMYFUNCTION("""COMPUTED_VALUE"""),91)</f>
        <v>91</v>
      </c>
      <c r="G542" s="32"/>
      <c r="H542" s="32">
        <f ca="1">IFERROR(__xludf.DUMMYFUNCTION("""COMPUTED_VALUE"""),87)</f>
        <v>87</v>
      </c>
      <c r="I542" s="32"/>
      <c r="J542" s="32">
        <f ca="1">IFERROR(__xludf.DUMMYFUNCTION("""COMPUTED_VALUE"""),59)</f>
        <v>59</v>
      </c>
      <c r="K542" s="32"/>
      <c r="L542" s="32">
        <f ca="1">IFERROR(__xludf.DUMMYFUNCTION("""COMPUTED_VALUE"""),28)</f>
        <v>28</v>
      </c>
      <c r="M542" s="32"/>
      <c r="N542" s="31">
        <f ca="1">IFERROR(__xludf.DUMMYFUNCTION("""COMPUTED_VALUE"""),1603)</f>
        <v>1603</v>
      </c>
      <c r="O542" s="32">
        <f ca="1">IFERROR(__xludf.DUMMYFUNCTION("""COMPUTED_VALUE"""),392)</f>
        <v>392</v>
      </c>
      <c r="P542" s="32"/>
      <c r="Q542" s="32">
        <f ca="1">IFERROR(__xludf.DUMMYFUNCTION("""COMPUTED_VALUE"""),269)</f>
        <v>269</v>
      </c>
      <c r="R542" s="32"/>
      <c r="S542" s="31">
        <f ca="1">IFERROR(__xludf.DUMMYFUNCTION("""COMPUTED_VALUE"""),0)</f>
        <v>0</v>
      </c>
      <c r="T542" s="32">
        <f ca="1">IFERROR(__xludf.DUMMYFUNCTION("""COMPUTED_VALUE"""),0)</f>
        <v>0</v>
      </c>
      <c r="U542" s="32"/>
      <c r="V542" s="32">
        <f ca="1">IFERROR(__xludf.DUMMYFUNCTION("""COMPUTED_VALUE"""),0)</f>
        <v>0</v>
      </c>
      <c r="W542" s="32"/>
      <c r="X542" s="32">
        <f ca="1">IFERROR(__xludf.DUMMYFUNCTION("""COMPUTED_VALUE"""),0)</f>
        <v>0</v>
      </c>
      <c r="Y542" s="32"/>
      <c r="Z542" s="2"/>
      <c r="AA542" s="2"/>
      <c r="AB542" s="2"/>
      <c r="AC542" s="2"/>
      <c r="AD542" s="2"/>
      <c r="AE542" s="2"/>
    </row>
    <row r="543" spans="1:31" ht="12.75" x14ac:dyDescent="0.2">
      <c r="A543" s="28">
        <f ca="1">IFERROR(__xludf.DUMMYFUNCTION("""COMPUTED_VALUE"""),5)</f>
        <v>5</v>
      </c>
      <c r="B543" s="29" t="str">
        <f ca="1">IFERROR(__xludf.DUMMYFUNCTION("""COMPUTED_VALUE"""),"TH Bình Trưng Đông")</f>
        <v>TH Bình Trưng Đông</v>
      </c>
      <c r="C543" s="33" t="str">
        <f ca="1">IFERROR(__xludf.DUMMYFUNCTION("""COMPUTED_VALUE"""),"Tiểu học")</f>
        <v>Tiểu học</v>
      </c>
      <c r="D543" s="30" t="str">
        <f ca="1">IFERROR(__xludf.DUMMYFUNCTION("""COMPUTED_VALUE"""),"Tp. Thủ Đức")</f>
        <v>Tp. Thủ Đức</v>
      </c>
      <c r="E543" s="31">
        <f ca="1">IFERROR(__xludf.DUMMYFUNCTION("""COMPUTED_VALUE"""),69)</f>
        <v>69</v>
      </c>
      <c r="F543" s="32">
        <f ca="1">IFERROR(__xludf.DUMMYFUNCTION("""COMPUTED_VALUE"""),66)</f>
        <v>66</v>
      </c>
      <c r="G543" s="32"/>
      <c r="H543" s="32">
        <f ca="1">IFERROR(__xludf.DUMMYFUNCTION("""COMPUTED_VALUE"""),66)</f>
        <v>66</v>
      </c>
      <c r="I543" s="32"/>
      <c r="J543" s="32">
        <f ca="1">IFERROR(__xludf.DUMMYFUNCTION("""COMPUTED_VALUE"""),40)</f>
        <v>40</v>
      </c>
      <c r="K543" s="32"/>
      <c r="L543" s="32">
        <f ca="1">IFERROR(__xludf.DUMMYFUNCTION("""COMPUTED_VALUE"""),20)</f>
        <v>20</v>
      </c>
      <c r="M543" s="32"/>
      <c r="N543" s="31">
        <f ca="1">IFERROR(__xludf.DUMMYFUNCTION("""COMPUTED_VALUE"""),1379)</f>
        <v>1379</v>
      </c>
      <c r="O543" s="32">
        <f ca="1">IFERROR(__xludf.DUMMYFUNCTION("""COMPUTED_VALUE"""),192)</f>
        <v>192</v>
      </c>
      <c r="P543" s="32"/>
      <c r="Q543" s="32">
        <f ca="1">IFERROR(__xludf.DUMMYFUNCTION("""COMPUTED_VALUE"""),140)</f>
        <v>140</v>
      </c>
      <c r="R543" s="32"/>
      <c r="S543" s="31">
        <f ca="1">IFERROR(__xludf.DUMMYFUNCTION("""COMPUTED_VALUE"""),0)</f>
        <v>0</v>
      </c>
      <c r="T543" s="32">
        <f ca="1">IFERROR(__xludf.DUMMYFUNCTION("""COMPUTED_VALUE"""),0)</f>
        <v>0</v>
      </c>
      <c r="U543" s="32"/>
      <c r="V543" s="32">
        <f ca="1">IFERROR(__xludf.DUMMYFUNCTION("""COMPUTED_VALUE"""),0)</f>
        <v>0</v>
      </c>
      <c r="W543" s="32"/>
      <c r="X543" s="32">
        <f ca="1">IFERROR(__xludf.DUMMYFUNCTION("""COMPUTED_VALUE"""),0)</f>
        <v>0</v>
      </c>
      <c r="Y543" s="32"/>
      <c r="Z543" s="2"/>
      <c r="AA543" s="2"/>
      <c r="AB543" s="2"/>
      <c r="AC543" s="2"/>
      <c r="AD543" s="2"/>
      <c r="AE543" s="2"/>
    </row>
    <row r="544" spans="1:31" ht="12.75" x14ac:dyDescent="0.2">
      <c r="A544" s="28">
        <f ca="1">IFERROR(__xludf.DUMMYFUNCTION("""COMPUTED_VALUE"""),6)</f>
        <v>6</v>
      </c>
      <c r="B544" s="29" t="str">
        <f ca="1">IFERROR(__xludf.DUMMYFUNCTION("""COMPUTED_VALUE"""),"TH Nguyễn Văn Trỗi")</f>
        <v>TH Nguyễn Văn Trỗi</v>
      </c>
      <c r="C544" s="33" t="str">
        <f ca="1">IFERROR(__xludf.DUMMYFUNCTION("""COMPUTED_VALUE"""),"Tiểu học")</f>
        <v>Tiểu học</v>
      </c>
      <c r="D544" s="30" t="str">
        <f ca="1">IFERROR(__xludf.DUMMYFUNCTION("""COMPUTED_VALUE"""),"Tp. Thủ Đức")</f>
        <v>Tp. Thủ Đức</v>
      </c>
      <c r="E544" s="31">
        <f ca="1">IFERROR(__xludf.DUMMYFUNCTION("""COMPUTED_VALUE"""),85)</f>
        <v>85</v>
      </c>
      <c r="F544" s="32">
        <f ca="1">IFERROR(__xludf.DUMMYFUNCTION("""COMPUTED_VALUE"""),85)</f>
        <v>85</v>
      </c>
      <c r="G544" s="32"/>
      <c r="H544" s="32">
        <f ca="1">IFERROR(__xludf.DUMMYFUNCTION("""COMPUTED_VALUE"""),85)</f>
        <v>85</v>
      </c>
      <c r="I544" s="32"/>
      <c r="J544" s="32">
        <f ca="1">IFERROR(__xludf.DUMMYFUNCTION("""COMPUTED_VALUE"""),74)</f>
        <v>74</v>
      </c>
      <c r="K544" s="32"/>
      <c r="L544" s="32">
        <f ca="1">IFERROR(__xludf.DUMMYFUNCTION("""COMPUTED_VALUE"""),10)</f>
        <v>10</v>
      </c>
      <c r="M544" s="32"/>
      <c r="N544" s="31">
        <f ca="1">IFERROR(__xludf.DUMMYFUNCTION("""COMPUTED_VALUE"""),1714)</f>
        <v>1714</v>
      </c>
      <c r="O544" s="32">
        <f ca="1">IFERROR(__xludf.DUMMYFUNCTION("""COMPUTED_VALUE"""),349)</f>
        <v>349</v>
      </c>
      <c r="P544" s="32"/>
      <c r="Q544" s="32">
        <f ca="1">IFERROR(__xludf.DUMMYFUNCTION("""COMPUTED_VALUE"""),188)</f>
        <v>188</v>
      </c>
      <c r="R544" s="32"/>
      <c r="S544" s="31">
        <f ca="1">IFERROR(__xludf.DUMMYFUNCTION("""COMPUTED_VALUE"""),0)</f>
        <v>0</v>
      </c>
      <c r="T544" s="32">
        <f ca="1">IFERROR(__xludf.DUMMYFUNCTION("""COMPUTED_VALUE"""),0)</f>
        <v>0</v>
      </c>
      <c r="U544" s="32"/>
      <c r="V544" s="32">
        <f ca="1">IFERROR(__xludf.DUMMYFUNCTION("""COMPUTED_VALUE"""),0)</f>
        <v>0</v>
      </c>
      <c r="W544" s="32"/>
      <c r="X544" s="32">
        <f ca="1">IFERROR(__xludf.DUMMYFUNCTION("""COMPUTED_VALUE"""),0)</f>
        <v>0</v>
      </c>
      <c r="Y544" s="32"/>
      <c r="Z544" s="2"/>
      <c r="AA544" s="2"/>
      <c r="AB544" s="2"/>
      <c r="AC544" s="2"/>
      <c r="AD544" s="2"/>
      <c r="AE544" s="2"/>
    </row>
    <row r="545" spans="1:31" ht="12.75" x14ac:dyDescent="0.2">
      <c r="A545" s="28">
        <f ca="1">IFERROR(__xludf.DUMMYFUNCTION("""COMPUTED_VALUE"""),7)</f>
        <v>7</v>
      </c>
      <c r="B545" s="29" t="str">
        <f ca="1">IFERROR(__xludf.DUMMYFUNCTION("""COMPUTED_VALUE"""),"TH Giồng Ông Tố")</f>
        <v>TH Giồng Ông Tố</v>
      </c>
      <c r="C545" s="33" t="str">
        <f ca="1">IFERROR(__xludf.DUMMYFUNCTION("""COMPUTED_VALUE"""),"Tiểu học")</f>
        <v>Tiểu học</v>
      </c>
      <c r="D545" s="30" t="str">
        <f ca="1">IFERROR(__xludf.DUMMYFUNCTION("""COMPUTED_VALUE"""),"Tp. Thủ Đức")</f>
        <v>Tp. Thủ Đức</v>
      </c>
      <c r="E545" s="31">
        <f ca="1">IFERROR(__xludf.DUMMYFUNCTION("""COMPUTED_VALUE"""),137)</f>
        <v>137</v>
      </c>
      <c r="F545" s="32">
        <f ca="1">IFERROR(__xludf.DUMMYFUNCTION("""COMPUTED_VALUE"""),137)</f>
        <v>137</v>
      </c>
      <c r="G545" s="32"/>
      <c r="H545" s="32">
        <f ca="1">IFERROR(__xludf.DUMMYFUNCTION("""COMPUTED_VALUE"""),137)</f>
        <v>137</v>
      </c>
      <c r="I545" s="32"/>
      <c r="J545" s="32">
        <f ca="1">IFERROR(__xludf.DUMMYFUNCTION("""COMPUTED_VALUE"""),133)</f>
        <v>133</v>
      </c>
      <c r="K545" s="32"/>
      <c r="L545" s="32">
        <f ca="1">IFERROR(__xludf.DUMMYFUNCTION("""COMPUTED_VALUE"""),98)</f>
        <v>98</v>
      </c>
      <c r="M545" s="32"/>
      <c r="N545" s="31">
        <f ca="1">IFERROR(__xludf.DUMMYFUNCTION("""COMPUTED_VALUE"""),2270)</f>
        <v>2270</v>
      </c>
      <c r="O545" s="32">
        <f ca="1">IFERROR(__xludf.DUMMYFUNCTION("""COMPUTED_VALUE"""),760)</f>
        <v>760</v>
      </c>
      <c r="P545" s="32"/>
      <c r="Q545" s="32">
        <f ca="1">IFERROR(__xludf.DUMMYFUNCTION("""COMPUTED_VALUE"""),511)</f>
        <v>511</v>
      </c>
      <c r="R545" s="32"/>
      <c r="S545" s="31">
        <f ca="1">IFERROR(__xludf.DUMMYFUNCTION("""COMPUTED_VALUE"""),0)</f>
        <v>0</v>
      </c>
      <c r="T545" s="32">
        <f ca="1">IFERROR(__xludf.DUMMYFUNCTION("""COMPUTED_VALUE"""),0)</f>
        <v>0</v>
      </c>
      <c r="U545" s="32"/>
      <c r="V545" s="32">
        <f ca="1">IFERROR(__xludf.DUMMYFUNCTION("""COMPUTED_VALUE"""),0)</f>
        <v>0</v>
      </c>
      <c r="W545" s="32"/>
      <c r="X545" s="32">
        <f ca="1">IFERROR(__xludf.DUMMYFUNCTION("""COMPUTED_VALUE"""),0)</f>
        <v>0</v>
      </c>
      <c r="Y545" s="32"/>
      <c r="Z545" s="2"/>
      <c r="AA545" s="2"/>
      <c r="AB545" s="2"/>
      <c r="AC545" s="2"/>
      <c r="AD545" s="2"/>
      <c r="AE545" s="2"/>
    </row>
    <row r="546" spans="1:31" ht="12.75" x14ac:dyDescent="0.2">
      <c r="A546" s="28">
        <f ca="1">IFERROR(__xludf.DUMMYFUNCTION("""COMPUTED_VALUE"""),8)</f>
        <v>8</v>
      </c>
      <c r="B546" s="29" t="str">
        <f ca="1">IFERROR(__xludf.DUMMYFUNCTION("""COMPUTED_VALUE"""),"TH Mỹ Thuỷ")</f>
        <v>TH Mỹ Thuỷ</v>
      </c>
      <c r="C546" s="33" t="str">
        <f ca="1">IFERROR(__xludf.DUMMYFUNCTION("""COMPUTED_VALUE"""),"Tiểu học")</f>
        <v>Tiểu học</v>
      </c>
      <c r="D546" s="30" t="str">
        <f ca="1">IFERROR(__xludf.DUMMYFUNCTION("""COMPUTED_VALUE"""),"Tp. Thủ Đức")</f>
        <v>Tp. Thủ Đức</v>
      </c>
      <c r="E546" s="31">
        <f ca="1">IFERROR(__xludf.DUMMYFUNCTION("""COMPUTED_VALUE"""),77)</f>
        <v>77</v>
      </c>
      <c r="F546" s="32">
        <f ca="1">IFERROR(__xludf.DUMMYFUNCTION("""COMPUTED_VALUE"""),77)</f>
        <v>77</v>
      </c>
      <c r="G546" s="32"/>
      <c r="H546" s="32">
        <f ca="1">IFERROR(__xludf.DUMMYFUNCTION("""COMPUTED_VALUE"""),77)</f>
        <v>77</v>
      </c>
      <c r="I546" s="32"/>
      <c r="J546" s="32">
        <f ca="1">IFERROR(__xludf.DUMMYFUNCTION("""COMPUTED_VALUE"""),43)</f>
        <v>43</v>
      </c>
      <c r="K546" s="32"/>
      <c r="L546" s="32">
        <f ca="1">IFERROR(__xludf.DUMMYFUNCTION("""COMPUTED_VALUE"""),27)</f>
        <v>27</v>
      </c>
      <c r="M546" s="32"/>
      <c r="N546" s="31">
        <f ca="1">IFERROR(__xludf.DUMMYFUNCTION("""COMPUTED_VALUE"""),1050)</f>
        <v>1050</v>
      </c>
      <c r="O546" s="32">
        <f ca="1">IFERROR(__xludf.DUMMYFUNCTION("""COMPUTED_VALUE"""),350)</f>
        <v>350</v>
      </c>
      <c r="P546" s="32"/>
      <c r="Q546" s="32">
        <f ca="1">IFERROR(__xludf.DUMMYFUNCTION("""COMPUTED_VALUE"""),100)</f>
        <v>100</v>
      </c>
      <c r="R546" s="32"/>
      <c r="S546" s="31">
        <f ca="1">IFERROR(__xludf.DUMMYFUNCTION("""COMPUTED_VALUE"""),0)</f>
        <v>0</v>
      </c>
      <c r="T546" s="32">
        <f ca="1">IFERROR(__xludf.DUMMYFUNCTION("""COMPUTED_VALUE"""),0)</f>
        <v>0</v>
      </c>
      <c r="U546" s="32"/>
      <c r="V546" s="32">
        <f ca="1">IFERROR(__xludf.DUMMYFUNCTION("""COMPUTED_VALUE"""),0)</f>
        <v>0</v>
      </c>
      <c r="W546" s="32"/>
      <c r="X546" s="32">
        <f ca="1">IFERROR(__xludf.DUMMYFUNCTION("""COMPUTED_VALUE"""),0)</f>
        <v>0</v>
      </c>
      <c r="Y546" s="32"/>
      <c r="Z546" s="2"/>
      <c r="AA546" s="2"/>
      <c r="AB546" s="2"/>
      <c r="AC546" s="2"/>
      <c r="AD546" s="2"/>
      <c r="AE546" s="2"/>
    </row>
    <row r="547" spans="1:31" ht="12.75" x14ac:dyDescent="0.2">
      <c r="A547" s="28">
        <f ca="1">IFERROR(__xludf.DUMMYFUNCTION("""COMPUTED_VALUE"""),9)</f>
        <v>9</v>
      </c>
      <c r="B547" s="29" t="str">
        <f ca="1">IFERROR(__xludf.DUMMYFUNCTION("""COMPUTED_VALUE"""),"TH Lương Thế Vinh 1")</f>
        <v>TH Lương Thế Vinh 1</v>
      </c>
      <c r="C547" s="33" t="str">
        <f ca="1">IFERROR(__xludf.DUMMYFUNCTION("""COMPUTED_VALUE"""),"Tiểu học")</f>
        <v>Tiểu học</v>
      </c>
      <c r="D547" s="30" t="str">
        <f ca="1">IFERROR(__xludf.DUMMYFUNCTION("""COMPUTED_VALUE"""),"Tp. Thủ Đức")</f>
        <v>Tp. Thủ Đức</v>
      </c>
      <c r="E547" s="31">
        <f ca="1">IFERROR(__xludf.DUMMYFUNCTION("""COMPUTED_VALUE"""),55)</f>
        <v>55</v>
      </c>
      <c r="F547" s="32">
        <f ca="1">IFERROR(__xludf.DUMMYFUNCTION("""COMPUTED_VALUE"""),55)</f>
        <v>55</v>
      </c>
      <c r="G547" s="32"/>
      <c r="H547" s="32">
        <f ca="1">IFERROR(__xludf.DUMMYFUNCTION("""COMPUTED_VALUE"""),55)</f>
        <v>55</v>
      </c>
      <c r="I547" s="32"/>
      <c r="J547" s="32">
        <f ca="1">IFERROR(__xludf.DUMMYFUNCTION("""COMPUTED_VALUE"""),55)</f>
        <v>55</v>
      </c>
      <c r="K547" s="32"/>
      <c r="L547" s="32">
        <f ca="1">IFERROR(__xludf.DUMMYFUNCTION("""COMPUTED_VALUE"""),7)</f>
        <v>7</v>
      </c>
      <c r="M547" s="32"/>
      <c r="N547" s="31">
        <f ca="1">IFERROR(__xludf.DUMMYFUNCTION("""COMPUTED_VALUE"""),1379)</f>
        <v>1379</v>
      </c>
      <c r="O547" s="32">
        <f ca="1">IFERROR(__xludf.DUMMYFUNCTION("""COMPUTED_VALUE"""),185)</f>
        <v>185</v>
      </c>
      <c r="P547" s="32"/>
      <c r="Q547" s="32">
        <f ca="1">IFERROR(__xludf.DUMMYFUNCTION("""COMPUTED_VALUE"""),147)</f>
        <v>147</v>
      </c>
      <c r="R547" s="32"/>
      <c r="S547" s="31">
        <f ca="1">IFERROR(__xludf.DUMMYFUNCTION("""COMPUTED_VALUE"""),0)</f>
        <v>0</v>
      </c>
      <c r="T547" s="32">
        <f ca="1">IFERROR(__xludf.DUMMYFUNCTION("""COMPUTED_VALUE"""),0)</f>
        <v>0</v>
      </c>
      <c r="U547" s="32"/>
      <c r="V547" s="32">
        <f ca="1">IFERROR(__xludf.DUMMYFUNCTION("""COMPUTED_VALUE"""),0)</f>
        <v>0</v>
      </c>
      <c r="W547" s="32"/>
      <c r="X547" s="32">
        <f ca="1">IFERROR(__xludf.DUMMYFUNCTION("""COMPUTED_VALUE"""),0)</f>
        <v>0</v>
      </c>
      <c r="Y547" s="32"/>
      <c r="Z547" s="2"/>
      <c r="AA547" s="2"/>
      <c r="AB547" s="2"/>
      <c r="AC547" s="2"/>
      <c r="AD547" s="2"/>
      <c r="AE547" s="2"/>
    </row>
    <row r="548" spans="1:31" ht="12.75" x14ac:dyDescent="0.2">
      <c r="A548" s="28">
        <f ca="1">IFERROR(__xludf.DUMMYFUNCTION("""COMPUTED_VALUE"""),10)</f>
        <v>10</v>
      </c>
      <c r="B548" s="29" t="str">
        <f ca="1">IFERROR(__xludf.DUMMYFUNCTION("""COMPUTED_VALUE"""),"TH Thạnh Mỹ lợi")</f>
        <v>TH Thạnh Mỹ lợi</v>
      </c>
      <c r="C548" s="33" t="str">
        <f ca="1">IFERROR(__xludf.DUMMYFUNCTION("""COMPUTED_VALUE"""),"Tiểu học")</f>
        <v>Tiểu học</v>
      </c>
      <c r="D548" s="30" t="str">
        <f ca="1">IFERROR(__xludf.DUMMYFUNCTION("""COMPUTED_VALUE"""),"Tp. Thủ Đức")</f>
        <v>Tp. Thủ Đức</v>
      </c>
      <c r="E548" s="31">
        <f ca="1">IFERROR(__xludf.DUMMYFUNCTION("""COMPUTED_VALUE"""),52)</f>
        <v>52</v>
      </c>
      <c r="F548" s="32">
        <f ca="1">IFERROR(__xludf.DUMMYFUNCTION("""COMPUTED_VALUE"""),52)</f>
        <v>52</v>
      </c>
      <c r="G548" s="32"/>
      <c r="H548" s="32">
        <f ca="1">IFERROR(__xludf.DUMMYFUNCTION("""COMPUTED_VALUE"""),52)</f>
        <v>52</v>
      </c>
      <c r="I548" s="32"/>
      <c r="J548" s="32">
        <f ca="1">IFERROR(__xludf.DUMMYFUNCTION("""COMPUTED_VALUE"""),48)</f>
        <v>48</v>
      </c>
      <c r="K548" s="32"/>
      <c r="L548" s="32">
        <f ca="1">IFERROR(__xludf.DUMMYFUNCTION("""COMPUTED_VALUE"""),16)</f>
        <v>16</v>
      </c>
      <c r="M548" s="32"/>
      <c r="N548" s="31">
        <f ca="1">IFERROR(__xludf.DUMMYFUNCTION("""COMPUTED_VALUE"""),1399)</f>
        <v>1399</v>
      </c>
      <c r="O548" s="32">
        <f ca="1">IFERROR(__xludf.DUMMYFUNCTION("""COMPUTED_VALUE"""),226)</f>
        <v>226</v>
      </c>
      <c r="P548" s="32"/>
      <c r="Q548" s="32">
        <f ca="1">IFERROR(__xludf.DUMMYFUNCTION("""COMPUTED_VALUE"""),113)</f>
        <v>113</v>
      </c>
      <c r="R548" s="32"/>
      <c r="S548" s="31">
        <f ca="1">IFERROR(__xludf.DUMMYFUNCTION("""COMPUTED_VALUE"""),0)</f>
        <v>0</v>
      </c>
      <c r="T548" s="32">
        <f ca="1">IFERROR(__xludf.DUMMYFUNCTION("""COMPUTED_VALUE"""),0)</f>
        <v>0</v>
      </c>
      <c r="U548" s="32"/>
      <c r="V548" s="32">
        <f ca="1">IFERROR(__xludf.DUMMYFUNCTION("""COMPUTED_VALUE"""),0)</f>
        <v>0</v>
      </c>
      <c r="W548" s="32"/>
      <c r="X548" s="32">
        <f ca="1">IFERROR(__xludf.DUMMYFUNCTION("""COMPUTED_VALUE"""),0)</f>
        <v>0</v>
      </c>
      <c r="Y548" s="32"/>
      <c r="Z548" s="2"/>
      <c r="AA548" s="2"/>
      <c r="AB548" s="2"/>
      <c r="AC548" s="2"/>
      <c r="AD548" s="2"/>
      <c r="AE548" s="2"/>
    </row>
    <row r="549" spans="1:31" ht="12.75" x14ac:dyDescent="0.2">
      <c r="A549" s="28">
        <f ca="1">IFERROR(__xludf.DUMMYFUNCTION("""COMPUTED_VALUE"""),11)</f>
        <v>11</v>
      </c>
      <c r="B549" s="29" t="str">
        <f ca="1">IFERROR(__xludf.DUMMYFUNCTION("""COMPUTED_VALUE"""),"TH Huỳnh Văn Ngỡi")</f>
        <v>TH Huỳnh Văn Ngỡi</v>
      </c>
      <c r="C549" s="33" t="str">
        <f ca="1">IFERROR(__xludf.DUMMYFUNCTION("""COMPUTED_VALUE"""),"Tiểu học")</f>
        <v>Tiểu học</v>
      </c>
      <c r="D549" s="30" t="str">
        <f ca="1">IFERROR(__xludf.DUMMYFUNCTION("""COMPUTED_VALUE"""),"Tp. Thủ Đức")</f>
        <v>Tp. Thủ Đức</v>
      </c>
      <c r="E549" s="31">
        <f ca="1">IFERROR(__xludf.DUMMYFUNCTION("""COMPUTED_VALUE"""),53)</f>
        <v>53</v>
      </c>
      <c r="F549" s="32">
        <f ca="1">IFERROR(__xludf.DUMMYFUNCTION("""COMPUTED_VALUE"""),53)</f>
        <v>53</v>
      </c>
      <c r="G549" s="32"/>
      <c r="H549" s="32">
        <f ca="1">IFERROR(__xludf.DUMMYFUNCTION("""COMPUTED_VALUE"""),53)</f>
        <v>53</v>
      </c>
      <c r="I549" s="32"/>
      <c r="J549" s="32">
        <f ca="1">IFERROR(__xludf.DUMMYFUNCTION("""COMPUTED_VALUE"""),51)</f>
        <v>51</v>
      </c>
      <c r="K549" s="32"/>
      <c r="L549" s="32">
        <f ca="1">IFERROR(__xludf.DUMMYFUNCTION("""COMPUTED_VALUE"""),19)</f>
        <v>19</v>
      </c>
      <c r="M549" s="32"/>
      <c r="N549" s="31">
        <f ca="1">IFERROR(__xludf.DUMMYFUNCTION("""COMPUTED_VALUE"""),808)</f>
        <v>808</v>
      </c>
      <c r="O549" s="32">
        <f ca="1">IFERROR(__xludf.DUMMYFUNCTION("""COMPUTED_VALUE"""),256)</f>
        <v>256</v>
      </c>
      <c r="P549" s="32"/>
      <c r="Q549" s="32">
        <f ca="1">IFERROR(__xludf.DUMMYFUNCTION("""COMPUTED_VALUE"""),78)</f>
        <v>78</v>
      </c>
      <c r="R549" s="32"/>
      <c r="S549" s="31">
        <f ca="1">IFERROR(__xludf.DUMMYFUNCTION("""COMPUTED_VALUE"""),0)</f>
        <v>0</v>
      </c>
      <c r="T549" s="32">
        <f ca="1">IFERROR(__xludf.DUMMYFUNCTION("""COMPUTED_VALUE"""),0)</f>
        <v>0</v>
      </c>
      <c r="U549" s="32"/>
      <c r="V549" s="32">
        <f ca="1">IFERROR(__xludf.DUMMYFUNCTION("""COMPUTED_VALUE"""),0)</f>
        <v>0</v>
      </c>
      <c r="W549" s="32"/>
      <c r="X549" s="32">
        <f ca="1">IFERROR(__xludf.DUMMYFUNCTION("""COMPUTED_VALUE"""),0)</f>
        <v>0</v>
      </c>
      <c r="Y549" s="32"/>
      <c r="Z549" s="2"/>
      <c r="AA549" s="2"/>
      <c r="AB549" s="2"/>
      <c r="AC549" s="2"/>
      <c r="AD549" s="2"/>
      <c r="AE549" s="2"/>
    </row>
    <row r="550" spans="1:31" ht="12.75" x14ac:dyDescent="0.2">
      <c r="A550" s="28">
        <f ca="1">IFERROR(__xludf.DUMMYFUNCTION("""COMPUTED_VALUE"""),12)</f>
        <v>12</v>
      </c>
      <c r="B550" s="29" t="str">
        <f ca="1">IFERROR(__xludf.DUMMYFUNCTION("""COMPUTED_VALUE"""),"TH Nguyễn Thị Tư")</f>
        <v>TH Nguyễn Thị Tư</v>
      </c>
      <c r="C550" s="33" t="str">
        <f ca="1">IFERROR(__xludf.DUMMYFUNCTION("""COMPUTED_VALUE"""),"Tiểu học")</f>
        <v>Tiểu học</v>
      </c>
      <c r="D550" s="30" t="str">
        <f ca="1">IFERROR(__xludf.DUMMYFUNCTION("""COMPUTED_VALUE"""),"Tp. Thủ Đức")</f>
        <v>Tp. Thủ Đức</v>
      </c>
      <c r="E550" s="31">
        <f ca="1">IFERROR(__xludf.DUMMYFUNCTION("""COMPUTED_VALUE"""),11)</f>
        <v>11</v>
      </c>
      <c r="F550" s="32">
        <f ca="1">IFERROR(__xludf.DUMMYFUNCTION("""COMPUTED_VALUE"""),11)</f>
        <v>11</v>
      </c>
      <c r="G550" s="32"/>
      <c r="H550" s="32">
        <f ca="1">IFERROR(__xludf.DUMMYFUNCTION("""COMPUTED_VALUE"""),11)</f>
        <v>11</v>
      </c>
      <c r="I550" s="32"/>
      <c r="J550" s="32">
        <f ca="1">IFERROR(__xludf.DUMMYFUNCTION("""COMPUTED_VALUE"""),11)</f>
        <v>11</v>
      </c>
      <c r="K550" s="32"/>
      <c r="L550" s="32">
        <f ca="1">IFERROR(__xludf.DUMMYFUNCTION("""COMPUTED_VALUE"""),3)</f>
        <v>3</v>
      </c>
      <c r="M550" s="32"/>
      <c r="N550" s="31">
        <f ca="1">IFERROR(__xludf.DUMMYFUNCTION("""COMPUTED_VALUE"""),204)</f>
        <v>204</v>
      </c>
      <c r="O550" s="32">
        <f ca="1">IFERROR(__xludf.DUMMYFUNCTION("""COMPUTED_VALUE"""),43)</f>
        <v>43</v>
      </c>
      <c r="P550" s="32"/>
      <c r="Q550" s="32">
        <f ca="1">IFERROR(__xludf.DUMMYFUNCTION("""COMPUTED_VALUE"""),20)</f>
        <v>20</v>
      </c>
      <c r="R550" s="32"/>
      <c r="S550" s="31">
        <f ca="1">IFERROR(__xludf.DUMMYFUNCTION("""COMPUTED_VALUE"""),0)</f>
        <v>0</v>
      </c>
      <c r="T550" s="32">
        <f ca="1">IFERROR(__xludf.DUMMYFUNCTION("""COMPUTED_VALUE"""),0)</f>
        <v>0</v>
      </c>
      <c r="U550" s="32"/>
      <c r="V550" s="32">
        <f ca="1">IFERROR(__xludf.DUMMYFUNCTION("""COMPUTED_VALUE"""),0)</f>
        <v>0</v>
      </c>
      <c r="W550" s="32"/>
      <c r="X550" s="32">
        <f ca="1">IFERROR(__xludf.DUMMYFUNCTION("""COMPUTED_VALUE"""),0)</f>
        <v>0</v>
      </c>
      <c r="Y550" s="32"/>
      <c r="Z550" s="2"/>
      <c r="AA550" s="2"/>
      <c r="AB550" s="2"/>
      <c r="AC550" s="2"/>
      <c r="AD550" s="2"/>
      <c r="AE550" s="2"/>
    </row>
    <row r="551" spans="1:31" ht="12.75" x14ac:dyDescent="0.2">
      <c r="A551" s="28">
        <f ca="1">IFERROR(__xludf.DUMMYFUNCTION("""COMPUTED_VALUE"""),13)</f>
        <v>13</v>
      </c>
      <c r="B551" s="29" t="str">
        <f ca="1">IFERROR(__xludf.DUMMYFUNCTION("""COMPUTED_VALUE"""),"TH Đinh Tiên Hoàng")</f>
        <v>TH Đinh Tiên Hoàng</v>
      </c>
      <c r="C551" s="33" t="str">
        <f ca="1">IFERROR(__xludf.DUMMYFUNCTION("""COMPUTED_VALUE"""),"Tiểu học")</f>
        <v>Tiểu học</v>
      </c>
      <c r="D551" s="30" t="str">
        <f ca="1">IFERROR(__xludf.DUMMYFUNCTION("""COMPUTED_VALUE"""),"Tp. Thủ Đức")</f>
        <v>Tp. Thủ Đức</v>
      </c>
      <c r="E551" s="31">
        <f ca="1">IFERROR(__xludf.DUMMYFUNCTION("""COMPUTED_VALUE"""),99)</f>
        <v>99</v>
      </c>
      <c r="F551" s="32">
        <f ca="1">IFERROR(__xludf.DUMMYFUNCTION("""COMPUTED_VALUE"""),0)</f>
        <v>0</v>
      </c>
      <c r="G551" s="32"/>
      <c r="H551" s="32">
        <f ca="1">IFERROR(__xludf.DUMMYFUNCTION("""COMPUTED_VALUE"""),8)</f>
        <v>8</v>
      </c>
      <c r="I551" s="32"/>
      <c r="J551" s="32">
        <f ca="1">IFERROR(__xludf.DUMMYFUNCTION("""COMPUTED_VALUE"""),67)</f>
        <v>67</v>
      </c>
      <c r="K551" s="32"/>
      <c r="L551" s="32">
        <f ca="1">IFERROR(__xludf.DUMMYFUNCTION("""COMPUTED_VALUE"""),24)</f>
        <v>24</v>
      </c>
      <c r="M551" s="32"/>
      <c r="N551" s="31">
        <f ca="1">IFERROR(__xludf.DUMMYFUNCTION("""COMPUTED_VALUE"""),2052)</f>
        <v>2052</v>
      </c>
      <c r="O551" s="32">
        <f ca="1">IFERROR(__xludf.DUMMYFUNCTION("""COMPUTED_VALUE"""),343)</f>
        <v>343</v>
      </c>
      <c r="P551" s="32"/>
      <c r="Q551" s="32">
        <f ca="1">IFERROR(__xludf.DUMMYFUNCTION("""COMPUTED_VALUE"""),358)</f>
        <v>358</v>
      </c>
      <c r="R551" s="32"/>
      <c r="S551" s="31">
        <f ca="1">IFERROR(__xludf.DUMMYFUNCTION("""COMPUTED_VALUE"""),0)</f>
        <v>0</v>
      </c>
      <c r="T551" s="32">
        <f ca="1">IFERROR(__xludf.DUMMYFUNCTION("""COMPUTED_VALUE"""),0)</f>
        <v>0</v>
      </c>
      <c r="U551" s="32"/>
      <c r="V551" s="32">
        <f ca="1">IFERROR(__xludf.DUMMYFUNCTION("""COMPUTED_VALUE"""),0)</f>
        <v>0</v>
      </c>
      <c r="W551" s="32"/>
      <c r="X551" s="32">
        <f ca="1">IFERROR(__xludf.DUMMYFUNCTION("""COMPUTED_VALUE"""),0)</f>
        <v>0</v>
      </c>
      <c r="Y551" s="32"/>
      <c r="Z551" s="2"/>
      <c r="AA551" s="2"/>
      <c r="AB551" s="2"/>
      <c r="AC551" s="2"/>
      <c r="AD551" s="2"/>
      <c r="AE551" s="2"/>
    </row>
    <row r="552" spans="1:31" ht="12.75" x14ac:dyDescent="0.2">
      <c r="A552" s="28">
        <f ca="1">IFERROR(__xludf.DUMMYFUNCTION("""COMPUTED_VALUE"""),14)</f>
        <v>14</v>
      </c>
      <c r="B552" s="29" t="str">
        <f ca="1">IFERROR(__xludf.DUMMYFUNCTION("""COMPUTED_VALUE"""),"TH Hiệp Phú")</f>
        <v>TH Hiệp Phú</v>
      </c>
      <c r="C552" s="33" t="str">
        <f ca="1">IFERROR(__xludf.DUMMYFUNCTION("""COMPUTED_VALUE"""),"Tiểu học")</f>
        <v>Tiểu học</v>
      </c>
      <c r="D552" s="30" t="str">
        <f ca="1">IFERROR(__xludf.DUMMYFUNCTION("""COMPUTED_VALUE"""),"Tp. Thủ Đức")</f>
        <v>Tp. Thủ Đức</v>
      </c>
      <c r="E552" s="31">
        <f ca="1">IFERROR(__xludf.DUMMYFUNCTION("""COMPUTED_VALUE"""),90)</f>
        <v>90</v>
      </c>
      <c r="F552" s="32">
        <f ca="1">IFERROR(__xludf.DUMMYFUNCTION("""COMPUTED_VALUE"""),90)</f>
        <v>90</v>
      </c>
      <c r="G552" s="32"/>
      <c r="H552" s="32">
        <f ca="1">IFERROR(__xludf.DUMMYFUNCTION("""COMPUTED_VALUE"""),90)</f>
        <v>90</v>
      </c>
      <c r="I552" s="32"/>
      <c r="J552" s="32">
        <f ca="1">IFERROR(__xludf.DUMMYFUNCTION("""COMPUTED_VALUE"""),87)</f>
        <v>87</v>
      </c>
      <c r="K552" s="32"/>
      <c r="L552" s="32">
        <f ca="1">IFERROR(__xludf.DUMMYFUNCTION("""COMPUTED_VALUE"""),11)</f>
        <v>11</v>
      </c>
      <c r="M552" s="32"/>
      <c r="N552" s="31">
        <f ca="1">IFERROR(__xludf.DUMMYFUNCTION("""COMPUTED_VALUE"""),1755)</f>
        <v>1755</v>
      </c>
      <c r="O552" s="32">
        <f ca="1">IFERROR(__xludf.DUMMYFUNCTION("""COMPUTED_VALUE"""),479)</f>
        <v>479</v>
      </c>
      <c r="P552" s="32"/>
      <c r="Q552" s="32">
        <f ca="1">IFERROR(__xludf.DUMMYFUNCTION("""COMPUTED_VALUE"""),75)</f>
        <v>75</v>
      </c>
      <c r="R552" s="32"/>
      <c r="S552" s="31">
        <f ca="1">IFERROR(__xludf.DUMMYFUNCTION("""COMPUTED_VALUE"""),0)</f>
        <v>0</v>
      </c>
      <c r="T552" s="32">
        <f ca="1">IFERROR(__xludf.DUMMYFUNCTION("""COMPUTED_VALUE"""),0)</f>
        <v>0</v>
      </c>
      <c r="U552" s="32"/>
      <c r="V552" s="32">
        <f ca="1">IFERROR(__xludf.DUMMYFUNCTION("""COMPUTED_VALUE"""),0)</f>
        <v>0</v>
      </c>
      <c r="W552" s="32"/>
      <c r="X552" s="32">
        <f ca="1">IFERROR(__xludf.DUMMYFUNCTION("""COMPUTED_VALUE"""),0)</f>
        <v>0</v>
      </c>
      <c r="Y552" s="32"/>
      <c r="Z552" s="2"/>
      <c r="AA552" s="2"/>
      <c r="AB552" s="2"/>
      <c r="AC552" s="2"/>
      <c r="AD552" s="2"/>
      <c r="AE552" s="2"/>
    </row>
    <row r="553" spans="1:31" ht="12.75" x14ac:dyDescent="0.2">
      <c r="A553" s="28">
        <f ca="1">IFERROR(__xludf.DUMMYFUNCTION("""COMPUTED_VALUE"""),15)</f>
        <v>15</v>
      </c>
      <c r="B553" s="29" t="str">
        <f ca="1">IFERROR(__xludf.DUMMYFUNCTION("""COMPUTED_VALUE"""),"TH Tạ Uyên")</f>
        <v>TH Tạ Uyên</v>
      </c>
      <c r="C553" s="33" t="str">
        <f ca="1">IFERROR(__xludf.DUMMYFUNCTION("""COMPUTED_VALUE"""),"Tiểu học")</f>
        <v>Tiểu học</v>
      </c>
      <c r="D553" s="30" t="str">
        <f ca="1">IFERROR(__xludf.DUMMYFUNCTION("""COMPUTED_VALUE"""),"Tp. Thủ Đức")</f>
        <v>Tp. Thủ Đức</v>
      </c>
      <c r="E553" s="31">
        <f ca="1">IFERROR(__xludf.DUMMYFUNCTION("""COMPUTED_VALUE"""),57)</f>
        <v>57</v>
      </c>
      <c r="F553" s="32">
        <f ca="1">IFERROR(__xludf.DUMMYFUNCTION("""COMPUTED_VALUE"""),57)</f>
        <v>57</v>
      </c>
      <c r="G553" s="32"/>
      <c r="H553" s="32">
        <f ca="1">IFERROR(__xludf.DUMMYFUNCTION("""COMPUTED_VALUE"""),57)</f>
        <v>57</v>
      </c>
      <c r="I553" s="32"/>
      <c r="J553" s="32">
        <f ca="1">IFERROR(__xludf.DUMMYFUNCTION("""COMPUTED_VALUE"""),55)</f>
        <v>55</v>
      </c>
      <c r="K553" s="32"/>
      <c r="L553" s="32">
        <f ca="1">IFERROR(__xludf.DUMMYFUNCTION("""COMPUTED_VALUE"""),7)</f>
        <v>7</v>
      </c>
      <c r="M553" s="32"/>
      <c r="N553" s="31">
        <f ca="1">IFERROR(__xludf.DUMMYFUNCTION("""COMPUTED_VALUE"""),1034)</f>
        <v>1034</v>
      </c>
      <c r="O553" s="32" t="str">
        <f ca="1">IFERROR(__xludf.DUMMYFUNCTION("""COMPUTED_VALUE"""),"547+24")</f>
        <v>547+24</v>
      </c>
      <c r="P553" s="32"/>
      <c r="Q553" s="32" t="str">
        <f ca="1">IFERROR(__xludf.DUMMYFUNCTION("""COMPUTED_VALUE"""),"498+85")</f>
        <v>498+85</v>
      </c>
      <c r="R553" s="32"/>
      <c r="S553" s="31">
        <f ca="1">IFERROR(__xludf.DUMMYFUNCTION("""COMPUTED_VALUE"""),0)</f>
        <v>0</v>
      </c>
      <c r="T553" s="32">
        <f ca="1">IFERROR(__xludf.DUMMYFUNCTION("""COMPUTED_VALUE"""),0)</f>
        <v>0</v>
      </c>
      <c r="U553" s="32"/>
      <c r="V553" s="32">
        <f ca="1">IFERROR(__xludf.DUMMYFUNCTION("""COMPUTED_VALUE"""),0)</f>
        <v>0</v>
      </c>
      <c r="W553" s="32"/>
      <c r="X553" s="32">
        <f ca="1">IFERROR(__xludf.DUMMYFUNCTION("""COMPUTED_VALUE"""),0)</f>
        <v>0</v>
      </c>
      <c r="Y553" s="32"/>
      <c r="Z553" s="2"/>
      <c r="AA553" s="2"/>
      <c r="AB553" s="2"/>
      <c r="AC553" s="2"/>
      <c r="AD553" s="2"/>
      <c r="AE553" s="2"/>
    </row>
    <row r="554" spans="1:31" ht="12.75" x14ac:dyDescent="0.2">
      <c r="A554" s="28">
        <f ca="1">IFERROR(__xludf.DUMMYFUNCTION("""COMPUTED_VALUE"""),16)</f>
        <v>16</v>
      </c>
      <c r="B554" s="29" t="str">
        <f ca="1">IFERROR(__xludf.DUMMYFUNCTION("""COMPUTED_VALUE"""),"TH Long Phước")</f>
        <v>TH Long Phước</v>
      </c>
      <c r="C554" s="33" t="str">
        <f ca="1">IFERROR(__xludf.DUMMYFUNCTION("""COMPUTED_VALUE"""),"Tiểu học")</f>
        <v>Tiểu học</v>
      </c>
      <c r="D554" s="30" t="str">
        <f ca="1">IFERROR(__xludf.DUMMYFUNCTION("""COMPUTED_VALUE"""),"Tp. Thủ Đức")</f>
        <v>Tp. Thủ Đức</v>
      </c>
      <c r="E554" s="31">
        <f ca="1">IFERROR(__xludf.DUMMYFUNCTION("""COMPUTED_VALUE"""),52)</f>
        <v>52</v>
      </c>
      <c r="F554" s="32">
        <f ca="1">IFERROR(__xludf.DUMMYFUNCTION("""COMPUTED_VALUE"""),52)</f>
        <v>52</v>
      </c>
      <c r="G554" s="32"/>
      <c r="H554" s="32">
        <f ca="1">IFERROR(__xludf.DUMMYFUNCTION("""COMPUTED_VALUE"""),52)</f>
        <v>52</v>
      </c>
      <c r="I554" s="32"/>
      <c r="J554" s="32">
        <f ca="1">IFERROR(__xludf.DUMMYFUNCTION("""COMPUTED_VALUE"""),52)</f>
        <v>52</v>
      </c>
      <c r="K554" s="32"/>
      <c r="L554" s="32">
        <f ca="1">IFERROR(__xludf.DUMMYFUNCTION("""COMPUTED_VALUE"""),6)</f>
        <v>6</v>
      </c>
      <c r="M554" s="32"/>
      <c r="N554" s="31">
        <f ca="1">IFERROR(__xludf.DUMMYFUNCTION("""COMPUTED_VALUE"""),1038)</f>
        <v>1038</v>
      </c>
      <c r="O554" s="32">
        <f ca="1">IFERROR(__xludf.DUMMYFUNCTION("""COMPUTED_VALUE"""),650)</f>
        <v>650</v>
      </c>
      <c r="P554" s="32"/>
      <c r="Q554" s="32">
        <f ca="1">IFERROR(__xludf.DUMMYFUNCTION("""COMPUTED_VALUE"""),331)</f>
        <v>331</v>
      </c>
      <c r="R554" s="32"/>
      <c r="S554" s="31">
        <f ca="1">IFERROR(__xludf.DUMMYFUNCTION("""COMPUTED_VALUE"""),0)</f>
        <v>0</v>
      </c>
      <c r="T554" s="32">
        <f ca="1">IFERROR(__xludf.DUMMYFUNCTION("""COMPUTED_VALUE"""),0)</f>
        <v>0</v>
      </c>
      <c r="U554" s="32"/>
      <c r="V554" s="32">
        <f ca="1">IFERROR(__xludf.DUMMYFUNCTION("""COMPUTED_VALUE"""),0)</f>
        <v>0</v>
      </c>
      <c r="W554" s="32"/>
      <c r="X554" s="32">
        <f ca="1">IFERROR(__xludf.DUMMYFUNCTION("""COMPUTED_VALUE"""),0)</f>
        <v>0</v>
      </c>
      <c r="Y554" s="32"/>
      <c r="Z554" s="2"/>
      <c r="AA554" s="2"/>
      <c r="AB554" s="2"/>
      <c r="AC554" s="2"/>
      <c r="AD554" s="2"/>
      <c r="AE554" s="2"/>
    </row>
    <row r="555" spans="1:31" ht="12.75" x14ac:dyDescent="0.2">
      <c r="A555" s="28">
        <f ca="1">IFERROR(__xludf.DUMMYFUNCTION("""COMPUTED_VALUE"""),17)</f>
        <v>17</v>
      </c>
      <c r="B555" s="29" t="str">
        <f ca="1">IFERROR(__xludf.DUMMYFUNCTION("""COMPUTED_VALUE"""),"TH Long Bình")</f>
        <v>TH Long Bình</v>
      </c>
      <c r="C555" s="33" t="str">
        <f ca="1">IFERROR(__xludf.DUMMYFUNCTION("""COMPUTED_VALUE"""),"Tiểu học")</f>
        <v>Tiểu học</v>
      </c>
      <c r="D555" s="30" t="str">
        <f ca="1">IFERROR(__xludf.DUMMYFUNCTION("""COMPUTED_VALUE"""),"Tp. Thủ Đức")</f>
        <v>Tp. Thủ Đức</v>
      </c>
      <c r="E555" s="31">
        <f ca="1">IFERROR(__xludf.DUMMYFUNCTION("""COMPUTED_VALUE"""),72)</f>
        <v>72</v>
      </c>
      <c r="F555" s="32">
        <f ca="1">IFERROR(__xludf.DUMMYFUNCTION("""COMPUTED_VALUE"""),72)</f>
        <v>72</v>
      </c>
      <c r="G555" s="32"/>
      <c r="H555" s="32">
        <f ca="1">IFERROR(__xludf.DUMMYFUNCTION("""COMPUTED_VALUE"""),72)</f>
        <v>72</v>
      </c>
      <c r="I555" s="32"/>
      <c r="J555" s="32">
        <f ca="1">IFERROR(__xludf.DUMMYFUNCTION("""COMPUTED_VALUE"""),59)</f>
        <v>59</v>
      </c>
      <c r="K555" s="32"/>
      <c r="L555" s="32">
        <f ca="1">IFERROR(__xludf.DUMMYFUNCTION("""COMPUTED_VALUE"""),11)</f>
        <v>11</v>
      </c>
      <c r="M555" s="32"/>
      <c r="N555" s="31">
        <f ca="1">IFERROR(__xludf.DUMMYFUNCTION("""COMPUTED_VALUE"""),1890)</f>
        <v>1890</v>
      </c>
      <c r="O555" s="32">
        <f ca="1">IFERROR(__xludf.DUMMYFUNCTION("""COMPUTED_VALUE"""),1589)</f>
        <v>1589</v>
      </c>
      <c r="P555" s="32"/>
      <c r="Q555" s="32">
        <f ca="1">IFERROR(__xludf.DUMMYFUNCTION("""COMPUTED_VALUE"""),1179)</f>
        <v>1179</v>
      </c>
      <c r="R555" s="32"/>
      <c r="S555" s="31">
        <f ca="1">IFERROR(__xludf.DUMMYFUNCTION("""COMPUTED_VALUE"""),0)</f>
        <v>0</v>
      </c>
      <c r="T555" s="32">
        <f ca="1">IFERROR(__xludf.DUMMYFUNCTION("""COMPUTED_VALUE"""),0)</f>
        <v>0</v>
      </c>
      <c r="U555" s="32"/>
      <c r="V555" s="32">
        <f ca="1">IFERROR(__xludf.DUMMYFUNCTION("""COMPUTED_VALUE"""),0)</f>
        <v>0</v>
      </c>
      <c r="W555" s="32"/>
      <c r="X555" s="32">
        <f ca="1">IFERROR(__xludf.DUMMYFUNCTION("""COMPUTED_VALUE"""),0)</f>
        <v>0</v>
      </c>
      <c r="Y555" s="32"/>
      <c r="Z555" s="2"/>
      <c r="AA555" s="2"/>
      <c r="AB555" s="2"/>
      <c r="AC555" s="2"/>
      <c r="AD555" s="2"/>
      <c r="AE555" s="2"/>
    </row>
    <row r="556" spans="1:31" ht="12.75" x14ac:dyDescent="0.2">
      <c r="A556" s="28">
        <f ca="1">IFERROR(__xludf.DUMMYFUNCTION("""COMPUTED_VALUE"""),18)</f>
        <v>18</v>
      </c>
      <c r="B556" s="29" t="str">
        <f ca="1">IFERROR(__xludf.DUMMYFUNCTION("""COMPUTED_VALUE"""),"TH Long Thạnh Mỹ")</f>
        <v>TH Long Thạnh Mỹ</v>
      </c>
      <c r="C556" s="33" t="str">
        <f ca="1">IFERROR(__xludf.DUMMYFUNCTION("""COMPUTED_VALUE"""),"Tiểu học")</f>
        <v>Tiểu học</v>
      </c>
      <c r="D556" s="30" t="str">
        <f ca="1">IFERROR(__xludf.DUMMYFUNCTION("""COMPUTED_VALUE"""),"Tp. Thủ Đức")</f>
        <v>Tp. Thủ Đức</v>
      </c>
      <c r="E556" s="31">
        <f ca="1">IFERROR(__xludf.DUMMYFUNCTION("""COMPUTED_VALUE"""),47)</f>
        <v>47</v>
      </c>
      <c r="F556" s="32">
        <f ca="1">IFERROR(__xludf.DUMMYFUNCTION("""COMPUTED_VALUE"""),47)</f>
        <v>47</v>
      </c>
      <c r="G556" s="32"/>
      <c r="H556" s="32">
        <f ca="1">IFERROR(__xludf.DUMMYFUNCTION("""COMPUTED_VALUE"""),47)</f>
        <v>47</v>
      </c>
      <c r="I556" s="32"/>
      <c r="J556" s="32">
        <f ca="1">IFERROR(__xludf.DUMMYFUNCTION("""COMPUTED_VALUE"""),46)</f>
        <v>46</v>
      </c>
      <c r="K556" s="32"/>
      <c r="L556" s="32">
        <f ca="1">IFERROR(__xludf.DUMMYFUNCTION("""COMPUTED_VALUE"""),11)</f>
        <v>11</v>
      </c>
      <c r="M556" s="32"/>
      <c r="N556" s="31">
        <f ca="1">IFERROR(__xludf.DUMMYFUNCTION("""COMPUTED_VALUE"""),1090)</f>
        <v>1090</v>
      </c>
      <c r="O556" s="32">
        <f ca="1">IFERROR(__xludf.DUMMYFUNCTION("""COMPUTED_VALUE"""),650)</f>
        <v>650</v>
      </c>
      <c r="P556" s="32"/>
      <c r="Q556" s="32">
        <f ca="1">IFERROR(__xludf.DUMMYFUNCTION("""COMPUTED_VALUE"""),518)</f>
        <v>518</v>
      </c>
      <c r="R556" s="32"/>
      <c r="S556" s="31">
        <f ca="1">IFERROR(__xludf.DUMMYFUNCTION("""COMPUTED_VALUE"""),0)</f>
        <v>0</v>
      </c>
      <c r="T556" s="32">
        <f ca="1">IFERROR(__xludf.DUMMYFUNCTION("""COMPUTED_VALUE"""),0)</f>
        <v>0</v>
      </c>
      <c r="U556" s="32"/>
      <c r="V556" s="32">
        <f ca="1">IFERROR(__xludf.DUMMYFUNCTION("""COMPUTED_VALUE"""),0)</f>
        <v>0</v>
      </c>
      <c r="W556" s="32"/>
      <c r="X556" s="32">
        <f ca="1">IFERROR(__xludf.DUMMYFUNCTION("""COMPUTED_VALUE"""),0)</f>
        <v>0</v>
      </c>
      <c r="Y556" s="32"/>
      <c r="Z556" s="2"/>
      <c r="AA556" s="2"/>
      <c r="AB556" s="2"/>
      <c r="AC556" s="2"/>
      <c r="AD556" s="2"/>
      <c r="AE556" s="2"/>
    </row>
    <row r="557" spans="1:31" ht="12.75" x14ac:dyDescent="0.2">
      <c r="A557" s="28">
        <f ca="1">IFERROR(__xludf.DUMMYFUNCTION("""COMPUTED_VALUE"""),19)</f>
        <v>19</v>
      </c>
      <c r="B557" s="29" t="str">
        <f ca="1">IFERROR(__xludf.DUMMYFUNCTION("""COMPUTED_VALUE"""),"TH Nguyễn Minh Quang")</f>
        <v>TH Nguyễn Minh Quang</v>
      </c>
      <c r="C557" s="33" t="str">
        <f ca="1">IFERROR(__xludf.DUMMYFUNCTION("""COMPUTED_VALUE"""),"Tiểu học")</f>
        <v>Tiểu học</v>
      </c>
      <c r="D557" s="30" t="str">
        <f ca="1">IFERROR(__xludf.DUMMYFUNCTION("""COMPUTED_VALUE"""),"Tp. Thủ Đức")</f>
        <v>Tp. Thủ Đức</v>
      </c>
      <c r="E557" s="31">
        <f ca="1">IFERROR(__xludf.DUMMYFUNCTION("""COMPUTED_VALUE"""),77)</f>
        <v>77</v>
      </c>
      <c r="F557" s="32">
        <f ca="1">IFERROR(__xludf.DUMMYFUNCTION("""COMPUTED_VALUE"""),77)</f>
        <v>77</v>
      </c>
      <c r="G557" s="32"/>
      <c r="H557" s="32">
        <f ca="1">IFERROR(__xludf.DUMMYFUNCTION("""COMPUTED_VALUE"""),77)</f>
        <v>77</v>
      </c>
      <c r="I557" s="32"/>
      <c r="J557" s="32">
        <f ca="1">IFERROR(__xludf.DUMMYFUNCTION("""COMPUTED_VALUE"""),77)</f>
        <v>77</v>
      </c>
      <c r="K557" s="32"/>
      <c r="L557" s="32">
        <f ca="1">IFERROR(__xludf.DUMMYFUNCTION("""COMPUTED_VALUE"""),25)</f>
        <v>25</v>
      </c>
      <c r="M557" s="32"/>
      <c r="N557" s="31">
        <f ca="1">IFERROR(__xludf.DUMMYFUNCTION("""COMPUTED_VALUE"""),1438)</f>
        <v>1438</v>
      </c>
      <c r="O557" s="32">
        <f ca="1">IFERROR(__xludf.DUMMYFUNCTION("""COMPUTED_VALUE"""),831)</f>
        <v>831</v>
      </c>
      <c r="P557" s="32"/>
      <c r="Q557" s="32">
        <f ca="1">IFERROR(__xludf.DUMMYFUNCTION("""COMPUTED_VALUE"""),546)</f>
        <v>546</v>
      </c>
      <c r="R557" s="32"/>
      <c r="S557" s="31">
        <f ca="1">IFERROR(__xludf.DUMMYFUNCTION("""COMPUTED_VALUE"""),0)</f>
        <v>0</v>
      </c>
      <c r="T557" s="32">
        <f ca="1">IFERROR(__xludf.DUMMYFUNCTION("""COMPUTED_VALUE"""),0)</f>
        <v>0</v>
      </c>
      <c r="U557" s="32"/>
      <c r="V557" s="32">
        <f ca="1">IFERROR(__xludf.DUMMYFUNCTION("""COMPUTED_VALUE"""),0)</f>
        <v>0</v>
      </c>
      <c r="W557" s="32"/>
      <c r="X557" s="32">
        <f ca="1">IFERROR(__xludf.DUMMYFUNCTION("""COMPUTED_VALUE"""),0)</f>
        <v>0</v>
      </c>
      <c r="Y557" s="32"/>
      <c r="Z557" s="2"/>
      <c r="AA557" s="2"/>
      <c r="AB557" s="2"/>
      <c r="AC557" s="2"/>
      <c r="AD557" s="2"/>
      <c r="AE557" s="2"/>
    </row>
    <row r="558" spans="1:31" ht="12.75" x14ac:dyDescent="0.2">
      <c r="A558" s="28">
        <f ca="1">IFERROR(__xludf.DUMMYFUNCTION("""COMPUTED_VALUE"""),20)</f>
        <v>20</v>
      </c>
      <c r="B558" s="29" t="str">
        <f ca="1">IFERROR(__xludf.DUMMYFUNCTION("""COMPUTED_VALUE"""),"TH Phước Thạnh")</f>
        <v>TH Phước Thạnh</v>
      </c>
      <c r="C558" s="33" t="str">
        <f ca="1">IFERROR(__xludf.DUMMYFUNCTION("""COMPUTED_VALUE"""),"Tiểu học")</f>
        <v>Tiểu học</v>
      </c>
      <c r="D558" s="30" t="str">
        <f ca="1">IFERROR(__xludf.DUMMYFUNCTION("""COMPUTED_VALUE"""),"Tp. Thủ Đức")</f>
        <v>Tp. Thủ Đức</v>
      </c>
      <c r="E558" s="31">
        <f ca="1">IFERROR(__xludf.DUMMYFUNCTION("""COMPUTED_VALUE"""),54)</f>
        <v>54</v>
      </c>
      <c r="F558" s="32">
        <f ca="1">IFERROR(__xludf.DUMMYFUNCTION("""COMPUTED_VALUE"""),54)</f>
        <v>54</v>
      </c>
      <c r="G558" s="32"/>
      <c r="H558" s="32">
        <f ca="1">IFERROR(__xludf.DUMMYFUNCTION("""COMPUTED_VALUE"""),54)</f>
        <v>54</v>
      </c>
      <c r="I558" s="32"/>
      <c r="J558" s="32">
        <f ca="1">IFERROR(__xludf.DUMMYFUNCTION("""COMPUTED_VALUE"""),52)</f>
        <v>52</v>
      </c>
      <c r="K558" s="32"/>
      <c r="L558" s="32">
        <f ca="1">IFERROR(__xludf.DUMMYFUNCTION("""COMPUTED_VALUE"""),27)</f>
        <v>27</v>
      </c>
      <c r="M558" s="32"/>
      <c r="N558" s="31">
        <f ca="1">IFERROR(__xludf.DUMMYFUNCTION("""COMPUTED_VALUE"""),1534)</f>
        <v>1534</v>
      </c>
      <c r="O558" s="32">
        <f ca="1">IFERROR(__xludf.DUMMYFUNCTION("""COMPUTED_VALUE"""),463)</f>
        <v>463</v>
      </c>
      <c r="P558" s="32"/>
      <c r="Q558" s="32">
        <f ca="1">IFERROR(__xludf.DUMMYFUNCTION("""COMPUTED_VALUE"""),300)</f>
        <v>300</v>
      </c>
      <c r="R558" s="32"/>
      <c r="S558" s="31">
        <f ca="1">IFERROR(__xludf.DUMMYFUNCTION("""COMPUTED_VALUE"""),0)</f>
        <v>0</v>
      </c>
      <c r="T558" s="32">
        <f ca="1">IFERROR(__xludf.DUMMYFUNCTION("""COMPUTED_VALUE"""),0)</f>
        <v>0</v>
      </c>
      <c r="U558" s="32"/>
      <c r="V558" s="32">
        <f ca="1">IFERROR(__xludf.DUMMYFUNCTION("""COMPUTED_VALUE"""),0)</f>
        <v>0</v>
      </c>
      <c r="W558" s="32"/>
      <c r="X558" s="32">
        <f ca="1">IFERROR(__xludf.DUMMYFUNCTION("""COMPUTED_VALUE"""),0)</f>
        <v>0</v>
      </c>
      <c r="Y558" s="32"/>
      <c r="Z558" s="2"/>
      <c r="AA558" s="2"/>
      <c r="AB558" s="2"/>
      <c r="AC558" s="2"/>
      <c r="AD558" s="2"/>
      <c r="AE558" s="2"/>
    </row>
    <row r="559" spans="1:31" ht="12.75" x14ac:dyDescent="0.2">
      <c r="A559" s="28">
        <f ca="1">IFERROR(__xludf.DUMMYFUNCTION("""COMPUTED_VALUE"""),21)</f>
        <v>21</v>
      </c>
      <c r="B559" s="29" t="str">
        <f ca="1">IFERROR(__xludf.DUMMYFUNCTION("""COMPUTED_VALUE"""),"TH Phú Hữu")</f>
        <v>TH Phú Hữu</v>
      </c>
      <c r="C559" s="33" t="str">
        <f ca="1">IFERROR(__xludf.DUMMYFUNCTION("""COMPUTED_VALUE"""),"Tiểu học")</f>
        <v>Tiểu học</v>
      </c>
      <c r="D559" s="30" t="str">
        <f ca="1">IFERROR(__xludf.DUMMYFUNCTION("""COMPUTED_VALUE"""),"Tp. Thủ Đức")</f>
        <v>Tp. Thủ Đức</v>
      </c>
      <c r="E559" s="31">
        <f ca="1">IFERROR(__xludf.DUMMYFUNCTION("""COMPUTED_VALUE"""),38)</f>
        <v>38</v>
      </c>
      <c r="F559" s="32">
        <f ca="1">IFERROR(__xludf.DUMMYFUNCTION("""COMPUTED_VALUE"""),38)</f>
        <v>38</v>
      </c>
      <c r="G559" s="32"/>
      <c r="H559" s="32">
        <f ca="1">IFERROR(__xludf.DUMMYFUNCTION("""COMPUTED_VALUE"""),38)</f>
        <v>38</v>
      </c>
      <c r="I559" s="32"/>
      <c r="J559" s="32">
        <f ca="1">IFERROR(__xludf.DUMMYFUNCTION("""COMPUTED_VALUE"""),38)</f>
        <v>38</v>
      </c>
      <c r="K559" s="32"/>
      <c r="L559" s="32">
        <f ca="1">IFERROR(__xludf.DUMMYFUNCTION("""COMPUTED_VALUE"""),10)</f>
        <v>10</v>
      </c>
      <c r="M559" s="32"/>
      <c r="N559" s="31">
        <f ca="1">IFERROR(__xludf.DUMMYFUNCTION("""COMPUTED_VALUE"""),992)</f>
        <v>992</v>
      </c>
      <c r="O559" s="32">
        <f ca="1">IFERROR(__xludf.DUMMYFUNCTION("""COMPUTED_VALUE"""),378)</f>
        <v>378</v>
      </c>
      <c r="P559" s="32"/>
      <c r="Q559" s="32">
        <f ca="1">IFERROR(__xludf.DUMMYFUNCTION("""COMPUTED_VALUE"""),342)</f>
        <v>342</v>
      </c>
      <c r="R559" s="32"/>
      <c r="S559" s="31">
        <f ca="1">IFERROR(__xludf.DUMMYFUNCTION("""COMPUTED_VALUE"""),0)</f>
        <v>0</v>
      </c>
      <c r="T559" s="32">
        <f ca="1">IFERROR(__xludf.DUMMYFUNCTION("""COMPUTED_VALUE"""),0)</f>
        <v>0</v>
      </c>
      <c r="U559" s="32"/>
      <c r="V559" s="32">
        <f ca="1">IFERROR(__xludf.DUMMYFUNCTION("""COMPUTED_VALUE"""),0)</f>
        <v>0</v>
      </c>
      <c r="W559" s="32"/>
      <c r="X559" s="32">
        <f ca="1">IFERROR(__xludf.DUMMYFUNCTION("""COMPUTED_VALUE"""),0)</f>
        <v>0</v>
      </c>
      <c r="Y559" s="32"/>
      <c r="Z559" s="2"/>
      <c r="AA559" s="2"/>
      <c r="AB559" s="2"/>
      <c r="AC559" s="2"/>
      <c r="AD559" s="2"/>
      <c r="AE559" s="2"/>
    </row>
    <row r="560" spans="1:31" ht="12.75" x14ac:dyDescent="0.2">
      <c r="A560" s="28">
        <f ca="1">IFERROR(__xludf.DUMMYFUNCTION("""COMPUTED_VALUE"""),22)</f>
        <v>22</v>
      </c>
      <c r="B560" s="29" t="str">
        <f ca="1">IFERROR(__xludf.DUMMYFUNCTION("""COMPUTED_VALUE"""),"TH Phước Bình")</f>
        <v>TH Phước Bình</v>
      </c>
      <c r="C560" s="33" t="str">
        <f ca="1">IFERROR(__xludf.DUMMYFUNCTION("""COMPUTED_VALUE"""),"Tiểu học")</f>
        <v>Tiểu học</v>
      </c>
      <c r="D560" s="30" t="str">
        <f ca="1">IFERROR(__xludf.DUMMYFUNCTION("""COMPUTED_VALUE"""),"Tp. Thủ Đức")</f>
        <v>Tp. Thủ Đức</v>
      </c>
      <c r="E560" s="31">
        <f ca="1">IFERROR(__xludf.DUMMYFUNCTION("""COMPUTED_VALUE"""),103)</f>
        <v>103</v>
      </c>
      <c r="F560" s="32">
        <f ca="1">IFERROR(__xludf.DUMMYFUNCTION("""COMPUTED_VALUE"""),103)</f>
        <v>103</v>
      </c>
      <c r="G560" s="32"/>
      <c r="H560" s="32">
        <f ca="1">IFERROR(__xludf.DUMMYFUNCTION("""COMPUTED_VALUE"""),103)</f>
        <v>103</v>
      </c>
      <c r="I560" s="32"/>
      <c r="J560" s="32">
        <f ca="1">IFERROR(__xludf.DUMMYFUNCTION("""COMPUTED_VALUE"""),100)</f>
        <v>100</v>
      </c>
      <c r="K560" s="32"/>
      <c r="L560" s="32">
        <f ca="1">IFERROR(__xludf.DUMMYFUNCTION("""COMPUTED_VALUE"""),27)</f>
        <v>27</v>
      </c>
      <c r="M560" s="32"/>
      <c r="N560" s="31">
        <f ca="1">IFERROR(__xludf.DUMMYFUNCTION("""COMPUTED_VALUE"""),2220)</f>
        <v>2220</v>
      </c>
      <c r="O560" s="32">
        <f ca="1">IFERROR(__xludf.DUMMYFUNCTION("""COMPUTED_VALUE"""),511)</f>
        <v>511</v>
      </c>
      <c r="P560" s="32"/>
      <c r="Q560" s="32">
        <f ca="1">IFERROR(__xludf.DUMMYFUNCTION("""COMPUTED_VALUE"""),498)</f>
        <v>498</v>
      </c>
      <c r="R560" s="32"/>
      <c r="S560" s="31">
        <f ca="1">IFERROR(__xludf.DUMMYFUNCTION("""COMPUTED_VALUE"""),0)</f>
        <v>0</v>
      </c>
      <c r="T560" s="32">
        <f ca="1">IFERROR(__xludf.DUMMYFUNCTION("""COMPUTED_VALUE"""),0)</f>
        <v>0</v>
      </c>
      <c r="U560" s="32"/>
      <c r="V560" s="32">
        <f ca="1">IFERROR(__xludf.DUMMYFUNCTION("""COMPUTED_VALUE"""),0)</f>
        <v>0</v>
      </c>
      <c r="W560" s="32"/>
      <c r="X560" s="32">
        <f ca="1">IFERROR(__xludf.DUMMYFUNCTION("""COMPUTED_VALUE"""),0)</f>
        <v>0</v>
      </c>
      <c r="Y560" s="32"/>
      <c r="Z560" s="2"/>
      <c r="AA560" s="2"/>
      <c r="AB560" s="2"/>
      <c r="AC560" s="2"/>
      <c r="AD560" s="2"/>
      <c r="AE560" s="2"/>
    </row>
    <row r="561" spans="1:31" ht="12.75" x14ac:dyDescent="0.2">
      <c r="A561" s="28">
        <f ca="1">IFERROR(__xludf.DUMMYFUNCTION("""COMPUTED_VALUE"""),23)</f>
        <v>23</v>
      </c>
      <c r="B561" s="29" t="str">
        <f ca="1">IFERROR(__xludf.DUMMYFUNCTION("""COMPUTED_VALUE"""),"TH Bùi Văn Mới")</f>
        <v>TH Bùi Văn Mới</v>
      </c>
      <c r="C561" s="33" t="str">
        <f ca="1">IFERROR(__xludf.DUMMYFUNCTION("""COMPUTED_VALUE"""),"Tiểu học")</f>
        <v>Tiểu học</v>
      </c>
      <c r="D561" s="30" t="str">
        <f ca="1">IFERROR(__xludf.DUMMYFUNCTION("""COMPUTED_VALUE"""),"Tp. Thủ Đức")</f>
        <v>Tp. Thủ Đức</v>
      </c>
      <c r="E561" s="31">
        <f ca="1">IFERROR(__xludf.DUMMYFUNCTION("""COMPUTED_VALUE"""),76)</f>
        <v>76</v>
      </c>
      <c r="F561" s="32">
        <f ca="1">IFERROR(__xludf.DUMMYFUNCTION("""COMPUTED_VALUE"""),76)</f>
        <v>76</v>
      </c>
      <c r="G561" s="32"/>
      <c r="H561" s="32">
        <f ca="1">IFERROR(__xludf.DUMMYFUNCTION("""COMPUTED_VALUE"""),76)</f>
        <v>76</v>
      </c>
      <c r="I561" s="32"/>
      <c r="J561" s="32">
        <f ca="1">IFERROR(__xludf.DUMMYFUNCTION("""COMPUTED_VALUE"""),53)</f>
        <v>53</v>
      </c>
      <c r="K561" s="32"/>
      <c r="L561" s="32">
        <f ca="1">IFERROR(__xludf.DUMMYFUNCTION("""COMPUTED_VALUE"""),15)</f>
        <v>15</v>
      </c>
      <c r="M561" s="32"/>
      <c r="N561" s="31">
        <f ca="1">IFERROR(__xludf.DUMMYFUNCTION("""COMPUTED_VALUE"""),1146)</f>
        <v>1146</v>
      </c>
      <c r="O561" s="32">
        <f ca="1">IFERROR(__xludf.DUMMYFUNCTION("""COMPUTED_VALUE"""),334)</f>
        <v>334</v>
      </c>
      <c r="P561" s="32"/>
      <c r="Q561" s="32">
        <f ca="1">IFERROR(__xludf.DUMMYFUNCTION("""COMPUTED_VALUE"""),167)</f>
        <v>167</v>
      </c>
      <c r="R561" s="32"/>
      <c r="S561" s="31">
        <f ca="1">IFERROR(__xludf.DUMMYFUNCTION("""COMPUTED_VALUE"""),0)</f>
        <v>0</v>
      </c>
      <c r="T561" s="32">
        <f ca="1">IFERROR(__xludf.DUMMYFUNCTION("""COMPUTED_VALUE"""),0)</f>
        <v>0</v>
      </c>
      <c r="U561" s="32"/>
      <c r="V561" s="32">
        <f ca="1">IFERROR(__xludf.DUMMYFUNCTION("""COMPUTED_VALUE"""),0)</f>
        <v>0</v>
      </c>
      <c r="W561" s="32"/>
      <c r="X561" s="32">
        <f ca="1">IFERROR(__xludf.DUMMYFUNCTION("""COMPUTED_VALUE"""),0)</f>
        <v>0</v>
      </c>
      <c r="Y561" s="32"/>
      <c r="Z561" s="2"/>
      <c r="AA561" s="2"/>
      <c r="AB561" s="2"/>
      <c r="AC561" s="2"/>
      <c r="AD561" s="2"/>
      <c r="AE561" s="2"/>
    </row>
    <row r="562" spans="1:31" ht="12.75" x14ac:dyDescent="0.2">
      <c r="A562" s="28">
        <f ca="1">IFERROR(__xludf.DUMMYFUNCTION("""COMPUTED_VALUE"""),24)</f>
        <v>24</v>
      </c>
      <c r="B562" s="29" t="str">
        <f ca="1">IFERROR(__xludf.DUMMYFUNCTION("""COMPUTED_VALUE"""),"TH Phạm Văn Chính")</f>
        <v>TH Phạm Văn Chính</v>
      </c>
      <c r="C562" s="33" t="str">
        <f ca="1">IFERROR(__xludf.DUMMYFUNCTION("""COMPUTED_VALUE"""),"Tiểu học")</f>
        <v>Tiểu học</v>
      </c>
      <c r="D562" s="30" t="str">
        <f ca="1">IFERROR(__xludf.DUMMYFUNCTION("""COMPUTED_VALUE"""),"Tp. Thủ Đức")</f>
        <v>Tp. Thủ Đức</v>
      </c>
      <c r="E562" s="31">
        <f ca="1">IFERROR(__xludf.DUMMYFUNCTION("""COMPUTED_VALUE"""),80)</f>
        <v>80</v>
      </c>
      <c r="F562" s="32">
        <f ca="1">IFERROR(__xludf.DUMMYFUNCTION("""COMPUTED_VALUE"""),80)</f>
        <v>80</v>
      </c>
      <c r="G562" s="32"/>
      <c r="H562" s="32">
        <f ca="1">IFERROR(__xludf.DUMMYFUNCTION("""COMPUTED_VALUE"""),79)</f>
        <v>79</v>
      </c>
      <c r="I562" s="32"/>
      <c r="J562" s="32">
        <f ca="1">IFERROR(__xludf.DUMMYFUNCTION("""COMPUTED_VALUE"""),71)</f>
        <v>71</v>
      </c>
      <c r="K562" s="32"/>
      <c r="L562" s="32">
        <f ca="1">IFERROR(__xludf.DUMMYFUNCTION("""COMPUTED_VALUE"""),37)</f>
        <v>37</v>
      </c>
      <c r="M562" s="32"/>
      <c r="N562" s="31">
        <f ca="1">IFERROR(__xludf.DUMMYFUNCTION("""COMPUTED_VALUE"""),1119)</f>
        <v>1119</v>
      </c>
      <c r="O562" s="32">
        <f ca="1">IFERROR(__xludf.DUMMYFUNCTION("""COMPUTED_VALUE"""),551)</f>
        <v>551</v>
      </c>
      <c r="P562" s="32"/>
      <c r="Q562" s="32">
        <f ca="1">IFERROR(__xludf.DUMMYFUNCTION("""COMPUTED_VALUE"""),303)</f>
        <v>303</v>
      </c>
      <c r="R562" s="32"/>
      <c r="S562" s="31">
        <f ca="1">IFERROR(__xludf.DUMMYFUNCTION("""COMPUTED_VALUE"""),0)</f>
        <v>0</v>
      </c>
      <c r="T562" s="32">
        <f ca="1">IFERROR(__xludf.DUMMYFUNCTION("""COMPUTED_VALUE"""),0)</f>
        <v>0</v>
      </c>
      <c r="U562" s="32"/>
      <c r="V562" s="32">
        <f ca="1">IFERROR(__xludf.DUMMYFUNCTION("""COMPUTED_VALUE"""),0)</f>
        <v>0</v>
      </c>
      <c r="W562" s="32"/>
      <c r="X562" s="32">
        <f ca="1">IFERROR(__xludf.DUMMYFUNCTION("""COMPUTED_VALUE"""),0)</f>
        <v>0</v>
      </c>
      <c r="Y562" s="32"/>
      <c r="Z562" s="2"/>
      <c r="AA562" s="2"/>
      <c r="AB562" s="2"/>
      <c r="AC562" s="2"/>
      <c r="AD562" s="2"/>
      <c r="AE562" s="2"/>
    </row>
    <row r="563" spans="1:31" ht="12.75" x14ac:dyDescent="0.2">
      <c r="A563" s="28">
        <f ca="1">IFERROR(__xludf.DUMMYFUNCTION("""COMPUTED_VALUE"""),25)</f>
        <v>25</v>
      </c>
      <c r="B563" s="29" t="str">
        <f ca="1">IFERROR(__xludf.DUMMYFUNCTION("""COMPUTED_VALUE"""),"TH Nguyễn Văn Bá")</f>
        <v>TH Nguyễn Văn Bá</v>
      </c>
      <c r="C563" s="33" t="str">
        <f ca="1">IFERROR(__xludf.DUMMYFUNCTION("""COMPUTED_VALUE"""),"Tiểu học")</f>
        <v>Tiểu học</v>
      </c>
      <c r="D563" s="30" t="str">
        <f ca="1">IFERROR(__xludf.DUMMYFUNCTION("""COMPUTED_VALUE"""),"Tp. Thủ Đức")</f>
        <v>Tp. Thủ Đức</v>
      </c>
      <c r="E563" s="31">
        <f ca="1">IFERROR(__xludf.DUMMYFUNCTION("""COMPUTED_VALUE"""),49)</f>
        <v>49</v>
      </c>
      <c r="F563" s="32">
        <f ca="1">IFERROR(__xludf.DUMMYFUNCTION("""COMPUTED_VALUE"""),49)</f>
        <v>49</v>
      </c>
      <c r="G563" s="32"/>
      <c r="H563" s="32">
        <f ca="1">IFERROR(__xludf.DUMMYFUNCTION("""COMPUTED_VALUE"""),49)</f>
        <v>49</v>
      </c>
      <c r="I563" s="32"/>
      <c r="J563" s="32">
        <f ca="1">IFERROR(__xludf.DUMMYFUNCTION("""COMPUTED_VALUE"""),49)</f>
        <v>49</v>
      </c>
      <c r="K563" s="32"/>
      <c r="L563" s="32">
        <f ca="1">IFERROR(__xludf.DUMMYFUNCTION("""COMPUTED_VALUE"""),13)</f>
        <v>13</v>
      </c>
      <c r="M563" s="32"/>
      <c r="N563" s="31">
        <f ca="1">IFERROR(__xludf.DUMMYFUNCTION("""COMPUTED_VALUE"""),1286)</f>
        <v>1286</v>
      </c>
      <c r="O563" s="32">
        <f ca="1">IFERROR(__xludf.DUMMYFUNCTION("""COMPUTED_VALUE"""),272)</f>
        <v>272</v>
      </c>
      <c r="P563" s="32"/>
      <c r="Q563" s="32">
        <f ca="1">IFERROR(__xludf.DUMMYFUNCTION("""COMPUTED_VALUE"""),264)</f>
        <v>264</v>
      </c>
      <c r="R563" s="32"/>
      <c r="S563" s="31">
        <f ca="1">IFERROR(__xludf.DUMMYFUNCTION("""COMPUTED_VALUE"""),0)</f>
        <v>0</v>
      </c>
      <c r="T563" s="32">
        <f ca="1">IFERROR(__xludf.DUMMYFUNCTION("""COMPUTED_VALUE"""),0)</f>
        <v>0</v>
      </c>
      <c r="U563" s="32"/>
      <c r="V563" s="32">
        <f ca="1">IFERROR(__xludf.DUMMYFUNCTION("""COMPUTED_VALUE"""),0)</f>
        <v>0</v>
      </c>
      <c r="W563" s="32"/>
      <c r="X563" s="32">
        <f ca="1">IFERROR(__xludf.DUMMYFUNCTION("""COMPUTED_VALUE"""),0)</f>
        <v>0</v>
      </c>
      <c r="Y563" s="32"/>
      <c r="Z563" s="2"/>
      <c r="AA563" s="2"/>
      <c r="AB563" s="2"/>
      <c r="AC563" s="2"/>
      <c r="AD563" s="2"/>
      <c r="AE563" s="2"/>
    </row>
    <row r="564" spans="1:31" ht="12.75" x14ac:dyDescent="0.2">
      <c r="A564" s="28">
        <f ca="1">IFERROR(__xludf.DUMMYFUNCTION("""COMPUTED_VALUE"""),26)</f>
        <v>26</v>
      </c>
      <c r="B564" s="29" t="str">
        <f ca="1">IFERROR(__xludf.DUMMYFUNCTION("""COMPUTED_VALUE"""),"TH Trần Thị Bưởi")</f>
        <v>TH Trần Thị Bưởi</v>
      </c>
      <c r="C564" s="33" t="str">
        <f ca="1">IFERROR(__xludf.DUMMYFUNCTION("""COMPUTED_VALUE"""),"Tiểu học")</f>
        <v>Tiểu học</v>
      </c>
      <c r="D564" s="30" t="str">
        <f ca="1">IFERROR(__xludf.DUMMYFUNCTION("""COMPUTED_VALUE"""),"Tp. Thủ Đức")</f>
        <v>Tp. Thủ Đức</v>
      </c>
      <c r="E564" s="31">
        <f ca="1">IFERROR(__xludf.DUMMYFUNCTION("""COMPUTED_VALUE"""),74)</f>
        <v>74</v>
      </c>
      <c r="F564" s="32">
        <f ca="1">IFERROR(__xludf.DUMMYFUNCTION("""COMPUTED_VALUE"""),74)</f>
        <v>74</v>
      </c>
      <c r="G564" s="32"/>
      <c r="H564" s="32">
        <f ca="1">IFERROR(__xludf.DUMMYFUNCTION("""COMPUTED_VALUE"""),74)</f>
        <v>74</v>
      </c>
      <c r="I564" s="32"/>
      <c r="J564" s="32">
        <f ca="1">IFERROR(__xludf.DUMMYFUNCTION("""COMPUTED_VALUE"""),74)</f>
        <v>74</v>
      </c>
      <c r="K564" s="32"/>
      <c r="L564" s="32">
        <f ca="1">IFERROR(__xludf.DUMMYFUNCTION("""COMPUTED_VALUE"""),12)</f>
        <v>12</v>
      </c>
      <c r="M564" s="32"/>
      <c r="N564" s="31">
        <f ca="1">IFERROR(__xludf.DUMMYFUNCTION("""COMPUTED_VALUE"""),1394)</f>
        <v>1394</v>
      </c>
      <c r="O564" s="32">
        <f ca="1">IFERROR(__xludf.DUMMYFUNCTION("""COMPUTED_VALUE"""),238)</f>
        <v>238</v>
      </c>
      <c r="P564" s="32"/>
      <c r="Q564" s="32">
        <f ca="1">IFERROR(__xludf.DUMMYFUNCTION("""COMPUTED_VALUE"""),190)</f>
        <v>190</v>
      </c>
      <c r="R564" s="32"/>
      <c r="S564" s="31">
        <f ca="1">IFERROR(__xludf.DUMMYFUNCTION("""COMPUTED_VALUE"""),0)</f>
        <v>0</v>
      </c>
      <c r="T564" s="32">
        <f ca="1">IFERROR(__xludf.DUMMYFUNCTION("""COMPUTED_VALUE"""),0)</f>
        <v>0</v>
      </c>
      <c r="U564" s="32"/>
      <c r="V564" s="32">
        <f ca="1">IFERROR(__xludf.DUMMYFUNCTION("""COMPUTED_VALUE"""),0)</f>
        <v>0</v>
      </c>
      <c r="W564" s="32"/>
      <c r="X564" s="32">
        <f ca="1">IFERROR(__xludf.DUMMYFUNCTION("""COMPUTED_VALUE"""),0)</f>
        <v>0</v>
      </c>
      <c r="Y564" s="32"/>
      <c r="Z564" s="2"/>
      <c r="AA564" s="2"/>
      <c r="AB564" s="2"/>
      <c r="AC564" s="2"/>
      <c r="AD564" s="2"/>
      <c r="AE564" s="2"/>
    </row>
    <row r="565" spans="1:31" ht="12.75" x14ac:dyDescent="0.2">
      <c r="A565" s="28">
        <f ca="1">IFERROR(__xludf.DUMMYFUNCTION("""COMPUTED_VALUE"""),27)</f>
        <v>27</v>
      </c>
      <c r="B565" s="29" t="str">
        <f ca="1">IFERROR(__xludf.DUMMYFUNCTION("""COMPUTED_VALUE"""),"TH Võ Văn Hát")</f>
        <v>TH Võ Văn Hát</v>
      </c>
      <c r="C565" s="33" t="str">
        <f ca="1">IFERROR(__xludf.DUMMYFUNCTION("""COMPUTED_VALUE"""),"Tiểu học")</f>
        <v>Tiểu học</v>
      </c>
      <c r="D565" s="30" t="str">
        <f ca="1">IFERROR(__xludf.DUMMYFUNCTION("""COMPUTED_VALUE"""),"Tp. Thủ Đức")</f>
        <v>Tp. Thủ Đức</v>
      </c>
      <c r="E565" s="31">
        <f ca="1">IFERROR(__xludf.DUMMYFUNCTION("""COMPUTED_VALUE"""),89)</f>
        <v>89</v>
      </c>
      <c r="F565" s="32">
        <f ca="1">IFERROR(__xludf.DUMMYFUNCTION("""COMPUTED_VALUE"""),89)</f>
        <v>89</v>
      </c>
      <c r="G565" s="32"/>
      <c r="H565" s="32">
        <f ca="1">IFERROR(__xludf.DUMMYFUNCTION("""COMPUTED_VALUE"""),89)</f>
        <v>89</v>
      </c>
      <c r="I565" s="32"/>
      <c r="J565" s="32">
        <f ca="1">IFERROR(__xludf.DUMMYFUNCTION("""COMPUTED_VALUE"""),89)</f>
        <v>89</v>
      </c>
      <c r="K565" s="32"/>
      <c r="L565" s="32">
        <f ca="1">IFERROR(__xludf.DUMMYFUNCTION("""COMPUTED_VALUE"""),50)</f>
        <v>50</v>
      </c>
      <c r="M565" s="32"/>
      <c r="N565" s="31">
        <f ca="1">IFERROR(__xludf.DUMMYFUNCTION("""COMPUTED_VALUE"""),1411)</f>
        <v>1411</v>
      </c>
      <c r="O565" s="32">
        <f ca="1">IFERROR(__xludf.DUMMYFUNCTION("""COMPUTED_VALUE"""),611)</f>
        <v>611</v>
      </c>
      <c r="P565" s="32"/>
      <c r="Q565" s="32">
        <f ca="1">IFERROR(__xludf.DUMMYFUNCTION("""COMPUTED_VALUE"""),445)</f>
        <v>445</v>
      </c>
      <c r="R565" s="32"/>
      <c r="S565" s="31">
        <f ca="1">IFERROR(__xludf.DUMMYFUNCTION("""COMPUTED_VALUE"""),0)</f>
        <v>0</v>
      </c>
      <c r="T565" s="32">
        <f ca="1">IFERROR(__xludf.DUMMYFUNCTION("""COMPUTED_VALUE"""),0)</f>
        <v>0</v>
      </c>
      <c r="U565" s="32"/>
      <c r="V565" s="32">
        <f ca="1">IFERROR(__xludf.DUMMYFUNCTION("""COMPUTED_VALUE"""),0)</f>
        <v>0</v>
      </c>
      <c r="W565" s="32"/>
      <c r="X565" s="32">
        <f ca="1">IFERROR(__xludf.DUMMYFUNCTION("""COMPUTED_VALUE"""),0)</f>
        <v>0</v>
      </c>
      <c r="Y565" s="32"/>
      <c r="Z565" s="2"/>
      <c r="AA565" s="2"/>
      <c r="AB565" s="2"/>
      <c r="AC565" s="2"/>
      <c r="AD565" s="2"/>
      <c r="AE565" s="2"/>
    </row>
    <row r="566" spans="1:31" ht="12.75" x14ac:dyDescent="0.2">
      <c r="A566" s="28">
        <f ca="1">IFERROR(__xludf.DUMMYFUNCTION("""COMPUTED_VALUE"""),28)</f>
        <v>28</v>
      </c>
      <c r="B566" s="29" t="str">
        <f ca="1">IFERROR(__xludf.DUMMYFUNCTION("""COMPUTED_VALUE"""),"TH Lê Văn Việt")</f>
        <v>TH Lê Văn Việt</v>
      </c>
      <c r="C566" s="33" t="str">
        <f ca="1">IFERROR(__xludf.DUMMYFUNCTION("""COMPUTED_VALUE"""),"Tiểu học")</f>
        <v>Tiểu học</v>
      </c>
      <c r="D566" s="30" t="str">
        <f ca="1">IFERROR(__xludf.DUMMYFUNCTION("""COMPUTED_VALUE"""),"Tp. Thủ Đức")</f>
        <v>Tp. Thủ Đức</v>
      </c>
      <c r="E566" s="31">
        <f ca="1">IFERROR(__xludf.DUMMYFUNCTION("""COMPUTED_VALUE"""),80)</f>
        <v>80</v>
      </c>
      <c r="F566" s="32">
        <f ca="1">IFERROR(__xludf.DUMMYFUNCTION("""COMPUTED_VALUE"""),80)</f>
        <v>80</v>
      </c>
      <c r="G566" s="32"/>
      <c r="H566" s="32">
        <f ca="1">IFERROR(__xludf.DUMMYFUNCTION("""COMPUTED_VALUE"""),80)</f>
        <v>80</v>
      </c>
      <c r="I566" s="32"/>
      <c r="J566" s="32">
        <f ca="1">IFERROR(__xludf.DUMMYFUNCTION("""COMPUTED_VALUE"""),80)</f>
        <v>80</v>
      </c>
      <c r="K566" s="32"/>
      <c r="L566" s="40"/>
      <c r="M566" s="40"/>
      <c r="N566" s="31">
        <f ca="1">IFERROR(__xludf.DUMMYFUNCTION("""COMPUTED_VALUE"""),1316)</f>
        <v>1316</v>
      </c>
      <c r="O566" s="32">
        <f ca="1">IFERROR(__xludf.DUMMYFUNCTION("""COMPUTED_VALUE"""),445)</f>
        <v>445</v>
      </c>
      <c r="P566" s="32"/>
      <c r="Q566" s="32">
        <f ca="1">IFERROR(__xludf.DUMMYFUNCTION("""COMPUTED_VALUE"""),206)</f>
        <v>206</v>
      </c>
      <c r="R566" s="32"/>
      <c r="S566" s="31">
        <f ca="1">IFERROR(__xludf.DUMMYFUNCTION("""COMPUTED_VALUE"""),0)</f>
        <v>0</v>
      </c>
      <c r="T566" s="32">
        <f ca="1">IFERROR(__xludf.DUMMYFUNCTION("""COMPUTED_VALUE"""),0)</f>
        <v>0</v>
      </c>
      <c r="U566" s="32"/>
      <c r="V566" s="32">
        <f ca="1">IFERROR(__xludf.DUMMYFUNCTION("""COMPUTED_VALUE"""),0)</f>
        <v>0</v>
      </c>
      <c r="W566" s="32"/>
      <c r="X566" s="32">
        <f ca="1">IFERROR(__xludf.DUMMYFUNCTION("""COMPUTED_VALUE"""),0)</f>
        <v>0</v>
      </c>
      <c r="Y566" s="32"/>
      <c r="Z566" s="2"/>
      <c r="AA566" s="2"/>
      <c r="AB566" s="2"/>
      <c r="AC566" s="2"/>
      <c r="AD566" s="2"/>
      <c r="AE566" s="2"/>
    </row>
    <row r="567" spans="1:31" ht="12.75" x14ac:dyDescent="0.2">
      <c r="A567" s="28">
        <f ca="1">IFERROR(__xludf.DUMMYFUNCTION("""COMPUTED_VALUE"""),29)</f>
        <v>29</v>
      </c>
      <c r="B567" s="29" t="str">
        <f ca="1">IFERROR(__xludf.DUMMYFUNCTION("""COMPUTED_VALUE"""),"TH Trương Văn Thành")</f>
        <v>TH Trương Văn Thành</v>
      </c>
      <c r="C567" s="33" t="str">
        <f ca="1">IFERROR(__xludf.DUMMYFUNCTION("""COMPUTED_VALUE"""),"Tiểu học")</f>
        <v>Tiểu học</v>
      </c>
      <c r="D567" s="30" t="str">
        <f ca="1">IFERROR(__xludf.DUMMYFUNCTION("""COMPUTED_VALUE"""),"Tp. Thủ Đức")</f>
        <v>Tp. Thủ Đức</v>
      </c>
      <c r="E567" s="31">
        <f ca="1">IFERROR(__xludf.DUMMYFUNCTION("""COMPUTED_VALUE"""),98)</f>
        <v>98</v>
      </c>
      <c r="F567" s="32">
        <f ca="1">IFERROR(__xludf.DUMMYFUNCTION("""COMPUTED_VALUE"""),98)</f>
        <v>98</v>
      </c>
      <c r="G567" s="32"/>
      <c r="H567" s="32">
        <f ca="1">IFERROR(__xludf.DUMMYFUNCTION("""COMPUTED_VALUE"""),98)</f>
        <v>98</v>
      </c>
      <c r="I567" s="32"/>
      <c r="J567" s="32">
        <f ca="1">IFERROR(__xludf.DUMMYFUNCTION("""COMPUTED_VALUE"""),97)</f>
        <v>97</v>
      </c>
      <c r="K567" s="32"/>
      <c r="L567" s="32">
        <f ca="1">IFERROR(__xludf.DUMMYFUNCTION("""COMPUTED_VALUE"""),26)</f>
        <v>26</v>
      </c>
      <c r="M567" s="32"/>
      <c r="N567" s="31">
        <f ca="1">IFERROR(__xludf.DUMMYFUNCTION("""COMPUTED_VALUE"""),1989)</f>
        <v>1989</v>
      </c>
      <c r="O567" s="32">
        <f ca="1">IFERROR(__xludf.DUMMYFUNCTION("""COMPUTED_VALUE"""),634)</f>
        <v>634</v>
      </c>
      <c r="P567" s="32"/>
      <c r="Q567" s="32">
        <f ca="1">IFERROR(__xludf.DUMMYFUNCTION("""COMPUTED_VALUE"""),483)</f>
        <v>483</v>
      </c>
      <c r="R567" s="32"/>
      <c r="S567" s="31">
        <f ca="1">IFERROR(__xludf.DUMMYFUNCTION("""COMPUTED_VALUE"""),0)</f>
        <v>0</v>
      </c>
      <c r="T567" s="32">
        <f ca="1">IFERROR(__xludf.DUMMYFUNCTION("""COMPUTED_VALUE"""),0)</f>
        <v>0</v>
      </c>
      <c r="U567" s="32"/>
      <c r="V567" s="32">
        <f ca="1">IFERROR(__xludf.DUMMYFUNCTION("""COMPUTED_VALUE"""),0)</f>
        <v>0</v>
      </c>
      <c r="W567" s="32"/>
      <c r="X567" s="32">
        <f ca="1">IFERROR(__xludf.DUMMYFUNCTION("""COMPUTED_VALUE"""),0)</f>
        <v>0</v>
      </c>
      <c r="Y567" s="32"/>
      <c r="Z567" s="2"/>
      <c r="AA567" s="2"/>
      <c r="AB567" s="2"/>
      <c r="AC567" s="2"/>
      <c r="AD567" s="2"/>
      <c r="AE567" s="2"/>
    </row>
    <row r="568" spans="1:31" ht="12.75" x14ac:dyDescent="0.2">
      <c r="A568" s="28">
        <f ca="1">IFERROR(__xludf.DUMMYFUNCTION("""COMPUTED_VALUE"""),30)</f>
        <v>30</v>
      </c>
      <c r="B568" s="29" t="str">
        <f ca="1">IFERROR(__xludf.DUMMYFUNCTION("""COMPUTED_VALUE"""),"TH Phong Phú")</f>
        <v>TH Phong Phú</v>
      </c>
      <c r="C568" s="33" t="str">
        <f ca="1">IFERROR(__xludf.DUMMYFUNCTION("""COMPUTED_VALUE"""),"Tiểu học")</f>
        <v>Tiểu học</v>
      </c>
      <c r="D568" s="30" t="str">
        <f ca="1">IFERROR(__xludf.DUMMYFUNCTION("""COMPUTED_VALUE"""),"Tp. Thủ Đức")</f>
        <v>Tp. Thủ Đức</v>
      </c>
      <c r="E568" s="31">
        <f ca="1">IFERROR(__xludf.DUMMYFUNCTION("""COMPUTED_VALUE"""),73)</f>
        <v>73</v>
      </c>
      <c r="F568" s="32">
        <f ca="1">IFERROR(__xludf.DUMMYFUNCTION("""COMPUTED_VALUE"""),73)</f>
        <v>73</v>
      </c>
      <c r="G568" s="32"/>
      <c r="H568" s="32">
        <f ca="1">IFERROR(__xludf.DUMMYFUNCTION("""COMPUTED_VALUE"""),73)</f>
        <v>73</v>
      </c>
      <c r="I568" s="32"/>
      <c r="J568" s="32">
        <f ca="1">IFERROR(__xludf.DUMMYFUNCTION("""COMPUTED_VALUE"""),73)</f>
        <v>73</v>
      </c>
      <c r="K568" s="32"/>
      <c r="L568" s="32">
        <f ca="1">IFERROR(__xludf.DUMMYFUNCTION("""COMPUTED_VALUE"""),17)</f>
        <v>17</v>
      </c>
      <c r="M568" s="32"/>
      <c r="N568" s="31">
        <f ca="1">IFERROR(__xludf.DUMMYFUNCTION("""COMPUTED_VALUE"""),1255)</f>
        <v>1255</v>
      </c>
      <c r="O568" s="32">
        <f ca="1">IFERROR(__xludf.DUMMYFUNCTION("""COMPUTED_VALUE"""),366)</f>
        <v>366</v>
      </c>
      <c r="P568" s="32"/>
      <c r="Q568" s="32">
        <f ca="1">IFERROR(__xludf.DUMMYFUNCTION("""COMPUTED_VALUE"""),420)</f>
        <v>420</v>
      </c>
      <c r="R568" s="32"/>
      <c r="S568" s="31">
        <f ca="1">IFERROR(__xludf.DUMMYFUNCTION("""COMPUTED_VALUE"""),0)</f>
        <v>0</v>
      </c>
      <c r="T568" s="32">
        <f ca="1">IFERROR(__xludf.DUMMYFUNCTION("""COMPUTED_VALUE"""),0)</f>
        <v>0</v>
      </c>
      <c r="U568" s="32"/>
      <c r="V568" s="32">
        <f ca="1">IFERROR(__xludf.DUMMYFUNCTION("""COMPUTED_VALUE"""),0)</f>
        <v>0</v>
      </c>
      <c r="W568" s="32"/>
      <c r="X568" s="32">
        <f ca="1">IFERROR(__xludf.DUMMYFUNCTION("""COMPUTED_VALUE"""),0)</f>
        <v>0</v>
      </c>
      <c r="Y568" s="32"/>
      <c r="Z568" s="2"/>
      <c r="AA568" s="2"/>
      <c r="AB568" s="2"/>
      <c r="AC568" s="2"/>
      <c r="AD568" s="2"/>
      <c r="AE568" s="2"/>
    </row>
    <row r="569" spans="1:31" ht="12.75" x14ac:dyDescent="0.2">
      <c r="A569" s="28">
        <f ca="1">IFERROR(__xludf.DUMMYFUNCTION("""COMPUTED_VALUE"""),31)</f>
        <v>31</v>
      </c>
      <c r="B569" s="29" t="str">
        <f ca="1">IFERROR(__xludf.DUMMYFUNCTION("""COMPUTED_VALUE"""),"TH Tân Phú")</f>
        <v>TH Tân Phú</v>
      </c>
      <c r="C569" s="33" t="str">
        <f ca="1">IFERROR(__xludf.DUMMYFUNCTION("""COMPUTED_VALUE"""),"Tiểu học")</f>
        <v>Tiểu học</v>
      </c>
      <c r="D569" s="30" t="str">
        <f ca="1">IFERROR(__xludf.DUMMYFUNCTION("""COMPUTED_VALUE"""),"Tp. Thủ Đức")</f>
        <v>Tp. Thủ Đức</v>
      </c>
      <c r="E569" s="31">
        <f ca="1">IFERROR(__xludf.DUMMYFUNCTION("""COMPUTED_VALUE"""),101)</f>
        <v>101</v>
      </c>
      <c r="F569" s="32">
        <f ca="1">IFERROR(__xludf.DUMMYFUNCTION("""COMPUTED_VALUE"""),101)</f>
        <v>101</v>
      </c>
      <c r="G569" s="32"/>
      <c r="H569" s="32">
        <f ca="1">IFERROR(__xludf.DUMMYFUNCTION("""COMPUTED_VALUE"""),100)</f>
        <v>100</v>
      </c>
      <c r="I569" s="32"/>
      <c r="J569" s="32">
        <f ca="1">IFERROR(__xludf.DUMMYFUNCTION("""COMPUTED_VALUE"""),97)</f>
        <v>97</v>
      </c>
      <c r="K569" s="32"/>
      <c r="L569" s="32">
        <f ca="1">IFERROR(__xludf.DUMMYFUNCTION("""COMPUTED_VALUE"""),15)</f>
        <v>15</v>
      </c>
      <c r="M569" s="32"/>
      <c r="N569" s="31">
        <f ca="1">IFERROR(__xludf.DUMMYFUNCTION("""COMPUTED_VALUE"""),2213)</f>
        <v>2213</v>
      </c>
      <c r="O569" s="32">
        <f ca="1">IFERROR(__xludf.DUMMYFUNCTION("""COMPUTED_VALUE"""),1792)</f>
        <v>1792</v>
      </c>
      <c r="P569" s="32"/>
      <c r="Q569" s="32">
        <f ca="1">IFERROR(__xludf.DUMMYFUNCTION("""COMPUTED_VALUE"""),1138)</f>
        <v>1138</v>
      </c>
      <c r="R569" s="32"/>
      <c r="S569" s="31">
        <f ca="1">IFERROR(__xludf.DUMMYFUNCTION("""COMPUTED_VALUE"""),0)</f>
        <v>0</v>
      </c>
      <c r="T569" s="32">
        <f ca="1">IFERROR(__xludf.DUMMYFUNCTION("""COMPUTED_VALUE"""),0)</f>
        <v>0</v>
      </c>
      <c r="U569" s="32"/>
      <c r="V569" s="32">
        <f ca="1">IFERROR(__xludf.DUMMYFUNCTION("""COMPUTED_VALUE"""),0)</f>
        <v>0</v>
      </c>
      <c r="W569" s="32"/>
      <c r="X569" s="32">
        <f ca="1">IFERROR(__xludf.DUMMYFUNCTION("""COMPUTED_VALUE"""),0)</f>
        <v>0</v>
      </c>
      <c r="Y569" s="32"/>
      <c r="Z569" s="2"/>
      <c r="AA569" s="2"/>
      <c r="AB569" s="2"/>
      <c r="AC569" s="2"/>
      <c r="AD569" s="2"/>
      <c r="AE569" s="2"/>
    </row>
    <row r="570" spans="1:31" ht="12.75" x14ac:dyDescent="0.2">
      <c r="A570" s="28">
        <f ca="1">IFERROR(__xludf.DUMMYFUNCTION("""COMPUTED_VALUE"""),32)</f>
        <v>32</v>
      </c>
      <c r="B570" s="29" t="str">
        <f ca="1">IFERROR(__xludf.DUMMYFUNCTION("""COMPUTED_VALUE"""),"TH Trường Thạnh")</f>
        <v>TH Trường Thạnh</v>
      </c>
      <c r="C570" s="33" t="str">
        <f ca="1">IFERROR(__xludf.DUMMYFUNCTION("""COMPUTED_VALUE"""),"Tiểu học")</f>
        <v>Tiểu học</v>
      </c>
      <c r="D570" s="30" t="str">
        <f ca="1">IFERROR(__xludf.DUMMYFUNCTION("""COMPUTED_VALUE"""),"Tp. Thủ Đức")</f>
        <v>Tp. Thủ Đức</v>
      </c>
      <c r="E570" s="31">
        <f ca="1">IFERROR(__xludf.DUMMYFUNCTION("""COMPUTED_VALUE"""),87)</f>
        <v>87</v>
      </c>
      <c r="F570" s="32">
        <f ca="1">IFERROR(__xludf.DUMMYFUNCTION("""COMPUTED_VALUE"""),87)</f>
        <v>87</v>
      </c>
      <c r="G570" s="32"/>
      <c r="H570" s="32">
        <f ca="1">IFERROR(__xludf.DUMMYFUNCTION("""COMPUTED_VALUE"""),87)</f>
        <v>87</v>
      </c>
      <c r="I570" s="32"/>
      <c r="J570" s="32">
        <f ca="1">IFERROR(__xludf.DUMMYFUNCTION("""COMPUTED_VALUE"""),74)</f>
        <v>74</v>
      </c>
      <c r="K570" s="32"/>
      <c r="L570" s="32">
        <f ca="1">IFERROR(__xludf.DUMMYFUNCTION("""COMPUTED_VALUE"""),11)</f>
        <v>11</v>
      </c>
      <c r="M570" s="32"/>
      <c r="N570" s="31">
        <f ca="1">IFERROR(__xludf.DUMMYFUNCTION("""COMPUTED_VALUE"""),2300)</f>
        <v>2300</v>
      </c>
      <c r="O570" s="32">
        <f ca="1">IFERROR(__xludf.DUMMYFUNCTION("""COMPUTED_VALUE"""),1203)</f>
        <v>1203</v>
      </c>
      <c r="P570" s="32"/>
      <c r="Q570" s="32">
        <f ca="1">IFERROR(__xludf.DUMMYFUNCTION("""COMPUTED_VALUE"""),727)</f>
        <v>727</v>
      </c>
      <c r="R570" s="32"/>
      <c r="S570" s="31">
        <f ca="1">IFERROR(__xludf.DUMMYFUNCTION("""COMPUTED_VALUE"""),0)</f>
        <v>0</v>
      </c>
      <c r="T570" s="32">
        <f ca="1">IFERROR(__xludf.DUMMYFUNCTION("""COMPUTED_VALUE"""),0)</f>
        <v>0</v>
      </c>
      <c r="U570" s="32"/>
      <c r="V570" s="32">
        <f ca="1">IFERROR(__xludf.DUMMYFUNCTION("""COMPUTED_VALUE"""),0)</f>
        <v>0</v>
      </c>
      <c r="W570" s="32"/>
      <c r="X570" s="32">
        <f ca="1">IFERROR(__xludf.DUMMYFUNCTION("""COMPUTED_VALUE"""),0)</f>
        <v>0</v>
      </c>
      <c r="Y570" s="32"/>
      <c r="Z570" s="2"/>
      <c r="AA570" s="2"/>
      <c r="AB570" s="2"/>
      <c r="AC570" s="2"/>
      <c r="AD570" s="2"/>
      <c r="AE570" s="2"/>
    </row>
    <row r="571" spans="1:31" ht="12.75" x14ac:dyDescent="0.2">
      <c r="A571" s="28">
        <f ca="1">IFERROR(__xludf.DUMMYFUNCTION("""COMPUTED_VALUE"""),33)</f>
        <v>33</v>
      </c>
      <c r="B571" s="29" t="str">
        <f ca="1">IFERROR(__xludf.DUMMYFUNCTION("""COMPUTED_VALUE"""),"TH Bình Chiểu")</f>
        <v>TH Bình Chiểu</v>
      </c>
      <c r="C571" s="33" t="str">
        <f ca="1">IFERROR(__xludf.DUMMYFUNCTION("""COMPUTED_VALUE"""),"Tiểu học")</f>
        <v>Tiểu học</v>
      </c>
      <c r="D571" s="30" t="str">
        <f ca="1">IFERROR(__xludf.DUMMYFUNCTION("""COMPUTED_VALUE"""),"Tp. Thủ Đức")</f>
        <v>Tp. Thủ Đức</v>
      </c>
      <c r="E571" s="31">
        <f ca="1">IFERROR(__xludf.DUMMYFUNCTION("""COMPUTED_VALUE"""),76)</f>
        <v>76</v>
      </c>
      <c r="F571" s="32">
        <f ca="1">IFERROR(__xludf.DUMMYFUNCTION("""COMPUTED_VALUE"""),76)</f>
        <v>76</v>
      </c>
      <c r="G571" s="32"/>
      <c r="H571" s="32">
        <f ca="1">IFERROR(__xludf.DUMMYFUNCTION("""COMPUTED_VALUE"""),76)</f>
        <v>76</v>
      </c>
      <c r="I571" s="32"/>
      <c r="J571" s="32">
        <f ca="1">IFERROR(__xludf.DUMMYFUNCTION("""COMPUTED_VALUE"""),42)</f>
        <v>42</v>
      </c>
      <c r="K571" s="32"/>
      <c r="L571" s="32">
        <f ca="1">IFERROR(__xludf.DUMMYFUNCTION("""COMPUTED_VALUE"""),34)</f>
        <v>34</v>
      </c>
      <c r="M571" s="32"/>
      <c r="N571" s="31">
        <f ca="1">IFERROR(__xludf.DUMMYFUNCTION("""COMPUTED_VALUE"""),2468)</f>
        <v>2468</v>
      </c>
      <c r="O571" s="32">
        <f ca="1">IFERROR(__xludf.DUMMYFUNCTION("""COMPUTED_VALUE"""),792)</f>
        <v>792</v>
      </c>
      <c r="P571" s="32"/>
      <c r="Q571" s="32">
        <f ca="1">IFERROR(__xludf.DUMMYFUNCTION("""COMPUTED_VALUE"""),620)</f>
        <v>620</v>
      </c>
      <c r="R571" s="32"/>
      <c r="S571" s="31">
        <f ca="1">IFERROR(__xludf.DUMMYFUNCTION("""COMPUTED_VALUE"""),0)</f>
        <v>0</v>
      </c>
      <c r="T571" s="32">
        <f ca="1">IFERROR(__xludf.DUMMYFUNCTION("""COMPUTED_VALUE"""),0)</f>
        <v>0</v>
      </c>
      <c r="U571" s="32"/>
      <c r="V571" s="32">
        <f ca="1">IFERROR(__xludf.DUMMYFUNCTION("""COMPUTED_VALUE"""),0)</f>
        <v>0</v>
      </c>
      <c r="W571" s="32"/>
      <c r="X571" s="32">
        <f ca="1">IFERROR(__xludf.DUMMYFUNCTION("""COMPUTED_VALUE"""),0)</f>
        <v>0</v>
      </c>
      <c r="Y571" s="32"/>
      <c r="Z571" s="2"/>
      <c r="AA571" s="2"/>
      <c r="AB571" s="2"/>
      <c r="AC571" s="2"/>
      <c r="AD571" s="2"/>
      <c r="AE571" s="2"/>
    </row>
    <row r="572" spans="1:31" ht="12.75" x14ac:dyDescent="0.2">
      <c r="A572" s="28">
        <f ca="1">IFERROR(__xludf.DUMMYFUNCTION("""COMPUTED_VALUE"""),34)</f>
        <v>34</v>
      </c>
      <c r="B572" s="29" t="str">
        <f ca="1">IFERROR(__xludf.DUMMYFUNCTION("""COMPUTED_VALUE"""),"TH Nguyễn Văn Tây")</f>
        <v>TH Nguyễn Văn Tây</v>
      </c>
      <c r="C572" s="33" t="str">
        <f ca="1">IFERROR(__xludf.DUMMYFUNCTION("""COMPUTED_VALUE"""),"Tiểu học")</f>
        <v>Tiểu học</v>
      </c>
      <c r="D572" s="30" t="str">
        <f ca="1">IFERROR(__xludf.DUMMYFUNCTION("""COMPUTED_VALUE"""),"Tp. Thủ Đức")</f>
        <v>Tp. Thủ Đức</v>
      </c>
      <c r="E572" s="31">
        <f ca="1">IFERROR(__xludf.DUMMYFUNCTION("""COMPUTED_VALUE"""),82)</f>
        <v>82</v>
      </c>
      <c r="F572" s="32">
        <f ca="1">IFERROR(__xludf.DUMMYFUNCTION("""COMPUTED_VALUE"""),82)</f>
        <v>82</v>
      </c>
      <c r="G572" s="32"/>
      <c r="H572" s="32">
        <f ca="1">IFERROR(__xludf.DUMMYFUNCTION("""COMPUTED_VALUE"""),82)</f>
        <v>82</v>
      </c>
      <c r="I572" s="32"/>
      <c r="J572" s="32">
        <f ca="1">IFERROR(__xludf.DUMMYFUNCTION("""COMPUTED_VALUE"""),74)</f>
        <v>74</v>
      </c>
      <c r="K572" s="32"/>
      <c r="L572" s="32">
        <f ca="1">IFERROR(__xludf.DUMMYFUNCTION("""COMPUTED_VALUE"""),13)</f>
        <v>13</v>
      </c>
      <c r="M572" s="32"/>
      <c r="N572" s="31">
        <f ca="1">IFERROR(__xludf.DUMMYFUNCTION("""COMPUTED_VALUE"""),2995)</f>
        <v>2995</v>
      </c>
      <c r="O572" s="32">
        <f ca="1">IFERROR(__xludf.DUMMYFUNCTION("""COMPUTED_VALUE"""),876)</f>
        <v>876</v>
      </c>
      <c r="P572" s="32"/>
      <c r="Q572" s="32">
        <f ca="1">IFERROR(__xludf.DUMMYFUNCTION("""COMPUTED_VALUE"""),1207)</f>
        <v>1207</v>
      </c>
      <c r="R572" s="32"/>
      <c r="S572" s="31">
        <f ca="1">IFERROR(__xludf.DUMMYFUNCTION("""COMPUTED_VALUE"""),0)</f>
        <v>0</v>
      </c>
      <c r="T572" s="32">
        <f ca="1">IFERROR(__xludf.DUMMYFUNCTION("""COMPUTED_VALUE"""),0)</f>
        <v>0</v>
      </c>
      <c r="U572" s="32"/>
      <c r="V572" s="32">
        <f ca="1">IFERROR(__xludf.DUMMYFUNCTION("""COMPUTED_VALUE"""),0)</f>
        <v>0</v>
      </c>
      <c r="W572" s="32"/>
      <c r="X572" s="32">
        <f ca="1">IFERROR(__xludf.DUMMYFUNCTION("""COMPUTED_VALUE"""),0)</f>
        <v>0</v>
      </c>
      <c r="Y572" s="32"/>
      <c r="Z572" s="2"/>
      <c r="AA572" s="2"/>
      <c r="AB572" s="2"/>
      <c r="AC572" s="2"/>
      <c r="AD572" s="2"/>
      <c r="AE572" s="2"/>
    </row>
    <row r="573" spans="1:31" ht="12.75" x14ac:dyDescent="0.2">
      <c r="A573" s="28">
        <f ca="1">IFERROR(__xludf.DUMMYFUNCTION("""COMPUTED_VALUE"""),35)</f>
        <v>35</v>
      </c>
      <c r="B573" s="29" t="str">
        <f ca="1">IFERROR(__xludf.DUMMYFUNCTION("""COMPUTED_VALUE"""),"TH Trần Văn Vân")</f>
        <v>TH Trần Văn Vân</v>
      </c>
      <c r="C573" s="33" t="str">
        <f ca="1">IFERROR(__xludf.DUMMYFUNCTION("""COMPUTED_VALUE"""),"Tiểu học")</f>
        <v>Tiểu học</v>
      </c>
      <c r="D573" s="30" t="str">
        <f ca="1">IFERROR(__xludf.DUMMYFUNCTION("""COMPUTED_VALUE"""),"Tp. Thủ Đức")</f>
        <v>Tp. Thủ Đức</v>
      </c>
      <c r="E573" s="31">
        <f ca="1">IFERROR(__xludf.DUMMYFUNCTION("""COMPUTED_VALUE"""),67)</f>
        <v>67</v>
      </c>
      <c r="F573" s="32">
        <f ca="1">IFERROR(__xludf.DUMMYFUNCTION("""COMPUTED_VALUE"""),67)</f>
        <v>67</v>
      </c>
      <c r="G573" s="32"/>
      <c r="H573" s="32">
        <f ca="1">IFERROR(__xludf.DUMMYFUNCTION("""COMPUTED_VALUE"""),67)</f>
        <v>67</v>
      </c>
      <c r="I573" s="32"/>
      <c r="J573" s="32">
        <f ca="1">IFERROR(__xludf.DUMMYFUNCTION("""COMPUTED_VALUE"""),63)</f>
        <v>63</v>
      </c>
      <c r="K573" s="32"/>
      <c r="L573" s="32">
        <f ca="1">IFERROR(__xludf.DUMMYFUNCTION("""COMPUTED_VALUE"""),15)</f>
        <v>15</v>
      </c>
      <c r="M573" s="32"/>
      <c r="N573" s="31">
        <f ca="1">IFERROR(__xludf.DUMMYFUNCTION("""COMPUTED_VALUE"""),1996)</f>
        <v>1996</v>
      </c>
      <c r="O573" s="32">
        <f ca="1">IFERROR(__xludf.DUMMYFUNCTION("""COMPUTED_VALUE"""),1031)</f>
        <v>1031</v>
      </c>
      <c r="P573" s="32"/>
      <c r="Q573" s="32">
        <f ca="1">IFERROR(__xludf.DUMMYFUNCTION("""COMPUTED_VALUE"""),589)</f>
        <v>589</v>
      </c>
      <c r="R573" s="32"/>
      <c r="S573" s="31">
        <f ca="1">IFERROR(__xludf.DUMMYFUNCTION("""COMPUTED_VALUE"""),0)</f>
        <v>0</v>
      </c>
      <c r="T573" s="32">
        <f ca="1">IFERROR(__xludf.DUMMYFUNCTION("""COMPUTED_VALUE"""),0)</f>
        <v>0</v>
      </c>
      <c r="U573" s="32"/>
      <c r="V573" s="32">
        <f ca="1">IFERROR(__xludf.DUMMYFUNCTION("""COMPUTED_VALUE"""),0)</f>
        <v>0</v>
      </c>
      <c r="W573" s="32"/>
      <c r="X573" s="32">
        <f ca="1">IFERROR(__xludf.DUMMYFUNCTION("""COMPUTED_VALUE"""),0)</f>
        <v>0</v>
      </c>
      <c r="Y573" s="32"/>
      <c r="Z573" s="2"/>
      <c r="AA573" s="2"/>
      <c r="AB573" s="2"/>
      <c r="AC573" s="2"/>
      <c r="AD573" s="2"/>
      <c r="AE573" s="2"/>
    </row>
    <row r="574" spans="1:31" ht="12.75" x14ac:dyDescent="0.2">
      <c r="A574" s="28">
        <f ca="1">IFERROR(__xludf.DUMMYFUNCTION("""COMPUTED_VALUE"""),36)</f>
        <v>36</v>
      </c>
      <c r="B574" s="29" t="str">
        <f ca="1">IFERROR(__xludf.DUMMYFUNCTION("""COMPUTED_VALUE"""),"TH Lương Thế Vinh")</f>
        <v>TH Lương Thế Vinh</v>
      </c>
      <c r="C574" s="33" t="str">
        <f ca="1">IFERROR(__xludf.DUMMYFUNCTION("""COMPUTED_VALUE"""),"Tiểu học")</f>
        <v>Tiểu học</v>
      </c>
      <c r="D574" s="30" t="str">
        <f ca="1">IFERROR(__xludf.DUMMYFUNCTION("""COMPUTED_VALUE"""),"Tp. Thủ Đức")</f>
        <v>Tp. Thủ Đức</v>
      </c>
      <c r="E574" s="31">
        <f ca="1">IFERROR(__xludf.DUMMYFUNCTION("""COMPUTED_VALUE"""),121)</f>
        <v>121</v>
      </c>
      <c r="F574" s="32">
        <f ca="1">IFERROR(__xludf.DUMMYFUNCTION("""COMPUTED_VALUE"""),121)</f>
        <v>121</v>
      </c>
      <c r="G574" s="32"/>
      <c r="H574" s="32">
        <f ca="1">IFERROR(__xludf.DUMMYFUNCTION("""COMPUTED_VALUE"""),121)</f>
        <v>121</v>
      </c>
      <c r="I574" s="32"/>
      <c r="J574" s="32">
        <f ca="1">IFERROR(__xludf.DUMMYFUNCTION("""COMPUTED_VALUE"""),121)</f>
        <v>121</v>
      </c>
      <c r="K574" s="32"/>
      <c r="L574" s="32">
        <f ca="1">IFERROR(__xludf.DUMMYFUNCTION("""COMPUTED_VALUE"""),0)</f>
        <v>0</v>
      </c>
      <c r="M574" s="32"/>
      <c r="N574" s="39"/>
      <c r="O574" s="32">
        <f ca="1">IFERROR(__xludf.DUMMYFUNCTION("""COMPUTED_VALUE"""),395)</f>
        <v>395</v>
      </c>
      <c r="P574" s="32"/>
      <c r="Q574" s="32">
        <f ca="1">IFERROR(__xludf.DUMMYFUNCTION("""COMPUTED_VALUE"""),195)</f>
        <v>195</v>
      </c>
      <c r="R574" s="32"/>
      <c r="S574" s="31">
        <f ca="1">IFERROR(__xludf.DUMMYFUNCTION("""COMPUTED_VALUE"""),0)</f>
        <v>0</v>
      </c>
      <c r="T574" s="32">
        <f ca="1">IFERROR(__xludf.DUMMYFUNCTION("""COMPUTED_VALUE"""),0)</f>
        <v>0</v>
      </c>
      <c r="U574" s="32"/>
      <c r="V574" s="32">
        <f ca="1">IFERROR(__xludf.DUMMYFUNCTION("""COMPUTED_VALUE"""),0)</f>
        <v>0</v>
      </c>
      <c r="W574" s="32"/>
      <c r="X574" s="32">
        <f ca="1">IFERROR(__xludf.DUMMYFUNCTION("""COMPUTED_VALUE"""),0)</f>
        <v>0</v>
      </c>
      <c r="Y574" s="32"/>
      <c r="Z574" s="2"/>
      <c r="AA574" s="2"/>
      <c r="AB574" s="2"/>
      <c r="AC574" s="2"/>
      <c r="AD574" s="2"/>
      <c r="AE574" s="2"/>
    </row>
    <row r="575" spans="1:31" ht="12.75" x14ac:dyDescent="0.2">
      <c r="A575" s="28">
        <f ca="1">IFERROR(__xludf.DUMMYFUNCTION("""COMPUTED_VALUE"""),37)</f>
        <v>37</v>
      </c>
      <c r="B575" s="29" t="str">
        <f ca="1">IFERROR(__xludf.DUMMYFUNCTION("""COMPUTED_VALUE"""),"TH Từ Đức")</f>
        <v>TH Từ Đức</v>
      </c>
      <c r="C575" s="33" t="str">
        <f ca="1">IFERROR(__xludf.DUMMYFUNCTION("""COMPUTED_VALUE"""),"Tiểu học")</f>
        <v>Tiểu học</v>
      </c>
      <c r="D575" s="30" t="str">
        <f ca="1">IFERROR(__xludf.DUMMYFUNCTION("""COMPUTED_VALUE"""),"Tp. Thủ Đức")</f>
        <v>Tp. Thủ Đức</v>
      </c>
      <c r="E575" s="31">
        <f ca="1">IFERROR(__xludf.DUMMYFUNCTION("""COMPUTED_VALUE"""),65)</f>
        <v>65</v>
      </c>
      <c r="F575" s="32">
        <f ca="1">IFERROR(__xludf.DUMMYFUNCTION("""COMPUTED_VALUE"""),65)</f>
        <v>65</v>
      </c>
      <c r="G575" s="32"/>
      <c r="H575" s="32">
        <f ca="1">IFERROR(__xludf.DUMMYFUNCTION("""COMPUTED_VALUE"""),65)</f>
        <v>65</v>
      </c>
      <c r="I575" s="32"/>
      <c r="J575" s="32">
        <f ca="1">IFERROR(__xludf.DUMMYFUNCTION("""COMPUTED_VALUE"""),63)</f>
        <v>63</v>
      </c>
      <c r="K575" s="32"/>
      <c r="L575" s="32">
        <f ca="1">IFERROR(__xludf.DUMMYFUNCTION("""COMPUTED_VALUE"""),21)</f>
        <v>21</v>
      </c>
      <c r="M575" s="32"/>
      <c r="N575" s="31">
        <f ca="1">IFERROR(__xludf.DUMMYFUNCTION("""COMPUTED_VALUE"""),1193)</f>
        <v>1193</v>
      </c>
      <c r="O575" s="32">
        <f ca="1">IFERROR(__xludf.DUMMYFUNCTION("""COMPUTED_VALUE"""),399)</f>
        <v>399</v>
      </c>
      <c r="P575" s="32"/>
      <c r="Q575" s="32">
        <f ca="1">IFERROR(__xludf.DUMMYFUNCTION("""COMPUTED_VALUE"""),164)</f>
        <v>164</v>
      </c>
      <c r="R575" s="32"/>
      <c r="S575" s="31">
        <f ca="1">IFERROR(__xludf.DUMMYFUNCTION("""COMPUTED_VALUE"""),0)</f>
        <v>0</v>
      </c>
      <c r="T575" s="32">
        <f ca="1">IFERROR(__xludf.DUMMYFUNCTION("""COMPUTED_VALUE"""),0)</f>
        <v>0</v>
      </c>
      <c r="U575" s="32"/>
      <c r="V575" s="32">
        <f ca="1">IFERROR(__xludf.DUMMYFUNCTION("""COMPUTED_VALUE"""),0)</f>
        <v>0</v>
      </c>
      <c r="W575" s="32"/>
      <c r="X575" s="32">
        <f ca="1">IFERROR(__xludf.DUMMYFUNCTION("""COMPUTED_VALUE"""),0)</f>
        <v>0</v>
      </c>
      <c r="Y575" s="32"/>
      <c r="Z575" s="2"/>
      <c r="AA575" s="2"/>
      <c r="AB575" s="2"/>
      <c r="AC575" s="2"/>
      <c r="AD575" s="2"/>
      <c r="AE575" s="2"/>
    </row>
    <row r="576" spans="1:31" ht="12.75" x14ac:dyDescent="0.2">
      <c r="A576" s="28">
        <f ca="1">IFERROR(__xludf.DUMMYFUNCTION("""COMPUTED_VALUE"""),38)</f>
        <v>38</v>
      </c>
      <c r="B576" s="29" t="str">
        <f ca="1">IFERROR(__xludf.DUMMYFUNCTION("""COMPUTED_VALUE"""),"TH Bình Triệu")</f>
        <v>TH Bình Triệu</v>
      </c>
      <c r="C576" s="33" t="str">
        <f ca="1">IFERROR(__xludf.DUMMYFUNCTION("""COMPUTED_VALUE"""),"Tiểu học")</f>
        <v>Tiểu học</v>
      </c>
      <c r="D576" s="30" t="str">
        <f ca="1">IFERROR(__xludf.DUMMYFUNCTION("""COMPUTED_VALUE"""),"Tp. Thủ Đức")</f>
        <v>Tp. Thủ Đức</v>
      </c>
      <c r="E576" s="31">
        <f ca="1">IFERROR(__xludf.DUMMYFUNCTION("""COMPUTED_VALUE"""),91)</f>
        <v>91</v>
      </c>
      <c r="F576" s="32">
        <f ca="1">IFERROR(__xludf.DUMMYFUNCTION("""COMPUTED_VALUE"""),91)</f>
        <v>91</v>
      </c>
      <c r="G576" s="32"/>
      <c r="H576" s="32">
        <f ca="1">IFERROR(__xludf.DUMMYFUNCTION("""COMPUTED_VALUE"""),91)</f>
        <v>91</v>
      </c>
      <c r="I576" s="32"/>
      <c r="J576" s="32">
        <f ca="1">IFERROR(__xludf.DUMMYFUNCTION("""COMPUTED_VALUE"""),80)</f>
        <v>80</v>
      </c>
      <c r="K576" s="32"/>
      <c r="L576" s="32">
        <f ca="1">IFERROR(__xludf.DUMMYFUNCTION("""COMPUTED_VALUE"""),11)</f>
        <v>11</v>
      </c>
      <c r="M576" s="32"/>
      <c r="N576" s="31">
        <f ca="1">IFERROR(__xludf.DUMMYFUNCTION("""COMPUTED_VALUE"""),2535)</f>
        <v>2535</v>
      </c>
      <c r="O576" s="32">
        <f ca="1">IFERROR(__xludf.DUMMYFUNCTION("""COMPUTED_VALUE"""),1073)</f>
        <v>1073</v>
      </c>
      <c r="P576" s="32"/>
      <c r="Q576" s="32">
        <f ca="1">IFERROR(__xludf.DUMMYFUNCTION("""COMPUTED_VALUE"""),562)</f>
        <v>562</v>
      </c>
      <c r="R576" s="32"/>
      <c r="S576" s="31">
        <f ca="1">IFERROR(__xludf.DUMMYFUNCTION("""COMPUTED_VALUE"""),0)</f>
        <v>0</v>
      </c>
      <c r="T576" s="32">
        <f ca="1">IFERROR(__xludf.DUMMYFUNCTION("""COMPUTED_VALUE"""),0)</f>
        <v>0</v>
      </c>
      <c r="U576" s="32"/>
      <c r="V576" s="32">
        <f ca="1">IFERROR(__xludf.DUMMYFUNCTION("""COMPUTED_VALUE"""),0)</f>
        <v>0</v>
      </c>
      <c r="W576" s="32"/>
      <c r="X576" s="32">
        <f ca="1">IFERROR(__xludf.DUMMYFUNCTION("""COMPUTED_VALUE"""),0)</f>
        <v>0</v>
      </c>
      <c r="Y576" s="32"/>
      <c r="Z576" s="2"/>
      <c r="AA576" s="2"/>
      <c r="AB576" s="2"/>
      <c r="AC576" s="2"/>
      <c r="AD576" s="2"/>
      <c r="AE576" s="2"/>
    </row>
    <row r="577" spans="1:31" ht="12.75" x14ac:dyDescent="0.2">
      <c r="A577" s="28">
        <f ca="1">IFERROR(__xludf.DUMMYFUNCTION("""COMPUTED_VALUE"""),39)</f>
        <v>39</v>
      </c>
      <c r="B577" s="29" t="str">
        <f ca="1">IFERROR(__xludf.DUMMYFUNCTION("""COMPUTED_VALUE"""),"TH Hiệp Bình Chánh")</f>
        <v>TH Hiệp Bình Chánh</v>
      </c>
      <c r="C577" s="33" t="str">
        <f ca="1">IFERROR(__xludf.DUMMYFUNCTION("""COMPUTED_VALUE"""),"Tiểu học")</f>
        <v>Tiểu học</v>
      </c>
      <c r="D577" s="30" t="str">
        <f ca="1">IFERROR(__xludf.DUMMYFUNCTION("""COMPUTED_VALUE"""),"Tp. Thủ Đức")</f>
        <v>Tp. Thủ Đức</v>
      </c>
      <c r="E577" s="31">
        <f ca="1">IFERROR(__xludf.DUMMYFUNCTION("""COMPUTED_VALUE"""),48)</f>
        <v>48</v>
      </c>
      <c r="F577" s="32">
        <f ca="1">IFERROR(__xludf.DUMMYFUNCTION("""COMPUTED_VALUE"""),48)</f>
        <v>48</v>
      </c>
      <c r="G577" s="32"/>
      <c r="H577" s="32">
        <f ca="1">IFERROR(__xludf.DUMMYFUNCTION("""COMPUTED_VALUE"""),48)</f>
        <v>48</v>
      </c>
      <c r="I577" s="32"/>
      <c r="J577" s="32">
        <f ca="1">IFERROR(__xludf.DUMMYFUNCTION("""COMPUTED_VALUE"""),40)</f>
        <v>40</v>
      </c>
      <c r="K577" s="32"/>
      <c r="L577" s="32">
        <f ca="1">IFERROR(__xludf.DUMMYFUNCTION("""COMPUTED_VALUE"""),2)</f>
        <v>2</v>
      </c>
      <c r="M577" s="32"/>
      <c r="N577" s="31">
        <f ca="1">IFERROR(__xludf.DUMMYFUNCTION("""COMPUTED_VALUE"""),1266)</f>
        <v>1266</v>
      </c>
      <c r="O577" s="32">
        <f ca="1">IFERROR(__xludf.DUMMYFUNCTION("""COMPUTED_VALUE"""),470)</f>
        <v>470</v>
      </c>
      <c r="P577" s="32"/>
      <c r="Q577" s="32">
        <f ca="1">IFERROR(__xludf.DUMMYFUNCTION("""COMPUTED_VALUE"""),231)</f>
        <v>231</v>
      </c>
      <c r="R577" s="32"/>
      <c r="S577" s="31">
        <f ca="1">IFERROR(__xludf.DUMMYFUNCTION("""COMPUTED_VALUE"""),0)</f>
        <v>0</v>
      </c>
      <c r="T577" s="32">
        <f ca="1">IFERROR(__xludf.DUMMYFUNCTION("""COMPUTED_VALUE"""),0)</f>
        <v>0</v>
      </c>
      <c r="U577" s="32"/>
      <c r="V577" s="32">
        <f ca="1">IFERROR(__xludf.DUMMYFUNCTION("""COMPUTED_VALUE"""),0)</f>
        <v>0</v>
      </c>
      <c r="W577" s="32"/>
      <c r="X577" s="32">
        <f ca="1">IFERROR(__xludf.DUMMYFUNCTION("""COMPUTED_VALUE"""),0)</f>
        <v>0</v>
      </c>
      <c r="Y577" s="32"/>
      <c r="Z577" s="2"/>
      <c r="AA577" s="2"/>
      <c r="AB577" s="2"/>
      <c r="AC577" s="2"/>
      <c r="AD577" s="2"/>
      <c r="AE577" s="2"/>
    </row>
    <row r="578" spans="1:31" ht="12.75" x14ac:dyDescent="0.2">
      <c r="A578" s="28">
        <f ca="1">IFERROR(__xludf.DUMMYFUNCTION("""COMPUTED_VALUE"""),40)</f>
        <v>40</v>
      </c>
      <c r="B578" s="29" t="str">
        <f ca="1">IFERROR(__xludf.DUMMYFUNCTION("""COMPUTED_VALUE"""),"TH Đào Sơn Tây")</f>
        <v>TH Đào Sơn Tây</v>
      </c>
      <c r="C578" s="33" t="str">
        <f ca="1">IFERROR(__xludf.DUMMYFUNCTION("""COMPUTED_VALUE"""),"Tiểu học")</f>
        <v>Tiểu học</v>
      </c>
      <c r="D578" s="30" t="str">
        <f ca="1">IFERROR(__xludf.DUMMYFUNCTION("""COMPUTED_VALUE"""),"Tp. Thủ Đức")</f>
        <v>Tp. Thủ Đức</v>
      </c>
      <c r="E578" s="31">
        <f ca="1">IFERROR(__xludf.DUMMYFUNCTION("""COMPUTED_VALUE"""),90)</f>
        <v>90</v>
      </c>
      <c r="F578" s="32">
        <f ca="1">IFERROR(__xludf.DUMMYFUNCTION("""COMPUTED_VALUE"""),90)</f>
        <v>90</v>
      </c>
      <c r="G578" s="32"/>
      <c r="H578" s="32">
        <f ca="1">IFERROR(__xludf.DUMMYFUNCTION("""COMPUTED_VALUE"""),90)</f>
        <v>90</v>
      </c>
      <c r="I578" s="32"/>
      <c r="J578" s="32">
        <f ca="1">IFERROR(__xludf.DUMMYFUNCTION("""COMPUTED_VALUE"""),84)</f>
        <v>84</v>
      </c>
      <c r="K578" s="32"/>
      <c r="L578" s="32">
        <f ca="1">IFERROR(__xludf.DUMMYFUNCTION("""COMPUTED_VALUE"""),15)</f>
        <v>15</v>
      </c>
      <c r="M578" s="32"/>
      <c r="N578" s="31" t="str">
        <f ca="1">IFERROR(__xludf.DUMMYFUNCTION("""COMPUTED_VALUE"""),"2.900")</f>
        <v>2.900</v>
      </c>
      <c r="O578" s="32">
        <f ca="1">IFERROR(__xludf.DUMMYFUNCTION("""COMPUTED_VALUE"""),911)</f>
        <v>911</v>
      </c>
      <c r="P578" s="32"/>
      <c r="Q578" s="32">
        <f ca="1">IFERROR(__xludf.DUMMYFUNCTION("""COMPUTED_VALUE"""),632)</f>
        <v>632</v>
      </c>
      <c r="R578" s="32"/>
      <c r="S578" s="31">
        <f ca="1">IFERROR(__xludf.DUMMYFUNCTION("""COMPUTED_VALUE"""),0)</f>
        <v>0</v>
      </c>
      <c r="T578" s="32">
        <f ca="1">IFERROR(__xludf.DUMMYFUNCTION("""COMPUTED_VALUE"""),0)</f>
        <v>0</v>
      </c>
      <c r="U578" s="32"/>
      <c r="V578" s="32">
        <f ca="1">IFERROR(__xludf.DUMMYFUNCTION("""COMPUTED_VALUE"""),0)</f>
        <v>0</v>
      </c>
      <c r="W578" s="32"/>
      <c r="X578" s="32">
        <f ca="1">IFERROR(__xludf.DUMMYFUNCTION("""COMPUTED_VALUE"""),0)</f>
        <v>0</v>
      </c>
      <c r="Y578" s="32"/>
      <c r="Z578" s="2"/>
      <c r="AA578" s="2"/>
      <c r="AB578" s="2"/>
      <c r="AC578" s="2"/>
      <c r="AD578" s="2"/>
      <c r="AE578" s="2"/>
    </row>
    <row r="579" spans="1:31" ht="12.75" x14ac:dyDescent="0.2">
      <c r="A579" s="28">
        <f ca="1">IFERROR(__xludf.DUMMYFUNCTION("""COMPUTED_VALUE"""),41)</f>
        <v>41</v>
      </c>
      <c r="B579" s="29" t="str">
        <f ca="1">IFERROR(__xludf.DUMMYFUNCTION("""COMPUTED_VALUE"""),"TH Đặng Thị Rành")</f>
        <v>TH Đặng Thị Rành</v>
      </c>
      <c r="C579" s="33" t="str">
        <f ca="1">IFERROR(__xludf.DUMMYFUNCTION("""COMPUTED_VALUE"""),"Tiểu học")</f>
        <v>Tiểu học</v>
      </c>
      <c r="D579" s="30" t="str">
        <f ca="1">IFERROR(__xludf.DUMMYFUNCTION("""COMPUTED_VALUE"""),"Tp. Thủ Đức")</f>
        <v>Tp. Thủ Đức</v>
      </c>
      <c r="E579" s="31">
        <f ca="1">IFERROR(__xludf.DUMMYFUNCTION("""COMPUTED_VALUE"""),55)</f>
        <v>55</v>
      </c>
      <c r="F579" s="32">
        <f ca="1">IFERROR(__xludf.DUMMYFUNCTION("""COMPUTED_VALUE"""),55)</f>
        <v>55</v>
      </c>
      <c r="G579" s="32"/>
      <c r="H579" s="32">
        <f ca="1">IFERROR(__xludf.DUMMYFUNCTION("""COMPUTED_VALUE"""),55)</f>
        <v>55</v>
      </c>
      <c r="I579" s="32"/>
      <c r="J579" s="32">
        <f ca="1">IFERROR(__xludf.DUMMYFUNCTION("""COMPUTED_VALUE"""),53)</f>
        <v>53</v>
      </c>
      <c r="K579" s="32"/>
      <c r="L579" s="32">
        <f ca="1">IFERROR(__xludf.DUMMYFUNCTION("""COMPUTED_VALUE"""),25)</f>
        <v>25</v>
      </c>
      <c r="M579" s="32"/>
      <c r="N579" s="31">
        <f ca="1">IFERROR(__xludf.DUMMYFUNCTION("""COMPUTED_VALUE"""),1642)</f>
        <v>1642</v>
      </c>
      <c r="O579" s="32">
        <f ca="1">IFERROR(__xludf.DUMMYFUNCTION("""COMPUTED_VALUE"""),629)</f>
        <v>629</v>
      </c>
      <c r="P579" s="32"/>
      <c r="Q579" s="32">
        <f ca="1">IFERROR(__xludf.DUMMYFUNCTION("""COMPUTED_VALUE"""),357)</f>
        <v>357</v>
      </c>
      <c r="R579" s="32"/>
      <c r="S579" s="31">
        <f ca="1">IFERROR(__xludf.DUMMYFUNCTION("""COMPUTED_VALUE"""),0)</f>
        <v>0</v>
      </c>
      <c r="T579" s="32">
        <f ca="1">IFERROR(__xludf.DUMMYFUNCTION("""COMPUTED_VALUE"""),0)</f>
        <v>0</v>
      </c>
      <c r="U579" s="32"/>
      <c r="V579" s="32">
        <f ca="1">IFERROR(__xludf.DUMMYFUNCTION("""COMPUTED_VALUE"""),0)</f>
        <v>0</v>
      </c>
      <c r="W579" s="32"/>
      <c r="X579" s="32">
        <f ca="1">IFERROR(__xludf.DUMMYFUNCTION("""COMPUTED_VALUE"""),0)</f>
        <v>0</v>
      </c>
      <c r="Y579" s="32"/>
      <c r="Z579" s="2"/>
      <c r="AA579" s="2"/>
      <c r="AB579" s="2"/>
      <c r="AC579" s="2"/>
      <c r="AD579" s="2"/>
      <c r="AE579" s="2"/>
    </row>
    <row r="580" spans="1:31" ht="12.75" x14ac:dyDescent="0.2">
      <c r="A580" s="28">
        <f ca="1">IFERROR(__xludf.DUMMYFUNCTION("""COMPUTED_VALUE"""),42)</f>
        <v>42</v>
      </c>
      <c r="B580" s="29" t="str">
        <f ca="1">IFERROR(__xludf.DUMMYFUNCTION("""COMPUTED_VALUE"""),"TH Hiệp Bình Phước")</f>
        <v>TH Hiệp Bình Phước</v>
      </c>
      <c r="C580" s="33" t="str">
        <f ca="1">IFERROR(__xludf.DUMMYFUNCTION("""COMPUTED_VALUE"""),"Tiểu học")</f>
        <v>Tiểu học</v>
      </c>
      <c r="D580" s="30" t="str">
        <f ca="1">IFERROR(__xludf.DUMMYFUNCTION("""COMPUTED_VALUE"""),"Tp. Thủ Đức")</f>
        <v>Tp. Thủ Đức</v>
      </c>
      <c r="E580" s="31">
        <f ca="1">IFERROR(__xludf.DUMMYFUNCTION("""COMPUTED_VALUE"""),35)</f>
        <v>35</v>
      </c>
      <c r="F580" s="32">
        <f ca="1">IFERROR(__xludf.DUMMYFUNCTION("""COMPUTED_VALUE"""),35)</f>
        <v>35</v>
      </c>
      <c r="G580" s="32"/>
      <c r="H580" s="32">
        <f ca="1">IFERROR(__xludf.DUMMYFUNCTION("""COMPUTED_VALUE"""),35)</f>
        <v>35</v>
      </c>
      <c r="I580" s="32"/>
      <c r="J580" s="32">
        <f ca="1">IFERROR(__xludf.DUMMYFUNCTION("""COMPUTED_VALUE"""),35)</f>
        <v>35</v>
      </c>
      <c r="K580" s="32"/>
      <c r="L580" s="32">
        <f ca="1">IFERROR(__xludf.DUMMYFUNCTION("""COMPUTED_VALUE"""),5)</f>
        <v>5</v>
      </c>
      <c r="M580" s="32"/>
      <c r="N580" s="31">
        <f ca="1">IFERROR(__xludf.DUMMYFUNCTION("""COMPUTED_VALUE"""),1013)</f>
        <v>1013</v>
      </c>
      <c r="O580" s="32">
        <f ca="1">IFERROR(__xludf.DUMMYFUNCTION("""COMPUTED_VALUE"""),405)</f>
        <v>405</v>
      </c>
      <c r="P580" s="32"/>
      <c r="Q580" s="32">
        <f ca="1">IFERROR(__xludf.DUMMYFUNCTION("""COMPUTED_VALUE"""),345)</f>
        <v>345</v>
      </c>
      <c r="R580" s="32"/>
      <c r="S580" s="31">
        <f ca="1">IFERROR(__xludf.DUMMYFUNCTION("""COMPUTED_VALUE"""),0)</f>
        <v>0</v>
      </c>
      <c r="T580" s="32">
        <f ca="1">IFERROR(__xludf.DUMMYFUNCTION("""COMPUTED_VALUE"""),0)</f>
        <v>0</v>
      </c>
      <c r="U580" s="32"/>
      <c r="V580" s="32">
        <f ca="1">IFERROR(__xludf.DUMMYFUNCTION("""COMPUTED_VALUE"""),0)</f>
        <v>0</v>
      </c>
      <c r="W580" s="32"/>
      <c r="X580" s="32">
        <f ca="1">IFERROR(__xludf.DUMMYFUNCTION("""COMPUTED_VALUE"""),0)</f>
        <v>0</v>
      </c>
      <c r="Y580" s="32"/>
      <c r="Z580" s="2"/>
      <c r="AA580" s="2"/>
      <c r="AB580" s="2"/>
      <c r="AC580" s="2"/>
      <c r="AD580" s="2"/>
      <c r="AE580" s="2"/>
    </row>
    <row r="581" spans="1:31" ht="12.75" x14ac:dyDescent="0.2">
      <c r="A581" s="28">
        <f ca="1">IFERROR(__xludf.DUMMYFUNCTION("""COMPUTED_VALUE"""),43)</f>
        <v>43</v>
      </c>
      <c r="B581" s="29" t="str">
        <f ca="1">IFERROR(__xludf.DUMMYFUNCTION("""COMPUTED_VALUE"""),"TH Linh Chiểu")</f>
        <v>TH Linh Chiểu</v>
      </c>
      <c r="C581" s="33" t="str">
        <f ca="1">IFERROR(__xludf.DUMMYFUNCTION("""COMPUTED_VALUE"""),"Tiểu học")</f>
        <v>Tiểu học</v>
      </c>
      <c r="D581" s="30" t="str">
        <f ca="1">IFERROR(__xludf.DUMMYFUNCTION("""COMPUTED_VALUE"""),"Tp. Thủ Đức")</f>
        <v>Tp. Thủ Đức</v>
      </c>
      <c r="E581" s="31">
        <f ca="1">IFERROR(__xludf.DUMMYFUNCTION("""COMPUTED_VALUE"""),51)</f>
        <v>51</v>
      </c>
      <c r="F581" s="32">
        <f ca="1">IFERROR(__xludf.DUMMYFUNCTION("""COMPUTED_VALUE"""),51)</f>
        <v>51</v>
      </c>
      <c r="G581" s="32"/>
      <c r="H581" s="32">
        <f ca="1">IFERROR(__xludf.DUMMYFUNCTION("""COMPUTED_VALUE"""),51)</f>
        <v>51</v>
      </c>
      <c r="I581" s="32"/>
      <c r="J581" s="32">
        <f ca="1">IFERROR(__xludf.DUMMYFUNCTION("""COMPUTED_VALUE"""),51)</f>
        <v>51</v>
      </c>
      <c r="K581" s="32"/>
      <c r="L581" s="32">
        <f ca="1">IFERROR(__xludf.DUMMYFUNCTION("""COMPUTED_VALUE"""),5)</f>
        <v>5</v>
      </c>
      <c r="M581" s="32"/>
      <c r="N581" s="31">
        <f ca="1">IFERROR(__xludf.DUMMYFUNCTION("""COMPUTED_VALUE"""),838)</f>
        <v>838</v>
      </c>
      <c r="O581" s="32">
        <f ca="1">IFERROR(__xludf.DUMMYFUNCTION("""COMPUTED_VALUE"""),397)</f>
        <v>397</v>
      </c>
      <c r="P581" s="32"/>
      <c r="Q581" s="32">
        <f ca="1">IFERROR(__xludf.DUMMYFUNCTION("""COMPUTED_VALUE"""),165)</f>
        <v>165</v>
      </c>
      <c r="R581" s="32"/>
      <c r="S581" s="31">
        <f ca="1">IFERROR(__xludf.DUMMYFUNCTION("""COMPUTED_VALUE"""),0)</f>
        <v>0</v>
      </c>
      <c r="T581" s="32">
        <f ca="1">IFERROR(__xludf.DUMMYFUNCTION("""COMPUTED_VALUE"""),0)</f>
        <v>0</v>
      </c>
      <c r="U581" s="32"/>
      <c r="V581" s="32">
        <f ca="1">IFERROR(__xludf.DUMMYFUNCTION("""COMPUTED_VALUE"""),0)</f>
        <v>0</v>
      </c>
      <c r="W581" s="32"/>
      <c r="X581" s="32">
        <f ca="1">IFERROR(__xludf.DUMMYFUNCTION("""COMPUTED_VALUE"""),0)</f>
        <v>0</v>
      </c>
      <c r="Y581" s="32"/>
      <c r="Z581" s="2"/>
      <c r="AA581" s="2"/>
      <c r="AB581" s="2"/>
      <c r="AC581" s="2"/>
      <c r="AD581" s="2"/>
      <c r="AE581" s="2"/>
    </row>
    <row r="582" spans="1:31" ht="12.75" x14ac:dyDescent="0.2">
      <c r="A582" s="28">
        <f ca="1">IFERROR(__xludf.DUMMYFUNCTION("""COMPUTED_VALUE"""),44)</f>
        <v>44</v>
      </c>
      <c r="B582" s="29" t="str">
        <f ca="1">IFERROR(__xludf.DUMMYFUNCTION("""COMPUTED_VALUE"""),"TH Nguyễn Trung Trực")</f>
        <v>TH Nguyễn Trung Trực</v>
      </c>
      <c r="C582" s="33" t="str">
        <f ca="1">IFERROR(__xludf.DUMMYFUNCTION("""COMPUTED_VALUE"""),"Tiểu học")</f>
        <v>Tiểu học</v>
      </c>
      <c r="D582" s="30" t="str">
        <f ca="1">IFERROR(__xludf.DUMMYFUNCTION("""COMPUTED_VALUE"""),"Tp. Thủ Đức")</f>
        <v>Tp. Thủ Đức</v>
      </c>
      <c r="E582" s="31">
        <f ca="1">IFERROR(__xludf.DUMMYFUNCTION("""COMPUTED_VALUE"""),62)</f>
        <v>62</v>
      </c>
      <c r="F582" s="32">
        <f ca="1">IFERROR(__xludf.DUMMYFUNCTION("""COMPUTED_VALUE"""),62)</f>
        <v>62</v>
      </c>
      <c r="G582" s="32"/>
      <c r="H582" s="32">
        <f ca="1">IFERROR(__xludf.DUMMYFUNCTION("""COMPUTED_VALUE"""),62)</f>
        <v>62</v>
      </c>
      <c r="I582" s="32"/>
      <c r="J582" s="32">
        <f ca="1">IFERROR(__xludf.DUMMYFUNCTION("""COMPUTED_VALUE"""),47)</f>
        <v>47</v>
      </c>
      <c r="K582" s="32"/>
      <c r="L582" s="32">
        <f ca="1">IFERROR(__xludf.DUMMYFUNCTION("""COMPUTED_VALUE"""),13)</f>
        <v>13</v>
      </c>
      <c r="M582" s="32"/>
      <c r="N582" s="31">
        <f ca="1">IFERROR(__xludf.DUMMYFUNCTION("""COMPUTED_VALUE"""),1485)</f>
        <v>1485</v>
      </c>
      <c r="O582" s="32">
        <f ca="1">IFERROR(__xludf.DUMMYFUNCTION("""COMPUTED_VALUE"""),335)</f>
        <v>335</v>
      </c>
      <c r="P582" s="32"/>
      <c r="Q582" s="32">
        <f ca="1">IFERROR(__xludf.DUMMYFUNCTION("""COMPUTED_VALUE"""),326)</f>
        <v>326</v>
      </c>
      <c r="R582" s="32"/>
      <c r="S582" s="31">
        <f ca="1">IFERROR(__xludf.DUMMYFUNCTION("""COMPUTED_VALUE"""),0)</f>
        <v>0</v>
      </c>
      <c r="T582" s="32">
        <f ca="1">IFERROR(__xludf.DUMMYFUNCTION("""COMPUTED_VALUE"""),0)</f>
        <v>0</v>
      </c>
      <c r="U582" s="32"/>
      <c r="V582" s="32">
        <f ca="1">IFERROR(__xludf.DUMMYFUNCTION("""COMPUTED_VALUE"""),0)</f>
        <v>0</v>
      </c>
      <c r="W582" s="32"/>
      <c r="X582" s="32">
        <f ca="1">IFERROR(__xludf.DUMMYFUNCTION("""COMPUTED_VALUE"""),0)</f>
        <v>0</v>
      </c>
      <c r="Y582" s="32"/>
      <c r="Z582" s="2"/>
      <c r="AA582" s="2"/>
      <c r="AB582" s="2"/>
      <c r="AC582" s="2"/>
      <c r="AD582" s="2"/>
      <c r="AE582" s="2"/>
    </row>
    <row r="583" spans="1:31" ht="12.75" x14ac:dyDescent="0.2">
      <c r="A583" s="28">
        <f ca="1">IFERROR(__xludf.DUMMYFUNCTION("""COMPUTED_VALUE"""),45)</f>
        <v>45</v>
      </c>
      <c r="B583" s="29" t="str">
        <f ca="1">IFERROR(__xludf.DUMMYFUNCTION("""COMPUTED_VALUE"""),"TH Bình Quới")</f>
        <v>TH Bình Quới</v>
      </c>
      <c r="C583" s="33" t="str">
        <f ca="1">IFERROR(__xludf.DUMMYFUNCTION("""COMPUTED_VALUE"""),"Tiểu học")</f>
        <v>Tiểu học</v>
      </c>
      <c r="D583" s="30" t="str">
        <f ca="1">IFERROR(__xludf.DUMMYFUNCTION("""COMPUTED_VALUE"""),"Tp. Thủ Đức")</f>
        <v>Tp. Thủ Đức</v>
      </c>
      <c r="E583" s="31">
        <f ca="1">IFERROR(__xludf.DUMMYFUNCTION("""COMPUTED_VALUE"""),40)</f>
        <v>40</v>
      </c>
      <c r="F583" s="32">
        <f ca="1">IFERROR(__xludf.DUMMYFUNCTION("""COMPUTED_VALUE"""),40)</f>
        <v>40</v>
      </c>
      <c r="G583" s="32"/>
      <c r="H583" s="32">
        <f ca="1">IFERROR(__xludf.DUMMYFUNCTION("""COMPUTED_VALUE"""),40)</f>
        <v>40</v>
      </c>
      <c r="I583" s="32"/>
      <c r="J583" s="32">
        <f ca="1">IFERROR(__xludf.DUMMYFUNCTION("""COMPUTED_VALUE"""),38)</f>
        <v>38</v>
      </c>
      <c r="K583" s="32"/>
      <c r="L583" s="32">
        <f ca="1">IFERROR(__xludf.DUMMYFUNCTION("""COMPUTED_VALUE"""),10)</f>
        <v>10</v>
      </c>
      <c r="M583" s="32"/>
      <c r="N583" s="31">
        <f ca="1">IFERROR(__xludf.DUMMYFUNCTION("""COMPUTED_VALUE"""),916)</f>
        <v>916</v>
      </c>
      <c r="O583" s="32">
        <f ca="1">IFERROR(__xludf.DUMMYFUNCTION("""COMPUTED_VALUE"""),333)</f>
        <v>333</v>
      </c>
      <c r="P583" s="32"/>
      <c r="Q583" s="32">
        <f ca="1">IFERROR(__xludf.DUMMYFUNCTION("""COMPUTED_VALUE"""),161)</f>
        <v>161</v>
      </c>
      <c r="R583" s="32"/>
      <c r="S583" s="31">
        <f ca="1">IFERROR(__xludf.DUMMYFUNCTION("""COMPUTED_VALUE"""),0)</f>
        <v>0</v>
      </c>
      <c r="T583" s="32">
        <f ca="1">IFERROR(__xludf.DUMMYFUNCTION("""COMPUTED_VALUE"""),0)</f>
        <v>0</v>
      </c>
      <c r="U583" s="32"/>
      <c r="V583" s="32">
        <f ca="1">IFERROR(__xludf.DUMMYFUNCTION("""COMPUTED_VALUE"""),0)</f>
        <v>0</v>
      </c>
      <c r="W583" s="32"/>
      <c r="X583" s="32">
        <f ca="1">IFERROR(__xludf.DUMMYFUNCTION("""COMPUTED_VALUE"""),0)</f>
        <v>0</v>
      </c>
      <c r="Y583" s="32"/>
      <c r="Z583" s="2"/>
      <c r="AA583" s="2"/>
      <c r="AB583" s="2"/>
      <c r="AC583" s="2"/>
      <c r="AD583" s="2"/>
      <c r="AE583" s="2"/>
    </row>
    <row r="584" spans="1:31" ht="12.75" x14ac:dyDescent="0.2">
      <c r="A584" s="28">
        <f ca="1">IFERROR(__xludf.DUMMYFUNCTION("""COMPUTED_VALUE"""),46)</f>
        <v>46</v>
      </c>
      <c r="B584" s="29" t="str">
        <f ca="1">IFERROR(__xludf.DUMMYFUNCTION("""COMPUTED_VALUE"""),"TH Đặng Văn Bất")</f>
        <v>TH Đặng Văn Bất</v>
      </c>
      <c r="C584" s="33" t="str">
        <f ca="1">IFERROR(__xludf.DUMMYFUNCTION("""COMPUTED_VALUE"""),"Tiểu học")</f>
        <v>Tiểu học</v>
      </c>
      <c r="D584" s="30" t="str">
        <f ca="1">IFERROR(__xludf.DUMMYFUNCTION("""COMPUTED_VALUE"""),"Tp. Thủ Đức")</f>
        <v>Tp. Thủ Đức</v>
      </c>
      <c r="E584" s="31">
        <f ca="1">IFERROR(__xludf.DUMMYFUNCTION("""COMPUTED_VALUE"""),59)</f>
        <v>59</v>
      </c>
      <c r="F584" s="32">
        <f ca="1">IFERROR(__xludf.DUMMYFUNCTION("""COMPUTED_VALUE"""),59)</f>
        <v>59</v>
      </c>
      <c r="G584" s="32"/>
      <c r="H584" s="32">
        <f ca="1">IFERROR(__xludf.DUMMYFUNCTION("""COMPUTED_VALUE"""),59)</f>
        <v>59</v>
      </c>
      <c r="I584" s="32"/>
      <c r="J584" s="32">
        <f ca="1">IFERROR(__xludf.DUMMYFUNCTION("""COMPUTED_VALUE"""),53)</f>
        <v>53</v>
      </c>
      <c r="K584" s="32"/>
      <c r="L584" s="32">
        <f ca="1">IFERROR(__xludf.DUMMYFUNCTION("""COMPUTED_VALUE"""),14)</f>
        <v>14</v>
      </c>
      <c r="M584" s="32"/>
      <c r="N584" s="31">
        <f ca="1">IFERROR(__xludf.DUMMYFUNCTION("""COMPUTED_VALUE"""),1463)</f>
        <v>1463</v>
      </c>
      <c r="O584" s="32">
        <f ca="1">IFERROR(__xludf.DUMMYFUNCTION("""COMPUTED_VALUE"""),603)</f>
        <v>603</v>
      </c>
      <c r="P584" s="32"/>
      <c r="Q584" s="32">
        <f ca="1">IFERROR(__xludf.DUMMYFUNCTION("""COMPUTED_VALUE"""),257)</f>
        <v>257</v>
      </c>
      <c r="R584" s="32"/>
      <c r="S584" s="31">
        <f ca="1">IFERROR(__xludf.DUMMYFUNCTION("""COMPUTED_VALUE"""),0)</f>
        <v>0</v>
      </c>
      <c r="T584" s="32">
        <f ca="1">IFERROR(__xludf.DUMMYFUNCTION("""COMPUTED_VALUE"""),0)</f>
        <v>0</v>
      </c>
      <c r="U584" s="32"/>
      <c r="V584" s="32">
        <f ca="1">IFERROR(__xludf.DUMMYFUNCTION("""COMPUTED_VALUE"""),0)</f>
        <v>0</v>
      </c>
      <c r="W584" s="32"/>
      <c r="X584" s="32">
        <f ca="1">IFERROR(__xludf.DUMMYFUNCTION("""COMPUTED_VALUE"""),0)</f>
        <v>0</v>
      </c>
      <c r="Y584" s="32"/>
      <c r="Z584" s="2"/>
      <c r="AA584" s="2"/>
      <c r="AB584" s="2"/>
      <c r="AC584" s="2"/>
      <c r="AD584" s="2"/>
      <c r="AE584" s="2"/>
    </row>
    <row r="585" spans="1:31" ht="12.75" x14ac:dyDescent="0.2">
      <c r="A585" s="28">
        <f ca="1">IFERROR(__xludf.DUMMYFUNCTION("""COMPUTED_VALUE"""),47)</f>
        <v>47</v>
      </c>
      <c r="B585" s="29" t="str">
        <f ca="1">IFERROR(__xludf.DUMMYFUNCTION("""COMPUTED_VALUE"""),"TH Linh Đông")</f>
        <v>TH Linh Đông</v>
      </c>
      <c r="C585" s="33" t="str">
        <f ca="1">IFERROR(__xludf.DUMMYFUNCTION("""COMPUTED_VALUE"""),"Tiểu học")</f>
        <v>Tiểu học</v>
      </c>
      <c r="D585" s="30" t="str">
        <f ca="1">IFERROR(__xludf.DUMMYFUNCTION("""COMPUTED_VALUE"""),"Tp. Thủ Đức")</f>
        <v>Tp. Thủ Đức</v>
      </c>
      <c r="E585" s="31">
        <f ca="1">IFERROR(__xludf.DUMMYFUNCTION("""COMPUTED_VALUE"""),25)</f>
        <v>25</v>
      </c>
      <c r="F585" s="32">
        <f ca="1">IFERROR(__xludf.DUMMYFUNCTION("""COMPUTED_VALUE"""),25)</f>
        <v>25</v>
      </c>
      <c r="G585" s="32"/>
      <c r="H585" s="32">
        <f ca="1">IFERROR(__xludf.DUMMYFUNCTION("""COMPUTED_VALUE"""),25)</f>
        <v>25</v>
      </c>
      <c r="I585" s="32"/>
      <c r="J585" s="32">
        <f ca="1">IFERROR(__xludf.DUMMYFUNCTION("""COMPUTED_VALUE"""),24)</f>
        <v>24</v>
      </c>
      <c r="K585" s="32"/>
      <c r="L585" s="32">
        <f ca="1">IFERROR(__xludf.DUMMYFUNCTION("""COMPUTED_VALUE"""),10)</f>
        <v>10</v>
      </c>
      <c r="M585" s="32"/>
      <c r="N585" s="31">
        <f ca="1">IFERROR(__xludf.DUMMYFUNCTION("""COMPUTED_VALUE"""),567)</f>
        <v>567</v>
      </c>
      <c r="O585" s="32">
        <f ca="1">IFERROR(__xludf.DUMMYFUNCTION("""COMPUTED_VALUE"""),274)</f>
        <v>274</v>
      </c>
      <c r="P585" s="32"/>
      <c r="Q585" s="32">
        <f ca="1">IFERROR(__xludf.DUMMYFUNCTION("""COMPUTED_VALUE"""),171)</f>
        <v>171</v>
      </c>
      <c r="R585" s="32"/>
      <c r="S585" s="31">
        <f ca="1">IFERROR(__xludf.DUMMYFUNCTION("""COMPUTED_VALUE"""),0)</f>
        <v>0</v>
      </c>
      <c r="T585" s="32">
        <f ca="1">IFERROR(__xludf.DUMMYFUNCTION("""COMPUTED_VALUE"""),0)</f>
        <v>0</v>
      </c>
      <c r="U585" s="32"/>
      <c r="V585" s="32">
        <f ca="1">IFERROR(__xludf.DUMMYFUNCTION("""COMPUTED_VALUE"""),0)</f>
        <v>0</v>
      </c>
      <c r="W585" s="32"/>
      <c r="X585" s="32">
        <f ca="1">IFERROR(__xludf.DUMMYFUNCTION("""COMPUTED_VALUE"""),0)</f>
        <v>0</v>
      </c>
      <c r="Y585" s="32"/>
      <c r="Z585" s="2"/>
      <c r="AA585" s="2"/>
      <c r="AB585" s="2"/>
      <c r="AC585" s="2"/>
      <c r="AD585" s="2"/>
      <c r="AE585" s="2"/>
    </row>
    <row r="586" spans="1:31" ht="12.75" x14ac:dyDescent="0.2">
      <c r="A586" s="28">
        <f ca="1">IFERROR(__xludf.DUMMYFUNCTION("""COMPUTED_VALUE"""),48)</f>
        <v>48</v>
      </c>
      <c r="B586" s="29" t="str">
        <f ca="1">IFERROR(__xludf.DUMMYFUNCTION("""COMPUTED_VALUE"""),"TH Linh Tây")</f>
        <v>TH Linh Tây</v>
      </c>
      <c r="C586" s="33" t="str">
        <f ca="1">IFERROR(__xludf.DUMMYFUNCTION("""COMPUTED_VALUE"""),"Tiểu học")</f>
        <v>Tiểu học</v>
      </c>
      <c r="D586" s="30" t="str">
        <f ca="1">IFERROR(__xludf.DUMMYFUNCTION("""COMPUTED_VALUE"""),"Tp. Thủ Đức")</f>
        <v>Tp. Thủ Đức</v>
      </c>
      <c r="E586" s="31">
        <f ca="1">IFERROR(__xludf.DUMMYFUNCTION("""COMPUTED_VALUE"""),34)</f>
        <v>34</v>
      </c>
      <c r="F586" s="32">
        <f ca="1">IFERROR(__xludf.DUMMYFUNCTION("""COMPUTED_VALUE"""),34)</f>
        <v>34</v>
      </c>
      <c r="G586" s="32"/>
      <c r="H586" s="32">
        <f ca="1">IFERROR(__xludf.DUMMYFUNCTION("""COMPUTED_VALUE"""),34)</f>
        <v>34</v>
      </c>
      <c r="I586" s="32"/>
      <c r="J586" s="32">
        <f ca="1">IFERROR(__xludf.DUMMYFUNCTION("""COMPUTED_VALUE"""),34)</f>
        <v>34</v>
      </c>
      <c r="K586" s="32"/>
      <c r="L586" s="32">
        <f ca="1">IFERROR(__xludf.DUMMYFUNCTION("""COMPUTED_VALUE"""),7)</f>
        <v>7</v>
      </c>
      <c r="M586" s="32"/>
      <c r="N586" s="31">
        <f ca="1">IFERROR(__xludf.DUMMYFUNCTION("""COMPUTED_VALUE"""),1002)</f>
        <v>1002</v>
      </c>
      <c r="O586" s="32">
        <f ca="1">IFERROR(__xludf.DUMMYFUNCTION("""COMPUTED_VALUE"""),474)</f>
        <v>474</v>
      </c>
      <c r="P586" s="32"/>
      <c r="Q586" s="32">
        <f ca="1">IFERROR(__xludf.DUMMYFUNCTION("""COMPUTED_VALUE"""),265)</f>
        <v>265</v>
      </c>
      <c r="R586" s="32"/>
      <c r="S586" s="31">
        <f ca="1">IFERROR(__xludf.DUMMYFUNCTION("""COMPUTED_VALUE"""),0)</f>
        <v>0</v>
      </c>
      <c r="T586" s="32">
        <f ca="1">IFERROR(__xludf.DUMMYFUNCTION("""COMPUTED_VALUE"""),0)</f>
        <v>0</v>
      </c>
      <c r="U586" s="32"/>
      <c r="V586" s="32">
        <f ca="1">IFERROR(__xludf.DUMMYFUNCTION("""COMPUTED_VALUE"""),0)</f>
        <v>0</v>
      </c>
      <c r="W586" s="32"/>
      <c r="X586" s="32">
        <f ca="1">IFERROR(__xludf.DUMMYFUNCTION("""COMPUTED_VALUE"""),0)</f>
        <v>0</v>
      </c>
      <c r="Y586" s="32"/>
      <c r="Z586" s="2"/>
      <c r="AA586" s="2"/>
      <c r="AB586" s="2"/>
      <c r="AC586" s="2"/>
      <c r="AD586" s="2"/>
      <c r="AE586" s="2"/>
    </row>
    <row r="587" spans="1:31" ht="12.75" x14ac:dyDescent="0.2">
      <c r="A587" s="28">
        <f ca="1">IFERROR(__xludf.DUMMYFUNCTION("""COMPUTED_VALUE"""),49)</f>
        <v>49</v>
      </c>
      <c r="B587" s="29" t="str">
        <f ca="1">IFERROR(__xludf.DUMMYFUNCTION("""COMPUTED_VALUE"""),"TH Đỗ Tấn Phong")</f>
        <v>TH Đỗ Tấn Phong</v>
      </c>
      <c r="C587" s="33" t="str">
        <f ca="1">IFERROR(__xludf.DUMMYFUNCTION("""COMPUTED_VALUE"""),"Tiểu học")</f>
        <v>Tiểu học</v>
      </c>
      <c r="D587" s="30" t="str">
        <f ca="1">IFERROR(__xludf.DUMMYFUNCTION("""COMPUTED_VALUE"""),"Tp. Thủ Đức")</f>
        <v>Tp. Thủ Đức</v>
      </c>
      <c r="E587" s="31">
        <f ca="1">IFERROR(__xludf.DUMMYFUNCTION("""COMPUTED_VALUE"""),67)</f>
        <v>67</v>
      </c>
      <c r="F587" s="32">
        <f ca="1">IFERROR(__xludf.DUMMYFUNCTION("""COMPUTED_VALUE"""),67)</f>
        <v>67</v>
      </c>
      <c r="G587" s="32"/>
      <c r="H587" s="32">
        <f ca="1">IFERROR(__xludf.DUMMYFUNCTION("""COMPUTED_VALUE"""),67)</f>
        <v>67</v>
      </c>
      <c r="I587" s="32"/>
      <c r="J587" s="32">
        <f ca="1">IFERROR(__xludf.DUMMYFUNCTION("""COMPUTED_VALUE"""),53)</f>
        <v>53</v>
      </c>
      <c r="K587" s="32"/>
      <c r="L587" s="32">
        <f ca="1">IFERROR(__xludf.DUMMYFUNCTION("""COMPUTED_VALUE"""),39)</f>
        <v>39</v>
      </c>
      <c r="M587" s="32"/>
      <c r="N587" s="31">
        <f ca="1">IFERROR(__xludf.DUMMYFUNCTION("""COMPUTED_VALUE"""),1346)</f>
        <v>1346</v>
      </c>
      <c r="O587" s="32">
        <f ca="1">IFERROR(__xludf.DUMMYFUNCTION("""COMPUTED_VALUE"""),410)</f>
        <v>410</v>
      </c>
      <c r="P587" s="32"/>
      <c r="Q587" s="32">
        <f ca="1">IFERROR(__xludf.DUMMYFUNCTION("""COMPUTED_VALUE"""),325)</f>
        <v>325</v>
      </c>
      <c r="R587" s="32"/>
      <c r="S587" s="31">
        <f ca="1">IFERROR(__xludf.DUMMYFUNCTION("""COMPUTED_VALUE"""),0)</f>
        <v>0</v>
      </c>
      <c r="T587" s="32">
        <f ca="1">IFERROR(__xludf.DUMMYFUNCTION("""COMPUTED_VALUE"""),0)</f>
        <v>0</v>
      </c>
      <c r="U587" s="32"/>
      <c r="V587" s="32">
        <f ca="1">IFERROR(__xludf.DUMMYFUNCTION("""COMPUTED_VALUE"""),0)</f>
        <v>0</v>
      </c>
      <c r="W587" s="32"/>
      <c r="X587" s="32">
        <f ca="1">IFERROR(__xludf.DUMMYFUNCTION("""COMPUTED_VALUE"""),0)</f>
        <v>0</v>
      </c>
      <c r="Y587" s="32"/>
      <c r="Z587" s="2"/>
      <c r="AA587" s="2"/>
      <c r="AB587" s="2"/>
      <c r="AC587" s="2"/>
      <c r="AD587" s="2"/>
      <c r="AE587" s="2"/>
    </row>
    <row r="588" spans="1:31" ht="12.75" x14ac:dyDescent="0.2">
      <c r="A588" s="28">
        <f ca="1">IFERROR(__xludf.DUMMYFUNCTION("""COMPUTED_VALUE"""),50)</f>
        <v>50</v>
      </c>
      <c r="B588" s="29" t="str">
        <f ca="1">IFERROR(__xludf.DUMMYFUNCTION("""COMPUTED_VALUE"""),"TH Hoàng Diệu")</f>
        <v>TH Hoàng Diệu</v>
      </c>
      <c r="C588" s="33" t="str">
        <f ca="1">IFERROR(__xludf.DUMMYFUNCTION("""COMPUTED_VALUE"""),"Tiểu học")</f>
        <v>Tiểu học</v>
      </c>
      <c r="D588" s="30" t="str">
        <f ca="1">IFERROR(__xludf.DUMMYFUNCTION("""COMPUTED_VALUE"""),"Tp. Thủ Đức")</f>
        <v>Tp. Thủ Đức</v>
      </c>
      <c r="E588" s="31">
        <f ca="1">IFERROR(__xludf.DUMMYFUNCTION("""COMPUTED_VALUE"""),97)</f>
        <v>97</v>
      </c>
      <c r="F588" s="32">
        <f ca="1">IFERROR(__xludf.DUMMYFUNCTION("""COMPUTED_VALUE"""),97)</f>
        <v>97</v>
      </c>
      <c r="G588" s="32"/>
      <c r="H588" s="32">
        <f ca="1">IFERROR(__xludf.DUMMYFUNCTION("""COMPUTED_VALUE"""),97)</f>
        <v>97</v>
      </c>
      <c r="I588" s="32"/>
      <c r="J588" s="32">
        <f ca="1">IFERROR(__xludf.DUMMYFUNCTION("""COMPUTED_VALUE"""),86)</f>
        <v>86</v>
      </c>
      <c r="K588" s="32"/>
      <c r="L588" s="32">
        <f ca="1">IFERROR(__xludf.DUMMYFUNCTION("""COMPUTED_VALUE"""),28)</f>
        <v>28</v>
      </c>
      <c r="M588" s="32"/>
      <c r="N588" s="31">
        <f ca="1">IFERROR(__xludf.DUMMYFUNCTION("""COMPUTED_VALUE"""),1710)</f>
        <v>1710</v>
      </c>
      <c r="O588" s="32">
        <f ca="1">IFERROR(__xludf.DUMMYFUNCTION("""COMPUTED_VALUE"""),891)</f>
        <v>891</v>
      </c>
      <c r="P588" s="32"/>
      <c r="Q588" s="32">
        <f ca="1">IFERROR(__xludf.DUMMYFUNCTION("""COMPUTED_VALUE"""),329)</f>
        <v>329</v>
      </c>
      <c r="R588" s="32"/>
      <c r="S588" s="31">
        <f ca="1">IFERROR(__xludf.DUMMYFUNCTION("""COMPUTED_VALUE"""),0)</f>
        <v>0</v>
      </c>
      <c r="T588" s="32">
        <f ca="1">IFERROR(__xludf.DUMMYFUNCTION("""COMPUTED_VALUE"""),0)</f>
        <v>0</v>
      </c>
      <c r="U588" s="32"/>
      <c r="V588" s="32">
        <f ca="1">IFERROR(__xludf.DUMMYFUNCTION("""COMPUTED_VALUE"""),0)</f>
        <v>0</v>
      </c>
      <c r="W588" s="32"/>
      <c r="X588" s="32">
        <f ca="1">IFERROR(__xludf.DUMMYFUNCTION("""COMPUTED_VALUE"""),0)</f>
        <v>0</v>
      </c>
      <c r="Y588" s="32"/>
      <c r="Z588" s="2"/>
      <c r="AA588" s="2"/>
      <c r="AB588" s="2"/>
      <c r="AC588" s="2"/>
      <c r="AD588" s="2"/>
      <c r="AE588" s="2"/>
    </row>
    <row r="589" spans="1:31" ht="12.75" x14ac:dyDescent="0.2">
      <c r="A589" s="28">
        <f ca="1">IFERROR(__xludf.DUMMYFUNCTION("""COMPUTED_VALUE"""),51)</f>
        <v>51</v>
      </c>
      <c r="B589" s="29" t="str">
        <f ca="1">IFERROR(__xludf.DUMMYFUNCTION("""COMPUTED_VALUE"""),"TH Nguyễn Văn Triết")</f>
        <v>TH Nguyễn Văn Triết</v>
      </c>
      <c r="C589" s="33" t="str">
        <f ca="1">IFERROR(__xludf.DUMMYFUNCTION("""COMPUTED_VALUE"""),"Tiểu học")</f>
        <v>Tiểu học</v>
      </c>
      <c r="D589" s="30" t="str">
        <f ca="1">IFERROR(__xludf.DUMMYFUNCTION("""COMPUTED_VALUE"""),"Tp. Thủ Đức")</f>
        <v>Tp. Thủ Đức</v>
      </c>
      <c r="E589" s="31">
        <f ca="1">IFERROR(__xludf.DUMMYFUNCTION("""COMPUTED_VALUE"""),82)</f>
        <v>82</v>
      </c>
      <c r="F589" s="32">
        <f ca="1">IFERROR(__xludf.DUMMYFUNCTION("""COMPUTED_VALUE"""),82)</f>
        <v>82</v>
      </c>
      <c r="G589" s="32"/>
      <c r="H589" s="32">
        <f ca="1">IFERROR(__xludf.DUMMYFUNCTION("""COMPUTED_VALUE"""),82)</f>
        <v>82</v>
      </c>
      <c r="I589" s="32"/>
      <c r="J589" s="32">
        <f ca="1">IFERROR(__xludf.DUMMYFUNCTION("""COMPUTED_VALUE"""),80)</f>
        <v>80</v>
      </c>
      <c r="K589" s="32"/>
      <c r="L589" s="32">
        <f ca="1">IFERROR(__xludf.DUMMYFUNCTION("""COMPUTED_VALUE"""),41)</f>
        <v>41</v>
      </c>
      <c r="M589" s="32"/>
      <c r="N589" s="31">
        <f ca="1">IFERROR(__xludf.DUMMYFUNCTION("""COMPUTED_VALUE"""),1926)</f>
        <v>1926</v>
      </c>
      <c r="O589" s="32">
        <f ca="1">IFERROR(__xludf.DUMMYFUNCTION("""COMPUTED_VALUE"""),1168)</f>
        <v>1168</v>
      </c>
      <c r="P589" s="32"/>
      <c r="Q589" s="32">
        <f ca="1">IFERROR(__xludf.DUMMYFUNCTION("""COMPUTED_VALUE"""),445)</f>
        <v>445</v>
      </c>
      <c r="R589" s="32"/>
      <c r="S589" s="31">
        <f ca="1">IFERROR(__xludf.DUMMYFUNCTION("""COMPUTED_VALUE"""),0)</f>
        <v>0</v>
      </c>
      <c r="T589" s="32">
        <f ca="1">IFERROR(__xludf.DUMMYFUNCTION("""COMPUTED_VALUE"""),0)</f>
        <v>0</v>
      </c>
      <c r="U589" s="32"/>
      <c r="V589" s="32">
        <f ca="1">IFERROR(__xludf.DUMMYFUNCTION("""COMPUTED_VALUE"""),0)</f>
        <v>0</v>
      </c>
      <c r="W589" s="32"/>
      <c r="X589" s="32">
        <f ca="1">IFERROR(__xludf.DUMMYFUNCTION("""COMPUTED_VALUE"""),0)</f>
        <v>0</v>
      </c>
      <c r="Y589" s="32"/>
      <c r="Z589" s="2"/>
      <c r="AA589" s="2"/>
      <c r="AB589" s="2"/>
      <c r="AC589" s="2"/>
      <c r="AD589" s="2"/>
      <c r="AE589" s="2"/>
    </row>
    <row r="590" spans="1:31" ht="12.75" x14ac:dyDescent="0.2">
      <c r="A590" s="28">
        <f ca="1">IFERROR(__xludf.DUMMYFUNCTION("""COMPUTED_VALUE"""),52)</f>
        <v>52</v>
      </c>
      <c r="B590" s="29" t="str">
        <f ca="1">IFERROR(__xludf.DUMMYFUNCTION("""COMPUTED_VALUE"""),"TH Nguyễn Văn Lịch")</f>
        <v>TH Nguyễn Văn Lịch</v>
      </c>
      <c r="C590" s="33" t="str">
        <f ca="1">IFERROR(__xludf.DUMMYFUNCTION("""COMPUTED_VALUE"""),"Tiểu học")</f>
        <v>Tiểu học</v>
      </c>
      <c r="D590" s="30" t="str">
        <f ca="1">IFERROR(__xludf.DUMMYFUNCTION("""COMPUTED_VALUE"""),"Tp. Thủ Đức")</f>
        <v>Tp. Thủ Đức</v>
      </c>
      <c r="E590" s="31">
        <f ca="1">IFERROR(__xludf.DUMMYFUNCTION("""COMPUTED_VALUE"""),38)</f>
        <v>38</v>
      </c>
      <c r="F590" s="32">
        <f ca="1">IFERROR(__xludf.DUMMYFUNCTION("""COMPUTED_VALUE"""),38)</f>
        <v>38</v>
      </c>
      <c r="G590" s="32"/>
      <c r="H590" s="32">
        <f ca="1">IFERROR(__xludf.DUMMYFUNCTION("""COMPUTED_VALUE"""),38)</f>
        <v>38</v>
      </c>
      <c r="I590" s="32"/>
      <c r="J590" s="32">
        <f ca="1">IFERROR(__xludf.DUMMYFUNCTION("""COMPUTED_VALUE"""),38)</f>
        <v>38</v>
      </c>
      <c r="K590" s="32"/>
      <c r="L590" s="32">
        <f ca="1">IFERROR(__xludf.DUMMYFUNCTION("""COMPUTED_VALUE"""),8)</f>
        <v>8</v>
      </c>
      <c r="M590" s="32"/>
      <c r="N590" s="31">
        <f ca="1">IFERROR(__xludf.DUMMYFUNCTION("""COMPUTED_VALUE"""),1094)</f>
        <v>1094</v>
      </c>
      <c r="O590" s="32">
        <f ca="1">IFERROR(__xludf.DUMMYFUNCTION("""COMPUTED_VALUE"""),189)</f>
        <v>189</v>
      </c>
      <c r="P590" s="32"/>
      <c r="Q590" s="32">
        <f ca="1">IFERROR(__xludf.DUMMYFUNCTION("""COMPUTED_VALUE"""),781)</f>
        <v>781</v>
      </c>
      <c r="R590" s="32"/>
      <c r="S590" s="31">
        <f ca="1">IFERROR(__xludf.DUMMYFUNCTION("""COMPUTED_VALUE"""),0)</f>
        <v>0</v>
      </c>
      <c r="T590" s="32">
        <f ca="1">IFERROR(__xludf.DUMMYFUNCTION("""COMPUTED_VALUE"""),0)</f>
        <v>0</v>
      </c>
      <c r="U590" s="32"/>
      <c r="V590" s="32">
        <f ca="1">IFERROR(__xludf.DUMMYFUNCTION("""COMPUTED_VALUE"""),0)</f>
        <v>0</v>
      </c>
      <c r="W590" s="32"/>
      <c r="X590" s="32">
        <f ca="1">IFERROR(__xludf.DUMMYFUNCTION("""COMPUTED_VALUE"""),0)</f>
        <v>0</v>
      </c>
      <c r="Y590" s="32"/>
      <c r="Z590" s="2"/>
      <c r="AA590" s="2"/>
      <c r="AB590" s="2"/>
      <c r="AC590" s="2"/>
      <c r="AD590" s="2"/>
      <c r="AE590" s="2"/>
    </row>
    <row r="591" spans="1:31" ht="12.75" x14ac:dyDescent="0.2">
      <c r="A591" s="28">
        <f ca="1">IFERROR(__xludf.DUMMYFUNCTION("""COMPUTED_VALUE"""),53)</f>
        <v>53</v>
      </c>
      <c r="B591" s="29" t="str">
        <f ca="1">IFERROR(__xludf.DUMMYFUNCTION("""COMPUTED_VALUE"""),"TH Nguyễn Văn Nở")</f>
        <v>TH Nguyễn Văn Nở</v>
      </c>
      <c r="C591" s="33" t="str">
        <f ca="1">IFERROR(__xludf.DUMMYFUNCTION("""COMPUTED_VALUE"""),"Tiểu học")</f>
        <v>Tiểu học</v>
      </c>
      <c r="D591" s="30" t="str">
        <f ca="1">IFERROR(__xludf.DUMMYFUNCTION("""COMPUTED_VALUE"""),"Tp. Thủ Đức")</f>
        <v>Tp. Thủ Đức</v>
      </c>
      <c r="E591" s="31">
        <f ca="1">IFERROR(__xludf.DUMMYFUNCTION("""COMPUTED_VALUE"""),86)</f>
        <v>86</v>
      </c>
      <c r="F591" s="32">
        <f ca="1">IFERROR(__xludf.DUMMYFUNCTION("""COMPUTED_VALUE"""),86)</f>
        <v>86</v>
      </c>
      <c r="G591" s="32"/>
      <c r="H591" s="32">
        <f ca="1">IFERROR(__xludf.DUMMYFUNCTION("""COMPUTED_VALUE"""),86)</f>
        <v>86</v>
      </c>
      <c r="I591" s="32"/>
      <c r="J591" s="32">
        <f ca="1">IFERROR(__xludf.DUMMYFUNCTION("""COMPUTED_VALUE"""),86)</f>
        <v>86</v>
      </c>
      <c r="K591" s="32"/>
      <c r="L591" s="32">
        <f ca="1">IFERROR(__xludf.DUMMYFUNCTION("""COMPUTED_VALUE"""),68)</f>
        <v>68</v>
      </c>
      <c r="M591" s="32"/>
      <c r="N591" s="31">
        <f ca="1">IFERROR(__xludf.DUMMYFUNCTION("""COMPUTED_VALUE"""),1898)</f>
        <v>1898</v>
      </c>
      <c r="O591" s="32">
        <f ca="1">IFERROR(__xludf.DUMMYFUNCTION("""COMPUTED_VALUE"""),1298)</f>
        <v>1298</v>
      </c>
      <c r="P591" s="32"/>
      <c r="Q591" s="32">
        <f ca="1">IFERROR(__xludf.DUMMYFUNCTION("""COMPUTED_VALUE"""),679)</f>
        <v>679</v>
      </c>
      <c r="R591" s="32"/>
      <c r="S591" s="31">
        <f ca="1">IFERROR(__xludf.DUMMYFUNCTION("""COMPUTED_VALUE"""),0)</f>
        <v>0</v>
      </c>
      <c r="T591" s="32">
        <f ca="1">IFERROR(__xludf.DUMMYFUNCTION("""COMPUTED_VALUE"""),0)</f>
        <v>0</v>
      </c>
      <c r="U591" s="32"/>
      <c r="V591" s="32">
        <f ca="1">IFERROR(__xludf.DUMMYFUNCTION("""COMPUTED_VALUE"""),0)</f>
        <v>0</v>
      </c>
      <c r="W591" s="32"/>
      <c r="X591" s="32">
        <f ca="1">IFERROR(__xludf.DUMMYFUNCTION("""COMPUTED_VALUE"""),0)</f>
        <v>0</v>
      </c>
      <c r="Y591" s="32"/>
      <c r="Z591" s="2"/>
      <c r="AA591" s="2"/>
      <c r="AB591" s="2"/>
      <c r="AC591" s="2"/>
      <c r="AD591" s="2"/>
      <c r="AE591" s="2"/>
    </row>
    <row r="592" spans="1:31" ht="12.75" x14ac:dyDescent="0.2">
      <c r="A592" s="28">
        <f ca="1">IFERROR(__xludf.DUMMYFUNCTION("""COMPUTED_VALUE"""),54)</f>
        <v>54</v>
      </c>
      <c r="B592" s="29" t="str">
        <f ca="1">IFERROR(__xludf.DUMMYFUNCTION("""COMPUTED_VALUE"""),"TH Xuân Hiệp")</f>
        <v>TH Xuân Hiệp</v>
      </c>
      <c r="C592" s="33" t="str">
        <f ca="1">IFERROR(__xludf.DUMMYFUNCTION("""COMPUTED_VALUE"""),"Tiểu học")</f>
        <v>Tiểu học</v>
      </c>
      <c r="D592" s="30" t="str">
        <f ca="1">IFERROR(__xludf.DUMMYFUNCTION("""COMPUTED_VALUE"""),"Tp. Thủ Đức")</f>
        <v>Tp. Thủ Đức</v>
      </c>
      <c r="E592" s="31">
        <f ca="1">IFERROR(__xludf.DUMMYFUNCTION("""COMPUTED_VALUE"""),83)</f>
        <v>83</v>
      </c>
      <c r="F592" s="32">
        <f ca="1">IFERROR(__xludf.DUMMYFUNCTION("""COMPUTED_VALUE"""),83)</f>
        <v>83</v>
      </c>
      <c r="G592" s="32"/>
      <c r="H592" s="32">
        <f ca="1">IFERROR(__xludf.DUMMYFUNCTION("""COMPUTED_VALUE"""),83)</f>
        <v>83</v>
      </c>
      <c r="I592" s="32"/>
      <c r="J592" s="32">
        <f ca="1">IFERROR(__xludf.DUMMYFUNCTION("""COMPUTED_VALUE"""),82)</f>
        <v>82</v>
      </c>
      <c r="K592" s="32"/>
      <c r="L592" s="32">
        <f ca="1">IFERROR(__xludf.DUMMYFUNCTION("""COMPUTED_VALUE"""),32)</f>
        <v>32</v>
      </c>
      <c r="M592" s="32"/>
      <c r="N592" s="31">
        <f ca="1">IFERROR(__xludf.DUMMYFUNCTION("""COMPUTED_VALUE"""),2098)</f>
        <v>2098</v>
      </c>
      <c r="O592" s="32">
        <f ca="1">IFERROR(__xludf.DUMMYFUNCTION("""COMPUTED_VALUE"""),795)</f>
        <v>795</v>
      </c>
      <c r="P592" s="32"/>
      <c r="Q592" s="32">
        <f ca="1">IFERROR(__xludf.DUMMYFUNCTION("""COMPUTED_VALUE"""),703)</f>
        <v>703</v>
      </c>
      <c r="R592" s="32"/>
      <c r="S592" s="31">
        <f ca="1">IFERROR(__xludf.DUMMYFUNCTION("""COMPUTED_VALUE"""),0)</f>
        <v>0</v>
      </c>
      <c r="T592" s="32">
        <f ca="1">IFERROR(__xludf.DUMMYFUNCTION("""COMPUTED_VALUE"""),0)</f>
        <v>0</v>
      </c>
      <c r="U592" s="32"/>
      <c r="V592" s="32">
        <f ca="1">IFERROR(__xludf.DUMMYFUNCTION("""COMPUTED_VALUE"""),0)</f>
        <v>0</v>
      </c>
      <c r="W592" s="32"/>
      <c r="X592" s="32">
        <f ca="1">IFERROR(__xludf.DUMMYFUNCTION("""COMPUTED_VALUE"""),0)</f>
        <v>0</v>
      </c>
      <c r="Y592" s="32"/>
      <c r="Z592" s="2"/>
      <c r="AA592" s="2"/>
      <c r="AB592" s="2"/>
      <c r="AC592" s="2"/>
      <c r="AD592" s="2"/>
      <c r="AE592" s="2"/>
    </row>
    <row r="593" spans="1:31" ht="12.75" x14ac:dyDescent="0.2">
      <c r="A593" s="28">
        <f ca="1">IFERROR(__xludf.DUMMYFUNCTION("""COMPUTED_VALUE"""),55)</f>
        <v>55</v>
      </c>
      <c r="B593" s="29" t="str">
        <f ca="1">IFERROR(__xludf.DUMMYFUNCTION("""COMPUTED_VALUE"""),"TH Tam Bình")</f>
        <v>TH Tam Bình</v>
      </c>
      <c r="C593" s="33" t="str">
        <f ca="1">IFERROR(__xludf.DUMMYFUNCTION("""COMPUTED_VALUE"""),"Tiểu học")</f>
        <v>Tiểu học</v>
      </c>
      <c r="D593" s="30" t="str">
        <f ca="1">IFERROR(__xludf.DUMMYFUNCTION("""COMPUTED_VALUE"""),"Tp. Thủ Đức")</f>
        <v>Tp. Thủ Đức</v>
      </c>
      <c r="E593" s="31">
        <f ca="1">IFERROR(__xludf.DUMMYFUNCTION("""COMPUTED_VALUE"""),82)</f>
        <v>82</v>
      </c>
      <c r="F593" s="32">
        <f ca="1">IFERROR(__xludf.DUMMYFUNCTION("""COMPUTED_VALUE"""),82)</f>
        <v>82</v>
      </c>
      <c r="G593" s="32"/>
      <c r="H593" s="32">
        <f ca="1">IFERROR(__xludf.DUMMYFUNCTION("""COMPUTED_VALUE"""),82)</f>
        <v>82</v>
      </c>
      <c r="I593" s="32"/>
      <c r="J593" s="32">
        <f ca="1">IFERROR(__xludf.DUMMYFUNCTION("""COMPUTED_VALUE"""),75)</f>
        <v>75</v>
      </c>
      <c r="K593" s="32"/>
      <c r="L593" s="32">
        <f ca="1">IFERROR(__xludf.DUMMYFUNCTION("""COMPUTED_VALUE"""),17)</f>
        <v>17</v>
      </c>
      <c r="M593" s="32"/>
      <c r="N593" s="31">
        <f ca="1">IFERROR(__xludf.DUMMYFUNCTION("""COMPUTED_VALUE"""),2018)</f>
        <v>2018</v>
      </c>
      <c r="O593" s="32">
        <f ca="1">IFERROR(__xludf.DUMMYFUNCTION("""COMPUTED_VALUE"""),855)</f>
        <v>855</v>
      </c>
      <c r="P593" s="32"/>
      <c r="Q593" s="32">
        <f ca="1">IFERROR(__xludf.DUMMYFUNCTION("""COMPUTED_VALUE"""),430)</f>
        <v>430</v>
      </c>
      <c r="R593" s="32"/>
      <c r="S593" s="31">
        <f ca="1">IFERROR(__xludf.DUMMYFUNCTION("""COMPUTED_VALUE"""),0)</f>
        <v>0</v>
      </c>
      <c r="T593" s="32">
        <f ca="1">IFERROR(__xludf.DUMMYFUNCTION("""COMPUTED_VALUE"""),0)</f>
        <v>0</v>
      </c>
      <c r="U593" s="32"/>
      <c r="V593" s="32">
        <f ca="1">IFERROR(__xludf.DUMMYFUNCTION("""COMPUTED_VALUE"""),0)</f>
        <v>0</v>
      </c>
      <c r="W593" s="32"/>
      <c r="X593" s="32">
        <f ca="1">IFERROR(__xludf.DUMMYFUNCTION("""COMPUTED_VALUE"""),0)</f>
        <v>0</v>
      </c>
      <c r="Y593" s="32"/>
      <c r="Z593" s="2"/>
      <c r="AA593" s="2"/>
      <c r="AB593" s="2"/>
      <c r="AC593" s="2"/>
      <c r="AD593" s="2"/>
      <c r="AE593" s="2"/>
    </row>
    <row r="594" spans="1:31" ht="12.75" x14ac:dyDescent="0.2">
      <c r="A594" s="28">
        <f ca="1">IFERROR(__xludf.DUMMYFUNCTION("""COMPUTED_VALUE"""),56)</f>
        <v>56</v>
      </c>
      <c r="B594" s="29" t="str">
        <f ca="1">IFERROR(__xludf.DUMMYFUNCTION("""COMPUTED_VALUE"""),"TH Thái Văn Lung")</f>
        <v>TH Thái Văn Lung</v>
      </c>
      <c r="C594" s="33" t="str">
        <f ca="1">IFERROR(__xludf.DUMMYFUNCTION("""COMPUTED_VALUE"""),"Tiểu học")</f>
        <v>Tiểu học</v>
      </c>
      <c r="D594" s="30" t="str">
        <f ca="1">IFERROR(__xludf.DUMMYFUNCTION("""COMPUTED_VALUE"""),"Tp. Thủ Đức")</f>
        <v>Tp. Thủ Đức</v>
      </c>
      <c r="E594" s="31">
        <f ca="1">IFERROR(__xludf.DUMMYFUNCTION("""COMPUTED_VALUE"""),58)</f>
        <v>58</v>
      </c>
      <c r="F594" s="32">
        <f ca="1">IFERROR(__xludf.DUMMYFUNCTION("""COMPUTED_VALUE"""),58)</f>
        <v>58</v>
      </c>
      <c r="G594" s="32"/>
      <c r="H594" s="32">
        <f ca="1">IFERROR(__xludf.DUMMYFUNCTION("""COMPUTED_VALUE"""),58)</f>
        <v>58</v>
      </c>
      <c r="I594" s="32"/>
      <c r="J594" s="32">
        <f ca="1">IFERROR(__xludf.DUMMYFUNCTION("""COMPUTED_VALUE"""),49)</f>
        <v>49</v>
      </c>
      <c r="K594" s="32"/>
      <c r="L594" s="32">
        <f ca="1">IFERROR(__xludf.DUMMYFUNCTION("""COMPUTED_VALUE"""),6)</f>
        <v>6</v>
      </c>
      <c r="M594" s="32"/>
      <c r="N594" s="31">
        <f ca="1">IFERROR(__xludf.DUMMYFUNCTION("""COMPUTED_VALUE"""),1437)</f>
        <v>1437</v>
      </c>
      <c r="O594" s="32">
        <f ca="1">IFERROR(__xludf.DUMMYFUNCTION("""COMPUTED_VALUE"""),675)</f>
        <v>675</v>
      </c>
      <c r="P594" s="32"/>
      <c r="Q594" s="32">
        <f ca="1">IFERROR(__xludf.DUMMYFUNCTION("""COMPUTED_VALUE"""),335)</f>
        <v>335</v>
      </c>
      <c r="R594" s="32"/>
      <c r="S594" s="31">
        <f ca="1">IFERROR(__xludf.DUMMYFUNCTION("""COMPUTED_VALUE"""),0)</f>
        <v>0</v>
      </c>
      <c r="T594" s="32">
        <f ca="1">IFERROR(__xludf.DUMMYFUNCTION("""COMPUTED_VALUE"""),0)</f>
        <v>0</v>
      </c>
      <c r="U594" s="32"/>
      <c r="V594" s="32">
        <f ca="1">IFERROR(__xludf.DUMMYFUNCTION("""COMPUTED_VALUE"""),0)</f>
        <v>0</v>
      </c>
      <c r="W594" s="32"/>
      <c r="X594" s="32">
        <f ca="1">IFERROR(__xludf.DUMMYFUNCTION("""COMPUTED_VALUE"""),0)</f>
        <v>0</v>
      </c>
      <c r="Y594" s="32"/>
      <c r="Z594" s="2"/>
      <c r="AA594" s="2"/>
      <c r="AB594" s="2"/>
      <c r="AC594" s="2"/>
      <c r="AD594" s="2"/>
      <c r="AE594" s="2"/>
    </row>
    <row r="595" spans="1:31" ht="12.75" x14ac:dyDescent="0.2">
      <c r="A595" s="28">
        <f ca="1">IFERROR(__xludf.DUMMYFUNCTION("""COMPUTED_VALUE"""),57)</f>
        <v>57</v>
      </c>
      <c r="B595" s="29" t="str">
        <f ca="1">IFERROR(__xludf.DUMMYFUNCTION("""COMPUTED_VALUE"""),"TH Trương Văn Hải")</f>
        <v>TH Trương Văn Hải</v>
      </c>
      <c r="C595" s="33" t="str">
        <f ca="1">IFERROR(__xludf.DUMMYFUNCTION("""COMPUTED_VALUE"""),"Tiểu học")</f>
        <v>Tiểu học</v>
      </c>
      <c r="D595" s="30" t="str">
        <f ca="1">IFERROR(__xludf.DUMMYFUNCTION("""COMPUTED_VALUE"""),"Tp. Thủ Đức")</f>
        <v>Tp. Thủ Đức</v>
      </c>
      <c r="E595" s="31">
        <f ca="1">IFERROR(__xludf.DUMMYFUNCTION("""COMPUTED_VALUE"""),49)</f>
        <v>49</v>
      </c>
      <c r="F595" s="32">
        <f ca="1">IFERROR(__xludf.DUMMYFUNCTION("""COMPUTED_VALUE"""),49)</f>
        <v>49</v>
      </c>
      <c r="G595" s="32"/>
      <c r="H595" s="32">
        <f ca="1">IFERROR(__xludf.DUMMYFUNCTION("""COMPUTED_VALUE"""),49)</f>
        <v>49</v>
      </c>
      <c r="I595" s="32"/>
      <c r="J595" s="32">
        <f ca="1">IFERROR(__xludf.DUMMYFUNCTION("""COMPUTED_VALUE"""),49)</f>
        <v>49</v>
      </c>
      <c r="K595" s="32"/>
      <c r="L595" s="32">
        <f ca="1">IFERROR(__xludf.DUMMYFUNCTION("""COMPUTED_VALUE"""),10)</f>
        <v>10</v>
      </c>
      <c r="M595" s="32"/>
      <c r="N595" s="31">
        <f ca="1">IFERROR(__xludf.DUMMYFUNCTION("""COMPUTED_VALUE"""),1543)</f>
        <v>1543</v>
      </c>
      <c r="O595" s="32">
        <f ca="1">IFERROR(__xludf.DUMMYFUNCTION("""COMPUTED_VALUE"""),499)</f>
        <v>499</v>
      </c>
      <c r="P595" s="32"/>
      <c r="Q595" s="32">
        <f ca="1">IFERROR(__xludf.DUMMYFUNCTION("""COMPUTED_VALUE"""),285)</f>
        <v>285</v>
      </c>
      <c r="R595" s="32"/>
      <c r="S595" s="31">
        <f ca="1">IFERROR(__xludf.DUMMYFUNCTION("""COMPUTED_VALUE"""),0)</f>
        <v>0</v>
      </c>
      <c r="T595" s="32">
        <f ca="1">IFERROR(__xludf.DUMMYFUNCTION("""COMPUTED_VALUE"""),0)</f>
        <v>0</v>
      </c>
      <c r="U595" s="32"/>
      <c r="V595" s="32">
        <f ca="1">IFERROR(__xludf.DUMMYFUNCTION("""COMPUTED_VALUE"""),0)</f>
        <v>0</v>
      </c>
      <c r="W595" s="32"/>
      <c r="X595" s="32">
        <f ca="1">IFERROR(__xludf.DUMMYFUNCTION("""COMPUTED_VALUE"""),0)</f>
        <v>0</v>
      </c>
      <c r="Y595" s="32"/>
      <c r="Z595" s="2"/>
      <c r="AA595" s="2"/>
      <c r="AB595" s="2"/>
      <c r="AC595" s="2"/>
      <c r="AD595" s="2"/>
      <c r="AE595" s="2"/>
    </row>
    <row r="596" spans="1:31" ht="12.75" x14ac:dyDescent="0.2">
      <c r="A596" s="28">
        <f ca="1">IFERROR(__xludf.DUMMYFUNCTION("""COMPUTED_VALUE"""),58)</f>
        <v>58</v>
      </c>
      <c r="B596" s="29" t="str">
        <f ca="1">IFERROR(__xludf.DUMMYFUNCTION("""COMPUTED_VALUE"""),"TH Nguyễn Văn Banh")</f>
        <v>TH Nguyễn Văn Banh</v>
      </c>
      <c r="C596" s="33" t="str">
        <f ca="1">IFERROR(__xludf.DUMMYFUNCTION("""COMPUTED_VALUE"""),"Tiểu học")</f>
        <v>Tiểu học</v>
      </c>
      <c r="D596" s="30" t="str">
        <f ca="1">IFERROR(__xludf.DUMMYFUNCTION("""COMPUTED_VALUE"""),"Tp. Thủ Đức")</f>
        <v>Tp. Thủ Đức</v>
      </c>
      <c r="E596" s="31">
        <f ca="1">IFERROR(__xludf.DUMMYFUNCTION("""COMPUTED_VALUE"""),56)</f>
        <v>56</v>
      </c>
      <c r="F596" s="32">
        <f ca="1">IFERROR(__xludf.DUMMYFUNCTION("""COMPUTED_VALUE"""),56)</f>
        <v>56</v>
      </c>
      <c r="G596" s="32"/>
      <c r="H596" s="32">
        <f ca="1">IFERROR(__xludf.DUMMYFUNCTION("""COMPUTED_VALUE"""),56)</f>
        <v>56</v>
      </c>
      <c r="I596" s="32"/>
      <c r="J596" s="32">
        <f ca="1">IFERROR(__xludf.DUMMYFUNCTION("""COMPUTED_VALUE"""),55)</f>
        <v>55</v>
      </c>
      <c r="K596" s="32"/>
      <c r="L596" s="32">
        <f ca="1">IFERROR(__xludf.DUMMYFUNCTION("""COMPUTED_VALUE"""),11)</f>
        <v>11</v>
      </c>
      <c r="M596" s="32"/>
      <c r="N596" s="31">
        <f ca="1">IFERROR(__xludf.DUMMYFUNCTION("""COMPUTED_VALUE"""),1355)</f>
        <v>1355</v>
      </c>
      <c r="O596" s="32">
        <f ca="1">IFERROR(__xludf.DUMMYFUNCTION("""COMPUTED_VALUE"""),805)</f>
        <v>805</v>
      </c>
      <c r="P596" s="32"/>
      <c r="Q596" s="32">
        <f ca="1">IFERROR(__xludf.DUMMYFUNCTION("""COMPUTED_VALUE"""),414)</f>
        <v>414</v>
      </c>
      <c r="R596" s="32"/>
      <c r="S596" s="31">
        <f ca="1">IFERROR(__xludf.DUMMYFUNCTION("""COMPUTED_VALUE"""),0)</f>
        <v>0</v>
      </c>
      <c r="T596" s="32">
        <f ca="1">IFERROR(__xludf.DUMMYFUNCTION("""COMPUTED_VALUE"""),0)</f>
        <v>0</v>
      </c>
      <c r="U596" s="32"/>
      <c r="V596" s="32">
        <f ca="1">IFERROR(__xludf.DUMMYFUNCTION("""COMPUTED_VALUE"""),0)</f>
        <v>0</v>
      </c>
      <c r="W596" s="32"/>
      <c r="X596" s="32">
        <f ca="1">IFERROR(__xludf.DUMMYFUNCTION("""COMPUTED_VALUE"""),0)</f>
        <v>0</v>
      </c>
      <c r="Y596" s="32"/>
      <c r="Z596" s="2"/>
      <c r="AA596" s="2"/>
      <c r="AB596" s="2"/>
      <c r="AC596" s="2"/>
      <c r="AD596" s="2"/>
      <c r="AE596" s="2"/>
    </row>
    <row r="597" spans="1:31" ht="12.75" x14ac:dyDescent="0.2">
      <c r="A597" s="28">
        <f ca="1">IFERROR(__xludf.DUMMYFUNCTION("""COMPUTED_VALUE"""),59)</f>
        <v>59</v>
      </c>
      <c r="B597" s="29" t="str">
        <f ca="1">IFERROR(__xludf.DUMMYFUNCTION("""COMPUTED_VALUE"""),"TH Khai Nguyên")</f>
        <v>TH Khai Nguyên</v>
      </c>
      <c r="C597" s="33" t="str">
        <f ca="1">IFERROR(__xludf.DUMMYFUNCTION("""COMPUTED_VALUE"""),"Tiểu học")</f>
        <v>Tiểu học</v>
      </c>
      <c r="D597" s="30" t="str">
        <f ca="1">IFERROR(__xludf.DUMMYFUNCTION("""COMPUTED_VALUE"""),"Tp. Thủ Đức")</f>
        <v>Tp. Thủ Đức</v>
      </c>
      <c r="E597" s="31">
        <f ca="1">IFERROR(__xludf.DUMMYFUNCTION("""COMPUTED_VALUE"""),24)</f>
        <v>24</v>
      </c>
      <c r="F597" s="32">
        <f ca="1">IFERROR(__xludf.DUMMYFUNCTION("""COMPUTED_VALUE"""),24)</f>
        <v>24</v>
      </c>
      <c r="G597" s="32"/>
      <c r="H597" s="32">
        <f ca="1">IFERROR(__xludf.DUMMYFUNCTION("""COMPUTED_VALUE"""),24)</f>
        <v>24</v>
      </c>
      <c r="I597" s="32"/>
      <c r="J597" s="32">
        <f ca="1">IFERROR(__xludf.DUMMYFUNCTION("""COMPUTED_VALUE"""),7)</f>
        <v>7</v>
      </c>
      <c r="K597" s="32"/>
      <c r="L597" s="32">
        <f ca="1">IFERROR(__xludf.DUMMYFUNCTION("""COMPUTED_VALUE"""),0)</f>
        <v>0</v>
      </c>
      <c r="M597" s="32"/>
      <c r="N597" s="31">
        <f ca="1">IFERROR(__xludf.DUMMYFUNCTION("""COMPUTED_VALUE"""),231)</f>
        <v>231</v>
      </c>
      <c r="O597" s="32">
        <f ca="1">IFERROR(__xludf.DUMMYFUNCTION("""COMPUTED_VALUE"""),11)</f>
        <v>11</v>
      </c>
      <c r="P597" s="32"/>
      <c r="Q597" s="32">
        <f ca="1">IFERROR(__xludf.DUMMYFUNCTION("""COMPUTED_VALUE"""),2)</f>
        <v>2</v>
      </c>
      <c r="R597" s="32"/>
      <c r="S597" s="31">
        <f ca="1">IFERROR(__xludf.DUMMYFUNCTION("""COMPUTED_VALUE"""),0)</f>
        <v>0</v>
      </c>
      <c r="T597" s="32">
        <f ca="1">IFERROR(__xludf.DUMMYFUNCTION("""COMPUTED_VALUE"""),0)</f>
        <v>0</v>
      </c>
      <c r="U597" s="32"/>
      <c r="V597" s="32">
        <f ca="1">IFERROR(__xludf.DUMMYFUNCTION("""COMPUTED_VALUE"""),0)</f>
        <v>0</v>
      </c>
      <c r="W597" s="32"/>
      <c r="X597" s="32">
        <f ca="1">IFERROR(__xludf.DUMMYFUNCTION("""COMPUTED_VALUE"""),0)</f>
        <v>0</v>
      </c>
      <c r="Y597" s="32"/>
      <c r="Z597" s="2"/>
      <c r="AA597" s="2"/>
      <c r="AB597" s="2"/>
      <c r="AC597" s="2"/>
      <c r="AD597" s="2"/>
      <c r="AE597" s="2"/>
    </row>
    <row r="598" spans="1:31" ht="12.75" x14ac:dyDescent="0.2">
      <c r="A598" s="105">
        <f ca="1">IFERROR(__xludf.DUMMYFUNCTION("""COMPUTED_VALUE"""),60)</f>
        <v>60</v>
      </c>
      <c r="B598" s="88"/>
      <c r="C598" s="33" t="str">
        <f ca="1">IFERROR(__xludf.DUMMYFUNCTION("""COMPUTED_VALUE"""),"Tiểu học")</f>
        <v>Tiểu học</v>
      </c>
      <c r="D598" s="30" t="str">
        <f ca="1">IFERROR(__xludf.DUMMYFUNCTION("""COMPUTED_VALUE"""),"Tp. Thủ Đức")</f>
        <v>Tp. Thủ Đức</v>
      </c>
      <c r="E598" s="31">
        <f ca="1">IFERROR(__xludf.DUMMYFUNCTION("""COMPUTED_VALUE"""),29)</f>
        <v>29</v>
      </c>
      <c r="F598" s="32">
        <f ca="1">IFERROR(__xludf.DUMMYFUNCTION("""COMPUTED_VALUE"""),29)</f>
        <v>29</v>
      </c>
      <c r="G598" s="32"/>
      <c r="H598" s="32">
        <f ca="1">IFERROR(__xludf.DUMMYFUNCTION("""COMPUTED_VALUE"""),29)</f>
        <v>29</v>
      </c>
      <c r="I598" s="32"/>
      <c r="J598" s="32">
        <f ca="1">IFERROR(__xludf.DUMMYFUNCTION("""COMPUTED_VALUE"""),29)</f>
        <v>29</v>
      </c>
      <c r="K598" s="32"/>
      <c r="L598" s="32">
        <f ca="1">IFERROR(__xludf.DUMMYFUNCTION("""COMPUTED_VALUE"""),1)</f>
        <v>1</v>
      </c>
      <c r="M598" s="32"/>
      <c r="N598" s="31">
        <f ca="1">IFERROR(__xludf.DUMMYFUNCTION("""COMPUTED_VALUE"""),192)</f>
        <v>192</v>
      </c>
      <c r="O598" s="32">
        <f ca="1">IFERROR(__xludf.DUMMYFUNCTION("""COMPUTED_VALUE"""),14)</f>
        <v>14</v>
      </c>
      <c r="P598" s="32"/>
      <c r="Q598" s="32">
        <f ca="1">IFERROR(__xludf.DUMMYFUNCTION("""COMPUTED_VALUE"""),5)</f>
        <v>5</v>
      </c>
      <c r="R598" s="32"/>
      <c r="S598" s="31">
        <f ca="1">IFERROR(__xludf.DUMMYFUNCTION("""COMPUTED_VALUE"""),0)</f>
        <v>0</v>
      </c>
      <c r="T598" s="32">
        <f ca="1">IFERROR(__xludf.DUMMYFUNCTION("""COMPUTED_VALUE"""),0)</f>
        <v>0</v>
      </c>
      <c r="U598" s="32"/>
      <c r="V598" s="32">
        <f ca="1">IFERROR(__xludf.DUMMYFUNCTION("""COMPUTED_VALUE"""),0)</f>
        <v>0</v>
      </c>
      <c r="W598" s="32"/>
      <c r="X598" s="32">
        <f ca="1">IFERROR(__xludf.DUMMYFUNCTION("""COMPUTED_VALUE"""),0)</f>
        <v>0</v>
      </c>
      <c r="Y598" s="32"/>
      <c r="Z598" s="2"/>
      <c r="AA598" s="2"/>
      <c r="AB598" s="2"/>
      <c r="AC598" s="2"/>
      <c r="AD598" s="2"/>
      <c r="AE598" s="2"/>
    </row>
    <row r="599" spans="1:31" ht="12.75" x14ac:dyDescent="0.2">
      <c r="A599" s="28">
        <f ca="1">IFERROR(__xludf.DUMMYFUNCTION("""COMPUTED_VALUE"""),61)</f>
        <v>61</v>
      </c>
      <c r="B599" s="29" t="str">
        <f ca="1">IFERROR(__xludf.DUMMYFUNCTION("""COMPUTED_VALUE"""),"TH E-school")</f>
        <v>TH E-school</v>
      </c>
      <c r="C599" s="33" t="str">
        <f ca="1">IFERROR(__xludf.DUMMYFUNCTION("""COMPUTED_VALUE"""),"Tiểu học")</f>
        <v>Tiểu học</v>
      </c>
      <c r="D599" s="30" t="str">
        <f ca="1">IFERROR(__xludf.DUMMYFUNCTION("""COMPUTED_VALUE"""),"Tp. Thủ Đức")</f>
        <v>Tp. Thủ Đức</v>
      </c>
      <c r="E599" s="31">
        <f ca="1">IFERROR(__xludf.DUMMYFUNCTION("""COMPUTED_VALUE"""),31)</f>
        <v>31</v>
      </c>
      <c r="F599" s="32">
        <f ca="1">IFERROR(__xludf.DUMMYFUNCTION("""COMPUTED_VALUE"""),31)</f>
        <v>31</v>
      </c>
      <c r="G599" s="32"/>
      <c r="H599" s="32">
        <f ca="1">IFERROR(__xludf.DUMMYFUNCTION("""COMPUTED_VALUE"""),31)</f>
        <v>31</v>
      </c>
      <c r="I599" s="32"/>
      <c r="J599" s="32">
        <f ca="1">IFERROR(__xludf.DUMMYFUNCTION("""COMPUTED_VALUE"""),18)</f>
        <v>18</v>
      </c>
      <c r="K599" s="32"/>
      <c r="L599" s="32">
        <f ca="1">IFERROR(__xludf.DUMMYFUNCTION("""COMPUTED_VALUE"""),0)</f>
        <v>0</v>
      </c>
      <c r="M599" s="32"/>
      <c r="N599" s="31">
        <f ca="1">IFERROR(__xludf.DUMMYFUNCTION("""COMPUTED_VALUE"""),102)</f>
        <v>102</v>
      </c>
      <c r="O599" s="32">
        <f ca="1">IFERROR(__xludf.DUMMYFUNCTION("""COMPUTED_VALUE"""),5)</f>
        <v>5</v>
      </c>
      <c r="P599" s="32"/>
      <c r="Q599" s="32">
        <f ca="1">IFERROR(__xludf.DUMMYFUNCTION("""COMPUTED_VALUE"""),3)</f>
        <v>3</v>
      </c>
      <c r="R599" s="32"/>
      <c r="S599" s="31">
        <f ca="1">IFERROR(__xludf.DUMMYFUNCTION("""COMPUTED_VALUE"""),0)</f>
        <v>0</v>
      </c>
      <c r="T599" s="32">
        <f ca="1">IFERROR(__xludf.DUMMYFUNCTION("""COMPUTED_VALUE"""),0)</f>
        <v>0</v>
      </c>
      <c r="U599" s="32"/>
      <c r="V599" s="32">
        <f ca="1">IFERROR(__xludf.DUMMYFUNCTION("""COMPUTED_VALUE"""),0)</f>
        <v>0</v>
      </c>
      <c r="W599" s="32"/>
      <c r="X599" s="32">
        <f ca="1">IFERROR(__xludf.DUMMYFUNCTION("""COMPUTED_VALUE"""),0)</f>
        <v>0</v>
      </c>
      <c r="Y599" s="32"/>
      <c r="Z599" s="2"/>
      <c r="AA599" s="2"/>
      <c r="AB599" s="2"/>
      <c r="AC599" s="2"/>
      <c r="AD599" s="2"/>
      <c r="AE599" s="2"/>
    </row>
    <row r="600" spans="1:31" ht="12.75" x14ac:dyDescent="0.2">
      <c r="A600" s="44" t="str">
        <f ca="1">IFERROR(__xludf.DUMMYFUNCTION("""COMPUTED_VALUE"""),"BẬC TRUNG HỌC CƠ SỞ")</f>
        <v>BẬC TRUNG HỌC CƠ SỞ</v>
      </c>
      <c r="B600" s="35"/>
      <c r="C600" s="35"/>
      <c r="D600" s="36"/>
      <c r="E600" s="37"/>
      <c r="F600" s="38"/>
      <c r="G600" s="38"/>
      <c r="H600" s="38"/>
      <c r="I600" s="38"/>
      <c r="J600" s="38"/>
      <c r="K600" s="38"/>
      <c r="L600" s="38"/>
      <c r="M600" s="38"/>
      <c r="N600" s="37"/>
      <c r="O600" s="38"/>
      <c r="P600" s="38"/>
      <c r="Q600" s="38"/>
      <c r="R600" s="38"/>
      <c r="S600" s="37"/>
      <c r="T600" s="38"/>
      <c r="U600" s="38"/>
      <c r="V600" s="38"/>
      <c r="W600" s="38"/>
      <c r="X600" s="38"/>
      <c r="Y600" s="38"/>
      <c r="Z600" s="2"/>
      <c r="AA600" s="2"/>
      <c r="AB600" s="2"/>
      <c r="AC600" s="2"/>
      <c r="AD600" s="2"/>
      <c r="AE600" s="2"/>
    </row>
    <row r="601" spans="1:31" ht="12.75" x14ac:dyDescent="0.2">
      <c r="A601" s="28">
        <f ca="1">IFERROR(__xludf.DUMMYFUNCTION("""COMPUTED_VALUE"""),1)</f>
        <v>1</v>
      </c>
      <c r="B601" s="29" t="str">
        <f ca="1">IFERROR(__xludf.DUMMYFUNCTION("""COMPUTED_VALUE"""),"THCS Lê Quý Đôn")</f>
        <v>THCS Lê Quý Đôn</v>
      </c>
      <c r="C601" s="33" t="str">
        <f ca="1">IFERROR(__xludf.DUMMYFUNCTION("""COMPUTED_VALUE"""),"THCS")</f>
        <v>THCS</v>
      </c>
      <c r="D601" s="30" t="str">
        <f ca="1">IFERROR(__xludf.DUMMYFUNCTION("""COMPUTED_VALUE"""),"Tp. Thủ Đức")</f>
        <v>Tp. Thủ Đức</v>
      </c>
      <c r="E601" s="31">
        <f ca="1">IFERROR(__xludf.DUMMYFUNCTION("""COMPUTED_VALUE"""),97)</f>
        <v>97</v>
      </c>
      <c r="F601" s="32">
        <f ca="1">IFERROR(__xludf.DUMMYFUNCTION("""COMPUTED_VALUE"""),97)</f>
        <v>97</v>
      </c>
      <c r="G601" s="32"/>
      <c r="H601" s="32">
        <f ca="1">IFERROR(__xludf.DUMMYFUNCTION("""COMPUTED_VALUE"""),97)</f>
        <v>97</v>
      </c>
      <c r="I601" s="32"/>
      <c r="J601" s="32">
        <f ca="1">IFERROR(__xludf.DUMMYFUNCTION("""COMPUTED_VALUE"""),85)</f>
        <v>85</v>
      </c>
      <c r="K601" s="32"/>
      <c r="L601" s="32">
        <f ca="1">IFERROR(__xludf.DUMMYFUNCTION("""COMPUTED_VALUE"""),32)</f>
        <v>32</v>
      </c>
      <c r="M601" s="32"/>
      <c r="N601" s="31">
        <f ca="1">IFERROR(__xludf.DUMMYFUNCTION("""COMPUTED_VALUE"""),640)</f>
        <v>640</v>
      </c>
      <c r="O601" s="32">
        <f ca="1">IFERROR(__xludf.DUMMYFUNCTION("""COMPUTED_VALUE"""),486)</f>
        <v>486</v>
      </c>
      <c r="P601" s="32"/>
      <c r="Q601" s="32">
        <f ca="1">IFERROR(__xludf.DUMMYFUNCTION("""COMPUTED_VALUE"""),375)</f>
        <v>375</v>
      </c>
      <c r="R601" s="32"/>
      <c r="S601" s="31">
        <f ca="1">IFERROR(__xludf.DUMMYFUNCTION("""COMPUTED_VALUE"""),1922)</f>
        <v>1922</v>
      </c>
      <c r="T601" s="32">
        <f ca="1">IFERROR(__xludf.DUMMYFUNCTION("""COMPUTED_VALUE"""),1922)</f>
        <v>1922</v>
      </c>
      <c r="U601" s="32"/>
      <c r="V601" s="32">
        <f ca="1">IFERROR(__xludf.DUMMYFUNCTION("""COMPUTED_VALUE"""),1897)</f>
        <v>1897</v>
      </c>
      <c r="W601" s="32"/>
      <c r="X601" s="32">
        <f ca="1">IFERROR(__xludf.DUMMYFUNCTION("""COMPUTED_VALUE"""),921)</f>
        <v>921</v>
      </c>
      <c r="Y601" s="32"/>
      <c r="Z601" s="2"/>
      <c r="AA601" s="2"/>
      <c r="AB601" s="2"/>
      <c r="AC601" s="2"/>
      <c r="AD601" s="2"/>
      <c r="AE601" s="2"/>
    </row>
    <row r="602" spans="1:31" ht="12.75" x14ac:dyDescent="0.2">
      <c r="A602" s="28">
        <f ca="1">IFERROR(__xludf.DUMMYFUNCTION("""COMPUTED_VALUE"""),2)</f>
        <v>2</v>
      </c>
      <c r="B602" s="29" t="str">
        <f ca="1">IFERROR(__xludf.DUMMYFUNCTION("""COMPUTED_VALUE"""),"THCS Hiệp Bình")</f>
        <v>THCS Hiệp Bình</v>
      </c>
      <c r="C602" s="33" t="str">
        <f ca="1">IFERROR(__xludf.DUMMYFUNCTION("""COMPUTED_VALUE"""),"THCS")</f>
        <v>THCS</v>
      </c>
      <c r="D602" s="30" t="str">
        <f ca="1">IFERROR(__xludf.DUMMYFUNCTION("""COMPUTED_VALUE"""),"Tp. Thủ Đức")</f>
        <v>Tp. Thủ Đức</v>
      </c>
      <c r="E602" s="31">
        <f ca="1">IFERROR(__xludf.DUMMYFUNCTION("""COMPUTED_VALUE"""),90)</f>
        <v>90</v>
      </c>
      <c r="F602" s="32">
        <f ca="1">IFERROR(__xludf.DUMMYFUNCTION("""COMPUTED_VALUE"""),90)</f>
        <v>90</v>
      </c>
      <c r="G602" s="32"/>
      <c r="H602" s="32">
        <f ca="1">IFERROR(__xludf.DUMMYFUNCTION("""COMPUTED_VALUE"""),90)</f>
        <v>90</v>
      </c>
      <c r="I602" s="32"/>
      <c r="J602" s="32">
        <f ca="1">IFERROR(__xludf.DUMMYFUNCTION("""COMPUTED_VALUE"""),79)</f>
        <v>79</v>
      </c>
      <c r="K602" s="32"/>
      <c r="L602" s="32">
        <f ca="1">IFERROR(__xludf.DUMMYFUNCTION("""COMPUTED_VALUE"""),20)</f>
        <v>20</v>
      </c>
      <c r="M602" s="32"/>
      <c r="N602" s="31">
        <f ca="1">IFERROR(__xludf.DUMMYFUNCTION("""COMPUTED_VALUE"""),161)</f>
        <v>161</v>
      </c>
      <c r="O602" s="32">
        <f ca="1">IFERROR(__xludf.DUMMYFUNCTION("""COMPUTED_VALUE"""),73)</f>
        <v>73</v>
      </c>
      <c r="P602" s="32"/>
      <c r="Q602" s="32">
        <f ca="1">IFERROR(__xludf.DUMMYFUNCTION("""COMPUTED_VALUE"""),33)</f>
        <v>33</v>
      </c>
      <c r="R602" s="32"/>
      <c r="S602" s="31">
        <f ca="1">IFERROR(__xludf.DUMMYFUNCTION("""COMPUTED_VALUE"""),1926)</f>
        <v>1926</v>
      </c>
      <c r="T602" s="32">
        <f ca="1">IFERROR(__xludf.DUMMYFUNCTION("""COMPUTED_VALUE"""),1814)</f>
        <v>1814</v>
      </c>
      <c r="U602" s="32"/>
      <c r="V602" s="32">
        <f ca="1">IFERROR(__xludf.DUMMYFUNCTION("""COMPUTED_VALUE"""),1658)</f>
        <v>1658</v>
      </c>
      <c r="W602" s="32"/>
      <c r="X602" s="32">
        <f ca="1">IFERROR(__xludf.DUMMYFUNCTION("""COMPUTED_VALUE"""),372)</f>
        <v>372</v>
      </c>
      <c r="Y602" s="32"/>
      <c r="Z602" s="2"/>
      <c r="AA602" s="2"/>
      <c r="AB602" s="2"/>
      <c r="AC602" s="2"/>
      <c r="AD602" s="2"/>
      <c r="AE602" s="2"/>
    </row>
    <row r="603" spans="1:31" ht="12.75" x14ac:dyDescent="0.2">
      <c r="A603" s="28">
        <f ca="1">IFERROR(__xludf.DUMMYFUNCTION("""COMPUTED_VALUE"""),3)</f>
        <v>3</v>
      </c>
      <c r="B603" s="29" t="str">
        <f ca="1">IFERROR(__xludf.DUMMYFUNCTION("""COMPUTED_VALUE"""),"THCS Giồng Ông Tố")</f>
        <v>THCS Giồng Ông Tố</v>
      </c>
      <c r="C603" s="33" t="str">
        <f ca="1">IFERROR(__xludf.DUMMYFUNCTION("""COMPUTED_VALUE"""),"THCS")</f>
        <v>THCS</v>
      </c>
      <c r="D603" s="30" t="str">
        <f ca="1">IFERROR(__xludf.DUMMYFUNCTION("""COMPUTED_VALUE"""),"Tp. Thủ Đức")</f>
        <v>Tp. Thủ Đức</v>
      </c>
      <c r="E603" s="31">
        <f ca="1">IFERROR(__xludf.DUMMYFUNCTION("""COMPUTED_VALUE"""),75)</f>
        <v>75</v>
      </c>
      <c r="F603" s="32">
        <f ca="1">IFERROR(__xludf.DUMMYFUNCTION("""COMPUTED_VALUE"""),75)</f>
        <v>75</v>
      </c>
      <c r="G603" s="32"/>
      <c r="H603" s="32">
        <f ca="1">IFERROR(__xludf.DUMMYFUNCTION("""COMPUTED_VALUE"""),75)</f>
        <v>75</v>
      </c>
      <c r="I603" s="32"/>
      <c r="J603" s="32">
        <f ca="1">IFERROR(__xludf.DUMMYFUNCTION("""COMPUTED_VALUE"""),75)</f>
        <v>75</v>
      </c>
      <c r="K603" s="32"/>
      <c r="L603" s="32">
        <f ca="1">IFERROR(__xludf.DUMMYFUNCTION("""COMPUTED_VALUE"""),5)</f>
        <v>5</v>
      </c>
      <c r="M603" s="32"/>
      <c r="N603" s="31"/>
      <c r="O603" s="32">
        <f ca="1">IFERROR(__xludf.DUMMYFUNCTION("""COMPUTED_VALUE"""),90)</f>
        <v>90</v>
      </c>
      <c r="P603" s="32"/>
      <c r="Q603" s="32">
        <f ca="1">IFERROR(__xludf.DUMMYFUNCTION("""COMPUTED_VALUE"""),70)</f>
        <v>70</v>
      </c>
      <c r="R603" s="32"/>
      <c r="S603" s="31">
        <f ca="1">IFERROR(__xludf.DUMMYFUNCTION("""COMPUTED_VALUE"""),980)</f>
        <v>980</v>
      </c>
      <c r="T603" s="32">
        <f ca="1">IFERROR(__xludf.DUMMYFUNCTION("""COMPUTED_VALUE"""),880)</f>
        <v>880</v>
      </c>
      <c r="U603" s="32"/>
      <c r="V603" s="32">
        <f ca="1">IFERROR(__xludf.DUMMYFUNCTION("""COMPUTED_VALUE"""),776)</f>
        <v>776</v>
      </c>
      <c r="W603" s="32"/>
      <c r="X603" s="32">
        <f ca="1">IFERROR(__xludf.DUMMYFUNCTION("""COMPUTED_VALUE"""),100)</f>
        <v>100</v>
      </c>
      <c r="Y603" s="32"/>
      <c r="Z603" s="2"/>
      <c r="AA603" s="2"/>
      <c r="AB603" s="2"/>
      <c r="AC603" s="2"/>
      <c r="AD603" s="2"/>
      <c r="AE603" s="2"/>
    </row>
    <row r="604" spans="1:31" ht="12.75" x14ac:dyDescent="0.2">
      <c r="A604" s="28">
        <f ca="1">IFERROR(__xludf.DUMMYFUNCTION("""COMPUTED_VALUE"""),4)</f>
        <v>4</v>
      </c>
      <c r="B604" s="29" t="str">
        <f ca="1">IFERROR(__xludf.DUMMYFUNCTION("""COMPUTED_VALUE"""),"THCS Thái Văn Lung")</f>
        <v>THCS Thái Văn Lung</v>
      </c>
      <c r="C604" s="33" t="str">
        <f ca="1">IFERROR(__xludf.DUMMYFUNCTION("""COMPUTED_VALUE"""),"THCS")</f>
        <v>THCS</v>
      </c>
      <c r="D604" s="30" t="str">
        <f ca="1">IFERROR(__xludf.DUMMYFUNCTION("""COMPUTED_VALUE"""),"Tp. Thủ Đức")</f>
        <v>Tp. Thủ Đức</v>
      </c>
      <c r="E604" s="31">
        <f ca="1">IFERROR(__xludf.DUMMYFUNCTION("""COMPUTED_VALUE"""),80)</f>
        <v>80</v>
      </c>
      <c r="F604" s="32">
        <f ca="1">IFERROR(__xludf.DUMMYFUNCTION("""COMPUTED_VALUE"""),80)</f>
        <v>80</v>
      </c>
      <c r="G604" s="32"/>
      <c r="H604" s="32">
        <f ca="1">IFERROR(__xludf.DUMMYFUNCTION("""COMPUTED_VALUE"""),80)</f>
        <v>80</v>
      </c>
      <c r="I604" s="32"/>
      <c r="J604" s="32">
        <f ca="1">IFERROR(__xludf.DUMMYFUNCTION("""COMPUTED_VALUE"""),69)</f>
        <v>69</v>
      </c>
      <c r="K604" s="32"/>
      <c r="L604" s="32">
        <f ca="1">IFERROR(__xludf.DUMMYFUNCTION("""COMPUTED_VALUE"""),19)</f>
        <v>19</v>
      </c>
      <c r="M604" s="32"/>
      <c r="N604" s="31">
        <f ca="1">IFERROR(__xludf.DUMMYFUNCTION("""COMPUTED_VALUE"""),598)</f>
        <v>598</v>
      </c>
      <c r="O604" s="32">
        <f ca="1">IFERROR(__xludf.DUMMYFUNCTION("""COMPUTED_VALUE"""),293)</f>
        <v>293</v>
      </c>
      <c r="P604" s="32"/>
      <c r="Q604" s="32">
        <f ca="1">IFERROR(__xludf.DUMMYFUNCTION("""COMPUTED_VALUE"""),161)</f>
        <v>161</v>
      </c>
      <c r="R604" s="32"/>
      <c r="S604" s="31">
        <f ca="1">IFERROR(__xludf.DUMMYFUNCTION("""COMPUTED_VALUE"""),1619)</f>
        <v>1619</v>
      </c>
      <c r="T604" s="32">
        <f ca="1">IFERROR(__xludf.DUMMYFUNCTION("""COMPUTED_VALUE"""),1403)</f>
        <v>1403</v>
      </c>
      <c r="U604" s="32"/>
      <c r="V604" s="32">
        <f ca="1">IFERROR(__xludf.DUMMYFUNCTION("""COMPUTED_VALUE"""),1250)</f>
        <v>1250</v>
      </c>
      <c r="W604" s="32"/>
      <c r="X604" s="32">
        <f ca="1">IFERROR(__xludf.DUMMYFUNCTION("""COMPUTED_VALUE"""),242)</f>
        <v>242</v>
      </c>
      <c r="Y604" s="32"/>
      <c r="Z604" s="2"/>
      <c r="AA604" s="2"/>
      <c r="AB604" s="2"/>
      <c r="AC604" s="2"/>
      <c r="AD604" s="2"/>
      <c r="AE604" s="2"/>
    </row>
    <row r="605" spans="1:31" ht="12.75" x14ac:dyDescent="0.2">
      <c r="A605" s="28">
        <f ca="1">IFERROR(__xludf.DUMMYFUNCTION("""COMPUTED_VALUE"""),5)</f>
        <v>5</v>
      </c>
      <c r="B605" s="29" t="str">
        <f ca="1">IFERROR(__xludf.DUMMYFUNCTION("""COMPUTED_VALUE"""),"THCS Xuân Trường")</f>
        <v>THCS Xuân Trường</v>
      </c>
      <c r="C605" s="33" t="str">
        <f ca="1">IFERROR(__xludf.DUMMYFUNCTION("""COMPUTED_VALUE"""),"THCS")</f>
        <v>THCS</v>
      </c>
      <c r="D605" s="30" t="str">
        <f ca="1">IFERROR(__xludf.DUMMYFUNCTION("""COMPUTED_VALUE"""),"Tp. Thủ Đức")</f>
        <v>Tp. Thủ Đức</v>
      </c>
      <c r="E605" s="31">
        <f ca="1">IFERROR(__xludf.DUMMYFUNCTION("""COMPUTED_VALUE"""),59)</f>
        <v>59</v>
      </c>
      <c r="F605" s="32">
        <f ca="1">IFERROR(__xludf.DUMMYFUNCTION("""COMPUTED_VALUE"""),0)</f>
        <v>0</v>
      </c>
      <c r="G605" s="32"/>
      <c r="H605" s="32">
        <f ca="1">IFERROR(__xludf.DUMMYFUNCTION("""COMPUTED_VALUE"""),8)</f>
        <v>8</v>
      </c>
      <c r="I605" s="32"/>
      <c r="J605" s="32">
        <f ca="1">IFERROR(__xludf.DUMMYFUNCTION("""COMPUTED_VALUE"""),43)</f>
        <v>43</v>
      </c>
      <c r="K605" s="32"/>
      <c r="L605" s="32">
        <f ca="1">IFERROR(__xludf.DUMMYFUNCTION("""COMPUTED_VALUE"""),8)</f>
        <v>8</v>
      </c>
      <c r="M605" s="32"/>
      <c r="N605" s="31">
        <f ca="1">IFERROR(__xludf.DUMMYFUNCTION("""COMPUTED_VALUE"""),387)</f>
        <v>387</v>
      </c>
      <c r="O605" s="32">
        <f ca="1">IFERROR(__xludf.DUMMYFUNCTION("""COMPUTED_VALUE"""),157)</f>
        <v>157</v>
      </c>
      <c r="P605" s="32"/>
      <c r="Q605" s="32">
        <f ca="1">IFERROR(__xludf.DUMMYFUNCTION("""COMPUTED_VALUE"""),117)</f>
        <v>117</v>
      </c>
      <c r="R605" s="32"/>
      <c r="S605" s="31">
        <f ca="1">IFERROR(__xludf.DUMMYFUNCTION("""COMPUTED_VALUE"""),938)</f>
        <v>938</v>
      </c>
      <c r="T605" s="32">
        <f ca="1">IFERROR(__xludf.DUMMYFUNCTION("""COMPUTED_VALUE"""),125)</f>
        <v>125</v>
      </c>
      <c r="U605" s="32"/>
      <c r="V605" s="32">
        <f ca="1">IFERROR(__xludf.DUMMYFUNCTION("""COMPUTED_VALUE"""),515)</f>
        <v>515</v>
      </c>
      <c r="W605" s="32"/>
      <c r="X605" s="32">
        <f ca="1">IFERROR(__xludf.DUMMYFUNCTION("""COMPUTED_VALUE"""),194)</f>
        <v>194</v>
      </c>
      <c r="Y605" s="32"/>
      <c r="Z605" s="2"/>
      <c r="AA605" s="2"/>
      <c r="AB605" s="2"/>
      <c r="AC605" s="2"/>
      <c r="AD605" s="2"/>
      <c r="AE605" s="2"/>
    </row>
    <row r="606" spans="1:31" ht="12.75" x14ac:dyDescent="0.2">
      <c r="A606" s="28">
        <f ca="1">IFERROR(__xludf.DUMMYFUNCTION("""COMPUTED_VALUE"""),6)</f>
        <v>6</v>
      </c>
      <c r="B606" s="29" t="str">
        <f ca="1">IFERROR(__xludf.DUMMYFUNCTION("""COMPUTED_VALUE"""),"THCS Linh Đông")</f>
        <v>THCS Linh Đông</v>
      </c>
      <c r="C606" s="33" t="str">
        <f ca="1">IFERROR(__xludf.DUMMYFUNCTION("""COMPUTED_VALUE"""),"THCS")</f>
        <v>THCS</v>
      </c>
      <c r="D606" s="30" t="str">
        <f ca="1">IFERROR(__xludf.DUMMYFUNCTION("""COMPUTED_VALUE"""),"Tp. Thủ Đức")</f>
        <v>Tp. Thủ Đức</v>
      </c>
      <c r="E606" s="31">
        <f ca="1">IFERROR(__xludf.DUMMYFUNCTION("""COMPUTED_VALUE"""),63)</f>
        <v>63</v>
      </c>
      <c r="F606" s="32">
        <f ca="1">IFERROR(__xludf.DUMMYFUNCTION("""COMPUTED_VALUE"""),63)</f>
        <v>63</v>
      </c>
      <c r="G606" s="32"/>
      <c r="H606" s="32">
        <f ca="1">IFERROR(__xludf.DUMMYFUNCTION("""COMPUTED_VALUE"""),63)</f>
        <v>63</v>
      </c>
      <c r="I606" s="32"/>
      <c r="J606" s="32">
        <f ca="1">IFERROR(__xludf.DUMMYFUNCTION("""COMPUTED_VALUE"""),57)</f>
        <v>57</v>
      </c>
      <c r="K606" s="32"/>
      <c r="L606" s="32">
        <f ca="1">IFERROR(__xludf.DUMMYFUNCTION("""COMPUTED_VALUE"""),12)</f>
        <v>12</v>
      </c>
      <c r="M606" s="32"/>
      <c r="N606" s="31">
        <f ca="1">IFERROR(__xludf.DUMMYFUNCTION("""COMPUTED_VALUE"""),220)</f>
        <v>220</v>
      </c>
      <c r="O606" s="32">
        <f ca="1">IFERROR(__xludf.DUMMYFUNCTION("""COMPUTED_VALUE"""),211)</f>
        <v>211</v>
      </c>
      <c r="P606" s="32"/>
      <c r="Q606" s="32">
        <f ca="1">IFERROR(__xludf.DUMMYFUNCTION("""COMPUTED_VALUE"""),13)</f>
        <v>13</v>
      </c>
      <c r="R606" s="32"/>
      <c r="S606" s="31">
        <f ca="1">IFERROR(__xludf.DUMMYFUNCTION("""COMPUTED_VALUE"""),1441)</f>
        <v>1441</v>
      </c>
      <c r="T606" s="32">
        <f ca="1">IFERROR(__xludf.DUMMYFUNCTION("""COMPUTED_VALUE"""),1224)</f>
        <v>1224</v>
      </c>
      <c r="U606" s="32"/>
      <c r="V606" s="32">
        <f ca="1">IFERROR(__xludf.DUMMYFUNCTION("""COMPUTED_VALUE"""),1149)</f>
        <v>1149</v>
      </c>
      <c r="W606" s="32"/>
      <c r="X606" s="32">
        <f ca="1">IFERROR(__xludf.DUMMYFUNCTION("""COMPUTED_VALUE"""),423)</f>
        <v>423</v>
      </c>
      <c r="Y606" s="32"/>
      <c r="Z606" s="2"/>
      <c r="AA606" s="2"/>
      <c r="AB606" s="2"/>
      <c r="AC606" s="2"/>
      <c r="AD606" s="2"/>
      <c r="AE606" s="2"/>
    </row>
    <row r="607" spans="1:31" ht="12.75" x14ac:dyDescent="0.2">
      <c r="A607" s="28">
        <f ca="1">IFERROR(__xludf.DUMMYFUNCTION("""COMPUTED_VALUE"""),7)</f>
        <v>7</v>
      </c>
      <c r="B607" s="29" t="str">
        <f ca="1">IFERROR(__xludf.DUMMYFUNCTION("""COMPUTED_VALUE"""),"THCS Bình Chiểu")</f>
        <v>THCS Bình Chiểu</v>
      </c>
      <c r="C607" s="33" t="str">
        <f ca="1">IFERROR(__xludf.DUMMYFUNCTION("""COMPUTED_VALUE"""),"THCS")</f>
        <v>THCS</v>
      </c>
      <c r="D607" s="30" t="str">
        <f ca="1">IFERROR(__xludf.DUMMYFUNCTION("""COMPUTED_VALUE"""),"Tp. Thủ Đức")</f>
        <v>Tp. Thủ Đức</v>
      </c>
      <c r="E607" s="31">
        <f ca="1">IFERROR(__xludf.DUMMYFUNCTION("""COMPUTED_VALUE"""),87)</f>
        <v>87</v>
      </c>
      <c r="F607" s="32">
        <f ca="1">IFERROR(__xludf.DUMMYFUNCTION("""COMPUTED_VALUE"""),87)</f>
        <v>87</v>
      </c>
      <c r="G607" s="32"/>
      <c r="H607" s="32">
        <f ca="1">IFERROR(__xludf.DUMMYFUNCTION("""COMPUTED_VALUE"""),87)</f>
        <v>87</v>
      </c>
      <c r="I607" s="32"/>
      <c r="J607" s="32">
        <f ca="1">IFERROR(__xludf.DUMMYFUNCTION("""COMPUTED_VALUE"""),87)</f>
        <v>87</v>
      </c>
      <c r="K607" s="32"/>
      <c r="L607" s="32">
        <f ca="1">IFERROR(__xludf.DUMMYFUNCTION("""COMPUTED_VALUE"""),60)</f>
        <v>60</v>
      </c>
      <c r="M607" s="32"/>
      <c r="N607" s="31">
        <f ca="1">IFERROR(__xludf.DUMMYFUNCTION("""COMPUTED_VALUE"""),394)</f>
        <v>394</v>
      </c>
      <c r="O607" s="32">
        <f ca="1">IFERROR(__xludf.DUMMYFUNCTION("""COMPUTED_VALUE"""),260)</f>
        <v>260</v>
      </c>
      <c r="P607" s="32"/>
      <c r="Q607" s="32">
        <f ca="1">IFERROR(__xludf.DUMMYFUNCTION("""COMPUTED_VALUE"""),200)</f>
        <v>200</v>
      </c>
      <c r="R607" s="32"/>
      <c r="S607" s="31">
        <f ca="1">IFERROR(__xludf.DUMMYFUNCTION("""COMPUTED_VALUE"""),1659)</f>
        <v>1659</v>
      </c>
      <c r="T607" s="32">
        <f ca="1">IFERROR(__xludf.DUMMYFUNCTION("""COMPUTED_VALUE"""),1649)</f>
        <v>1649</v>
      </c>
      <c r="U607" s="32"/>
      <c r="V607" s="32">
        <f ca="1">IFERROR(__xludf.DUMMYFUNCTION("""COMPUTED_VALUE"""),1490)</f>
        <v>1490</v>
      </c>
      <c r="W607" s="32"/>
      <c r="X607" s="32">
        <f ca="1">IFERROR(__xludf.DUMMYFUNCTION("""COMPUTED_VALUE"""),500)</f>
        <v>500</v>
      </c>
      <c r="Y607" s="32"/>
      <c r="Z607" s="2"/>
      <c r="AA607" s="2"/>
      <c r="AB607" s="2"/>
      <c r="AC607" s="2"/>
      <c r="AD607" s="2"/>
      <c r="AE607" s="2"/>
    </row>
    <row r="608" spans="1:31" ht="12.75" x14ac:dyDescent="0.2">
      <c r="A608" s="28">
        <f ca="1">IFERROR(__xludf.DUMMYFUNCTION("""COMPUTED_VALUE"""),8)</f>
        <v>8</v>
      </c>
      <c r="B608" s="29" t="str">
        <f ca="1">IFERROR(__xludf.DUMMYFUNCTION("""COMPUTED_VALUE"""),"THCS Ngô Chí Quốc")</f>
        <v>THCS Ngô Chí Quốc</v>
      </c>
      <c r="C608" s="33" t="str">
        <f ca="1">IFERROR(__xludf.DUMMYFUNCTION("""COMPUTED_VALUE"""),"THCS")</f>
        <v>THCS</v>
      </c>
      <c r="D608" s="30" t="str">
        <f ca="1">IFERROR(__xludf.DUMMYFUNCTION("""COMPUTED_VALUE"""),"Tp. Thủ Đức")</f>
        <v>Tp. Thủ Đức</v>
      </c>
      <c r="E608" s="31">
        <f ca="1">IFERROR(__xludf.DUMMYFUNCTION("""COMPUTED_VALUE"""),95)</f>
        <v>95</v>
      </c>
      <c r="F608" s="32">
        <f ca="1">IFERROR(__xludf.DUMMYFUNCTION("""COMPUTED_VALUE"""),95)</f>
        <v>95</v>
      </c>
      <c r="G608" s="32"/>
      <c r="H608" s="32">
        <f ca="1">IFERROR(__xludf.DUMMYFUNCTION("""COMPUTED_VALUE"""),95)</f>
        <v>95</v>
      </c>
      <c r="I608" s="32"/>
      <c r="J608" s="32">
        <f ca="1">IFERROR(__xludf.DUMMYFUNCTION("""COMPUTED_VALUE"""),68)</f>
        <v>68</v>
      </c>
      <c r="K608" s="32"/>
      <c r="L608" s="32">
        <f ca="1">IFERROR(__xludf.DUMMYFUNCTION("""COMPUTED_VALUE"""),17)</f>
        <v>17</v>
      </c>
      <c r="M608" s="32"/>
      <c r="N608" s="31">
        <f ca="1">IFERROR(__xludf.DUMMYFUNCTION("""COMPUTED_VALUE"""),150)</f>
        <v>150</v>
      </c>
      <c r="O608" s="32">
        <f ca="1">IFERROR(__xludf.DUMMYFUNCTION("""COMPUTED_VALUE"""),100)</f>
        <v>100</v>
      </c>
      <c r="P608" s="32"/>
      <c r="Q608" s="32">
        <f ca="1">IFERROR(__xludf.DUMMYFUNCTION("""COMPUTED_VALUE"""),100)</f>
        <v>100</v>
      </c>
      <c r="R608" s="32"/>
      <c r="S608" s="31">
        <f ca="1">IFERROR(__xludf.DUMMYFUNCTION("""COMPUTED_VALUE"""),2585)</f>
        <v>2585</v>
      </c>
      <c r="T608" s="32">
        <f ca="1">IFERROR(__xludf.DUMMYFUNCTION("""COMPUTED_VALUE"""),2258)</f>
        <v>2258</v>
      </c>
      <c r="U608" s="32"/>
      <c r="V608" s="32">
        <f ca="1">IFERROR(__xludf.DUMMYFUNCTION("""COMPUTED_VALUE"""),2257)</f>
        <v>2257</v>
      </c>
      <c r="W608" s="32"/>
      <c r="X608" s="32">
        <f ca="1">IFERROR(__xludf.DUMMYFUNCTION("""COMPUTED_VALUE"""),53)</f>
        <v>53</v>
      </c>
      <c r="Y608" s="32"/>
      <c r="Z608" s="2"/>
      <c r="AA608" s="2"/>
      <c r="AB608" s="2"/>
      <c r="AC608" s="2"/>
      <c r="AD608" s="2"/>
      <c r="AE608" s="2"/>
    </row>
    <row r="609" spans="1:31" ht="12.75" x14ac:dyDescent="0.2">
      <c r="A609" s="28">
        <f ca="1">IFERROR(__xludf.DUMMYFUNCTION("""COMPUTED_VALUE"""),9)</f>
        <v>9</v>
      </c>
      <c r="B609" s="29" t="str">
        <f ca="1">IFERROR(__xludf.DUMMYFUNCTION("""COMPUTED_VALUE"""),"THCS Cát Lái")</f>
        <v>THCS Cát Lái</v>
      </c>
      <c r="C609" s="33" t="str">
        <f ca="1">IFERROR(__xludf.DUMMYFUNCTION("""COMPUTED_VALUE"""),"THCS")</f>
        <v>THCS</v>
      </c>
      <c r="D609" s="30" t="str">
        <f ca="1">IFERROR(__xludf.DUMMYFUNCTION("""COMPUTED_VALUE"""),"Tp. Thủ Đức")</f>
        <v>Tp. Thủ Đức</v>
      </c>
      <c r="E609" s="31">
        <f ca="1">IFERROR(__xludf.DUMMYFUNCTION("""COMPUTED_VALUE"""),40)</f>
        <v>40</v>
      </c>
      <c r="F609" s="32">
        <f ca="1">IFERROR(__xludf.DUMMYFUNCTION("""COMPUTED_VALUE"""),40)</f>
        <v>40</v>
      </c>
      <c r="G609" s="32"/>
      <c r="H609" s="32">
        <f ca="1">IFERROR(__xludf.DUMMYFUNCTION("""COMPUTED_VALUE"""),40)</f>
        <v>40</v>
      </c>
      <c r="I609" s="32"/>
      <c r="J609" s="32">
        <f ca="1">IFERROR(__xludf.DUMMYFUNCTION("""COMPUTED_VALUE"""),40)</f>
        <v>40</v>
      </c>
      <c r="K609" s="32"/>
      <c r="L609" s="32">
        <f ca="1">IFERROR(__xludf.DUMMYFUNCTION("""COMPUTED_VALUE"""),11)</f>
        <v>11</v>
      </c>
      <c r="M609" s="32"/>
      <c r="N609" s="31">
        <f ca="1">IFERROR(__xludf.DUMMYFUNCTION("""COMPUTED_VALUE"""),190)</f>
        <v>190</v>
      </c>
      <c r="O609" s="32">
        <f ca="1">IFERROR(__xludf.DUMMYFUNCTION("""COMPUTED_VALUE"""),89)</f>
        <v>89</v>
      </c>
      <c r="P609" s="32"/>
      <c r="Q609" s="32">
        <f ca="1">IFERROR(__xludf.DUMMYFUNCTION("""COMPUTED_VALUE"""),58)</f>
        <v>58</v>
      </c>
      <c r="R609" s="32"/>
      <c r="S609" s="31">
        <f ca="1">IFERROR(__xludf.DUMMYFUNCTION("""COMPUTED_VALUE"""),501)</f>
        <v>501</v>
      </c>
      <c r="T609" s="32">
        <f ca="1">IFERROR(__xludf.DUMMYFUNCTION("""COMPUTED_VALUE"""),435)</f>
        <v>435</v>
      </c>
      <c r="U609" s="32"/>
      <c r="V609" s="32">
        <f ca="1">IFERROR(__xludf.DUMMYFUNCTION("""COMPUTED_VALUE"""),363)</f>
        <v>363</v>
      </c>
      <c r="W609" s="32"/>
      <c r="X609" s="32">
        <f ca="1">IFERROR(__xludf.DUMMYFUNCTION("""COMPUTED_VALUE"""),92)</f>
        <v>92</v>
      </c>
      <c r="Y609" s="32"/>
      <c r="Z609" s="2"/>
      <c r="AA609" s="2"/>
      <c r="AB609" s="2"/>
      <c r="AC609" s="2"/>
      <c r="AD609" s="2"/>
      <c r="AE609" s="2"/>
    </row>
    <row r="610" spans="1:31" ht="12.75" x14ac:dyDescent="0.2">
      <c r="A610" s="28">
        <f ca="1">IFERROR(__xludf.DUMMYFUNCTION("""COMPUTED_VALUE"""),10)</f>
        <v>10</v>
      </c>
      <c r="B610" s="29" t="str">
        <f ca="1">IFERROR(__xludf.DUMMYFUNCTION("""COMPUTED_VALUE"""),"THCS Thạnh Mỹ Lợi")</f>
        <v>THCS Thạnh Mỹ Lợi</v>
      </c>
      <c r="C610" s="33" t="str">
        <f ca="1">IFERROR(__xludf.DUMMYFUNCTION("""COMPUTED_VALUE"""),"THCS")</f>
        <v>THCS</v>
      </c>
      <c r="D610" s="30" t="str">
        <f ca="1">IFERROR(__xludf.DUMMYFUNCTION("""COMPUTED_VALUE"""),"Tp. Thủ Đức")</f>
        <v>Tp. Thủ Đức</v>
      </c>
      <c r="E610" s="31">
        <f ca="1">IFERROR(__xludf.DUMMYFUNCTION("""COMPUTED_VALUE"""),46)</f>
        <v>46</v>
      </c>
      <c r="F610" s="32">
        <f ca="1">IFERROR(__xludf.DUMMYFUNCTION("""COMPUTED_VALUE"""),46)</f>
        <v>46</v>
      </c>
      <c r="G610" s="32"/>
      <c r="H610" s="32">
        <f ca="1">IFERROR(__xludf.DUMMYFUNCTION("""COMPUTED_VALUE"""),46)</f>
        <v>46</v>
      </c>
      <c r="I610" s="32"/>
      <c r="J610" s="32">
        <f ca="1">IFERROR(__xludf.DUMMYFUNCTION("""COMPUTED_VALUE"""),44)</f>
        <v>44</v>
      </c>
      <c r="K610" s="32"/>
      <c r="L610" s="32">
        <f ca="1">IFERROR(__xludf.DUMMYFUNCTION("""COMPUTED_VALUE"""),21)</f>
        <v>21</v>
      </c>
      <c r="M610" s="32"/>
      <c r="N610" s="31">
        <f ca="1">IFERROR(__xludf.DUMMYFUNCTION("""COMPUTED_VALUE"""),243)</f>
        <v>243</v>
      </c>
      <c r="O610" s="32">
        <f ca="1">IFERROR(__xludf.DUMMYFUNCTION("""COMPUTED_VALUE"""),189)</f>
        <v>189</v>
      </c>
      <c r="P610" s="32"/>
      <c r="Q610" s="32">
        <f ca="1">IFERROR(__xludf.DUMMYFUNCTION("""COMPUTED_VALUE"""),117)</f>
        <v>117</v>
      </c>
      <c r="R610" s="32"/>
      <c r="S610" s="31">
        <f ca="1">IFERROR(__xludf.DUMMYFUNCTION("""COMPUTED_VALUE"""),520)</f>
        <v>520</v>
      </c>
      <c r="T610" s="32">
        <f ca="1">IFERROR(__xludf.DUMMYFUNCTION("""COMPUTED_VALUE"""),507)</f>
        <v>507</v>
      </c>
      <c r="U610" s="32"/>
      <c r="V610" s="32">
        <f ca="1">IFERROR(__xludf.DUMMYFUNCTION("""COMPUTED_VALUE"""),430)</f>
        <v>430</v>
      </c>
      <c r="W610" s="32"/>
      <c r="X610" s="32">
        <f ca="1">IFERROR(__xludf.DUMMYFUNCTION("""COMPUTED_VALUE"""),174)</f>
        <v>174</v>
      </c>
      <c r="Y610" s="32"/>
      <c r="Z610" s="2"/>
      <c r="AA610" s="2"/>
      <c r="AB610" s="2"/>
      <c r="AC610" s="2"/>
      <c r="AD610" s="2"/>
      <c r="AE610" s="2"/>
    </row>
    <row r="611" spans="1:31" ht="12.75" x14ac:dyDescent="0.2">
      <c r="A611" s="28">
        <f ca="1">IFERROR(__xludf.DUMMYFUNCTION("""COMPUTED_VALUE"""),11)</f>
        <v>11</v>
      </c>
      <c r="B611" s="29" t="str">
        <f ca="1">IFERROR(__xludf.DUMMYFUNCTION("""COMPUTED_VALUE"""),"THCS Long Phước")</f>
        <v>THCS Long Phước</v>
      </c>
      <c r="C611" s="33" t="str">
        <f ca="1">IFERROR(__xludf.DUMMYFUNCTION("""COMPUTED_VALUE"""),"THCS")</f>
        <v>THCS</v>
      </c>
      <c r="D611" s="30" t="str">
        <f ca="1">IFERROR(__xludf.DUMMYFUNCTION("""COMPUTED_VALUE"""),"Tp. Thủ Đức")</f>
        <v>Tp. Thủ Đức</v>
      </c>
      <c r="E611" s="31">
        <f ca="1">IFERROR(__xludf.DUMMYFUNCTION("""COMPUTED_VALUE"""),36)</f>
        <v>36</v>
      </c>
      <c r="F611" s="32">
        <f ca="1">IFERROR(__xludf.DUMMYFUNCTION("""COMPUTED_VALUE"""),36)</f>
        <v>36</v>
      </c>
      <c r="G611" s="32"/>
      <c r="H611" s="32">
        <f ca="1">IFERROR(__xludf.DUMMYFUNCTION("""COMPUTED_VALUE"""),36)</f>
        <v>36</v>
      </c>
      <c r="I611" s="32"/>
      <c r="J611" s="32">
        <f ca="1">IFERROR(__xludf.DUMMYFUNCTION("""COMPUTED_VALUE"""),36)</f>
        <v>36</v>
      </c>
      <c r="K611" s="32"/>
      <c r="L611" s="32">
        <f ca="1">IFERROR(__xludf.DUMMYFUNCTION("""COMPUTED_VALUE"""),12)</f>
        <v>12</v>
      </c>
      <c r="M611" s="32"/>
      <c r="N611" s="31">
        <f ca="1">IFERROR(__xludf.DUMMYFUNCTION("""COMPUTED_VALUE"""),169)</f>
        <v>169</v>
      </c>
      <c r="O611" s="32">
        <f ca="1">IFERROR(__xludf.DUMMYFUNCTION("""COMPUTED_VALUE"""),118)</f>
        <v>118</v>
      </c>
      <c r="P611" s="32"/>
      <c r="Q611" s="32">
        <f ca="1">IFERROR(__xludf.DUMMYFUNCTION("""COMPUTED_VALUE"""),53)</f>
        <v>53</v>
      </c>
      <c r="R611" s="32"/>
      <c r="S611" s="31">
        <f ca="1">IFERROR(__xludf.DUMMYFUNCTION("""COMPUTED_VALUE"""),503)</f>
        <v>503</v>
      </c>
      <c r="T611" s="32">
        <f ca="1">IFERROR(__xludf.DUMMYFUNCTION("""COMPUTED_VALUE"""),422)</f>
        <v>422</v>
      </c>
      <c r="U611" s="32"/>
      <c r="V611" s="32">
        <f ca="1">IFERROR(__xludf.DUMMYFUNCTION("""COMPUTED_VALUE"""),376)</f>
        <v>376</v>
      </c>
      <c r="W611" s="32"/>
      <c r="X611" s="32">
        <f ca="1">IFERROR(__xludf.DUMMYFUNCTION("""COMPUTED_VALUE"""),113)</f>
        <v>113</v>
      </c>
      <c r="Y611" s="32"/>
      <c r="Z611" s="2"/>
      <c r="AA611" s="2"/>
      <c r="AB611" s="2"/>
      <c r="AC611" s="2"/>
      <c r="AD611" s="2"/>
      <c r="AE611" s="2"/>
    </row>
    <row r="612" spans="1:31" ht="12.75" x14ac:dyDescent="0.2">
      <c r="A612" s="28">
        <f ca="1">IFERROR(__xludf.DUMMYFUNCTION("""COMPUTED_VALUE"""),12)</f>
        <v>12</v>
      </c>
      <c r="B612" s="29" t="str">
        <f ca="1">IFERROR(__xludf.DUMMYFUNCTION("""COMPUTED_VALUE"""),"THCS Hiệp Phú")</f>
        <v>THCS Hiệp Phú</v>
      </c>
      <c r="C612" s="33" t="str">
        <f ca="1">IFERROR(__xludf.DUMMYFUNCTION("""COMPUTED_VALUE"""),"THCS")</f>
        <v>THCS</v>
      </c>
      <c r="D612" s="30" t="str">
        <f ca="1">IFERROR(__xludf.DUMMYFUNCTION("""COMPUTED_VALUE"""),"Tp. Thủ Đức")</f>
        <v>Tp. Thủ Đức</v>
      </c>
      <c r="E612" s="31">
        <f ca="1">IFERROR(__xludf.DUMMYFUNCTION("""COMPUTED_VALUE"""),60)</f>
        <v>60</v>
      </c>
      <c r="F612" s="32">
        <f ca="1">IFERROR(__xludf.DUMMYFUNCTION("""COMPUTED_VALUE"""),60)</f>
        <v>60</v>
      </c>
      <c r="G612" s="32"/>
      <c r="H612" s="32">
        <f ca="1">IFERROR(__xludf.DUMMYFUNCTION("""COMPUTED_VALUE"""),60)</f>
        <v>60</v>
      </c>
      <c r="I612" s="32"/>
      <c r="J612" s="32">
        <f ca="1">IFERROR(__xludf.DUMMYFUNCTION("""COMPUTED_VALUE"""),58)</f>
        <v>58</v>
      </c>
      <c r="K612" s="32"/>
      <c r="L612" s="32">
        <f ca="1">IFERROR(__xludf.DUMMYFUNCTION("""COMPUTED_VALUE"""),30)</f>
        <v>30</v>
      </c>
      <c r="M612" s="32"/>
      <c r="N612" s="31">
        <f ca="1">IFERROR(__xludf.DUMMYFUNCTION("""COMPUTED_VALUE"""),408)</f>
        <v>408</v>
      </c>
      <c r="O612" s="32">
        <f ca="1">IFERROR(__xludf.DUMMYFUNCTION("""COMPUTED_VALUE"""),326)</f>
        <v>326</v>
      </c>
      <c r="P612" s="32"/>
      <c r="Q612" s="32">
        <f ca="1">IFERROR(__xludf.DUMMYFUNCTION("""COMPUTED_VALUE"""),220)</f>
        <v>220</v>
      </c>
      <c r="R612" s="32"/>
      <c r="S612" s="31">
        <f ca="1">IFERROR(__xludf.DUMMYFUNCTION("""COMPUTED_VALUE"""),1131)</f>
        <v>1131</v>
      </c>
      <c r="T612" s="32">
        <f ca="1">IFERROR(__xludf.DUMMYFUNCTION("""COMPUTED_VALUE"""),1131)</f>
        <v>1131</v>
      </c>
      <c r="U612" s="32"/>
      <c r="V612" s="32">
        <f ca="1">IFERROR(__xludf.DUMMYFUNCTION("""COMPUTED_VALUE"""),1131)</f>
        <v>1131</v>
      </c>
      <c r="W612" s="32"/>
      <c r="X612" s="32">
        <f ca="1">IFERROR(__xludf.DUMMYFUNCTION("""COMPUTED_VALUE"""),337)</f>
        <v>337</v>
      </c>
      <c r="Y612" s="32"/>
      <c r="Z612" s="2"/>
      <c r="AA612" s="2"/>
      <c r="AB612" s="2"/>
      <c r="AC612" s="2"/>
      <c r="AD612" s="2"/>
      <c r="AE612" s="2"/>
    </row>
    <row r="613" spans="1:31" ht="12.75" x14ac:dyDescent="0.2">
      <c r="A613" s="28">
        <f ca="1">IFERROR(__xludf.DUMMYFUNCTION("""COMPUTED_VALUE"""),13)</f>
        <v>13</v>
      </c>
      <c r="B613" s="29" t="str">
        <f ca="1">IFERROR(__xludf.DUMMYFUNCTION("""COMPUTED_VALUE"""),"THCS Tân Phú")</f>
        <v>THCS Tân Phú</v>
      </c>
      <c r="C613" s="33" t="str">
        <f ca="1">IFERROR(__xludf.DUMMYFUNCTION("""COMPUTED_VALUE"""),"THCS")</f>
        <v>THCS</v>
      </c>
      <c r="D613" s="30" t="str">
        <f ca="1">IFERROR(__xludf.DUMMYFUNCTION("""COMPUTED_VALUE"""),"Tp. Thủ Đức")</f>
        <v>Tp. Thủ Đức</v>
      </c>
      <c r="E613" s="31">
        <f ca="1">IFERROR(__xludf.DUMMYFUNCTION("""COMPUTED_VALUE"""),68)</f>
        <v>68</v>
      </c>
      <c r="F613" s="32">
        <f ca="1">IFERROR(__xludf.DUMMYFUNCTION("""COMPUTED_VALUE"""),68)</f>
        <v>68</v>
      </c>
      <c r="G613" s="32"/>
      <c r="H613" s="32">
        <f ca="1">IFERROR(__xludf.DUMMYFUNCTION("""COMPUTED_VALUE"""),68)</f>
        <v>68</v>
      </c>
      <c r="I613" s="32"/>
      <c r="J613" s="32">
        <f ca="1">IFERROR(__xludf.DUMMYFUNCTION("""COMPUTED_VALUE"""),49)</f>
        <v>49</v>
      </c>
      <c r="K613" s="32"/>
      <c r="L613" s="32">
        <f ca="1">IFERROR(__xludf.DUMMYFUNCTION("""COMPUTED_VALUE"""),14)</f>
        <v>14</v>
      </c>
      <c r="M613" s="32"/>
      <c r="N613" s="31">
        <f ca="1">IFERROR(__xludf.DUMMYFUNCTION("""COMPUTED_VALUE"""),153)</f>
        <v>153</v>
      </c>
      <c r="O613" s="32">
        <f ca="1">IFERROR(__xludf.DUMMYFUNCTION("""COMPUTED_VALUE"""),153)</f>
        <v>153</v>
      </c>
      <c r="P613" s="32"/>
      <c r="Q613" s="32">
        <f ca="1">IFERROR(__xludf.DUMMYFUNCTION("""COMPUTED_VALUE"""),153)</f>
        <v>153</v>
      </c>
      <c r="R613" s="32"/>
      <c r="S613" s="31">
        <f ca="1">IFERROR(__xludf.DUMMYFUNCTION("""COMPUTED_VALUE"""),1685)</f>
        <v>1685</v>
      </c>
      <c r="T613" s="32">
        <f ca="1">IFERROR(__xludf.DUMMYFUNCTION("""COMPUTED_VALUE"""),1661)</f>
        <v>1661</v>
      </c>
      <c r="U613" s="32"/>
      <c r="V613" s="32">
        <f ca="1">IFERROR(__xludf.DUMMYFUNCTION("""COMPUTED_VALUE"""),962)</f>
        <v>962</v>
      </c>
      <c r="W613" s="32"/>
      <c r="X613" s="32">
        <f ca="1">IFERROR(__xludf.DUMMYFUNCTION("""COMPUTED_VALUE"""),510)</f>
        <v>510</v>
      </c>
      <c r="Y613" s="32"/>
      <c r="Z613" s="2"/>
      <c r="AA613" s="2"/>
      <c r="AB613" s="2"/>
      <c r="AC613" s="2"/>
      <c r="AD613" s="2"/>
      <c r="AE613" s="2"/>
    </row>
    <row r="614" spans="1:31" ht="12.75" x14ac:dyDescent="0.2">
      <c r="A614" s="28">
        <f ca="1">IFERROR(__xludf.DUMMYFUNCTION("""COMPUTED_VALUE"""),14)</f>
        <v>14</v>
      </c>
      <c r="B614" s="29" t="str">
        <f ca="1">IFERROR(__xludf.DUMMYFUNCTION("""COMPUTED_VALUE"""),"THCS Tam Bình")</f>
        <v>THCS Tam Bình</v>
      </c>
      <c r="C614" s="33" t="str">
        <f ca="1">IFERROR(__xludf.DUMMYFUNCTION("""COMPUTED_VALUE"""),"THCS")</f>
        <v>THCS</v>
      </c>
      <c r="D614" s="30" t="str">
        <f ca="1">IFERROR(__xludf.DUMMYFUNCTION("""COMPUTED_VALUE"""),"Tp. Thủ Đức")</f>
        <v>Tp. Thủ Đức</v>
      </c>
      <c r="E614" s="31">
        <f ca="1">IFERROR(__xludf.DUMMYFUNCTION("""COMPUTED_VALUE"""),70)</f>
        <v>70</v>
      </c>
      <c r="F614" s="32">
        <f ca="1">IFERROR(__xludf.DUMMYFUNCTION("""COMPUTED_VALUE"""),70)</f>
        <v>70</v>
      </c>
      <c r="G614" s="32"/>
      <c r="H614" s="32">
        <f ca="1">IFERROR(__xludf.DUMMYFUNCTION("""COMPUTED_VALUE"""),70)</f>
        <v>70</v>
      </c>
      <c r="I614" s="32"/>
      <c r="J614" s="32">
        <f ca="1">IFERROR(__xludf.DUMMYFUNCTION("""COMPUTED_VALUE"""),51)</f>
        <v>51</v>
      </c>
      <c r="K614" s="32"/>
      <c r="L614" s="32">
        <f ca="1">IFERROR(__xludf.DUMMYFUNCTION("""COMPUTED_VALUE"""),8)</f>
        <v>8</v>
      </c>
      <c r="M614" s="32"/>
      <c r="N614" s="31">
        <f ca="1">IFERROR(__xludf.DUMMYFUNCTION("""COMPUTED_VALUE"""),477)</f>
        <v>477</v>
      </c>
      <c r="O614" s="32">
        <f ca="1">IFERROR(__xludf.DUMMYFUNCTION("""COMPUTED_VALUE"""),201)</f>
        <v>201</v>
      </c>
      <c r="P614" s="32"/>
      <c r="Q614" s="32">
        <f ca="1">IFERROR(__xludf.DUMMYFUNCTION("""COMPUTED_VALUE"""),199)</f>
        <v>199</v>
      </c>
      <c r="R614" s="32"/>
      <c r="S614" s="31">
        <f ca="1">IFERROR(__xludf.DUMMYFUNCTION("""COMPUTED_VALUE"""),1288)</f>
        <v>1288</v>
      </c>
      <c r="T614" s="32">
        <f ca="1">IFERROR(__xludf.DUMMYFUNCTION("""COMPUTED_VALUE"""),377)</f>
        <v>377</v>
      </c>
      <c r="U614" s="32"/>
      <c r="V614" s="32">
        <f ca="1">IFERROR(__xludf.DUMMYFUNCTION("""COMPUTED_VALUE"""),732)</f>
        <v>732</v>
      </c>
      <c r="W614" s="32"/>
      <c r="X614" s="32">
        <f ca="1">IFERROR(__xludf.DUMMYFUNCTION("""COMPUTED_VALUE"""),114)</f>
        <v>114</v>
      </c>
      <c r="Y614" s="32"/>
      <c r="Z614" s="2"/>
      <c r="AA614" s="2"/>
      <c r="AB614" s="2"/>
      <c r="AC614" s="2"/>
      <c r="AD614" s="2"/>
      <c r="AE614" s="2"/>
    </row>
    <row r="615" spans="1:31" ht="12.75" x14ac:dyDescent="0.2">
      <c r="A615" s="28">
        <f ca="1">IFERROR(__xludf.DUMMYFUNCTION("""COMPUTED_VALUE"""),15)</f>
        <v>15</v>
      </c>
      <c r="B615" s="29" t="str">
        <f ca="1">IFERROR(__xludf.DUMMYFUNCTION("""COMPUTED_VALUE"""),"THCS Đặng Tấn Tài")</f>
        <v>THCS Đặng Tấn Tài</v>
      </c>
      <c r="C615" s="33" t="str">
        <f ca="1">IFERROR(__xludf.DUMMYFUNCTION("""COMPUTED_VALUE"""),"THCS")</f>
        <v>THCS</v>
      </c>
      <c r="D615" s="30" t="str">
        <f ca="1">IFERROR(__xludf.DUMMYFUNCTION("""COMPUTED_VALUE"""),"Tp. Thủ Đức")</f>
        <v>Tp. Thủ Đức</v>
      </c>
      <c r="E615" s="31">
        <f ca="1">IFERROR(__xludf.DUMMYFUNCTION("""COMPUTED_VALUE"""),81)</f>
        <v>81</v>
      </c>
      <c r="F615" s="32">
        <f ca="1">IFERROR(__xludf.DUMMYFUNCTION("""COMPUTED_VALUE"""),81)</f>
        <v>81</v>
      </c>
      <c r="G615" s="32"/>
      <c r="H615" s="32">
        <f ca="1">IFERROR(__xludf.DUMMYFUNCTION("""COMPUTED_VALUE"""),81)</f>
        <v>81</v>
      </c>
      <c r="I615" s="32"/>
      <c r="J615" s="32">
        <f ca="1">IFERROR(__xludf.DUMMYFUNCTION("""COMPUTED_VALUE"""),67)</f>
        <v>67</v>
      </c>
      <c r="K615" s="32"/>
      <c r="L615" s="32">
        <f ca="1">IFERROR(__xludf.DUMMYFUNCTION("""COMPUTED_VALUE"""),22)</f>
        <v>22</v>
      </c>
      <c r="M615" s="32"/>
      <c r="N615" s="31">
        <f ca="1">IFERROR(__xludf.DUMMYFUNCTION("""COMPUTED_VALUE"""),593)</f>
        <v>593</v>
      </c>
      <c r="O615" s="32">
        <f ca="1">IFERROR(__xludf.DUMMYFUNCTION("""COMPUTED_VALUE"""),277)</f>
        <v>277</v>
      </c>
      <c r="P615" s="32"/>
      <c r="Q615" s="32">
        <f ca="1">IFERROR(__xludf.DUMMYFUNCTION("""COMPUTED_VALUE"""),160)</f>
        <v>160</v>
      </c>
      <c r="R615" s="32"/>
      <c r="S615" s="31">
        <f ca="1">IFERROR(__xludf.DUMMYFUNCTION("""COMPUTED_VALUE"""),1023)</f>
        <v>1023</v>
      </c>
      <c r="T615" s="32">
        <f ca="1">IFERROR(__xludf.DUMMYFUNCTION("""COMPUTED_VALUE"""),851)</f>
        <v>851</v>
      </c>
      <c r="U615" s="32"/>
      <c r="V615" s="32">
        <f ca="1">IFERROR(__xludf.DUMMYFUNCTION("""COMPUTED_VALUE"""),845)</f>
        <v>845</v>
      </c>
      <c r="W615" s="32"/>
      <c r="X615" s="32">
        <f ca="1">IFERROR(__xludf.DUMMYFUNCTION("""COMPUTED_VALUE"""),340)</f>
        <v>340</v>
      </c>
      <c r="Y615" s="32"/>
      <c r="Z615" s="2"/>
      <c r="AA615" s="2"/>
      <c r="AB615" s="2"/>
      <c r="AC615" s="2"/>
      <c r="AD615" s="2"/>
      <c r="AE615" s="2"/>
    </row>
    <row r="616" spans="1:31" ht="12.75" x14ac:dyDescent="0.2">
      <c r="A616" s="28">
        <f ca="1">IFERROR(__xludf.DUMMYFUNCTION("""COMPUTED_VALUE"""),16)</f>
        <v>16</v>
      </c>
      <c r="B616" s="29" t="str">
        <f ca="1">IFERROR(__xludf.DUMMYFUNCTION("""COMPUTED_VALUE"""),"THCS Trần Quốc Toản")</f>
        <v>THCS Trần Quốc Toản</v>
      </c>
      <c r="C616" s="33" t="str">
        <f ca="1">IFERROR(__xludf.DUMMYFUNCTION("""COMPUTED_VALUE"""),"THCS")</f>
        <v>THCS</v>
      </c>
      <c r="D616" s="30" t="str">
        <f ca="1">IFERROR(__xludf.DUMMYFUNCTION("""COMPUTED_VALUE"""),"Tp. Thủ Đức")</f>
        <v>Tp. Thủ Đức</v>
      </c>
      <c r="E616" s="31">
        <f ca="1">IFERROR(__xludf.DUMMYFUNCTION("""COMPUTED_VALUE"""),99)</f>
        <v>99</v>
      </c>
      <c r="F616" s="32">
        <f ca="1">IFERROR(__xludf.DUMMYFUNCTION("""COMPUTED_VALUE"""),0)</f>
        <v>0</v>
      </c>
      <c r="G616" s="32"/>
      <c r="H616" s="32">
        <f ca="1">IFERROR(__xludf.DUMMYFUNCTION("""COMPUTED_VALUE"""),10)</f>
        <v>10</v>
      </c>
      <c r="I616" s="32"/>
      <c r="J616" s="32">
        <f ca="1">IFERROR(__xludf.DUMMYFUNCTION("""COMPUTED_VALUE"""),67)</f>
        <v>67</v>
      </c>
      <c r="K616" s="32"/>
      <c r="L616" s="32">
        <f ca="1">IFERROR(__xludf.DUMMYFUNCTION("""COMPUTED_VALUE"""),22)</f>
        <v>22</v>
      </c>
      <c r="M616" s="32"/>
      <c r="N616" s="31">
        <f ca="1">IFERROR(__xludf.DUMMYFUNCTION("""COMPUTED_VALUE"""),526)</f>
        <v>526</v>
      </c>
      <c r="O616" s="32">
        <f ca="1">IFERROR(__xludf.DUMMYFUNCTION("""COMPUTED_VALUE"""),105)</f>
        <v>105</v>
      </c>
      <c r="P616" s="32"/>
      <c r="Q616" s="32">
        <f ca="1">IFERROR(__xludf.DUMMYFUNCTION("""COMPUTED_VALUE"""),243)</f>
        <v>243</v>
      </c>
      <c r="R616" s="32"/>
      <c r="S616" s="31">
        <f ca="1">IFERROR(__xludf.DUMMYFUNCTION("""COMPUTED_VALUE"""),1420)</f>
        <v>1420</v>
      </c>
      <c r="T616" s="32">
        <f ca="1">IFERROR(__xludf.DUMMYFUNCTION("""COMPUTED_VALUE"""),134)</f>
        <v>134</v>
      </c>
      <c r="U616" s="32"/>
      <c r="V616" s="32">
        <f ca="1">IFERROR(__xludf.DUMMYFUNCTION("""COMPUTED_VALUE"""),840)</f>
        <v>840</v>
      </c>
      <c r="W616" s="32"/>
      <c r="X616" s="32">
        <f ca="1">IFERROR(__xludf.DUMMYFUNCTION("""COMPUTED_VALUE"""),358)</f>
        <v>358</v>
      </c>
      <c r="Y616" s="32"/>
      <c r="Z616" s="2"/>
      <c r="AA616" s="2"/>
      <c r="AB616" s="2"/>
      <c r="AC616" s="2"/>
      <c r="AD616" s="2"/>
      <c r="AE616" s="2"/>
    </row>
    <row r="617" spans="1:31" ht="12.75" x14ac:dyDescent="0.2">
      <c r="A617" s="28">
        <f ca="1">IFERROR(__xludf.DUMMYFUNCTION("""COMPUTED_VALUE"""),17)</f>
        <v>17</v>
      </c>
      <c r="B617" s="29" t="str">
        <f ca="1">IFERROR(__xludf.DUMMYFUNCTION("""COMPUTED_VALUE"""),"THCS Lê Văn Việt")</f>
        <v>THCS Lê Văn Việt</v>
      </c>
      <c r="C617" s="33" t="str">
        <f ca="1">IFERROR(__xludf.DUMMYFUNCTION("""COMPUTED_VALUE"""),"THCS")</f>
        <v>THCS</v>
      </c>
      <c r="D617" s="30" t="str">
        <f ca="1">IFERROR(__xludf.DUMMYFUNCTION("""COMPUTED_VALUE"""),"Tp. Thủ Đức")</f>
        <v>Tp. Thủ Đức</v>
      </c>
      <c r="E617" s="31">
        <f ca="1">IFERROR(__xludf.DUMMYFUNCTION("""COMPUTED_VALUE"""),31)</f>
        <v>31</v>
      </c>
      <c r="F617" s="32">
        <f ca="1">IFERROR(__xludf.DUMMYFUNCTION("""COMPUTED_VALUE"""),31)</f>
        <v>31</v>
      </c>
      <c r="G617" s="32"/>
      <c r="H617" s="32">
        <f ca="1">IFERROR(__xludf.DUMMYFUNCTION("""COMPUTED_VALUE"""),31)</f>
        <v>31</v>
      </c>
      <c r="I617" s="32"/>
      <c r="J617" s="32">
        <f ca="1">IFERROR(__xludf.DUMMYFUNCTION("""COMPUTED_VALUE"""),30)</f>
        <v>30</v>
      </c>
      <c r="K617" s="32"/>
      <c r="L617" s="32">
        <f ca="1">IFERROR(__xludf.DUMMYFUNCTION("""COMPUTED_VALUE"""),8)</f>
        <v>8</v>
      </c>
      <c r="M617" s="32"/>
      <c r="N617" s="31">
        <f ca="1">IFERROR(__xludf.DUMMYFUNCTION("""COMPUTED_VALUE"""),81)</f>
        <v>81</v>
      </c>
      <c r="O617" s="32">
        <f ca="1">IFERROR(__xludf.DUMMYFUNCTION("""COMPUTED_VALUE"""),33)</f>
        <v>33</v>
      </c>
      <c r="P617" s="32"/>
      <c r="Q617" s="32">
        <f ca="1">IFERROR(__xludf.DUMMYFUNCTION("""COMPUTED_VALUE"""),21)</f>
        <v>21</v>
      </c>
      <c r="R617" s="32"/>
      <c r="S617" s="31">
        <f ca="1">IFERROR(__xludf.DUMMYFUNCTION("""COMPUTED_VALUE"""),294)</f>
        <v>294</v>
      </c>
      <c r="T617" s="32">
        <f ca="1">IFERROR(__xludf.DUMMYFUNCTION("""COMPUTED_VALUE"""),27)</f>
        <v>27</v>
      </c>
      <c r="U617" s="32"/>
      <c r="V617" s="32">
        <f ca="1">IFERROR(__xludf.DUMMYFUNCTION("""COMPUTED_VALUE"""),177)</f>
        <v>177</v>
      </c>
      <c r="W617" s="32"/>
      <c r="X617" s="32">
        <f ca="1">IFERROR(__xludf.DUMMYFUNCTION("""COMPUTED_VALUE"""),74)</f>
        <v>74</v>
      </c>
      <c r="Y617" s="32"/>
      <c r="Z617" s="2"/>
      <c r="AA617" s="2"/>
      <c r="AB617" s="2"/>
      <c r="AC617" s="2"/>
      <c r="AD617" s="2"/>
      <c r="AE617" s="2"/>
    </row>
    <row r="618" spans="1:31" ht="12.75" x14ac:dyDescent="0.2">
      <c r="A618" s="28">
        <f ca="1">IFERROR(__xludf.DUMMYFUNCTION("""COMPUTED_VALUE"""),18)</f>
        <v>18</v>
      </c>
      <c r="B618" s="29" t="str">
        <f ca="1">IFERROR(__xludf.DUMMYFUNCTION("""COMPUTED_VALUE"""),"THCS Nguyễn Văn Trỗi")</f>
        <v>THCS Nguyễn Văn Trỗi</v>
      </c>
      <c r="C618" s="33" t="str">
        <f ca="1">IFERROR(__xludf.DUMMYFUNCTION("""COMPUTED_VALUE"""),"THCS")</f>
        <v>THCS</v>
      </c>
      <c r="D618" s="30" t="str">
        <f ca="1">IFERROR(__xludf.DUMMYFUNCTION("""COMPUTED_VALUE"""),"Tp. Thủ Đức")</f>
        <v>Tp. Thủ Đức</v>
      </c>
      <c r="E618" s="31">
        <f ca="1">IFERROR(__xludf.DUMMYFUNCTION("""COMPUTED_VALUE"""),60)</f>
        <v>60</v>
      </c>
      <c r="F618" s="32">
        <f ca="1">IFERROR(__xludf.DUMMYFUNCTION("""COMPUTED_VALUE"""),60)</f>
        <v>60</v>
      </c>
      <c r="G618" s="32"/>
      <c r="H618" s="32">
        <f ca="1">IFERROR(__xludf.DUMMYFUNCTION("""COMPUTED_VALUE"""),60)</f>
        <v>60</v>
      </c>
      <c r="I618" s="32"/>
      <c r="J618" s="32">
        <f ca="1">IFERROR(__xludf.DUMMYFUNCTION("""COMPUTED_VALUE"""),57)</f>
        <v>57</v>
      </c>
      <c r="K618" s="32"/>
      <c r="L618" s="32">
        <f ca="1">IFERROR(__xludf.DUMMYFUNCTION("""COMPUTED_VALUE"""),20)</f>
        <v>20</v>
      </c>
      <c r="M618" s="32"/>
      <c r="N618" s="31">
        <f ca="1">IFERROR(__xludf.DUMMYFUNCTION("""COMPUTED_VALUE"""),510)</f>
        <v>510</v>
      </c>
      <c r="O618" s="32">
        <f ca="1">IFERROR(__xludf.DUMMYFUNCTION("""COMPUTED_VALUE"""),270)</f>
        <v>270</v>
      </c>
      <c r="P618" s="32"/>
      <c r="Q618" s="32">
        <f ca="1">IFERROR(__xludf.DUMMYFUNCTION("""COMPUTED_VALUE"""),140)</f>
        <v>140</v>
      </c>
      <c r="R618" s="32"/>
      <c r="S618" s="31">
        <f ca="1">IFERROR(__xludf.DUMMYFUNCTION("""COMPUTED_VALUE"""),840)</f>
        <v>840</v>
      </c>
      <c r="T618" s="32">
        <f ca="1">IFERROR(__xludf.DUMMYFUNCTION("""COMPUTED_VALUE"""),770)</f>
        <v>770</v>
      </c>
      <c r="U618" s="32"/>
      <c r="V618" s="32">
        <f ca="1">IFERROR(__xludf.DUMMYFUNCTION("""COMPUTED_VALUE"""),570)</f>
        <v>570</v>
      </c>
      <c r="W618" s="32"/>
      <c r="X618" s="32">
        <f ca="1">IFERROR(__xludf.DUMMYFUNCTION("""COMPUTED_VALUE"""),122)</f>
        <v>122</v>
      </c>
      <c r="Y618" s="32"/>
      <c r="Z618" s="2"/>
      <c r="AA618" s="2"/>
      <c r="AB618" s="2"/>
      <c r="AC618" s="2"/>
      <c r="AD618" s="2"/>
      <c r="AE618" s="2"/>
    </row>
    <row r="619" spans="1:31" ht="12.75" x14ac:dyDescent="0.2">
      <c r="A619" s="28">
        <f ca="1">IFERROR(__xludf.DUMMYFUNCTION("""COMPUTED_VALUE"""),19)</f>
        <v>19</v>
      </c>
      <c r="B619" s="29" t="str">
        <f ca="1">IFERROR(__xludf.DUMMYFUNCTION("""COMPUTED_VALUE"""),"THCS Phú Hữu")</f>
        <v>THCS Phú Hữu</v>
      </c>
      <c r="C619" s="33" t="str">
        <f ca="1">IFERROR(__xludf.DUMMYFUNCTION("""COMPUTED_VALUE"""),"THCS")</f>
        <v>THCS</v>
      </c>
      <c r="D619" s="30" t="str">
        <f ca="1">IFERROR(__xludf.DUMMYFUNCTION("""COMPUTED_VALUE"""),"Tp. Thủ Đức")</f>
        <v>Tp. Thủ Đức</v>
      </c>
      <c r="E619" s="31">
        <f ca="1">IFERROR(__xludf.DUMMYFUNCTION("""COMPUTED_VALUE"""),33)</f>
        <v>33</v>
      </c>
      <c r="F619" s="32">
        <f ca="1">IFERROR(__xludf.DUMMYFUNCTION("""COMPUTED_VALUE"""),32)</f>
        <v>32</v>
      </c>
      <c r="G619" s="32"/>
      <c r="H619" s="32">
        <f ca="1">IFERROR(__xludf.DUMMYFUNCTION("""COMPUTED_VALUE"""),32)</f>
        <v>32</v>
      </c>
      <c r="I619" s="32"/>
      <c r="J619" s="32">
        <f ca="1">IFERROR(__xludf.DUMMYFUNCTION("""COMPUTED_VALUE"""),26)</f>
        <v>26</v>
      </c>
      <c r="K619" s="32"/>
      <c r="L619" s="32">
        <f ca="1">IFERROR(__xludf.DUMMYFUNCTION("""COMPUTED_VALUE"""),5)</f>
        <v>5</v>
      </c>
      <c r="M619" s="32"/>
      <c r="N619" s="31">
        <f ca="1">IFERROR(__xludf.DUMMYFUNCTION("""COMPUTED_VALUE"""),223)</f>
        <v>223</v>
      </c>
      <c r="O619" s="32">
        <f ca="1">IFERROR(__xludf.DUMMYFUNCTION("""COMPUTED_VALUE"""),157)</f>
        <v>157</v>
      </c>
      <c r="P619" s="32"/>
      <c r="Q619" s="32">
        <f ca="1">IFERROR(__xludf.DUMMYFUNCTION("""COMPUTED_VALUE"""),107)</f>
        <v>107</v>
      </c>
      <c r="R619" s="32"/>
      <c r="S619" s="31">
        <f ca="1">IFERROR(__xludf.DUMMYFUNCTION("""COMPUTED_VALUE"""),377)</f>
        <v>377</v>
      </c>
      <c r="T619" s="32">
        <f ca="1">IFERROR(__xludf.DUMMYFUNCTION("""COMPUTED_VALUE"""),334)</f>
        <v>334</v>
      </c>
      <c r="U619" s="32"/>
      <c r="V619" s="32">
        <f ca="1">IFERROR(__xludf.DUMMYFUNCTION("""COMPUTED_VALUE"""),221)</f>
        <v>221</v>
      </c>
      <c r="W619" s="32"/>
      <c r="X619" s="32">
        <f ca="1">IFERROR(__xludf.DUMMYFUNCTION("""COMPUTED_VALUE"""),71)</f>
        <v>71</v>
      </c>
      <c r="Y619" s="32"/>
      <c r="Z619" s="2"/>
      <c r="AA619" s="2"/>
      <c r="AB619" s="2"/>
      <c r="AC619" s="2"/>
      <c r="AD619" s="2"/>
      <c r="AE619" s="2"/>
    </row>
    <row r="620" spans="1:31" ht="12.75" x14ac:dyDescent="0.2">
      <c r="A620" s="28">
        <f ca="1">IFERROR(__xludf.DUMMYFUNCTION("""COMPUTED_VALUE"""),20)</f>
        <v>20</v>
      </c>
      <c r="B620" s="29" t="str">
        <f ca="1">IFERROR(__xludf.DUMMYFUNCTION("""COMPUTED_VALUE"""),"THCS Bình An")</f>
        <v>THCS Bình An</v>
      </c>
      <c r="C620" s="33" t="str">
        <f ca="1">IFERROR(__xludf.DUMMYFUNCTION("""COMPUTED_VALUE"""),"THCS")</f>
        <v>THCS</v>
      </c>
      <c r="D620" s="30" t="str">
        <f ca="1">IFERROR(__xludf.DUMMYFUNCTION("""COMPUTED_VALUE"""),"Tp. Thủ Đức")</f>
        <v>Tp. Thủ Đức</v>
      </c>
      <c r="E620" s="31">
        <f ca="1">IFERROR(__xludf.DUMMYFUNCTION("""COMPUTED_VALUE"""),52)</f>
        <v>52</v>
      </c>
      <c r="F620" s="32">
        <f ca="1">IFERROR(__xludf.DUMMYFUNCTION("""COMPUTED_VALUE"""),52)</f>
        <v>52</v>
      </c>
      <c r="G620" s="32"/>
      <c r="H620" s="32">
        <f ca="1">IFERROR(__xludf.DUMMYFUNCTION("""COMPUTED_VALUE"""),52)</f>
        <v>52</v>
      </c>
      <c r="I620" s="32"/>
      <c r="J620" s="32">
        <f ca="1">IFERROR(__xludf.DUMMYFUNCTION("""COMPUTED_VALUE"""),52)</f>
        <v>52</v>
      </c>
      <c r="K620" s="32"/>
      <c r="L620" s="32">
        <f ca="1">IFERROR(__xludf.DUMMYFUNCTION("""COMPUTED_VALUE"""),26)</f>
        <v>26</v>
      </c>
      <c r="M620" s="32"/>
      <c r="N620" s="31">
        <f ca="1">IFERROR(__xludf.DUMMYFUNCTION("""COMPUTED_VALUE"""),240)</f>
        <v>240</v>
      </c>
      <c r="O620" s="32">
        <f ca="1">IFERROR(__xludf.DUMMYFUNCTION("""COMPUTED_VALUE"""),55)</f>
        <v>55</v>
      </c>
      <c r="P620" s="32"/>
      <c r="Q620" s="32">
        <f ca="1">IFERROR(__xludf.DUMMYFUNCTION("""COMPUTED_VALUE"""),0)</f>
        <v>0</v>
      </c>
      <c r="R620" s="32"/>
      <c r="S620" s="31">
        <f ca="1">IFERROR(__xludf.DUMMYFUNCTION("""COMPUTED_VALUE"""),770)</f>
        <v>770</v>
      </c>
      <c r="T620" s="32">
        <f ca="1">IFERROR(__xludf.DUMMYFUNCTION("""COMPUTED_VALUE"""),755)</f>
        <v>755</v>
      </c>
      <c r="U620" s="32"/>
      <c r="V620" s="32">
        <f ca="1">IFERROR(__xludf.DUMMYFUNCTION("""COMPUTED_VALUE"""),755)</f>
        <v>755</v>
      </c>
      <c r="W620" s="32"/>
      <c r="X620" s="32">
        <f ca="1">IFERROR(__xludf.DUMMYFUNCTION("""COMPUTED_VALUE"""),103)</f>
        <v>103</v>
      </c>
      <c r="Y620" s="32"/>
      <c r="Z620" s="2"/>
      <c r="AA620" s="2"/>
      <c r="AB620" s="2"/>
      <c r="AC620" s="2"/>
      <c r="AD620" s="2"/>
      <c r="AE620" s="2"/>
    </row>
    <row r="621" spans="1:31" ht="12.75" x14ac:dyDescent="0.2">
      <c r="A621" s="28">
        <f ca="1">IFERROR(__xludf.DUMMYFUNCTION("""COMPUTED_VALUE"""),21)</f>
        <v>21</v>
      </c>
      <c r="B621" s="29" t="str">
        <f ca="1">IFERROR(__xludf.DUMMYFUNCTION("""COMPUTED_VALUE"""),"THCS Hưng Bình")</f>
        <v>THCS Hưng Bình</v>
      </c>
      <c r="C621" s="33" t="str">
        <f ca="1">IFERROR(__xludf.DUMMYFUNCTION("""COMPUTED_VALUE"""),"THCS")</f>
        <v>THCS</v>
      </c>
      <c r="D621" s="30" t="str">
        <f ca="1">IFERROR(__xludf.DUMMYFUNCTION("""COMPUTED_VALUE"""),"Tp. Thủ Đức")</f>
        <v>Tp. Thủ Đức</v>
      </c>
      <c r="E621" s="31">
        <f ca="1">IFERROR(__xludf.DUMMYFUNCTION("""COMPUTED_VALUE"""),60)</f>
        <v>60</v>
      </c>
      <c r="F621" s="32">
        <f ca="1">IFERROR(__xludf.DUMMYFUNCTION("""COMPUTED_VALUE"""),60)</f>
        <v>60</v>
      </c>
      <c r="G621" s="32"/>
      <c r="H621" s="32">
        <f ca="1">IFERROR(__xludf.DUMMYFUNCTION("""COMPUTED_VALUE"""),60)</f>
        <v>60</v>
      </c>
      <c r="I621" s="32"/>
      <c r="J621" s="32">
        <f ca="1">IFERROR(__xludf.DUMMYFUNCTION("""COMPUTED_VALUE"""),60)</f>
        <v>60</v>
      </c>
      <c r="K621" s="32"/>
      <c r="L621" s="32">
        <f ca="1">IFERROR(__xludf.DUMMYFUNCTION("""COMPUTED_VALUE"""),21)</f>
        <v>21</v>
      </c>
      <c r="M621" s="32"/>
      <c r="N621" s="31">
        <f ca="1">IFERROR(__xludf.DUMMYFUNCTION("""COMPUTED_VALUE"""),220)</f>
        <v>220</v>
      </c>
      <c r="O621" s="32">
        <f ca="1">IFERROR(__xludf.DUMMYFUNCTION("""COMPUTED_VALUE"""),220)</f>
        <v>220</v>
      </c>
      <c r="P621" s="32"/>
      <c r="Q621" s="32">
        <f ca="1">IFERROR(__xludf.DUMMYFUNCTION("""COMPUTED_VALUE"""),179)</f>
        <v>179</v>
      </c>
      <c r="R621" s="32"/>
      <c r="S621" s="31">
        <f ca="1">IFERROR(__xludf.DUMMYFUNCTION("""COMPUTED_VALUE"""),1439)</f>
        <v>1439</v>
      </c>
      <c r="T621" s="32">
        <f ca="1">IFERROR(__xludf.DUMMYFUNCTION("""COMPUTED_VALUE"""),1292)</f>
        <v>1292</v>
      </c>
      <c r="U621" s="32"/>
      <c r="V621" s="32">
        <f ca="1">IFERROR(__xludf.DUMMYFUNCTION("""COMPUTED_VALUE"""),1284)</f>
        <v>1284</v>
      </c>
      <c r="W621" s="32"/>
      <c r="X621" s="32">
        <f ca="1">IFERROR(__xludf.DUMMYFUNCTION("""COMPUTED_VALUE"""),591)</f>
        <v>591</v>
      </c>
      <c r="Y621" s="32"/>
      <c r="Z621" s="2"/>
      <c r="AA621" s="2"/>
      <c r="AB621" s="2"/>
      <c r="AC621" s="2"/>
      <c r="AD621" s="2"/>
      <c r="AE621" s="2"/>
    </row>
    <row r="622" spans="1:31" ht="12.75" x14ac:dyDescent="0.2">
      <c r="A622" s="28">
        <f ca="1">IFERROR(__xludf.DUMMYFUNCTION("""COMPUTED_VALUE"""),22)</f>
        <v>22</v>
      </c>
      <c r="B622" s="29" t="str">
        <f ca="1">IFERROR(__xludf.DUMMYFUNCTION("""COMPUTED_VALUE"""),"THCS Linh Trung")</f>
        <v>THCS Linh Trung</v>
      </c>
      <c r="C622" s="33" t="str">
        <f ca="1">IFERROR(__xludf.DUMMYFUNCTION("""COMPUTED_VALUE"""),"THCS")</f>
        <v>THCS</v>
      </c>
      <c r="D622" s="30" t="str">
        <f ca="1">IFERROR(__xludf.DUMMYFUNCTION("""COMPUTED_VALUE"""),"Tp. Thủ Đức")</f>
        <v>Tp. Thủ Đức</v>
      </c>
      <c r="E622" s="31">
        <f ca="1">IFERROR(__xludf.DUMMYFUNCTION("""COMPUTED_VALUE"""),77)</f>
        <v>77</v>
      </c>
      <c r="F622" s="32">
        <f ca="1">IFERROR(__xludf.DUMMYFUNCTION("""COMPUTED_VALUE"""),77)</f>
        <v>77</v>
      </c>
      <c r="G622" s="32"/>
      <c r="H622" s="32">
        <f ca="1">IFERROR(__xludf.DUMMYFUNCTION("""COMPUTED_VALUE"""),77)</f>
        <v>77</v>
      </c>
      <c r="I622" s="32"/>
      <c r="J622" s="32">
        <f ca="1">IFERROR(__xludf.DUMMYFUNCTION("""COMPUTED_VALUE"""),54)</f>
        <v>54</v>
      </c>
      <c r="K622" s="32"/>
      <c r="L622" s="32">
        <f ca="1">IFERROR(__xludf.DUMMYFUNCTION("""COMPUTED_VALUE"""),9)</f>
        <v>9</v>
      </c>
      <c r="M622" s="32"/>
      <c r="N622" s="31">
        <f ca="1">IFERROR(__xludf.DUMMYFUNCTION("""COMPUTED_VALUE"""),112)</f>
        <v>112</v>
      </c>
      <c r="O622" s="32">
        <f ca="1">IFERROR(__xludf.DUMMYFUNCTION("""COMPUTED_VALUE"""),112)</f>
        <v>112</v>
      </c>
      <c r="P622" s="32"/>
      <c r="Q622" s="32">
        <f ca="1">IFERROR(__xludf.DUMMYFUNCTION("""COMPUTED_VALUE"""),45)</f>
        <v>45</v>
      </c>
      <c r="R622" s="32"/>
      <c r="S622" s="31">
        <f ca="1">IFERROR(__xludf.DUMMYFUNCTION("""COMPUTED_VALUE"""),1594)</f>
        <v>1594</v>
      </c>
      <c r="T622" s="32">
        <f ca="1">IFERROR(__xludf.DUMMYFUNCTION("""COMPUTED_VALUE"""),1456)</f>
        <v>1456</v>
      </c>
      <c r="U622" s="32"/>
      <c r="V622" s="32">
        <f ca="1">IFERROR(__xludf.DUMMYFUNCTION("""COMPUTED_VALUE"""),1456)</f>
        <v>1456</v>
      </c>
      <c r="W622" s="32"/>
      <c r="X622" s="32">
        <f ca="1">IFERROR(__xludf.DUMMYFUNCTION("""COMPUTED_VALUE"""),182)</f>
        <v>182</v>
      </c>
      <c r="Y622" s="32"/>
      <c r="Z622" s="2"/>
      <c r="AA622" s="2"/>
      <c r="AB622" s="2"/>
      <c r="AC622" s="2"/>
      <c r="AD622" s="2"/>
      <c r="AE622" s="2"/>
    </row>
    <row r="623" spans="1:31" ht="12.75" x14ac:dyDescent="0.2">
      <c r="A623" s="28">
        <f ca="1">IFERROR(__xludf.DUMMYFUNCTION("""COMPUTED_VALUE"""),23)</f>
        <v>23</v>
      </c>
      <c r="B623" s="29" t="str">
        <f ca="1">IFERROR(__xludf.DUMMYFUNCTION("""COMPUTED_VALUE"""),"THCS Long Trường")</f>
        <v>THCS Long Trường</v>
      </c>
      <c r="C623" s="33" t="str">
        <f ca="1">IFERROR(__xludf.DUMMYFUNCTION("""COMPUTED_VALUE"""),"THCS")</f>
        <v>THCS</v>
      </c>
      <c r="D623" s="30" t="str">
        <f ca="1">IFERROR(__xludf.DUMMYFUNCTION("""COMPUTED_VALUE"""),"Tp. Thủ Đức")</f>
        <v>Tp. Thủ Đức</v>
      </c>
      <c r="E623" s="31">
        <f ca="1">IFERROR(__xludf.DUMMYFUNCTION("""COMPUTED_VALUE"""),43)</f>
        <v>43</v>
      </c>
      <c r="F623" s="32">
        <f ca="1">IFERROR(__xludf.DUMMYFUNCTION("""COMPUTED_VALUE"""),43)</f>
        <v>43</v>
      </c>
      <c r="G623" s="32"/>
      <c r="H623" s="32">
        <f ca="1">IFERROR(__xludf.DUMMYFUNCTION("""COMPUTED_VALUE"""),43)</f>
        <v>43</v>
      </c>
      <c r="I623" s="32"/>
      <c r="J623" s="32">
        <f ca="1">IFERROR(__xludf.DUMMYFUNCTION("""COMPUTED_VALUE"""),43)</f>
        <v>43</v>
      </c>
      <c r="K623" s="32"/>
      <c r="L623" s="32">
        <f ca="1">IFERROR(__xludf.DUMMYFUNCTION("""COMPUTED_VALUE"""),25)</f>
        <v>25</v>
      </c>
      <c r="M623" s="32"/>
      <c r="N623" s="31">
        <f ca="1">IFERROR(__xludf.DUMMYFUNCTION("""COMPUTED_VALUE"""),290)</f>
        <v>290</v>
      </c>
      <c r="O623" s="32">
        <f ca="1">IFERROR(__xludf.DUMMYFUNCTION("""COMPUTED_VALUE"""),111)</f>
        <v>111</v>
      </c>
      <c r="P623" s="32"/>
      <c r="Q623" s="32">
        <f ca="1">IFERROR(__xludf.DUMMYFUNCTION("""COMPUTED_VALUE"""),92)</f>
        <v>92</v>
      </c>
      <c r="R623" s="32"/>
      <c r="S623" s="31">
        <f ca="1">IFERROR(__xludf.DUMMYFUNCTION("""COMPUTED_VALUE"""),724)</f>
        <v>724</v>
      </c>
      <c r="T623" s="32">
        <f ca="1">IFERROR(__xludf.DUMMYFUNCTION("""COMPUTED_VALUE"""),550)</f>
        <v>550</v>
      </c>
      <c r="U623" s="32"/>
      <c r="V623" s="32">
        <f ca="1">IFERROR(__xludf.DUMMYFUNCTION("""COMPUTED_VALUE"""),537)</f>
        <v>537</v>
      </c>
      <c r="W623" s="32"/>
      <c r="X623" s="32">
        <f ca="1">IFERROR(__xludf.DUMMYFUNCTION("""COMPUTED_VALUE"""),378)</f>
        <v>378</v>
      </c>
      <c r="Y623" s="32"/>
      <c r="Z623" s="2"/>
      <c r="AA623" s="2"/>
      <c r="AB623" s="2"/>
      <c r="AC623" s="2"/>
      <c r="AD623" s="2"/>
      <c r="AE623" s="2"/>
    </row>
    <row r="624" spans="1:31" ht="12.75" x14ac:dyDescent="0.2">
      <c r="A624" s="28">
        <f ca="1">IFERROR(__xludf.DUMMYFUNCTION("""COMPUTED_VALUE"""),24)</f>
        <v>24</v>
      </c>
      <c r="B624" s="29" t="str">
        <f ca="1">IFERROR(__xludf.DUMMYFUNCTION("""COMPUTED_VALUE"""),"THCS Long Bình")</f>
        <v>THCS Long Bình</v>
      </c>
      <c r="C624" s="33" t="str">
        <f ca="1">IFERROR(__xludf.DUMMYFUNCTION("""COMPUTED_VALUE"""),"THCS")</f>
        <v>THCS</v>
      </c>
      <c r="D624" s="30" t="str">
        <f ca="1">IFERROR(__xludf.DUMMYFUNCTION("""COMPUTED_VALUE"""),"Tp. Thủ Đức")</f>
        <v>Tp. Thủ Đức</v>
      </c>
      <c r="E624" s="31">
        <f ca="1">IFERROR(__xludf.DUMMYFUNCTION("""COMPUTED_VALUE"""),59)</f>
        <v>59</v>
      </c>
      <c r="F624" s="32">
        <f ca="1">IFERROR(__xludf.DUMMYFUNCTION("""COMPUTED_VALUE"""),59)</f>
        <v>59</v>
      </c>
      <c r="G624" s="32"/>
      <c r="H624" s="32">
        <f ca="1">IFERROR(__xludf.DUMMYFUNCTION("""COMPUTED_VALUE"""),59)</f>
        <v>59</v>
      </c>
      <c r="I624" s="32"/>
      <c r="J624" s="32">
        <f ca="1">IFERROR(__xludf.DUMMYFUNCTION("""COMPUTED_VALUE"""),55)</f>
        <v>55</v>
      </c>
      <c r="K624" s="32"/>
      <c r="L624" s="32">
        <f ca="1">IFERROR(__xludf.DUMMYFUNCTION("""COMPUTED_VALUE"""),9)</f>
        <v>9</v>
      </c>
      <c r="M624" s="32"/>
      <c r="N624" s="31">
        <f ca="1">IFERROR(__xludf.DUMMYFUNCTION("""COMPUTED_VALUE"""),339)</f>
        <v>339</v>
      </c>
      <c r="O624" s="32">
        <f ca="1">IFERROR(__xludf.DUMMYFUNCTION("""COMPUTED_VALUE"""),251)</f>
        <v>251</v>
      </c>
      <c r="P624" s="32"/>
      <c r="Q624" s="32">
        <f ca="1">IFERROR(__xludf.DUMMYFUNCTION("""COMPUTED_VALUE"""),171)</f>
        <v>171</v>
      </c>
      <c r="R624" s="32"/>
      <c r="S624" s="31">
        <f ca="1">IFERROR(__xludf.DUMMYFUNCTION("""COMPUTED_VALUE"""),785)</f>
        <v>785</v>
      </c>
      <c r="T624" s="32">
        <f ca="1">IFERROR(__xludf.DUMMYFUNCTION("""COMPUTED_VALUE"""),737)</f>
        <v>737</v>
      </c>
      <c r="U624" s="32"/>
      <c r="V624" s="32">
        <f ca="1">IFERROR(__xludf.DUMMYFUNCTION("""COMPUTED_VALUE"""),674)</f>
        <v>674</v>
      </c>
      <c r="W624" s="32"/>
      <c r="X624" s="32">
        <f ca="1">IFERROR(__xludf.DUMMYFUNCTION("""COMPUTED_VALUE"""),189)</f>
        <v>189</v>
      </c>
      <c r="Y624" s="32"/>
      <c r="Z624" s="2"/>
      <c r="AA624" s="2"/>
      <c r="AB624" s="2"/>
      <c r="AC624" s="2"/>
      <c r="AD624" s="2"/>
      <c r="AE624" s="2"/>
    </row>
    <row r="625" spans="1:31" ht="12.75" x14ac:dyDescent="0.2">
      <c r="A625" s="28">
        <f ca="1">IFERROR(__xludf.DUMMYFUNCTION("""COMPUTED_VALUE"""),25)</f>
        <v>25</v>
      </c>
      <c r="B625" s="29" t="str">
        <f ca="1">IFERROR(__xludf.DUMMYFUNCTION("""COMPUTED_VALUE"""),"THCS Trường Thọ")</f>
        <v>THCS Trường Thọ</v>
      </c>
      <c r="C625" s="33" t="str">
        <f ca="1">IFERROR(__xludf.DUMMYFUNCTION("""COMPUTED_VALUE"""),"THCS")</f>
        <v>THCS</v>
      </c>
      <c r="D625" s="30" t="str">
        <f ca="1">IFERROR(__xludf.DUMMYFUNCTION("""COMPUTED_VALUE"""),"Tp. Thủ Đức")</f>
        <v>Tp. Thủ Đức</v>
      </c>
      <c r="E625" s="31">
        <f ca="1">IFERROR(__xludf.DUMMYFUNCTION("""COMPUTED_VALUE"""),69)</f>
        <v>69</v>
      </c>
      <c r="F625" s="32">
        <f ca="1">IFERROR(__xludf.DUMMYFUNCTION("""COMPUTED_VALUE"""),69)</f>
        <v>69</v>
      </c>
      <c r="G625" s="32"/>
      <c r="H625" s="32">
        <f ca="1">IFERROR(__xludf.DUMMYFUNCTION("""COMPUTED_VALUE"""),69)</f>
        <v>69</v>
      </c>
      <c r="I625" s="32"/>
      <c r="J625" s="32">
        <f ca="1">IFERROR(__xludf.DUMMYFUNCTION("""COMPUTED_VALUE"""),55)</f>
        <v>55</v>
      </c>
      <c r="K625" s="32"/>
      <c r="L625" s="32">
        <f ca="1">IFERROR(__xludf.DUMMYFUNCTION("""COMPUTED_VALUE"""),13)</f>
        <v>13</v>
      </c>
      <c r="M625" s="32"/>
      <c r="N625" s="31">
        <f ca="1">IFERROR(__xludf.DUMMYFUNCTION("""COMPUTED_VALUE"""),519)</f>
        <v>519</v>
      </c>
      <c r="O625" s="32">
        <f ca="1">IFERROR(__xludf.DUMMYFUNCTION("""COMPUTED_VALUE"""),500)</f>
        <v>500</v>
      </c>
      <c r="P625" s="32"/>
      <c r="Q625" s="32">
        <f ca="1">IFERROR(__xludf.DUMMYFUNCTION("""COMPUTED_VALUE"""),440)</f>
        <v>440</v>
      </c>
      <c r="R625" s="32"/>
      <c r="S625" s="31">
        <f ca="1">IFERROR(__xludf.DUMMYFUNCTION("""COMPUTED_VALUE"""),1291)</f>
        <v>1291</v>
      </c>
      <c r="T625" s="32">
        <f ca="1">IFERROR(__xludf.DUMMYFUNCTION("""COMPUTED_VALUE"""),1075)</f>
        <v>1075</v>
      </c>
      <c r="U625" s="32"/>
      <c r="V625" s="32">
        <f ca="1">IFERROR(__xludf.DUMMYFUNCTION("""COMPUTED_VALUE"""),965)</f>
        <v>965</v>
      </c>
      <c r="W625" s="32"/>
      <c r="X625" s="32">
        <f ca="1">IFERROR(__xludf.DUMMYFUNCTION("""COMPUTED_VALUE"""),268)</f>
        <v>268</v>
      </c>
      <c r="Y625" s="32"/>
      <c r="Z625" s="2"/>
      <c r="AA625" s="2"/>
      <c r="AB625" s="2"/>
      <c r="AC625" s="2"/>
      <c r="AD625" s="2"/>
      <c r="AE625" s="2"/>
    </row>
    <row r="626" spans="1:31" ht="12.75" x14ac:dyDescent="0.2">
      <c r="A626" s="28">
        <f ca="1">IFERROR(__xludf.DUMMYFUNCTION("""COMPUTED_VALUE"""),26)</f>
        <v>26</v>
      </c>
      <c r="B626" s="29" t="str">
        <f ca="1">IFERROR(__xludf.DUMMYFUNCTION("""COMPUTED_VALUE"""),"THCS Hoa Lư")</f>
        <v>THCS Hoa Lư</v>
      </c>
      <c r="C626" s="33" t="str">
        <f ca="1">IFERROR(__xludf.DUMMYFUNCTION("""COMPUTED_VALUE"""),"THCS")</f>
        <v>THCS</v>
      </c>
      <c r="D626" s="30" t="str">
        <f ca="1">IFERROR(__xludf.DUMMYFUNCTION("""COMPUTED_VALUE"""),"Tp. Thủ Đức")</f>
        <v>Tp. Thủ Đức</v>
      </c>
      <c r="E626" s="31">
        <f ca="1">IFERROR(__xludf.DUMMYFUNCTION("""COMPUTED_VALUE"""),102)</f>
        <v>102</v>
      </c>
      <c r="F626" s="32">
        <f ca="1">IFERROR(__xludf.DUMMYFUNCTION("""COMPUTED_VALUE"""),102)</f>
        <v>102</v>
      </c>
      <c r="G626" s="32"/>
      <c r="H626" s="32">
        <f ca="1">IFERROR(__xludf.DUMMYFUNCTION("""COMPUTED_VALUE"""),102)</f>
        <v>102</v>
      </c>
      <c r="I626" s="32"/>
      <c r="J626" s="32">
        <f ca="1">IFERROR(__xludf.DUMMYFUNCTION("""COMPUTED_VALUE"""),88)</f>
        <v>88</v>
      </c>
      <c r="K626" s="32"/>
      <c r="L626" s="32">
        <f ca="1">IFERROR(__xludf.DUMMYFUNCTION("""COMPUTED_VALUE"""),26)</f>
        <v>26</v>
      </c>
      <c r="M626" s="32"/>
      <c r="N626" s="31">
        <f ca="1">IFERROR(__xludf.DUMMYFUNCTION("""COMPUTED_VALUE"""),181)</f>
        <v>181</v>
      </c>
      <c r="O626" s="32">
        <f ca="1">IFERROR(__xludf.DUMMYFUNCTION("""COMPUTED_VALUE"""),102)</f>
        <v>102</v>
      </c>
      <c r="P626" s="32"/>
      <c r="Q626" s="32">
        <f ca="1">IFERROR(__xludf.DUMMYFUNCTION("""COMPUTED_VALUE"""),46)</f>
        <v>46</v>
      </c>
      <c r="R626" s="32"/>
      <c r="S626" s="31">
        <f ca="1">IFERROR(__xludf.DUMMYFUNCTION("""COMPUTED_VALUE"""),1755)</f>
        <v>1755</v>
      </c>
      <c r="T626" s="32">
        <f ca="1">IFERROR(__xludf.DUMMYFUNCTION("""COMPUTED_VALUE"""),1436)</f>
        <v>1436</v>
      </c>
      <c r="U626" s="32"/>
      <c r="V626" s="32">
        <f ca="1">IFERROR(__xludf.DUMMYFUNCTION("""COMPUTED_VALUE"""),1214)</f>
        <v>1214</v>
      </c>
      <c r="W626" s="32"/>
      <c r="X626" s="32">
        <f ca="1">IFERROR(__xludf.DUMMYFUNCTION("""COMPUTED_VALUE"""),355)</f>
        <v>355</v>
      </c>
      <c r="Y626" s="32"/>
      <c r="Z626" s="2"/>
      <c r="AA626" s="2"/>
      <c r="AB626" s="2"/>
      <c r="AC626" s="2"/>
      <c r="AD626" s="2"/>
      <c r="AE626" s="2"/>
    </row>
    <row r="627" spans="1:31" ht="12.75" x14ac:dyDescent="0.2">
      <c r="A627" s="28">
        <f ca="1">IFERROR(__xludf.DUMMYFUNCTION("""COMPUTED_VALUE"""),27)</f>
        <v>27</v>
      </c>
      <c r="B627" s="29" t="str">
        <f ca="1">IFERROR(__xludf.DUMMYFUNCTION("""COMPUTED_VALUE"""),"THCS Lương Định Của")</f>
        <v>THCS Lương Định Của</v>
      </c>
      <c r="C627" s="33" t="str">
        <f ca="1">IFERROR(__xludf.DUMMYFUNCTION("""COMPUTED_VALUE"""),"THCS")</f>
        <v>THCS</v>
      </c>
      <c r="D627" s="30" t="str">
        <f ca="1">IFERROR(__xludf.DUMMYFUNCTION("""COMPUTED_VALUE"""),"Tp. Thủ Đức")</f>
        <v>Tp. Thủ Đức</v>
      </c>
      <c r="E627" s="31">
        <f ca="1">IFERROR(__xludf.DUMMYFUNCTION("""COMPUTED_VALUE"""),75)</f>
        <v>75</v>
      </c>
      <c r="F627" s="32">
        <f ca="1">IFERROR(__xludf.DUMMYFUNCTION("""COMPUTED_VALUE"""),75)</f>
        <v>75</v>
      </c>
      <c r="G627" s="32"/>
      <c r="H627" s="32">
        <f ca="1">IFERROR(__xludf.DUMMYFUNCTION("""COMPUTED_VALUE"""),75)</f>
        <v>75</v>
      </c>
      <c r="I627" s="32"/>
      <c r="J627" s="32">
        <f ca="1">IFERROR(__xludf.DUMMYFUNCTION("""COMPUTED_VALUE"""),54)</f>
        <v>54</v>
      </c>
      <c r="K627" s="32"/>
      <c r="L627" s="32">
        <f ca="1">IFERROR(__xludf.DUMMYFUNCTION("""COMPUTED_VALUE"""),22)</f>
        <v>22</v>
      </c>
      <c r="M627" s="32"/>
      <c r="N627" s="31">
        <f ca="1">IFERROR(__xludf.DUMMYFUNCTION("""COMPUTED_VALUE"""),605)</f>
        <v>605</v>
      </c>
      <c r="O627" s="32">
        <f ca="1">IFERROR(__xludf.DUMMYFUNCTION("""COMPUTED_VALUE"""),85)</f>
        <v>85</v>
      </c>
      <c r="P627" s="32"/>
      <c r="Q627" s="32">
        <f ca="1">IFERROR(__xludf.DUMMYFUNCTION("""COMPUTED_VALUE"""),80)</f>
        <v>80</v>
      </c>
      <c r="R627" s="32"/>
      <c r="S627" s="31">
        <f ca="1">IFERROR(__xludf.DUMMYFUNCTION("""COMPUTED_VALUE"""),1073)</f>
        <v>1073</v>
      </c>
      <c r="T627" s="32">
        <f ca="1">IFERROR(__xludf.DUMMYFUNCTION("""COMPUTED_VALUE"""),176)</f>
        <v>176</v>
      </c>
      <c r="U627" s="32"/>
      <c r="V627" s="32">
        <f ca="1">IFERROR(__xludf.DUMMYFUNCTION("""COMPUTED_VALUE"""),95)</f>
        <v>95</v>
      </c>
      <c r="W627" s="32"/>
      <c r="X627" s="32">
        <f ca="1">IFERROR(__xludf.DUMMYFUNCTION("""COMPUTED_VALUE"""),673)</f>
        <v>673</v>
      </c>
      <c r="Y627" s="32"/>
      <c r="Z627" s="2"/>
      <c r="AA627" s="2"/>
      <c r="AB627" s="2"/>
      <c r="AC627" s="2"/>
      <c r="AD627" s="2"/>
      <c r="AE627" s="2"/>
    </row>
    <row r="628" spans="1:31" ht="12.75" x14ac:dyDescent="0.2">
      <c r="A628" s="28">
        <f ca="1">IFERROR(__xludf.DUMMYFUNCTION("""COMPUTED_VALUE"""),28)</f>
        <v>28</v>
      </c>
      <c r="B628" s="29" t="str">
        <f ca="1">IFERROR(__xludf.DUMMYFUNCTION("""COMPUTED_VALUE"""),"THCS An Phú")</f>
        <v>THCS An Phú</v>
      </c>
      <c r="C628" s="33" t="str">
        <f ca="1">IFERROR(__xludf.DUMMYFUNCTION("""COMPUTED_VALUE"""),"THCS")</f>
        <v>THCS</v>
      </c>
      <c r="D628" s="30" t="str">
        <f ca="1">IFERROR(__xludf.DUMMYFUNCTION("""COMPUTED_VALUE"""),"Tp. Thủ Đức")</f>
        <v>Tp. Thủ Đức</v>
      </c>
      <c r="E628" s="31">
        <f ca="1">IFERROR(__xludf.DUMMYFUNCTION("""COMPUTED_VALUE"""),60)</f>
        <v>60</v>
      </c>
      <c r="F628" s="32">
        <f ca="1">IFERROR(__xludf.DUMMYFUNCTION("""COMPUTED_VALUE"""),60)</f>
        <v>60</v>
      </c>
      <c r="G628" s="32"/>
      <c r="H628" s="32">
        <f ca="1">IFERROR(__xludf.DUMMYFUNCTION("""COMPUTED_VALUE"""),60)</f>
        <v>60</v>
      </c>
      <c r="I628" s="32"/>
      <c r="J628" s="32">
        <f ca="1">IFERROR(__xludf.DUMMYFUNCTION("""COMPUTED_VALUE"""),52)</f>
        <v>52</v>
      </c>
      <c r="K628" s="32"/>
      <c r="L628" s="32">
        <f ca="1">IFERROR(__xludf.DUMMYFUNCTION("""COMPUTED_VALUE"""),2)</f>
        <v>2</v>
      </c>
      <c r="M628" s="32"/>
      <c r="N628" s="31">
        <f ca="1">IFERROR(__xludf.DUMMYFUNCTION("""COMPUTED_VALUE"""),300)</f>
        <v>300</v>
      </c>
      <c r="O628" s="32">
        <f ca="1">IFERROR(__xludf.DUMMYFUNCTION("""COMPUTED_VALUE"""),32)</f>
        <v>32</v>
      </c>
      <c r="P628" s="32"/>
      <c r="Q628" s="32">
        <f ca="1">IFERROR(__xludf.DUMMYFUNCTION("""COMPUTED_VALUE"""),34)</f>
        <v>34</v>
      </c>
      <c r="R628" s="32"/>
      <c r="S628" s="31">
        <f ca="1">IFERROR(__xludf.DUMMYFUNCTION("""COMPUTED_VALUE"""),815)</f>
        <v>815</v>
      </c>
      <c r="T628" s="32">
        <f ca="1">IFERROR(__xludf.DUMMYFUNCTION("""COMPUTED_VALUE"""),76)</f>
        <v>76</v>
      </c>
      <c r="U628" s="32"/>
      <c r="V628" s="32">
        <f ca="1">IFERROR(__xludf.DUMMYFUNCTION("""COMPUTED_VALUE"""),225)</f>
        <v>225</v>
      </c>
      <c r="W628" s="32"/>
      <c r="X628" s="32">
        <f ca="1">IFERROR(__xludf.DUMMYFUNCTION("""COMPUTED_VALUE"""),137)</f>
        <v>137</v>
      </c>
      <c r="Y628" s="32"/>
      <c r="Z628" s="2"/>
      <c r="AA628" s="2"/>
      <c r="AB628" s="2"/>
      <c r="AC628" s="2"/>
      <c r="AD628" s="2"/>
      <c r="AE628" s="2"/>
    </row>
    <row r="629" spans="1:31" ht="12.75" x14ac:dyDescent="0.2">
      <c r="A629" s="28">
        <f ca="1">IFERROR(__xludf.DUMMYFUNCTION("""COMPUTED_VALUE"""),29)</f>
        <v>29</v>
      </c>
      <c r="B629" s="29" t="str">
        <f ca="1">IFERROR(__xludf.DUMMYFUNCTION("""COMPUTED_VALUE"""),"THCS Dương Văn Thì")</f>
        <v>THCS Dương Văn Thì</v>
      </c>
      <c r="C629" s="33" t="str">
        <f ca="1">IFERROR(__xludf.DUMMYFUNCTION("""COMPUTED_VALUE"""),"THCS")</f>
        <v>THCS</v>
      </c>
      <c r="D629" s="30" t="str">
        <f ca="1">IFERROR(__xludf.DUMMYFUNCTION("""COMPUTED_VALUE"""),"Tp. Thủ Đức")</f>
        <v>Tp. Thủ Đức</v>
      </c>
      <c r="E629" s="31">
        <f ca="1">IFERROR(__xludf.DUMMYFUNCTION("""COMPUTED_VALUE"""),58)</f>
        <v>58</v>
      </c>
      <c r="F629" s="32">
        <f ca="1">IFERROR(__xludf.DUMMYFUNCTION("""COMPUTED_VALUE"""),58)</f>
        <v>58</v>
      </c>
      <c r="G629" s="32"/>
      <c r="H629" s="32">
        <f ca="1">IFERROR(__xludf.DUMMYFUNCTION("""COMPUTED_VALUE"""),58)</f>
        <v>58</v>
      </c>
      <c r="I629" s="32"/>
      <c r="J629" s="32">
        <f ca="1">IFERROR(__xludf.DUMMYFUNCTION("""COMPUTED_VALUE"""),54)</f>
        <v>54</v>
      </c>
      <c r="K629" s="32"/>
      <c r="L629" s="32">
        <f ca="1">IFERROR(__xludf.DUMMYFUNCTION("""COMPUTED_VALUE"""),8)</f>
        <v>8</v>
      </c>
      <c r="M629" s="32"/>
      <c r="N629" s="31"/>
      <c r="O629" s="32">
        <f ca="1">IFERROR(__xludf.DUMMYFUNCTION("""COMPUTED_VALUE"""),490)</f>
        <v>490</v>
      </c>
      <c r="P629" s="32"/>
      <c r="Q629" s="32">
        <f ca="1">IFERROR(__xludf.DUMMYFUNCTION("""COMPUTED_VALUE"""),400)</f>
        <v>400</v>
      </c>
      <c r="R629" s="32"/>
      <c r="S629" s="31">
        <f ca="1">IFERROR(__xludf.DUMMYFUNCTION("""COMPUTED_VALUE"""),1271)</f>
        <v>1271</v>
      </c>
      <c r="T629" s="32">
        <f ca="1">IFERROR(__xludf.DUMMYFUNCTION("""COMPUTED_VALUE"""),1271)</f>
        <v>1271</v>
      </c>
      <c r="U629" s="32"/>
      <c r="V629" s="32">
        <f ca="1">IFERROR(__xludf.DUMMYFUNCTION("""COMPUTED_VALUE"""),1271)</f>
        <v>1271</v>
      </c>
      <c r="W629" s="32"/>
      <c r="X629" s="32">
        <f ca="1">IFERROR(__xludf.DUMMYFUNCTION("""COMPUTED_VALUE"""),614)</f>
        <v>614</v>
      </c>
      <c r="Y629" s="32"/>
      <c r="Z629" s="2"/>
      <c r="AA629" s="2"/>
      <c r="AB629" s="2"/>
      <c r="AC629" s="2"/>
      <c r="AD629" s="2"/>
      <c r="AE629" s="2"/>
    </row>
    <row r="630" spans="1:31" ht="12.75" x14ac:dyDescent="0.2">
      <c r="A630" s="28">
        <f ca="1">IFERROR(__xludf.DUMMYFUNCTION("""COMPUTED_VALUE"""),30)</f>
        <v>30</v>
      </c>
      <c r="B630" s="29" t="str">
        <f ca="1">IFERROR(__xludf.DUMMYFUNCTION("""COMPUTED_VALUE"""),"THCS Trương Văn Ngư")</f>
        <v>THCS Trương Văn Ngư</v>
      </c>
      <c r="C630" s="33" t="str">
        <f ca="1">IFERROR(__xludf.DUMMYFUNCTION("""COMPUTED_VALUE"""),"THCS")</f>
        <v>THCS</v>
      </c>
      <c r="D630" s="30" t="str">
        <f ca="1">IFERROR(__xludf.DUMMYFUNCTION("""COMPUTED_VALUE"""),"Tp. Thủ Đức")</f>
        <v>Tp. Thủ Đức</v>
      </c>
      <c r="E630" s="31">
        <f ca="1">IFERROR(__xludf.DUMMYFUNCTION("""COMPUTED_VALUE"""),51)</f>
        <v>51</v>
      </c>
      <c r="F630" s="32">
        <f ca="1">IFERROR(__xludf.DUMMYFUNCTION("""COMPUTED_VALUE"""),51)</f>
        <v>51</v>
      </c>
      <c r="G630" s="32"/>
      <c r="H630" s="32">
        <f ca="1">IFERROR(__xludf.DUMMYFUNCTION("""COMPUTED_VALUE"""),51)</f>
        <v>51</v>
      </c>
      <c r="I630" s="32"/>
      <c r="J630" s="32">
        <f ca="1">IFERROR(__xludf.DUMMYFUNCTION("""COMPUTED_VALUE"""),50)</f>
        <v>50</v>
      </c>
      <c r="K630" s="32"/>
      <c r="L630" s="32">
        <f ca="1">IFERROR(__xludf.DUMMYFUNCTION("""COMPUTED_VALUE"""),20)</f>
        <v>20</v>
      </c>
      <c r="M630" s="32"/>
      <c r="N630" s="31">
        <f ca="1">IFERROR(__xludf.DUMMYFUNCTION("""COMPUTED_VALUE"""),322)</f>
        <v>322</v>
      </c>
      <c r="O630" s="32">
        <f ca="1">IFERROR(__xludf.DUMMYFUNCTION("""COMPUTED_VALUE"""),156)</f>
        <v>156</v>
      </c>
      <c r="P630" s="32"/>
      <c r="Q630" s="32">
        <f ca="1">IFERROR(__xludf.DUMMYFUNCTION("""COMPUTED_VALUE"""),80)</f>
        <v>80</v>
      </c>
      <c r="R630" s="32"/>
      <c r="S630" s="31">
        <f ca="1">IFERROR(__xludf.DUMMYFUNCTION("""COMPUTED_VALUE"""),646)</f>
        <v>646</v>
      </c>
      <c r="T630" s="32">
        <f ca="1">IFERROR(__xludf.DUMMYFUNCTION("""COMPUTED_VALUE"""),591)</f>
        <v>591</v>
      </c>
      <c r="U630" s="32"/>
      <c r="V630" s="32">
        <f ca="1">IFERROR(__xludf.DUMMYFUNCTION("""COMPUTED_VALUE"""),514)</f>
        <v>514</v>
      </c>
      <c r="W630" s="32"/>
      <c r="X630" s="32">
        <f ca="1">IFERROR(__xludf.DUMMYFUNCTION("""COMPUTED_VALUE"""),190)</f>
        <v>190</v>
      </c>
      <c r="Y630" s="32"/>
      <c r="Z630" s="2"/>
      <c r="AA630" s="2"/>
      <c r="AB630" s="2"/>
      <c r="AC630" s="2"/>
      <c r="AD630" s="2"/>
      <c r="AE630" s="2"/>
    </row>
    <row r="631" spans="1:31" ht="12.75" x14ac:dyDescent="0.2">
      <c r="A631" s="28">
        <f ca="1">IFERROR(__xludf.DUMMYFUNCTION("""COMPUTED_VALUE"""),31)</f>
        <v>31</v>
      </c>
      <c r="B631" s="29" t="str">
        <f ca="1">IFERROR(__xludf.DUMMYFUNCTION("""COMPUTED_VALUE"""),"THCS Tăng Nhơn Phú B")</f>
        <v>THCS Tăng Nhơn Phú B</v>
      </c>
      <c r="C631" s="33" t="str">
        <f ca="1">IFERROR(__xludf.DUMMYFUNCTION("""COMPUTED_VALUE"""),"THCS")</f>
        <v>THCS</v>
      </c>
      <c r="D631" s="30" t="str">
        <f ca="1">IFERROR(__xludf.DUMMYFUNCTION("""COMPUTED_VALUE"""),"Tp. Thủ Đức")</f>
        <v>Tp. Thủ Đức</v>
      </c>
      <c r="E631" s="31">
        <f ca="1">IFERROR(__xludf.DUMMYFUNCTION("""COMPUTED_VALUE"""),76)</f>
        <v>76</v>
      </c>
      <c r="F631" s="32">
        <f ca="1">IFERROR(__xludf.DUMMYFUNCTION("""COMPUTED_VALUE"""),76)</f>
        <v>76</v>
      </c>
      <c r="G631" s="32"/>
      <c r="H631" s="32">
        <f ca="1">IFERROR(__xludf.DUMMYFUNCTION("""COMPUTED_VALUE"""),76)</f>
        <v>76</v>
      </c>
      <c r="I631" s="32"/>
      <c r="J631" s="32">
        <f ca="1">IFERROR(__xludf.DUMMYFUNCTION("""COMPUTED_VALUE"""),76)</f>
        <v>76</v>
      </c>
      <c r="K631" s="32"/>
      <c r="L631" s="32">
        <f ca="1">IFERROR(__xludf.DUMMYFUNCTION("""COMPUTED_VALUE"""),32)</f>
        <v>32</v>
      </c>
      <c r="M631" s="32"/>
      <c r="N631" s="31">
        <f ca="1">IFERROR(__xludf.DUMMYFUNCTION("""COMPUTED_VALUE"""),561)</f>
        <v>561</v>
      </c>
      <c r="O631" s="32">
        <f ca="1">IFERROR(__xludf.DUMMYFUNCTION("""COMPUTED_VALUE"""),385)</f>
        <v>385</v>
      </c>
      <c r="P631" s="32"/>
      <c r="Q631" s="32">
        <f ca="1">IFERROR(__xludf.DUMMYFUNCTION("""COMPUTED_VALUE"""),242)</f>
        <v>242</v>
      </c>
      <c r="R631" s="32"/>
      <c r="S631" s="31">
        <f ca="1">IFERROR(__xludf.DUMMYFUNCTION("""COMPUTED_VALUE"""),1047)</f>
        <v>1047</v>
      </c>
      <c r="T631" s="32">
        <f ca="1">IFERROR(__xludf.DUMMYFUNCTION("""COMPUTED_VALUE"""),1045)</f>
        <v>1045</v>
      </c>
      <c r="U631" s="32"/>
      <c r="V631" s="32">
        <f ca="1">IFERROR(__xludf.DUMMYFUNCTION("""COMPUTED_VALUE"""),978)</f>
        <v>978</v>
      </c>
      <c r="W631" s="32"/>
      <c r="X631" s="32">
        <f ca="1">IFERROR(__xludf.DUMMYFUNCTION("""COMPUTED_VALUE"""),375)</f>
        <v>375</v>
      </c>
      <c r="Y631" s="32"/>
      <c r="Z631" s="2"/>
      <c r="AA631" s="2"/>
      <c r="AB631" s="2"/>
      <c r="AC631" s="2"/>
      <c r="AD631" s="2"/>
      <c r="AE631" s="2"/>
    </row>
    <row r="632" spans="1:31" ht="12.75" x14ac:dyDescent="0.2">
      <c r="A632" s="28">
        <f ca="1">IFERROR(__xludf.DUMMYFUNCTION("""COMPUTED_VALUE"""),32)</f>
        <v>32</v>
      </c>
      <c r="B632" s="29" t="str">
        <f ca="1">IFERROR(__xludf.DUMMYFUNCTION("""COMPUTED_VALUE"""),"THCS Nguyễn Thị Định")</f>
        <v>THCS Nguyễn Thị Định</v>
      </c>
      <c r="C632" s="33" t="str">
        <f ca="1">IFERROR(__xludf.DUMMYFUNCTION("""COMPUTED_VALUE"""),"THCS")</f>
        <v>THCS</v>
      </c>
      <c r="D632" s="30" t="str">
        <f ca="1">IFERROR(__xludf.DUMMYFUNCTION("""COMPUTED_VALUE"""),"Tp. Thủ Đức")</f>
        <v>Tp. Thủ Đức</v>
      </c>
      <c r="E632" s="31">
        <f ca="1">IFERROR(__xludf.DUMMYFUNCTION("""COMPUTED_VALUE"""),53)</f>
        <v>53</v>
      </c>
      <c r="F632" s="32">
        <f ca="1">IFERROR(__xludf.DUMMYFUNCTION("""COMPUTED_VALUE"""),53)</f>
        <v>53</v>
      </c>
      <c r="G632" s="32"/>
      <c r="H632" s="32">
        <f ca="1">IFERROR(__xludf.DUMMYFUNCTION("""COMPUTED_VALUE"""),53)</f>
        <v>53</v>
      </c>
      <c r="I632" s="32"/>
      <c r="J632" s="32">
        <f ca="1">IFERROR(__xludf.DUMMYFUNCTION("""COMPUTED_VALUE"""),49)</f>
        <v>49</v>
      </c>
      <c r="K632" s="32"/>
      <c r="L632" s="32">
        <f ca="1">IFERROR(__xludf.DUMMYFUNCTION("""COMPUTED_VALUE"""),22)</f>
        <v>22</v>
      </c>
      <c r="M632" s="32"/>
      <c r="N632" s="31">
        <f ca="1">IFERROR(__xludf.DUMMYFUNCTION("""COMPUTED_VALUE"""),183)</f>
        <v>183</v>
      </c>
      <c r="O632" s="32">
        <f ca="1">IFERROR(__xludf.DUMMYFUNCTION("""COMPUTED_VALUE"""),115)</f>
        <v>115</v>
      </c>
      <c r="P632" s="32"/>
      <c r="Q632" s="32">
        <f ca="1">IFERROR(__xludf.DUMMYFUNCTION("""COMPUTED_VALUE"""),52)</f>
        <v>52</v>
      </c>
      <c r="R632" s="32"/>
      <c r="S632" s="31">
        <f ca="1">IFERROR(__xludf.DUMMYFUNCTION("""COMPUTED_VALUE"""),551)</f>
        <v>551</v>
      </c>
      <c r="T632" s="32">
        <f ca="1">IFERROR(__xludf.DUMMYFUNCTION("""COMPUTED_VALUE"""),509)</f>
        <v>509</v>
      </c>
      <c r="U632" s="32"/>
      <c r="V632" s="32">
        <f ca="1">IFERROR(__xludf.DUMMYFUNCTION("""COMPUTED_VALUE"""),456)</f>
        <v>456</v>
      </c>
      <c r="W632" s="32"/>
      <c r="X632" s="32">
        <f ca="1">IFERROR(__xludf.DUMMYFUNCTION("""COMPUTED_VALUE"""),81)</f>
        <v>81</v>
      </c>
      <c r="Y632" s="32"/>
      <c r="Z632" s="2"/>
      <c r="AA632" s="2"/>
      <c r="AB632" s="2"/>
      <c r="AC632" s="2"/>
      <c r="AD632" s="2"/>
      <c r="AE632" s="2"/>
    </row>
    <row r="633" spans="1:31" ht="12.75" x14ac:dyDescent="0.2">
      <c r="A633" s="28">
        <f ca="1">IFERROR(__xludf.DUMMYFUNCTION("""COMPUTED_VALUE"""),33)</f>
        <v>33</v>
      </c>
      <c r="B633" s="29" t="str">
        <f ca="1">IFERROR(__xludf.DUMMYFUNCTION("""COMPUTED_VALUE"""),"THCS Bình Thọ")</f>
        <v>THCS Bình Thọ</v>
      </c>
      <c r="C633" s="33" t="str">
        <f ca="1">IFERROR(__xludf.DUMMYFUNCTION("""COMPUTED_VALUE"""),"THCS")</f>
        <v>THCS</v>
      </c>
      <c r="D633" s="30" t="str">
        <f ca="1">IFERROR(__xludf.DUMMYFUNCTION("""COMPUTED_VALUE"""),"Tp. Thủ Đức")</f>
        <v>Tp. Thủ Đức</v>
      </c>
      <c r="E633" s="31">
        <f ca="1">IFERROR(__xludf.DUMMYFUNCTION("""COMPUTED_VALUE"""),68)</f>
        <v>68</v>
      </c>
      <c r="F633" s="32">
        <f ca="1">IFERROR(__xludf.DUMMYFUNCTION("""COMPUTED_VALUE"""),68)</f>
        <v>68</v>
      </c>
      <c r="G633" s="32"/>
      <c r="H633" s="32">
        <f ca="1">IFERROR(__xludf.DUMMYFUNCTION("""COMPUTED_VALUE"""),68)</f>
        <v>68</v>
      </c>
      <c r="I633" s="32"/>
      <c r="J633" s="32">
        <f ca="1">IFERROR(__xludf.DUMMYFUNCTION("""COMPUTED_VALUE"""),63)</f>
        <v>63</v>
      </c>
      <c r="K633" s="32"/>
      <c r="L633" s="32">
        <f ca="1">IFERROR(__xludf.DUMMYFUNCTION("""COMPUTED_VALUE"""),25)</f>
        <v>25</v>
      </c>
      <c r="M633" s="32"/>
      <c r="N633" s="31">
        <f ca="1">IFERROR(__xludf.DUMMYFUNCTION("""COMPUTED_VALUE"""),354)</f>
        <v>354</v>
      </c>
      <c r="O633" s="32">
        <f ca="1">IFERROR(__xludf.DUMMYFUNCTION("""COMPUTED_VALUE"""),185)</f>
        <v>185</v>
      </c>
      <c r="P633" s="32"/>
      <c r="Q633" s="32">
        <f ca="1">IFERROR(__xludf.DUMMYFUNCTION("""COMPUTED_VALUE"""),81)</f>
        <v>81</v>
      </c>
      <c r="R633" s="32"/>
      <c r="S633" s="31">
        <f ca="1">IFERROR(__xludf.DUMMYFUNCTION("""COMPUTED_VALUE"""),832)</f>
        <v>832</v>
      </c>
      <c r="T633" s="32">
        <f ca="1">IFERROR(__xludf.DUMMYFUNCTION("""COMPUTED_VALUE"""),732)</f>
        <v>732</v>
      </c>
      <c r="U633" s="32"/>
      <c r="V633" s="32">
        <f ca="1">IFERROR(__xludf.DUMMYFUNCTION("""COMPUTED_VALUE"""),665)</f>
        <v>665</v>
      </c>
      <c r="W633" s="32"/>
      <c r="X633" s="32">
        <f ca="1">IFERROR(__xludf.DUMMYFUNCTION("""COMPUTED_VALUE"""),190)</f>
        <v>190</v>
      </c>
      <c r="Y633" s="32"/>
      <c r="Z633" s="2"/>
      <c r="AA633" s="2"/>
      <c r="AB633" s="2"/>
      <c r="AC633" s="2"/>
      <c r="AD633" s="2"/>
      <c r="AE633" s="2"/>
    </row>
    <row r="634" spans="1:31" ht="12.75" x14ac:dyDescent="0.2">
      <c r="A634" s="28">
        <f ca="1">IFERROR(__xludf.DUMMYFUNCTION("""COMPUTED_VALUE"""),34)</f>
        <v>34</v>
      </c>
      <c r="B634" s="29" t="str">
        <f ca="1">IFERROR(__xludf.DUMMYFUNCTION("""COMPUTED_VALUE"""),"THCS Phước Bình")</f>
        <v>THCS Phước Bình</v>
      </c>
      <c r="C634" s="33" t="str">
        <f ca="1">IFERROR(__xludf.DUMMYFUNCTION("""COMPUTED_VALUE"""),"THCS")</f>
        <v>THCS</v>
      </c>
      <c r="D634" s="30" t="str">
        <f ca="1">IFERROR(__xludf.DUMMYFUNCTION("""COMPUTED_VALUE"""),"Tp. Thủ Đức")</f>
        <v>Tp. Thủ Đức</v>
      </c>
      <c r="E634" s="31">
        <f ca="1">IFERROR(__xludf.DUMMYFUNCTION("""COMPUTED_VALUE"""),94)</f>
        <v>94</v>
      </c>
      <c r="F634" s="32">
        <f ca="1">IFERROR(__xludf.DUMMYFUNCTION("""COMPUTED_VALUE"""),94)</f>
        <v>94</v>
      </c>
      <c r="G634" s="32"/>
      <c r="H634" s="32">
        <f ca="1">IFERROR(__xludf.DUMMYFUNCTION("""COMPUTED_VALUE"""),94)</f>
        <v>94</v>
      </c>
      <c r="I634" s="32"/>
      <c r="J634" s="32">
        <f ca="1">IFERROR(__xludf.DUMMYFUNCTION("""COMPUTED_VALUE"""),94)</f>
        <v>94</v>
      </c>
      <c r="K634" s="32"/>
      <c r="L634" s="32">
        <f ca="1">IFERROR(__xludf.DUMMYFUNCTION("""COMPUTED_VALUE"""),15)</f>
        <v>15</v>
      </c>
      <c r="M634" s="32"/>
      <c r="N634" s="31">
        <f ca="1">IFERROR(__xludf.DUMMYFUNCTION("""COMPUTED_VALUE"""),203)</f>
        <v>203</v>
      </c>
      <c r="O634" s="32">
        <f ca="1">IFERROR(__xludf.DUMMYFUNCTION("""COMPUTED_VALUE"""),98)</f>
        <v>98</v>
      </c>
      <c r="P634" s="32"/>
      <c r="Q634" s="32">
        <f ca="1">IFERROR(__xludf.DUMMYFUNCTION("""COMPUTED_VALUE"""),44)</f>
        <v>44</v>
      </c>
      <c r="R634" s="32"/>
      <c r="S634" s="31">
        <f ca="1">IFERROR(__xludf.DUMMYFUNCTION("""COMPUTED_VALUE"""),2116)</f>
        <v>2116</v>
      </c>
      <c r="T634" s="32">
        <f ca="1">IFERROR(__xludf.DUMMYFUNCTION("""COMPUTED_VALUE"""),1920)</f>
        <v>1920</v>
      </c>
      <c r="U634" s="32"/>
      <c r="V634" s="32">
        <f ca="1">IFERROR(__xludf.DUMMYFUNCTION("""COMPUTED_VALUE"""),1509)</f>
        <v>1509</v>
      </c>
      <c r="W634" s="32"/>
      <c r="X634" s="32">
        <f ca="1">IFERROR(__xludf.DUMMYFUNCTION("""COMPUTED_VALUE"""),237)</f>
        <v>237</v>
      </c>
      <c r="Y634" s="32"/>
      <c r="Z634" s="2"/>
      <c r="AA634" s="2"/>
      <c r="AB634" s="2"/>
      <c r="AC634" s="2"/>
      <c r="AD634" s="2"/>
      <c r="AE634" s="2"/>
    </row>
    <row r="635" spans="1:31" ht="12.75" x14ac:dyDescent="0.2">
      <c r="A635" s="28">
        <f ca="1">IFERROR(__xludf.DUMMYFUNCTION("""COMPUTED_VALUE"""),35)</f>
        <v>35</v>
      </c>
      <c r="B635" s="29" t="str">
        <f ca="1">IFERROR(__xludf.DUMMYFUNCTION("""COMPUTED_VALUE"""),"THCS Nguyễn Văn Bá")</f>
        <v>THCS Nguyễn Văn Bá</v>
      </c>
      <c r="C635" s="33" t="str">
        <f ca="1">IFERROR(__xludf.DUMMYFUNCTION("""COMPUTED_VALUE"""),"THCS")</f>
        <v>THCS</v>
      </c>
      <c r="D635" s="30" t="str">
        <f ca="1">IFERROR(__xludf.DUMMYFUNCTION("""COMPUTED_VALUE"""),"Tp. Thủ Đức")</f>
        <v>Tp. Thủ Đức</v>
      </c>
      <c r="E635" s="31">
        <f ca="1">IFERROR(__xludf.DUMMYFUNCTION("""COMPUTED_VALUE"""),75)</f>
        <v>75</v>
      </c>
      <c r="F635" s="32">
        <f ca="1">IFERROR(__xludf.DUMMYFUNCTION("""COMPUTED_VALUE"""),75)</f>
        <v>75</v>
      </c>
      <c r="G635" s="32"/>
      <c r="H635" s="32">
        <f ca="1">IFERROR(__xludf.DUMMYFUNCTION("""COMPUTED_VALUE"""),75)</f>
        <v>75</v>
      </c>
      <c r="I635" s="32"/>
      <c r="J635" s="32">
        <f ca="1">IFERROR(__xludf.DUMMYFUNCTION("""COMPUTED_VALUE"""),71)</f>
        <v>71</v>
      </c>
      <c r="K635" s="32"/>
      <c r="L635" s="32">
        <f ca="1">IFERROR(__xludf.DUMMYFUNCTION("""COMPUTED_VALUE"""),4)</f>
        <v>4</v>
      </c>
      <c r="M635" s="32"/>
      <c r="N635" s="31">
        <f ca="1">IFERROR(__xludf.DUMMYFUNCTION("""COMPUTED_VALUE"""),622)</f>
        <v>622</v>
      </c>
      <c r="O635" s="32">
        <f ca="1">IFERROR(__xludf.DUMMYFUNCTION("""COMPUTED_VALUE"""),440)</f>
        <v>440</v>
      </c>
      <c r="P635" s="32"/>
      <c r="Q635" s="32">
        <f ca="1">IFERROR(__xludf.DUMMYFUNCTION("""COMPUTED_VALUE"""),127)</f>
        <v>127</v>
      </c>
      <c r="R635" s="32"/>
      <c r="S635" s="31">
        <f ca="1">IFERROR(__xludf.DUMMYFUNCTION("""COMPUTED_VALUE"""),1300)</f>
        <v>1300</v>
      </c>
      <c r="T635" s="32">
        <f ca="1">IFERROR(__xludf.DUMMYFUNCTION("""COMPUTED_VALUE"""),1160)</f>
        <v>1160</v>
      </c>
      <c r="U635" s="32"/>
      <c r="V635" s="32">
        <f ca="1">IFERROR(__xludf.DUMMYFUNCTION("""COMPUTED_VALUE"""),1044)</f>
        <v>1044</v>
      </c>
      <c r="W635" s="32"/>
      <c r="X635" s="32">
        <f ca="1">IFERROR(__xludf.DUMMYFUNCTION("""COMPUTED_VALUE"""),311)</f>
        <v>311</v>
      </c>
      <c r="Y635" s="32"/>
      <c r="Z635" s="2"/>
      <c r="AA635" s="2"/>
      <c r="AB635" s="2"/>
      <c r="AC635" s="2"/>
      <c r="AD635" s="2"/>
      <c r="AE635" s="2"/>
    </row>
    <row r="636" spans="1:31" ht="12.75" x14ac:dyDescent="0.2">
      <c r="A636" s="105">
        <f ca="1">IFERROR(__xludf.DUMMYFUNCTION("""COMPUTED_VALUE"""),36)</f>
        <v>36</v>
      </c>
      <c r="B636" s="88"/>
      <c r="C636" s="33" t="str">
        <f ca="1">IFERROR(__xludf.DUMMYFUNCTION("""COMPUTED_VALUE"""),"THCS")</f>
        <v>THCS</v>
      </c>
      <c r="D636" s="30" t="str">
        <f ca="1">IFERROR(__xludf.DUMMYFUNCTION("""COMPUTED_VALUE"""),"Tp. Thủ Đức")</f>
        <v>Tp. Thủ Đức</v>
      </c>
      <c r="E636" s="31">
        <f ca="1">IFERROR(__xludf.DUMMYFUNCTION("""COMPUTED_VALUE"""),44)</f>
        <v>44</v>
      </c>
      <c r="F636" s="32">
        <f ca="1">IFERROR(__xludf.DUMMYFUNCTION("""COMPUTED_VALUE"""),44)</f>
        <v>44</v>
      </c>
      <c r="G636" s="32"/>
      <c r="H636" s="32">
        <f ca="1">IFERROR(__xludf.DUMMYFUNCTION("""COMPUTED_VALUE"""),44)</f>
        <v>44</v>
      </c>
      <c r="I636" s="32"/>
      <c r="J636" s="32">
        <f ca="1">IFERROR(__xludf.DUMMYFUNCTION("""COMPUTED_VALUE"""),41)</f>
        <v>41</v>
      </c>
      <c r="K636" s="32"/>
      <c r="L636" s="32">
        <f ca="1">IFERROR(__xludf.DUMMYFUNCTION("""COMPUTED_VALUE"""),22)</f>
        <v>22</v>
      </c>
      <c r="M636" s="32"/>
      <c r="N636" s="31">
        <f ca="1">IFERROR(__xludf.DUMMYFUNCTION("""COMPUTED_VALUE"""),457)</f>
        <v>457</v>
      </c>
      <c r="O636" s="32">
        <f ca="1">IFERROR(__xludf.DUMMYFUNCTION("""COMPUTED_VALUE"""),243)</f>
        <v>243</v>
      </c>
      <c r="P636" s="32"/>
      <c r="Q636" s="32">
        <f ca="1">IFERROR(__xludf.DUMMYFUNCTION("""COMPUTED_VALUE"""),110)</f>
        <v>110</v>
      </c>
      <c r="R636" s="32"/>
      <c r="S636" s="31">
        <f ca="1">IFERROR(__xludf.DUMMYFUNCTION("""COMPUTED_VALUE"""),794)</f>
        <v>794</v>
      </c>
      <c r="T636" s="32">
        <f ca="1">IFERROR(__xludf.DUMMYFUNCTION("""COMPUTED_VALUE"""),716)</f>
        <v>716</v>
      </c>
      <c r="U636" s="32"/>
      <c r="V636" s="32">
        <f ca="1">IFERROR(__xludf.DUMMYFUNCTION("""COMPUTED_VALUE"""),610)</f>
        <v>610</v>
      </c>
      <c r="W636" s="32"/>
      <c r="X636" s="32">
        <f ca="1">IFERROR(__xludf.DUMMYFUNCTION("""COMPUTED_VALUE"""),275)</f>
        <v>275</v>
      </c>
      <c r="Y636" s="32"/>
      <c r="Z636" s="2"/>
      <c r="AA636" s="2"/>
      <c r="AB636" s="2"/>
      <c r="AC636" s="2"/>
      <c r="AD636" s="2"/>
      <c r="AE636" s="2"/>
    </row>
    <row r="637" spans="1:31" ht="12.75" x14ac:dyDescent="0.2">
      <c r="A637" s="28">
        <f ca="1">IFERROR(__xludf.DUMMYFUNCTION("""COMPUTED_VALUE"""),37)</f>
        <v>37</v>
      </c>
      <c r="B637" s="29" t="str">
        <f ca="1">IFERROR(__xludf.DUMMYFUNCTION("""COMPUTED_VALUE"""),"THCS Trần Quốc Toản 1")</f>
        <v>THCS Trần Quốc Toản 1</v>
      </c>
      <c r="C637" s="33" t="str">
        <f ca="1">IFERROR(__xludf.DUMMYFUNCTION("""COMPUTED_VALUE"""),"THCS")</f>
        <v>THCS</v>
      </c>
      <c r="D637" s="30" t="str">
        <f ca="1">IFERROR(__xludf.DUMMYFUNCTION("""COMPUTED_VALUE"""),"Tp. Thủ Đức")</f>
        <v>Tp. Thủ Đức</v>
      </c>
      <c r="E637" s="31">
        <f ca="1">IFERROR(__xludf.DUMMYFUNCTION("""COMPUTED_VALUE"""),68)</f>
        <v>68</v>
      </c>
      <c r="F637" s="32">
        <f ca="1">IFERROR(__xludf.DUMMYFUNCTION("""COMPUTED_VALUE"""),68)</f>
        <v>68</v>
      </c>
      <c r="G637" s="32"/>
      <c r="H637" s="32">
        <f ca="1">IFERROR(__xludf.DUMMYFUNCTION("""COMPUTED_VALUE"""),68)</f>
        <v>68</v>
      </c>
      <c r="I637" s="32"/>
      <c r="J637" s="32">
        <f ca="1">IFERROR(__xludf.DUMMYFUNCTION("""COMPUTED_VALUE"""),56)</f>
        <v>56</v>
      </c>
      <c r="K637" s="32"/>
      <c r="L637" s="32">
        <f ca="1">IFERROR(__xludf.DUMMYFUNCTION("""COMPUTED_VALUE"""),3)</f>
        <v>3</v>
      </c>
      <c r="M637" s="32"/>
      <c r="N637" s="31">
        <f ca="1">IFERROR(__xludf.DUMMYFUNCTION("""COMPUTED_VALUE"""),314)</f>
        <v>314</v>
      </c>
      <c r="O637" s="32">
        <f ca="1">IFERROR(__xludf.DUMMYFUNCTION("""COMPUTED_VALUE"""),112)</f>
        <v>112</v>
      </c>
      <c r="P637" s="32"/>
      <c r="Q637" s="32">
        <f ca="1">IFERROR(__xludf.DUMMYFUNCTION("""COMPUTED_VALUE"""),2)</f>
        <v>2</v>
      </c>
      <c r="R637" s="32"/>
      <c r="S637" s="31">
        <f ca="1">IFERROR(__xludf.DUMMYFUNCTION("""COMPUTED_VALUE"""),846)</f>
        <v>846</v>
      </c>
      <c r="T637" s="32">
        <f ca="1">IFERROR(__xludf.DUMMYFUNCTION("""COMPUTED_VALUE"""),841)</f>
        <v>841</v>
      </c>
      <c r="U637" s="32"/>
      <c r="V637" s="32">
        <f ca="1">IFERROR(__xludf.DUMMYFUNCTION("""COMPUTED_VALUE"""),839)</f>
        <v>839</v>
      </c>
      <c r="W637" s="32"/>
      <c r="X637" s="32">
        <f ca="1">IFERROR(__xludf.DUMMYFUNCTION("""COMPUTED_VALUE"""),107)</f>
        <v>107</v>
      </c>
      <c r="Y637" s="32"/>
      <c r="Z637" s="2"/>
      <c r="AA637" s="2"/>
      <c r="AB637" s="2"/>
      <c r="AC637" s="2"/>
      <c r="AD637" s="2"/>
      <c r="AE637" s="2"/>
    </row>
    <row r="638" spans="1:31" ht="12.75" x14ac:dyDescent="0.2">
      <c r="A638" s="45" t="str">
        <f ca="1">IFERROR(__xludf.DUMMYFUNCTION("""COMPUTED_VALUE"""),"BẬC TRUNG HỌC PHỔ THÔNG VÀ NHIỀU CẤP HỌC")</f>
        <v>BẬC TRUNG HỌC PHỔ THÔNG VÀ NHIỀU CẤP HỌC</v>
      </c>
      <c r="B638" s="29"/>
      <c r="C638" s="29"/>
      <c r="D638" s="36"/>
      <c r="E638" s="39"/>
      <c r="F638" s="40"/>
      <c r="G638" s="40"/>
      <c r="H638" s="40"/>
      <c r="I638" s="40"/>
      <c r="J638" s="40"/>
      <c r="K638" s="40"/>
      <c r="L638" s="40"/>
      <c r="M638" s="40"/>
      <c r="N638" s="31">
        <f ca="1">IFERROR(__xludf.DUMMYFUNCTION("""COMPUTED_VALUE"""),0)</f>
        <v>0</v>
      </c>
      <c r="O638" s="32">
        <f ca="1">IFERROR(__xludf.DUMMYFUNCTION("""COMPUTED_VALUE"""),0)</f>
        <v>0</v>
      </c>
      <c r="P638" s="32"/>
      <c r="Q638" s="32">
        <f ca="1">IFERROR(__xludf.DUMMYFUNCTION("""COMPUTED_VALUE"""),0)</f>
        <v>0</v>
      </c>
      <c r="R638" s="32"/>
      <c r="S638" s="39"/>
      <c r="T638" s="40"/>
      <c r="U638" s="40"/>
      <c r="V638" s="40"/>
      <c r="W638" s="40"/>
      <c r="X638" s="40"/>
      <c r="Y638" s="40"/>
      <c r="Z638" s="2"/>
      <c r="AA638" s="2"/>
      <c r="AB638" s="2"/>
      <c r="AC638" s="2"/>
      <c r="AD638" s="2"/>
      <c r="AE638" s="2"/>
    </row>
    <row r="639" spans="1:31" ht="12.75" x14ac:dyDescent="0.2">
      <c r="A639" s="28">
        <f ca="1">IFERROR(__xludf.DUMMYFUNCTION("""COMPUTED_VALUE"""),0)</f>
        <v>0</v>
      </c>
      <c r="B639" s="29" t="str">
        <f ca="1">IFERROR(__xludf.DUMMYFUNCTION("""COMPUTED_VALUE"""),"THPT Linh Trung")</f>
        <v>THPT Linh Trung</v>
      </c>
      <c r="C639" s="41" t="str">
        <f ca="1">IFERROR(__xludf.DUMMYFUNCTION("""COMPUTED_VALUE"""),"THPT")</f>
        <v>THPT</v>
      </c>
      <c r="D639" s="30" t="str">
        <f ca="1">IFERROR(__xludf.DUMMYFUNCTION("""COMPUTED_VALUE"""),"Tp. Thủ Đức")</f>
        <v>Tp. Thủ Đức</v>
      </c>
      <c r="E639" s="42">
        <f ca="1">IFERROR(__xludf.DUMMYFUNCTION("""COMPUTED_VALUE"""),96)</f>
        <v>96</v>
      </c>
      <c r="F639" s="43">
        <f ca="1">IFERROR(__xludf.DUMMYFUNCTION("""COMPUTED_VALUE"""),96)</f>
        <v>96</v>
      </c>
      <c r="G639" s="43"/>
      <c r="H639" s="43">
        <f ca="1">IFERROR(__xludf.DUMMYFUNCTION("""COMPUTED_VALUE"""),96)</f>
        <v>96</v>
      </c>
      <c r="I639" s="43"/>
      <c r="J639" s="43">
        <f ca="1">IFERROR(__xludf.DUMMYFUNCTION("""COMPUTED_VALUE"""),90)</f>
        <v>90</v>
      </c>
      <c r="K639" s="43"/>
      <c r="L639" s="43">
        <f ca="1">IFERROR(__xludf.DUMMYFUNCTION("""COMPUTED_VALUE"""),6)</f>
        <v>6</v>
      </c>
      <c r="M639" s="43"/>
      <c r="N639" s="42">
        <f ca="1">IFERROR(__xludf.DUMMYFUNCTION("""COMPUTED_VALUE"""),0)</f>
        <v>0</v>
      </c>
      <c r="O639" s="43">
        <f ca="1">IFERROR(__xludf.DUMMYFUNCTION("""COMPUTED_VALUE"""),0)</f>
        <v>0</v>
      </c>
      <c r="P639" s="43"/>
      <c r="Q639" s="43">
        <f ca="1">IFERROR(__xludf.DUMMYFUNCTION("""COMPUTED_VALUE"""),0)</f>
        <v>0</v>
      </c>
      <c r="R639" s="43"/>
      <c r="S639" s="42">
        <f ca="1">IFERROR(__xludf.DUMMYFUNCTION("""COMPUTED_VALUE"""),2002)</f>
        <v>2002</v>
      </c>
      <c r="T639" s="43">
        <f ca="1">IFERROR(__xludf.DUMMYFUNCTION("""COMPUTED_VALUE"""),2002)</f>
        <v>2002</v>
      </c>
      <c r="U639" s="43"/>
      <c r="V639" s="43">
        <f ca="1">IFERROR(__xludf.DUMMYFUNCTION("""COMPUTED_VALUE"""),1990)</f>
        <v>1990</v>
      </c>
      <c r="W639" s="43"/>
      <c r="X639" s="43">
        <f ca="1">IFERROR(__xludf.DUMMYFUNCTION("""COMPUTED_VALUE"""),95)</f>
        <v>95</v>
      </c>
      <c r="Y639" s="43"/>
      <c r="Z639" s="2"/>
      <c r="AA639" s="2"/>
      <c r="AB639" s="2"/>
      <c r="AC639" s="2"/>
      <c r="AD639" s="2"/>
      <c r="AE639" s="2"/>
    </row>
    <row r="640" spans="1:31" ht="12.75" x14ac:dyDescent="0.2">
      <c r="A640" s="28">
        <f ca="1">IFERROR(__xludf.DUMMYFUNCTION("""COMPUTED_VALUE"""),1)</f>
        <v>1</v>
      </c>
      <c r="B640" s="29" t="str">
        <f ca="1">IFERROR(__xludf.DUMMYFUNCTION("""COMPUTED_VALUE"""),"THPT Đào Sơn Tây")</f>
        <v>THPT Đào Sơn Tây</v>
      </c>
      <c r="C640" s="33" t="str">
        <f ca="1">IFERROR(__xludf.DUMMYFUNCTION("""COMPUTED_VALUE"""),"THPT")</f>
        <v>THPT</v>
      </c>
      <c r="D640" s="30" t="str">
        <f ca="1">IFERROR(__xludf.DUMMYFUNCTION("""COMPUTED_VALUE"""),"Tp. Thủ Đức")</f>
        <v>Tp. Thủ Đức</v>
      </c>
      <c r="E640" s="31">
        <f ca="1">IFERROR(__xludf.DUMMYFUNCTION("""COMPUTED_VALUE"""),99)</f>
        <v>99</v>
      </c>
      <c r="F640" s="32">
        <f ca="1">IFERROR(__xludf.DUMMYFUNCTION("""COMPUTED_VALUE"""),99)</f>
        <v>99</v>
      </c>
      <c r="G640" s="32"/>
      <c r="H640" s="32">
        <f ca="1">IFERROR(__xludf.DUMMYFUNCTION("""COMPUTED_VALUE"""),98)</f>
        <v>98</v>
      </c>
      <c r="I640" s="32"/>
      <c r="J640" s="32">
        <f ca="1">IFERROR(__xludf.DUMMYFUNCTION("""COMPUTED_VALUE"""),83)</f>
        <v>83</v>
      </c>
      <c r="K640" s="32"/>
      <c r="L640" s="32">
        <f ca="1">IFERROR(__xludf.DUMMYFUNCTION("""COMPUTED_VALUE"""),26)</f>
        <v>26</v>
      </c>
      <c r="M640" s="32"/>
      <c r="N640" s="31">
        <f ca="1">IFERROR(__xludf.DUMMYFUNCTION("""COMPUTED_VALUE"""),0)</f>
        <v>0</v>
      </c>
      <c r="O640" s="32">
        <f ca="1">IFERROR(__xludf.DUMMYFUNCTION("""COMPUTED_VALUE"""),0)</f>
        <v>0</v>
      </c>
      <c r="P640" s="32"/>
      <c r="Q640" s="32">
        <f ca="1">IFERROR(__xludf.DUMMYFUNCTION("""COMPUTED_VALUE"""),0)</f>
        <v>0</v>
      </c>
      <c r="R640" s="32"/>
      <c r="S640" s="31">
        <f ca="1">IFERROR(__xludf.DUMMYFUNCTION("""COMPUTED_VALUE"""),1753)</f>
        <v>1753</v>
      </c>
      <c r="T640" s="32">
        <f ca="1">IFERROR(__xludf.DUMMYFUNCTION("""COMPUTED_VALUE"""),1741)</f>
        <v>1741</v>
      </c>
      <c r="U640" s="32"/>
      <c r="V640" s="32">
        <f ca="1">IFERROR(__xludf.DUMMYFUNCTION("""COMPUTED_VALUE"""),1733)</f>
        <v>1733</v>
      </c>
      <c r="W640" s="32"/>
      <c r="X640" s="32">
        <f ca="1">IFERROR(__xludf.DUMMYFUNCTION("""COMPUTED_VALUE"""),857)</f>
        <v>857</v>
      </c>
      <c r="Y640" s="32"/>
      <c r="Z640" s="2"/>
      <c r="AA640" s="2"/>
      <c r="AB640" s="2"/>
      <c r="AC640" s="2"/>
      <c r="AD640" s="2"/>
      <c r="AE640" s="2"/>
    </row>
    <row r="641" spans="1:31" ht="12.75" x14ac:dyDescent="0.2">
      <c r="A641" s="28">
        <f ca="1">IFERROR(__xludf.DUMMYFUNCTION("""COMPUTED_VALUE"""),2)</f>
        <v>2</v>
      </c>
      <c r="B641" s="29" t="str">
        <f ca="1">IFERROR(__xludf.DUMMYFUNCTION("""COMPUTED_VALUE"""),"THPT Nguyễn Văn Tăng")</f>
        <v>THPT Nguyễn Văn Tăng</v>
      </c>
      <c r="C641" s="33" t="str">
        <f ca="1">IFERROR(__xludf.DUMMYFUNCTION("""COMPUTED_VALUE"""),"THPT")</f>
        <v>THPT</v>
      </c>
      <c r="D641" s="30" t="str">
        <f ca="1">IFERROR(__xludf.DUMMYFUNCTION("""COMPUTED_VALUE"""),"Tp. Thủ Đức")</f>
        <v>Tp. Thủ Đức</v>
      </c>
      <c r="E641" s="31">
        <f ca="1">IFERROR(__xludf.DUMMYFUNCTION("""COMPUTED_VALUE"""),78)</f>
        <v>78</v>
      </c>
      <c r="F641" s="32">
        <f ca="1">IFERROR(__xludf.DUMMYFUNCTION("""COMPUTED_VALUE"""),78)</f>
        <v>78</v>
      </c>
      <c r="G641" s="32"/>
      <c r="H641" s="32">
        <f ca="1">IFERROR(__xludf.DUMMYFUNCTION("""COMPUTED_VALUE"""),78)</f>
        <v>78</v>
      </c>
      <c r="I641" s="32"/>
      <c r="J641" s="32">
        <f ca="1">IFERROR(__xludf.DUMMYFUNCTION("""COMPUTED_VALUE"""),70)</f>
        <v>70</v>
      </c>
      <c r="K641" s="32"/>
      <c r="L641" s="32">
        <f ca="1">IFERROR(__xludf.DUMMYFUNCTION("""COMPUTED_VALUE"""),3)</f>
        <v>3</v>
      </c>
      <c r="M641" s="32"/>
      <c r="N641" s="31">
        <f ca="1">IFERROR(__xludf.DUMMYFUNCTION("""COMPUTED_VALUE"""),0)</f>
        <v>0</v>
      </c>
      <c r="O641" s="32">
        <f ca="1">IFERROR(__xludf.DUMMYFUNCTION("""COMPUTED_VALUE"""),0)</f>
        <v>0</v>
      </c>
      <c r="P641" s="32"/>
      <c r="Q641" s="32">
        <f ca="1">IFERROR(__xludf.DUMMYFUNCTION("""COMPUTED_VALUE"""),0)</f>
        <v>0</v>
      </c>
      <c r="R641" s="32"/>
      <c r="S641" s="31">
        <f ca="1">IFERROR(__xludf.DUMMYFUNCTION("""COMPUTED_VALUE"""),1398)</f>
        <v>1398</v>
      </c>
      <c r="T641" s="32">
        <f ca="1">IFERROR(__xludf.DUMMYFUNCTION("""COMPUTED_VALUE"""),1398)</f>
        <v>1398</v>
      </c>
      <c r="U641" s="32"/>
      <c r="V641" s="32">
        <f ca="1">IFERROR(__xludf.DUMMYFUNCTION("""COMPUTED_VALUE"""),1105)</f>
        <v>1105</v>
      </c>
      <c r="W641" s="32"/>
      <c r="X641" s="32">
        <f ca="1">IFERROR(__xludf.DUMMYFUNCTION("""COMPUTED_VALUE"""),393)</f>
        <v>393</v>
      </c>
      <c r="Y641" s="32"/>
      <c r="Z641" s="2"/>
      <c r="AA641" s="2"/>
      <c r="AB641" s="2"/>
      <c r="AC641" s="2"/>
      <c r="AD641" s="2"/>
      <c r="AE641" s="2"/>
    </row>
    <row r="642" spans="1:31" ht="12.75" x14ac:dyDescent="0.2">
      <c r="A642" s="28">
        <f ca="1">IFERROR(__xludf.DUMMYFUNCTION("""COMPUTED_VALUE"""),3)</f>
        <v>3</v>
      </c>
      <c r="B642" s="29" t="str">
        <f ca="1">IFERROR(__xludf.DUMMYFUNCTION("""COMPUTED_VALUE"""),"THPT Thủ Đức")</f>
        <v>THPT Thủ Đức</v>
      </c>
      <c r="C642" s="33" t="str">
        <f ca="1">IFERROR(__xludf.DUMMYFUNCTION("""COMPUTED_VALUE"""),"THPT")</f>
        <v>THPT</v>
      </c>
      <c r="D642" s="30" t="str">
        <f ca="1">IFERROR(__xludf.DUMMYFUNCTION("""COMPUTED_VALUE"""),"Tp. Thủ Đức")</f>
        <v>Tp. Thủ Đức</v>
      </c>
      <c r="E642" s="31">
        <f ca="1">IFERROR(__xludf.DUMMYFUNCTION("""COMPUTED_VALUE"""),119)</f>
        <v>119</v>
      </c>
      <c r="F642" s="32">
        <f ca="1">IFERROR(__xludf.DUMMYFUNCTION("""COMPUTED_VALUE"""),119)</f>
        <v>119</v>
      </c>
      <c r="G642" s="32"/>
      <c r="H642" s="32">
        <f ca="1">IFERROR(__xludf.DUMMYFUNCTION("""COMPUTED_VALUE"""),119)</f>
        <v>119</v>
      </c>
      <c r="I642" s="32"/>
      <c r="J642" s="32">
        <f ca="1">IFERROR(__xludf.DUMMYFUNCTION("""COMPUTED_VALUE"""),102)</f>
        <v>102</v>
      </c>
      <c r="K642" s="32"/>
      <c r="L642" s="32">
        <f ca="1">IFERROR(__xludf.DUMMYFUNCTION("""COMPUTED_VALUE"""),67)</f>
        <v>67</v>
      </c>
      <c r="M642" s="32"/>
      <c r="N642" s="31">
        <f ca="1">IFERROR(__xludf.DUMMYFUNCTION("""COMPUTED_VALUE"""),0)</f>
        <v>0</v>
      </c>
      <c r="O642" s="32">
        <f ca="1">IFERROR(__xludf.DUMMYFUNCTION("""COMPUTED_VALUE"""),0)</f>
        <v>0</v>
      </c>
      <c r="P642" s="32"/>
      <c r="Q642" s="32">
        <f ca="1">IFERROR(__xludf.DUMMYFUNCTION("""COMPUTED_VALUE"""),0)</f>
        <v>0</v>
      </c>
      <c r="R642" s="32"/>
      <c r="S642" s="31">
        <f ca="1">IFERROR(__xludf.DUMMYFUNCTION("""COMPUTED_VALUE"""),2308)</f>
        <v>2308</v>
      </c>
      <c r="T642" s="32">
        <f ca="1">IFERROR(__xludf.DUMMYFUNCTION("""COMPUTED_VALUE"""),2308)</f>
        <v>2308</v>
      </c>
      <c r="U642" s="32"/>
      <c r="V642" s="32">
        <f ca="1">IFERROR(__xludf.DUMMYFUNCTION("""COMPUTED_VALUE"""),2308)</f>
        <v>2308</v>
      </c>
      <c r="W642" s="32"/>
      <c r="X642" s="32">
        <f ca="1">IFERROR(__xludf.DUMMYFUNCTION("""COMPUTED_VALUE"""),1099)</f>
        <v>1099</v>
      </c>
      <c r="Y642" s="32"/>
      <c r="Z642" s="2"/>
      <c r="AA642" s="2"/>
      <c r="AB642" s="2"/>
      <c r="AC642" s="2"/>
      <c r="AD642" s="2"/>
      <c r="AE642" s="2"/>
    </row>
    <row r="643" spans="1:31" ht="12.75" x14ac:dyDescent="0.2">
      <c r="A643" s="28">
        <f ca="1">IFERROR(__xludf.DUMMYFUNCTION("""COMPUTED_VALUE"""),4)</f>
        <v>4</v>
      </c>
      <c r="B643" s="29" t="str">
        <f ca="1">IFERROR(__xludf.DUMMYFUNCTION("""COMPUTED_VALUE"""),"THPT Dương Văn Thì")</f>
        <v>THPT Dương Văn Thì</v>
      </c>
      <c r="C643" s="33" t="str">
        <f ca="1">IFERROR(__xludf.DUMMYFUNCTION("""COMPUTED_VALUE"""),"THPT")</f>
        <v>THPT</v>
      </c>
      <c r="D643" s="30" t="str">
        <f ca="1">IFERROR(__xludf.DUMMYFUNCTION("""COMPUTED_VALUE"""),"Tp. Thủ Đức")</f>
        <v>Tp. Thủ Đức</v>
      </c>
      <c r="E643" s="31">
        <f ca="1">IFERROR(__xludf.DUMMYFUNCTION("""COMPUTED_VALUE"""),71)</f>
        <v>71</v>
      </c>
      <c r="F643" s="32">
        <f ca="1">IFERROR(__xludf.DUMMYFUNCTION("""COMPUTED_VALUE"""),71)</f>
        <v>71</v>
      </c>
      <c r="G643" s="32"/>
      <c r="H643" s="32">
        <f ca="1">IFERROR(__xludf.DUMMYFUNCTION("""COMPUTED_VALUE"""),71)</f>
        <v>71</v>
      </c>
      <c r="I643" s="32"/>
      <c r="J643" s="32">
        <f ca="1">IFERROR(__xludf.DUMMYFUNCTION("""COMPUTED_VALUE"""),71)</f>
        <v>71</v>
      </c>
      <c r="K643" s="32"/>
      <c r="L643" s="32">
        <f ca="1">IFERROR(__xludf.DUMMYFUNCTION("""COMPUTED_VALUE"""),54)</f>
        <v>54</v>
      </c>
      <c r="M643" s="32"/>
      <c r="N643" s="31">
        <f ca="1">IFERROR(__xludf.DUMMYFUNCTION("""COMPUTED_VALUE"""),0)</f>
        <v>0</v>
      </c>
      <c r="O643" s="32">
        <f ca="1">IFERROR(__xludf.DUMMYFUNCTION("""COMPUTED_VALUE"""),0)</f>
        <v>0</v>
      </c>
      <c r="P643" s="32"/>
      <c r="Q643" s="32">
        <f ca="1">IFERROR(__xludf.DUMMYFUNCTION("""COMPUTED_VALUE"""),0)</f>
        <v>0</v>
      </c>
      <c r="R643" s="32"/>
      <c r="S643" s="31">
        <f ca="1">IFERROR(__xludf.DUMMYFUNCTION("""COMPUTED_VALUE"""),1297)</f>
        <v>1297</v>
      </c>
      <c r="T643" s="32">
        <f ca="1">IFERROR(__xludf.DUMMYFUNCTION("""COMPUTED_VALUE"""),1297)</f>
        <v>1297</v>
      </c>
      <c r="U643" s="32"/>
      <c r="V643" s="32">
        <f ca="1">IFERROR(__xludf.DUMMYFUNCTION("""COMPUTED_VALUE"""),1262)</f>
        <v>1262</v>
      </c>
      <c r="W643" s="32"/>
      <c r="X643" s="32">
        <f ca="1">IFERROR(__xludf.DUMMYFUNCTION("""COMPUTED_VALUE"""),864)</f>
        <v>864</v>
      </c>
      <c r="Y643" s="32"/>
      <c r="Z643" s="2"/>
      <c r="AA643" s="2"/>
      <c r="AB643" s="2"/>
      <c r="AC643" s="2"/>
      <c r="AD643" s="2"/>
      <c r="AE643" s="2"/>
    </row>
    <row r="644" spans="1:31" ht="12.75" x14ac:dyDescent="0.2">
      <c r="A644" s="28">
        <f ca="1">IFERROR(__xludf.DUMMYFUNCTION("""COMPUTED_VALUE"""),5)</f>
        <v>5</v>
      </c>
      <c r="B644" s="29" t="str">
        <f ca="1">IFERROR(__xludf.DUMMYFUNCTION("""COMPUTED_VALUE"""),"THPT Bình Chiểu")</f>
        <v>THPT Bình Chiểu</v>
      </c>
      <c r="C644" s="33" t="str">
        <f ca="1">IFERROR(__xludf.DUMMYFUNCTION("""COMPUTED_VALUE"""),"THPT")</f>
        <v>THPT</v>
      </c>
      <c r="D644" s="30" t="str">
        <f ca="1">IFERROR(__xludf.DUMMYFUNCTION("""COMPUTED_VALUE"""),"Tp. Thủ Đức")</f>
        <v>Tp. Thủ Đức</v>
      </c>
      <c r="E644" s="31">
        <f ca="1">IFERROR(__xludf.DUMMYFUNCTION("""COMPUTED_VALUE"""),85)</f>
        <v>85</v>
      </c>
      <c r="F644" s="32">
        <f ca="1">IFERROR(__xludf.DUMMYFUNCTION("""COMPUTED_VALUE"""),85)</f>
        <v>85</v>
      </c>
      <c r="G644" s="32"/>
      <c r="H644" s="32">
        <f ca="1">IFERROR(__xludf.DUMMYFUNCTION("""COMPUTED_VALUE"""),85)</f>
        <v>85</v>
      </c>
      <c r="I644" s="32"/>
      <c r="J644" s="32">
        <f ca="1">IFERROR(__xludf.DUMMYFUNCTION("""COMPUTED_VALUE"""),85)</f>
        <v>85</v>
      </c>
      <c r="K644" s="32"/>
      <c r="L644" s="32">
        <f ca="1">IFERROR(__xludf.DUMMYFUNCTION("""COMPUTED_VALUE"""),12)</f>
        <v>12</v>
      </c>
      <c r="M644" s="32"/>
      <c r="N644" s="31">
        <f ca="1">IFERROR(__xludf.DUMMYFUNCTION("""COMPUTED_VALUE"""),0)</f>
        <v>0</v>
      </c>
      <c r="O644" s="32">
        <f ca="1">IFERROR(__xludf.DUMMYFUNCTION("""COMPUTED_VALUE"""),0)</f>
        <v>0</v>
      </c>
      <c r="P644" s="32"/>
      <c r="Q644" s="32">
        <f ca="1">IFERROR(__xludf.DUMMYFUNCTION("""COMPUTED_VALUE"""),0)</f>
        <v>0</v>
      </c>
      <c r="R644" s="32"/>
      <c r="S644" s="31">
        <f ca="1">IFERROR(__xludf.DUMMYFUNCTION("""COMPUTED_VALUE"""),1773)</f>
        <v>1773</v>
      </c>
      <c r="T644" s="32">
        <f ca="1">IFERROR(__xludf.DUMMYFUNCTION("""COMPUTED_VALUE"""),1773)</f>
        <v>1773</v>
      </c>
      <c r="U644" s="32"/>
      <c r="V644" s="32">
        <f ca="1">IFERROR(__xludf.DUMMYFUNCTION("""COMPUTED_VALUE"""),1361)</f>
        <v>1361</v>
      </c>
      <c r="W644" s="32"/>
      <c r="X644" s="32">
        <f ca="1">IFERROR(__xludf.DUMMYFUNCTION("""COMPUTED_VALUE"""),1243)</f>
        <v>1243</v>
      </c>
      <c r="Y644" s="32"/>
      <c r="Z644" s="2"/>
      <c r="AA644" s="2"/>
      <c r="AB644" s="2"/>
      <c r="AC644" s="2"/>
      <c r="AD644" s="2"/>
      <c r="AE644" s="2"/>
    </row>
    <row r="645" spans="1:31" ht="12.75" x14ac:dyDescent="0.2">
      <c r="A645" s="28">
        <f ca="1">IFERROR(__xludf.DUMMYFUNCTION("""COMPUTED_VALUE"""),6)</f>
        <v>6</v>
      </c>
      <c r="B645" s="29" t="str">
        <f ca="1">IFERROR(__xludf.DUMMYFUNCTION("""COMPUTED_VALUE"""),"THPT Hiệp Bình")</f>
        <v>THPT Hiệp Bình</v>
      </c>
      <c r="C645" s="33" t="str">
        <f ca="1">IFERROR(__xludf.DUMMYFUNCTION("""COMPUTED_VALUE"""),"THPT")</f>
        <v>THPT</v>
      </c>
      <c r="D645" s="30" t="str">
        <f ca="1">IFERROR(__xludf.DUMMYFUNCTION("""COMPUTED_VALUE"""),"Tp. Thủ Đức")</f>
        <v>Tp. Thủ Đức</v>
      </c>
      <c r="E645" s="31">
        <f ca="1">IFERROR(__xludf.DUMMYFUNCTION("""COMPUTED_VALUE"""),98)</f>
        <v>98</v>
      </c>
      <c r="F645" s="32">
        <f ca="1">IFERROR(__xludf.DUMMYFUNCTION("""COMPUTED_VALUE"""),98)</f>
        <v>98</v>
      </c>
      <c r="G645" s="32"/>
      <c r="H645" s="32">
        <f ca="1">IFERROR(__xludf.DUMMYFUNCTION("""COMPUTED_VALUE"""),98)</f>
        <v>98</v>
      </c>
      <c r="I645" s="32"/>
      <c r="J645" s="32">
        <f ca="1">IFERROR(__xludf.DUMMYFUNCTION("""COMPUTED_VALUE"""),95)</f>
        <v>95</v>
      </c>
      <c r="K645" s="32"/>
      <c r="L645" s="32">
        <f ca="1">IFERROR(__xludf.DUMMYFUNCTION("""COMPUTED_VALUE"""),45)</f>
        <v>45</v>
      </c>
      <c r="M645" s="32"/>
      <c r="N645" s="31">
        <f ca="1">IFERROR(__xludf.DUMMYFUNCTION("""COMPUTED_VALUE"""),0)</f>
        <v>0</v>
      </c>
      <c r="O645" s="32">
        <f ca="1">IFERROR(__xludf.DUMMYFUNCTION("""COMPUTED_VALUE"""),0)</f>
        <v>0</v>
      </c>
      <c r="P645" s="32"/>
      <c r="Q645" s="32">
        <f ca="1">IFERROR(__xludf.DUMMYFUNCTION("""COMPUTED_VALUE"""),0)</f>
        <v>0</v>
      </c>
      <c r="R645" s="32"/>
      <c r="S645" s="31">
        <f ca="1">IFERROR(__xludf.DUMMYFUNCTION("""COMPUTED_VALUE"""),1821)</f>
        <v>1821</v>
      </c>
      <c r="T645" s="32">
        <f ca="1">IFERROR(__xludf.DUMMYFUNCTION("""COMPUTED_VALUE"""),1814)</f>
        <v>1814</v>
      </c>
      <c r="U645" s="32"/>
      <c r="V645" s="32">
        <f ca="1">IFERROR(__xludf.DUMMYFUNCTION("""COMPUTED_VALUE"""),1806)</f>
        <v>1806</v>
      </c>
      <c r="W645" s="32"/>
      <c r="X645" s="32">
        <f ca="1">IFERROR(__xludf.DUMMYFUNCTION("""COMPUTED_VALUE"""),581)</f>
        <v>581</v>
      </c>
      <c r="Y645" s="32"/>
      <c r="Z645" s="2"/>
      <c r="AA645" s="2"/>
      <c r="AB645" s="2"/>
      <c r="AC645" s="2"/>
      <c r="AD645" s="2"/>
      <c r="AE645" s="2"/>
    </row>
    <row r="646" spans="1:31" ht="12.75" x14ac:dyDescent="0.2">
      <c r="A646" s="28">
        <f ca="1">IFERROR(__xludf.DUMMYFUNCTION("""COMPUTED_VALUE"""),7)</f>
        <v>7</v>
      </c>
      <c r="B646" s="29" t="str">
        <f ca="1">IFERROR(__xludf.DUMMYFUNCTION("""COMPUTED_VALUE"""),"THPT Giồng Ông Tố")</f>
        <v>THPT Giồng Ông Tố</v>
      </c>
      <c r="C646" s="33" t="str">
        <f ca="1">IFERROR(__xludf.DUMMYFUNCTION("""COMPUTED_VALUE"""),"THPT")</f>
        <v>THPT</v>
      </c>
      <c r="D646" s="30" t="str">
        <f ca="1">IFERROR(__xludf.DUMMYFUNCTION("""COMPUTED_VALUE"""),"Tp. Thủ Đức")</f>
        <v>Tp. Thủ Đức</v>
      </c>
      <c r="E646" s="31">
        <f ca="1">IFERROR(__xludf.DUMMYFUNCTION("""COMPUTED_VALUE"""),91)</f>
        <v>91</v>
      </c>
      <c r="F646" s="32">
        <f ca="1">IFERROR(__xludf.DUMMYFUNCTION("""COMPUTED_VALUE"""),91)</f>
        <v>91</v>
      </c>
      <c r="G646" s="32"/>
      <c r="H646" s="32">
        <f ca="1">IFERROR(__xludf.DUMMYFUNCTION("""COMPUTED_VALUE"""),91)</f>
        <v>91</v>
      </c>
      <c r="I646" s="32"/>
      <c r="J646" s="32">
        <f ca="1">IFERROR(__xludf.DUMMYFUNCTION("""COMPUTED_VALUE"""),88)</f>
        <v>88</v>
      </c>
      <c r="K646" s="32"/>
      <c r="L646" s="32">
        <f ca="1">IFERROR(__xludf.DUMMYFUNCTION("""COMPUTED_VALUE"""),54)</f>
        <v>54</v>
      </c>
      <c r="M646" s="32"/>
      <c r="N646" s="31">
        <f ca="1">IFERROR(__xludf.DUMMYFUNCTION("""COMPUTED_VALUE"""),0)</f>
        <v>0</v>
      </c>
      <c r="O646" s="32">
        <f ca="1">IFERROR(__xludf.DUMMYFUNCTION("""COMPUTED_VALUE"""),0)</f>
        <v>0</v>
      </c>
      <c r="P646" s="32"/>
      <c r="Q646" s="32">
        <f ca="1">IFERROR(__xludf.DUMMYFUNCTION("""COMPUTED_VALUE"""),0)</f>
        <v>0</v>
      </c>
      <c r="R646" s="32"/>
      <c r="S646" s="31">
        <f ca="1">IFERROR(__xludf.DUMMYFUNCTION("""COMPUTED_VALUE"""),1477)</f>
        <v>1477</v>
      </c>
      <c r="T646" s="32">
        <f ca="1">IFERROR(__xludf.DUMMYFUNCTION("""COMPUTED_VALUE"""),1477)</f>
        <v>1477</v>
      </c>
      <c r="U646" s="32"/>
      <c r="V646" s="32">
        <f ca="1">IFERROR(__xludf.DUMMYFUNCTION("""COMPUTED_VALUE"""),1477)</f>
        <v>1477</v>
      </c>
      <c r="W646" s="32"/>
      <c r="X646" s="32">
        <f ca="1">IFERROR(__xludf.DUMMYFUNCTION("""COMPUTED_VALUE"""),688)</f>
        <v>688</v>
      </c>
      <c r="Y646" s="32"/>
      <c r="Z646" s="2"/>
      <c r="AA646" s="2"/>
      <c r="AB646" s="2"/>
      <c r="AC646" s="2"/>
      <c r="AD646" s="2"/>
      <c r="AE646" s="2"/>
    </row>
    <row r="647" spans="1:31" ht="12.75" x14ac:dyDescent="0.2">
      <c r="A647" s="28">
        <f ca="1">IFERROR(__xludf.DUMMYFUNCTION("""COMPUTED_VALUE"""),8)</f>
        <v>8</v>
      </c>
      <c r="B647" s="29" t="str">
        <f ca="1">IFERROR(__xludf.DUMMYFUNCTION("""COMPUTED_VALUE"""),"THPT Thủ Thiêm")</f>
        <v>THPT Thủ Thiêm</v>
      </c>
      <c r="C647" s="33" t="str">
        <f ca="1">IFERROR(__xludf.DUMMYFUNCTION("""COMPUTED_VALUE"""),"THPT")</f>
        <v>THPT</v>
      </c>
      <c r="D647" s="30" t="str">
        <f ca="1">IFERROR(__xludf.DUMMYFUNCTION("""COMPUTED_VALUE"""),"Tp. Thủ Đức")</f>
        <v>Tp. Thủ Đức</v>
      </c>
      <c r="E647" s="31">
        <f ca="1">IFERROR(__xludf.DUMMYFUNCTION("""COMPUTED_VALUE"""),86)</f>
        <v>86</v>
      </c>
      <c r="F647" s="32">
        <f ca="1">IFERROR(__xludf.DUMMYFUNCTION("""COMPUTED_VALUE"""),86)</f>
        <v>86</v>
      </c>
      <c r="G647" s="32"/>
      <c r="H647" s="32">
        <f ca="1">IFERROR(__xludf.DUMMYFUNCTION("""COMPUTED_VALUE"""),86)</f>
        <v>86</v>
      </c>
      <c r="I647" s="32"/>
      <c r="J647" s="32">
        <f ca="1">IFERROR(__xludf.DUMMYFUNCTION("""COMPUTED_VALUE"""),79)</f>
        <v>79</v>
      </c>
      <c r="K647" s="32"/>
      <c r="L647" s="32">
        <f ca="1">IFERROR(__xludf.DUMMYFUNCTION("""COMPUTED_VALUE"""),43)</f>
        <v>43</v>
      </c>
      <c r="M647" s="32"/>
      <c r="N647" s="31">
        <f ca="1">IFERROR(__xludf.DUMMYFUNCTION("""COMPUTED_VALUE"""),0)</f>
        <v>0</v>
      </c>
      <c r="O647" s="32">
        <f ca="1">IFERROR(__xludf.DUMMYFUNCTION("""COMPUTED_VALUE"""),0)</f>
        <v>0</v>
      </c>
      <c r="P647" s="32"/>
      <c r="Q647" s="32">
        <f ca="1">IFERROR(__xludf.DUMMYFUNCTION("""COMPUTED_VALUE"""),0)</f>
        <v>0</v>
      </c>
      <c r="R647" s="32"/>
      <c r="S647" s="31">
        <f ca="1">IFERROR(__xludf.DUMMYFUNCTION("""COMPUTED_VALUE"""),1601)</f>
        <v>1601</v>
      </c>
      <c r="T647" s="32">
        <f ca="1">IFERROR(__xludf.DUMMYFUNCTION("""COMPUTED_VALUE"""),1589)</f>
        <v>1589</v>
      </c>
      <c r="U647" s="32"/>
      <c r="V647" s="32">
        <f ca="1">IFERROR(__xludf.DUMMYFUNCTION("""COMPUTED_VALUE"""),1580)</f>
        <v>1580</v>
      </c>
      <c r="W647" s="32"/>
      <c r="X647" s="32">
        <f ca="1">IFERROR(__xludf.DUMMYFUNCTION("""COMPUTED_VALUE"""),385)</f>
        <v>385</v>
      </c>
      <c r="Y647" s="32"/>
      <c r="Z647" s="2"/>
      <c r="AA647" s="2"/>
      <c r="AB647" s="2"/>
      <c r="AC647" s="2"/>
      <c r="AD647" s="2"/>
      <c r="AE647" s="2"/>
    </row>
    <row r="648" spans="1:31" ht="12.75" x14ac:dyDescent="0.2">
      <c r="A648" s="28">
        <f ca="1">IFERROR(__xludf.DUMMYFUNCTION("""COMPUTED_VALUE"""),9)</f>
        <v>9</v>
      </c>
      <c r="B648" s="29" t="str">
        <f ca="1">IFERROR(__xludf.DUMMYFUNCTION("""COMPUTED_VALUE"""),"THPT Nguyễn Huệ")</f>
        <v>THPT Nguyễn Huệ</v>
      </c>
      <c r="C648" s="33" t="str">
        <f ca="1">IFERROR(__xludf.DUMMYFUNCTION("""COMPUTED_VALUE"""),"THPT")</f>
        <v>THPT</v>
      </c>
      <c r="D648" s="30" t="str">
        <f ca="1">IFERROR(__xludf.DUMMYFUNCTION("""COMPUTED_VALUE"""),"Tp. Thủ Đức")</f>
        <v>Tp. Thủ Đức</v>
      </c>
      <c r="E648" s="31">
        <f ca="1">IFERROR(__xludf.DUMMYFUNCTION("""COMPUTED_VALUE"""),111)</f>
        <v>111</v>
      </c>
      <c r="F648" s="32">
        <f ca="1">IFERROR(__xludf.DUMMYFUNCTION("""COMPUTED_VALUE"""),111)</f>
        <v>111</v>
      </c>
      <c r="G648" s="32"/>
      <c r="H648" s="32">
        <f ca="1">IFERROR(__xludf.DUMMYFUNCTION("""COMPUTED_VALUE"""),111)</f>
        <v>111</v>
      </c>
      <c r="I648" s="32"/>
      <c r="J648" s="32">
        <f ca="1">IFERROR(__xludf.DUMMYFUNCTION("""COMPUTED_VALUE"""),104)</f>
        <v>104</v>
      </c>
      <c r="K648" s="32"/>
      <c r="L648" s="32">
        <f ca="1">IFERROR(__xludf.DUMMYFUNCTION("""COMPUTED_VALUE"""),34)</f>
        <v>34</v>
      </c>
      <c r="M648" s="32"/>
      <c r="N648" s="31">
        <f ca="1">IFERROR(__xludf.DUMMYFUNCTION("""COMPUTED_VALUE"""),0)</f>
        <v>0</v>
      </c>
      <c r="O648" s="32">
        <f ca="1">IFERROR(__xludf.DUMMYFUNCTION("""COMPUTED_VALUE"""),0)</f>
        <v>0</v>
      </c>
      <c r="P648" s="32"/>
      <c r="Q648" s="32">
        <f ca="1">IFERROR(__xludf.DUMMYFUNCTION("""COMPUTED_VALUE"""),0)</f>
        <v>0</v>
      </c>
      <c r="R648" s="32"/>
      <c r="S648" s="31">
        <f ca="1">IFERROR(__xludf.DUMMYFUNCTION("""COMPUTED_VALUE"""),1987)</f>
        <v>1987</v>
      </c>
      <c r="T648" s="32">
        <f ca="1">IFERROR(__xludf.DUMMYFUNCTION("""COMPUTED_VALUE"""),1987)</f>
        <v>1987</v>
      </c>
      <c r="U648" s="32"/>
      <c r="V648" s="32">
        <f ca="1">IFERROR(__xludf.DUMMYFUNCTION("""COMPUTED_VALUE"""),1965)</f>
        <v>1965</v>
      </c>
      <c r="W648" s="32"/>
      <c r="X648" s="32">
        <f ca="1">IFERROR(__xludf.DUMMYFUNCTION("""COMPUTED_VALUE"""),443)</f>
        <v>443</v>
      </c>
      <c r="Y648" s="32"/>
      <c r="Z648" s="2"/>
      <c r="AA648" s="2"/>
      <c r="AB648" s="2"/>
      <c r="AC648" s="2"/>
      <c r="AD648" s="2"/>
      <c r="AE648" s="2"/>
    </row>
    <row r="649" spans="1:31" ht="12.75" x14ac:dyDescent="0.2">
      <c r="A649" s="28">
        <f ca="1">IFERROR(__xludf.DUMMYFUNCTION("""COMPUTED_VALUE"""),10)</f>
        <v>10</v>
      </c>
      <c r="B649" s="29" t="str">
        <f ca="1">IFERROR(__xludf.DUMMYFUNCTION("""COMPUTED_VALUE"""),"THPT Tam Phú")</f>
        <v>THPT Tam Phú</v>
      </c>
      <c r="C649" s="33" t="str">
        <f ca="1">IFERROR(__xludf.DUMMYFUNCTION("""COMPUTED_VALUE"""),"THPT")</f>
        <v>THPT</v>
      </c>
      <c r="D649" s="30" t="str">
        <f ca="1">IFERROR(__xludf.DUMMYFUNCTION("""COMPUTED_VALUE"""),"Tp. Thủ Đức")</f>
        <v>Tp. Thủ Đức</v>
      </c>
      <c r="E649" s="31">
        <f ca="1">IFERROR(__xludf.DUMMYFUNCTION("""COMPUTED_VALUE"""),92)</f>
        <v>92</v>
      </c>
      <c r="F649" s="32">
        <f ca="1">IFERROR(__xludf.DUMMYFUNCTION("""COMPUTED_VALUE"""),92)</f>
        <v>92</v>
      </c>
      <c r="G649" s="32"/>
      <c r="H649" s="32">
        <f ca="1">IFERROR(__xludf.DUMMYFUNCTION("""COMPUTED_VALUE"""),92)</f>
        <v>92</v>
      </c>
      <c r="I649" s="32"/>
      <c r="J649" s="32">
        <f ca="1">IFERROR(__xludf.DUMMYFUNCTION("""COMPUTED_VALUE"""),85)</f>
        <v>85</v>
      </c>
      <c r="K649" s="32"/>
      <c r="L649" s="32">
        <f ca="1">IFERROR(__xludf.DUMMYFUNCTION("""COMPUTED_VALUE"""),18)</f>
        <v>18</v>
      </c>
      <c r="M649" s="32"/>
      <c r="N649" s="31">
        <f ca="1">IFERROR(__xludf.DUMMYFUNCTION("""COMPUTED_VALUE"""),0)</f>
        <v>0</v>
      </c>
      <c r="O649" s="32">
        <f ca="1">IFERROR(__xludf.DUMMYFUNCTION("""COMPUTED_VALUE"""),0)</f>
        <v>0</v>
      </c>
      <c r="P649" s="32"/>
      <c r="Q649" s="32">
        <f ca="1">IFERROR(__xludf.DUMMYFUNCTION("""COMPUTED_VALUE"""),0)</f>
        <v>0</v>
      </c>
      <c r="R649" s="32"/>
      <c r="S649" s="31">
        <f ca="1">IFERROR(__xludf.DUMMYFUNCTION("""COMPUTED_VALUE"""),1676)</f>
        <v>1676</v>
      </c>
      <c r="T649" s="32">
        <f ca="1">IFERROR(__xludf.DUMMYFUNCTION("""COMPUTED_VALUE"""),1676)</f>
        <v>1676</v>
      </c>
      <c r="U649" s="32"/>
      <c r="V649" s="32">
        <f ca="1">IFERROR(__xludf.DUMMYFUNCTION("""COMPUTED_VALUE"""),1592)</f>
        <v>1592</v>
      </c>
      <c r="W649" s="32"/>
      <c r="X649" s="32">
        <f ca="1">IFERROR(__xludf.DUMMYFUNCTION("""COMPUTED_VALUE"""),565)</f>
        <v>565</v>
      </c>
      <c r="Y649" s="32"/>
      <c r="Z649" s="2"/>
      <c r="AA649" s="2"/>
      <c r="AB649" s="2"/>
      <c r="AC649" s="2"/>
      <c r="AD649" s="2"/>
      <c r="AE649" s="2"/>
    </row>
    <row r="650" spans="1:31" ht="12.75" x14ac:dyDescent="0.2">
      <c r="A650" s="28">
        <f ca="1">IFERROR(__xludf.DUMMYFUNCTION("""COMPUTED_VALUE"""),11)</f>
        <v>11</v>
      </c>
      <c r="B650" s="29" t="str">
        <f ca="1">IFERROR(__xludf.DUMMYFUNCTION("""COMPUTED_VALUE"""),"THPT Phước Long")</f>
        <v>THPT Phước Long</v>
      </c>
      <c r="C650" s="33" t="str">
        <f ca="1">IFERROR(__xludf.DUMMYFUNCTION("""COMPUTED_VALUE"""),"THPT")</f>
        <v>THPT</v>
      </c>
      <c r="D650" s="30" t="str">
        <f ca="1">IFERROR(__xludf.DUMMYFUNCTION("""COMPUTED_VALUE"""),"Tp. Thủ Đức")</f>
        <v>Tp. Thủ Đức</v>
      </c>
      <c r="E650" s="31">
        <f ca="1">IFERROR(__xludf.DUMMYFUNCTION("""COMPUTED_VALUE"""),89)</f>
        <v>89</v>
      </c>
      <c r="F650" s="32">
        <f ca="1">IFERROR(__xludf.DUMMYFUNCTION("""COMPUTED_VALUE"""),89)</f>
        <v>89</v>
      </c>
      <c r="G650" s="32"/>
      <c r="H650" s="32">
        <f ca="1">IFERROR(__xludf.DUMMYFUNCTION("""COMPUTED_VALUE"""),89)</f>
        <v>89</v>
      </c>
      <c r="I650" s="32"/>
      <c r="J650" s="32">
        <f ca="1">IFERROR(__xludf.DUMMYFUNCTION("""COMPUTED_VALUE"""),89)</f>
        <v>89</v>
      </c>
      <c r="K650" s="32"/>
      <c r="L650" s="32">
        <f ca="1">IFERROR(__xludf.DUMMYFUNCTION("""COMPUTED_VALUE"""),15)</f>
        <v>15</v>
      </c>
      <c r="M650" s="32"/>
      <c r="N650" s="31">
        <f ca="1">IFERROR(__xludf.DUMMYFUNCTION("""COMPUTED_VALUE"""),0)</f>
        <v>0</v>
      </c>
      <c r="O650" s="32">
        <f ca="1">IFERROR(__xludf.DUMMYFUNCTION("""COMPUTED_VALUE"""),0)</f>
        <v>0</v>
      </c>
      <c r="P650" s="32"/>
      <c r="Q650" s="32">
        <f ca="1">IFERROR(__xludf.DUMMYFUNCTION("""COMPUTED_VALUE"""),0)</f>
        <v>0</v>
      </c>
      <c r="R650" s="32"/>
      <c r="S650" s="31">
        <f ca="1">IFERROR(__xludf.DUMMYFUNCTION("""COMPUTED_VALUE"""),1496)</f>
        <v>1496</v>
      </c>
      <c r="T650" s="32">
        <f ca="1">IFERROR(__xludf.DUMMYFUNCTION("""COMPUTED_VALUE"""),1492)</f>
        <v>1492</v>
      </c>
      <c r="U650" s="32"/>
      <c r="V650" s="32">
        <f ca="1">IFERROR(__xludf.DUMMYFUNCTION("""COMPUTED_VALUE"""),1056)</f>
        <v>1056</v>
      </c>
      <c r="W650" s="32"/>
      <c r="X650" s="32">
        <f ca="1">IFERROR(__xludf.DUMMYFUNCTION("""COMPUTED_VALUE"""),598)</f>
        <v>598</v>
      </c>
      <c r="Y650" s="32"/>
      <c r="Z650" s="2"/>
      <c r="AA650" s="2"/>
      <c r="AB650" s="2"/>
      <c r="AC650" s="2"/>
      <c r="AD650" s="2"/>
      <c r="AE650" s="2"/>
    </row>
    <row r="651" spans="1:31" ht="12.75" x14ac:dyDescent="0.2">
      <c r="A651" s="28">
        <f ca="1">IFERROR(__xludf.DUMMYFUNCTION("""COMPUTED_VALUE"""),12)</f>
        <v>12</v>
      </c>
      <c r="B651" s="29" t="str">
        <f ca="1">IFERROR(__xludf.DUMMYFUNCTION("""COMPUTED_VALUE"""),"THPT Nguyễn Hữu Huân")</f>
        <v>THPT Nguyễn Hữu Huân</v>
      </c>
      <c r="C651" s="33" t="str">
        <f ca="1">IFERROR(__xludf.DUMMYFUNCTION("""COMPUTED_VALUE"""),"THPT")</f>
        <v>THPT</v>
      </c>
      <c r="D651" s="30" t="str">
        <f ca="1">IFERROR(__xludf.DUMMYFUNCTION("""COMPUTED_VALUE"""),"Tp. Thủ Đức")</f>
        <v>Tp. Thủ Đức</v>
      </c>
      <c r="E651" s="31">
        <f ca="1">IFERROR(__xludf.DUMMYFUNCTION("""COMPUTED_VALUE"""),125)</f>
        <v>125</v>
      </c>
      <c r="F651" s="32">
        <f ca="1">IFERROR(__xludf.DUMMYFUNCTION("""COMPUTED_VALUE"""),125)</f>
        <v>125</v>
      </c>
      <c r="G651" s="32"/>
      <c r="H651" s="32">
        <f ca="1">IFERROR(__xludf.DUMMYFUNCTION("""COMPUTED_VALUE"""),125)</f>
        <v>125</v>
      </c>
      <c r="I651" s="32"/>
      <c r="J651" s="32">
        <f ca="1">IFERROR(__xludf.DUMMYFUNCTION("""COMPUTED_VALUE"""),125)</f>
        <v>125</v>
      </c>
      <c r="K651" s="32"/>
      <c r="L651" s="32">
        <f ca="1">IFERROR(__xludf.DUMMYFUNCTION("""COMPUTED_VALUE"""),44)</f>
        <v>44</v>
      </c>
      <c r="M651" s="32"/>
      <c r="N651" s="31">
        <f ca="1">IFERROR(__xludf.DUMMYFUNCTION("""COMPUTED_VALUE"""),0)</f>
        <v>0</v>
      </c>
      <c r="O651" s="32">
        <f ca="1">IFERROR(__xludf.DUMMYFUNCTION("""COMPUTED_VALUE"""),0)</f>
        <v>0</v>
      </c>
      <c r="P651" s="32"/>
      <c r="Q651" s="32">
        <f ca="1">IFERROR(__xludf.DUMMYFUNCTION("""COMPUTED_VALUE"""),0)</f>
        <v>0</v>
      </c>
      <c r="R651" s="32"/>
      <c r="S651" s="31">
        <f ca="1">IFERROR(__xludf.DUMMYFUNCTION("""COMPUTED_VALUE"""),2034)</f>
        <v>2034</v>
      </c>
      <c r="T651" s="32">
        <f ca="1">IFERROR(__xludf.DUMMYFUNCTION("""COMPUTED_VALUE"""),2006)</f>
        <v>2006</v>
      </c>
      <c r="U651" s="32"/>
      <c r="V651" s="32">
        <f ca="1">IFERROR(__xludf.DUMMYFUNCTION("""COMPUTED_VALUE"""),2004)</f>
        <v>2004</v>
      </c>
      <c r="W651" s="32"/>
      <c r="X651" s="32">
        <f ca="1">IFERROR(__xludf.DUMMYFUNCTION("""COMPUTED_VALUE"""),876)</f>
        <v>876</v>
      </c>
      <c r="Y651" s="32"/>
      <c r="Z651" s="2"/>
      <c r="AA651" s="2"/>
      <c r="AB651" s="2"/>
      <c r="AC651" s="2"/>
      <c r="AD651" s="2"/>
      <c r="AE651" s="2"/>
    </row>
    <row r="652" spans="1:31" ht="12.75" x14ac:dyDescent="0.2">
      <c r="A652" s="28">
        <f ca="1">IFERROR(__xludf.DUMMYFUNCTION("""COMPUTED_VALUE"""),13)</f>
        <v>13</v>
      </c>
      <c r="B652" s="29" t="str">
        <f ca="1">IFERROR(__xludf.DUMMYFUNCTION("""COMPUTED_VALUE"""),"THPT Long Trường")</f>
        <v>THPT Long Trường</v>
      </c>
      <c r="C652" s="33" t="str">
        <f ca="1">IFERROR(__xludf.DUMMYFUNCTION("""COMPUTED_VALUE"""),"THPT")</f>
        <v>THPT</v>
      </c>
      <c r="D652" s="30" t="str">
        <f ca="1">IFERROR(__xludf.DUMMYFUNCTION("""COMPUTED_VALUE"""),"Tp. Thủ Đức")</f>
        <v>Tp. Thủ Đức</v>
      </c>
      <c r="E652" s="31">
        <f ca="1">IFERROR(__xludf.DUMMYFUNCTION("""COMPUTED_VALUE"""),74)</f>
        <v>74</v>
      </c>
      <c r="F652" s="32">
        <f ca="1">IFERROR(__xludf.DUMMYFUNCTION("""COMPUTED_VALUE"""),74)</f>
        <v>74</v>
      </c>
      <c r="G652" s="32"/>
      <c r="H652" s="32">
        <f ca="1">IFERROR(__xludf.DUMMYFUNCTION("""COMPUTED_VALUE"""),74)</f>
        <v>74</v>
      </c>
      <c r="I652" s="32"/>
      <c r="J652" s="32">
        <f ca="1">IFERROR(__xludf.DUMMYFUNCTION("""COMPUTED_VALUE"""),63)</f>
        <v>63</v>
      </c>
      <c r="K652" s="32"/>
      <c r="L652" s="32">
        <f ca="1">IFERROR(__xludf.DUMMYFUNCTION("""COMPUTED_VALUE"""),7)</f>
        <v>7</v>
      </c>
      <c r="M652" s="32"/>
      <c r="N652" s="31">
        <f ca="1">IFERROR(__xludf.DUMMYFUNCTION("""COMPUTED_VALUE"""),0)</f>
        <v>0</v>
      </c>
      <c r="O652" s="32">
        <f ca="1">IFERROR(__xludf.DUMMYFUNCTION("""COMPUTED_VALUE"""),0)</f>
        <v>0</v>
      </c>
      <c r="P652" s="32"/>
      <c r="Q652" s="32">
        <f ca="1">IFERROR(__xludf.DUMMYFUNCTION("""COMPUTED_VALUE"""),0)</f>
        <v>0</v>
      </c>
      <c r="R652" s="32"/>
      <c r="S652" s="31">
        <f ca="1">IFERROR(__xludf.DUMMYFUNCTION("""COMPUTED_VALUE"""),1463)</f>
        <v>1463</v>
      </c>
      <c r="T652" s="32">
        <f ca="1">IFERROR(__xludf.DUMMYFUNCTION("""COMPUTED_VALUE"""),1453)</f>
        <v>1453</v>
      </c>
      <c r="U652" s="32"/>
      <c r="V652" s="32">
        <f ca="1">IFERROR(__xludf.DUMMYFUNCTION("""COMPUTED_VALUE"""),1435)</f>
        <v>1435</v>
      </c>
      <c r="W652" s="32"/>
      <c r="X652" s="32">
        <f ca="1">IFERROR(__xludf.DUMMYFUNCTION("""COMPUTED_VALUE"""),513)</f>
        <v>513</v>
      </c>
      <c r="Y652" s="32"/>
      <c r="Z652" s="2"/>
      <c r="AA652" s="2"/>
      <c r="AB652" s="2"/>
      <c r="AC652" s="2"/>
      <c r="AD652" s="2"/>
      <c r="AE652" s="2"/>
    </row>
    <row r="653" spans="1:31" ht="12.75" x14ac:dyDescent="0.2">
      <c r="A653" s="28">
        <f ca="1">IFERROR(__xludf.DUMMYFUNCTION("""COMPUTED_VALUE"""),14)</f>
        <v>14</v>
      </c>
      <c r="B653" s="29" t="str">
        <f ca="1">IFERROR(__xludf.DUMMYFUNCTION("""COMPUTED_VALUE"""),"THPT Hồng Đức")</f>
        <v>THPT Hồng Đức</v>
      </c>
      <c r="C653" s="33" t="str">
        <f ca="1">IFERROR(__xludf.DUMMYFUNCTION("""COMPUTED_VALUE"""),"THPT")</f>
        <v>THPT</v>
      </c>
      <c r="D653" s="30" t="str">
        <f ca="1">IFERROR(__xludf.DUMMYFUNCTION("""COMPUTED_VALUE"""),"Tp. Thủ Đức")</f>
        <v>Tp. Thủ Đức</v>
      </c>
      <c r="E653" s="31">
        <f ca="1">IFERROR(__xludf.DUMMYFUNCTION("""COMPUTED_VALUE"""),38)</f>
        <v>38</v>
      </c>
      <c r="F653" s="32">
        <f ca="1">IFERROR(__xludf.DUMMYFUNCTION("""COMPUTED_VALUE"""),38)</f>
        <v>38</v>
      </c>
      <c r="G653" s="32"/>
      <c r="H653" s="32">
        <f ca="1">IFERROR(__xludf.DUMMYFUNCTION("""COMPUTED_VALUE"""),38)</f>
        <v>38</v>
      </c>
      <c r="I653" s="32"/>
      <c r="J653" s="32">
        <f ca="1">IFERROR(__xludf.DUMMYFUNCTION("""COMPUTED_VALUE"""),38)</f>
        <v>38</v>
      </c>
      <c r="K653" s="32"/>
      <c r="L653" s="32">
        <f ca="1">IFERROR(__xludf.DUMMYFUNCTION("""COMPUTED_VALUE"""),30)</f>
        <v>30</v>
      </c>
      <c r="M653" s="32"/>
      <c r="N653" s="31">
        <f ca="1">IFERROR(__xludf.DUMMYFUNCTION("""COMPUTED_VALUE"""),22)</f>
        <v>22</v>
      </c>
      <c r="O653" s="32">
        <f ca="1">IFERROR(__xludf.DUMMYFUNCTION("""COMPUTED_VALUE"""),22)</f>
        <v>22</v>
      </c>
      <c r="P653" s="32"/>
      <c r="Q653" s="32">
        <f ca="1">IFERROR(__xludf.DUMMYFUNCTION("""COMPUTED_VALUE"""),18)</f>
        <v>18</v>
      </c>
      <c r="R653" s="32"/>
      <c r="S653" s="31">
        <f ca="1">IFERROR(__xludf.DUMMYFUNCTION("""COMPUTED_VALUE"""),428)</f>
        <v>428</v>
      </c>
      <c r="T653" s="32">
        <f ca="1">IFERROR(__xludf.DUMMYFUNCTION("""COMPUTED_VALUE"""),428)</f>
        <v>428</v>
      </c>
      <c r="U653" s="32"/>
      <c r="V653" s="32">
        <f ca="1">IFERROR(__xludf.DUMMYFUNCTION("""COMPUTED_VALUE"""),428)</f>
        <v>428</v>
      </c>
      <c r="W653" s="32"/>
      <c r="X653" s="32">
        <f ca="1">IFERROR(__xludf.DUMMYFUNCTION("""COMPUTED_VALUE"""),358)</f>
        <v>358</v>
      </c>
      <c r="Y653" s="32"/>
      <c r="Z653" s="2"/>
      <c r="AA653" s="2"/>
      <c r="AB653" s="2"/>
      <c r="AC653" s="2"/>
      <c r="AD653" s="2"/>
      <c r="AE653" s="2"/>
    </row>
    <row r="654" spans="1:31" ht="12.75" x14ac:dyDescent="0.2">
      <c r="A654" s="28">
        <f ca="1">IFERROR(__xludf.DUMMYFUNCTION("""COMPUTED_VALUE"""),15)</f>
        <v>15</v>
      </c>
      <c r="B654" s="29" t="str">
        <f ca="1">IFERROR(__xludf.DUMMYFUNCTION("""COMPUTED_VALUE"""),"THPT An Dương Vương")</f>
        <v>THPT An Dương Vương</v>
      </c>
      <c r="C654" s="33" t="str">
        <f ca="1">IFERROR(__xludf.DUMMYFUNCTION("""COMPUTED_VALUE"""),"THPT")</f>
        <v>THPT</v>
      </c>
      <c r="D654" s="30" t="str">
        <f ca="1">IFERROR(__xludf.DUMMYFUNCTION("""COMPUTED_VALUE"""),"Tp. Thủ Đức")</f>
        <v>Tp. Thủ Đức</v>
      </c>
      <c r="E654" s="31">
        <f ca="1">IFERROR(__xludf.DUMMYFUNCTION("""COMPUTED_VALUE"""),59)</f>
        <v>59</v>
      </c>
      <c r="F654" s="32">
        <f ca="1">IFERROR(__xludf.DUMMYFUNCTION("""COMPUTED_VALUE"""),59)</f>
        <v>59</v>
      </c>
      <c r="G654" s="32"/>
      <c r="H654" s="32">
        <f ca="1">IFERROR(__xludf.DUMMYFUNCTION("""COMPUTED_VALUE"""),59)</f>
        <v>59</v>
      </c>
      <c r="I654" s="32"/>
      <c r="J654" s="32">
        <f ca="1">IFERROR(__xludf.DUMMYFUNCTION("""COMPUTED_VALUE"""),57)</f>
        <v>57</v>
      </c>
      <c r="K654" s="32"/>
      <c r="L654" s="32">
        <f ca="1">IFERROR(__xludf.DUMMYFUNCTION("""COMPUTED_VALUE"""),38)</f>
        <v>38</v>
      </c>
      <c r="M654" s="32"/>
      <c r="N654" s="31">
        <f ca="1">IFERROR(__xludf.DUMMYFUNCTION("""COMPUTED_VALUE"""),0)</f>
        <v>0</v>
      </c>
      <c r="O654" s="32">
        <f ca="1">IFERROR(__xludf.DUMMYFUNCTION("""COMPUTED_VALUE"""),0)</f>
        <v>0</v>
      </c>
      <c r="P654" s="32"/>
      <c r="Q654" s="32">
        <f ca="1">IFERROR(__xludf.DUMMYFUNCTION("""COMPUTED_VALUE"""),0)</f>
        <v>0</v>
      </c>
      <c r="R654" s="32"/>
      <c r="S654" s="31">
        <f ca="1">IFERROR(__xludf.DUMMYFUNCTION("""COMPUTED_VALUE"""),455)</f>
        <v>455</v>
      </c>
      <c r="T654" s="32">
        <f ca="1">IFERROR(__xludf.DUMMYFUNCTION("""COMPUTED_VALUE"""),455)</f>
        <v>455</v>
      </c>
      <c r="U654" s="32"/>
      <c r="V654" s="32">
        <f ca="1">IFERROR(__xludf.DUMMYFUNCTION("""COMPUTED_VALUE"""),453)</f>
        <v>453</v>
      </c>
      <c r="W654" s="32"/>
      <c r="X654" s="32">
        <f ca="1">IFERROR(__xludf.DUMMYFUNCTION("""COMPUTED_VALUE"""),281)</f>
        <v>281</v>
      </c>
      <c r="Y654" s="32"/>
      <c r="Z654" s="2"/>
      <c r="AA654" s="2"/>
      <c r="AB654" s="2"/>
      <c r="AC654" s="2"/>
      <c r="AD654" s="2"/>
      <c r="AE654" s="2"/>
    </row>
    <row r="655" spans="1:31" ht="12.75" x14ac:dyDescent="0.2">
      <c r="A655" s="28">
        <f ca="1">IFERROR(__xludf.DUMMYFUNCTION("""COMPUTED_VALUE"""),16)</f>
        <v>16</v>
      </c>
      <c r="B655" s="29" t="str">
        <f ca="1">IFERROR(__xludf.DUMMYFUNCTION("""COMPUTED_VALUE"""),"THPT Nguyễn Khuyến")</f>
        <v>THPT Nguyễn Khuyến</v>
      </c>
      <c r="C655" s="33" t="str">
        <f ca="1">IFERROR(__xludf.DUMMYFUNCTION("""COMPUTED_VALUE"""),"THPT")</f>
        <v>THPT</v>
      </c>
      <c r="D655" s="30" t="str">
        <f ca="1">IFERROR(__xludf.DUMMYFUNCTION("""COMPUTED_VALUE"""),"Tp. Thủ Đức")</f>
        <v>Tp. Thủ Đức</v>
      </c>
      <c r="E655" s="31">
        <f ca="1">IFERROR(__xludf.DUMMYFUNCTION("""COMPUTED_VALUE"""),266)</f>
        <v>266</v>
      </c>
      <c r="F655" s="32">
        <f ca="1">IFERROR(__xludf.DUMMYFUNCTION("""COMPUTED_VALUE"""),266)</f>
        <v>266</v>
      </c>
      <c r="G655" s="32"/>
      <c r="H655" s="32">
        <f ca="1">IFERROR(__xludf.DUMMYFUNCTION("""COMPUTED_VALUE"""),266)</f>
        <v>266</v>
      </c>
      <c r="I655" s="32"/>
      <c r="J655" s="32">
        <f ca="1">IFERROR(__xludf.DUMMYFUNCTION("""COMPUTED_VALUE"""),266)</f>
        <v>266</v>
      </c>
      <c r="K655" s="32"/>
      <c r="L655" s="32">
        <f ca="1">IFERROR(__xludf.DUMMYFUNCTION("""COMPUTED_VALUE"""),232)</f>
        <v>232</v>
      </c>
      <c r="M655" s="32"/>
      <c r="N655" s="31">
        <f ca="1">IFERROR(__xludf.DUMMYFUNCTION("""COMPUTED_VALUE"""),0)</f>
        <v>0</v>
      </c>
      <c r="O655" s="32">
        <f ca="1">IFERROR(__xludf.DUMMYFUNCTION("""COMPUTED_VALUE"""),0)</f>
        <v>0</v>
      </c>
      <c r="P655" s="32"/>
      <c r="Q655" s="32">
        <f ca="1">IFERROR(__xludf.DUMMYFUNCTION("""COMPUTED_VALUE"""),0)</f>
        <v>0</v>
      </c>
      <c r="R655" s="32"/>
      <c r="S655" s="31">
        <f ca="1">IFERROR(__xludf.DUMMYFUNCTION("""COMPUTED_VALUE"""),1486)</f>
        <v>1486</v>
      </c>
      <c r="T655" s="32">
        <f ca="1">IFERROR(__xludf.DUMMYFUNCTION("""COMPUTED_VALUE"""),1486)</f>
        <v>1486</v>
      </c>
      <c r="U655" s="32"/>
      <c r="V655" s="32">
        <f ca="1">IFERROR(__xludf.DUMMYFUNCTION("""COMPUTED_VALUE"""),1486)</f>
        <v>1486</v>
      </c>
      <c r="W655" s="32"/>
      <c r="X655" s="32">
        <f ca="1">IFERROR(__xludf.DUMMYFUNCTION("""COMPUTED_VALUE"""),1123)</f>
        <v>1123</v>
      </c>
      <c r="Y655" s="32"/>
      <c r="Z655" s="2"/>
      <c r="AA655" s="2"/>
      <c r="AB655" s="2"/>
      <c r="AC655" s="2"/>
      <c r="AD655" s="2"/>
      <c r="AE655" s="2"/>
    </row>
    <row r="656" spans="1:31" ht="12.75" x14ac:dyDescent="0.2">
      <c r="A656" s="28">
        <f ca="1">IFERROR(__xludf.DUMMYFUNCTION("""COMPUTED_VALUE"""),17)</f>
        <v>17</v>
      </c>
      <c r="B656" s="29" t="str">
        <f ca="1">IFERROR(__xludf.DUMMYFUNCTION("""COMPUTED_VALUE"""),"THCS-THPT Hoa Sen")</f>
        <v>THCS-THPT Hoa Sen</v>
      </c>
      <c r="C656" s="33" t="str">
        <f ca="1">IFERROR(__xludf.DUMMYFUNCTION("""COMPUTED_VALUE"""),"THPT")</f>
        <v>THPT</v>
      </c>
      <c r="D656" s="30" t="str">
        <f ca="1">IFERROR(__xludf.DUMMYFUNCTION("""COMPUTED_VALUE"""),"Tp. Thủ Đức")</f>
        <v>Tp. Thủ Đức</v>
      </c>
      <c r="E656" s="31">
        <f ca="1">IFERROR(__xludf.DUMMYFUNCTION("""COMPUTED_VALUE"""),69)</f>
        <v>69</v>
      </c>
      <c r="F656" s="32">
        <f ca="1">IFERROR(__xludf.DUMMYFUNCTION("""COMPUTED_VALUE"""),69)</f>
        <v>69</v>
      </c>
      <c r="G656" s="32"/>
      <c r="H656" s="32">
        <f ca="1">IFERROR(__xludf.DUMMYFUNCTION("""COMPUTED_VALUE"""),69)</f>
        <v>69</v>
      </c>
      <c r="I656" s="32"/>
      <c r="J656" s="32">
        <f ca="1">IFERROR(__xludf.DUMMYFUNCTION("""COMPUTED_VALUE"""),69)</f>
        <v>69</v>
      </c>
      <c r="K656" s="32"/>
      <c r="L656" s="32">
        <f ca="1">IFERROR(__xludf.DUMMYFUNCTION("""COMPUTED_VALUE"""),15)</f>
        <v>15</v>
      </c>
      <c r="M656" s="32"/>
      <c r="N656" s="31">
        <f ca="1">IFERROR(__xludf.DUMMYFUNCTION("""COMPUTED_VALUE"""),0)</f>
        <v>0</v>
      </c>
      <c r="O656" s="32">
        <f ca="1">IFERROR(__xludf.DUMMYFUNCTION("""COMPUTED_VALUE"""),0)</f>
        <v>0</v>
      </c>
      <c r="P656" s="32"/>
      <c r="Q656" s="32">
        <f ca="1">IFERROR(__xludf.DUMMYFUNCTION("""COMPUTED_VALUE"""),0)</f>
        <v>0</v>
      </c>
      <c r="R656" s="32"/>
      <c r="S656" s="31">
        <f ca="1">IFERROR(__xludf.DUMMYFUNCTION("""COMPUTED_VALUE"""),1909)</f>
        <v>1909</v>
      </c>
      <c r="T656" s="32">
        <f ca="1">IFERROR(__xludf.DUMMYFUNCTION("""COMPUTED_VALUE"""),1290)</f>
        <v>1290</v>
      </c>
      <c r="U656" s="32"/>
      <c r="V656" s="32">
        <f ca="1">IFERROR(__xludf.DUMMYFUNCTION("""COMPUTED_VALUE"""),1859)</f>
        <v>1859</v>
      </c>
      <c r="W656" s="32"/>
      <c r="X656" s="32">
        <f ca="1">IFERROR(__xludf.DUMMYFUNCTION("""COMPUTED_VALUE"""),70)</f>
        <v>70</v>
      </c>
      <c r="Y656" s="32"/>
      <c r="Z656" s="2"/>
      <c r="AA656" s="2"/>
      <c r="AB656" s="2"/>
      <c r="AC656" s="2"/>
      <c r="AD656" s="2"/>
      <c r="AE656" s="2"/>
    </row>
    <row r="657" spans="1:31" ht="12.75" x14ac:dyDescent="0.2">
      <c r="A657" s="28">
        <f ca="1">IFERROR(__xludf.DUMMYFUNCTION("""COMPUTED_VALUE"""),18)</f>
        <v>18</v>
      </c>
      <c r="B657" s="29" t="str">
        <f ca="1">IFERROR(__xludf.DUMMYFUNCTION("""COMPUTED_VALUE"""),"TH-THCS Tuệ Đức")</f>
        <v>TH-THCS Tuệ Đức</v>
      </c>
      <c r="C657" s="33" t="str">
        <f ca="1">IFERROR(__xludf.DUMMYFUNCTION("""COMPUTED_VALUE"""),"THPT")</f>
        <v>THPT</v>
      </c>
      <c r="D657" s="30" t="str">
        <f ca="1">IFERROR(__xludf.DUMMYFUNCTION("""COMPUTED_VALUE"""),"Tp. Thủ Đức")</f>
        <v>Tp. Thủ Đức</v>
      </c>
      <c r="E657" s="31">
        <f ca="1">IFERROR(__xludf.DUMMYFUNCTION("""COMPUTED_VALUE"""),187)</f>
        <v>187</v>
      </c>
      <c r="F657" s="32">
        <f ca="1">IFERROR(__xludf.DUMMYFUNCTION("""COMPUTED_VALUE"""),187)</f>
        <v>187</v>
      </c>
      <c r="G657" s="32"/>
      <c r="H657" s="32">
        <f ca="1">IFERROR(__xludf.DUMMYFUNCTION("""COMPUTED_VALUE"""),186)</f>
        <v>186</v>
      </c>
      <c r="I657" s="32"/>
      <c r="J657" s="32">
        <f ca="1">IFERROR(__xludf.DUMMYFUNCTION("""COMPUTED_VALUE"""),116)</f>
        <v>116</v>
      </c>
      <c r="K657" s="32"/>
      <c r="L657" s="32">
        <f ca="1">IFERROR(__xludf.DUMMYFUNCTION("""COMPUTED_VALUE"""),11)</f>
        <v>11</v>
      </c>
      <c r="M657" s="32"/>
      <c r="N657" s="31">
        <f ca="1">IFERROR(__xludf.DUMMYFUNCTION("""COMPUTED_VALUE"""),991)</f>
        <v>991</v>
      </c>
      <c r="O657" s="32">
        <f ca="1">IFERROR(__xludf.DUMMYFUNCTION("""COMPUTED_VALUE"""),131)</f>
        <v>131</v>
      </c>
      <c r="P657" s="32"/>
      <c r="Q657" s="32">
        <f ca="1">IFERROR(__xludf.DUMMYFUNCTION("""COMPUTED_VALUE"""),141)</f>
        <v>141</v>
      </c>
      <c r="R657" s="32"/>
      <c r="S657" s="31">
        <f ca="1">IFERROR(__xludf.DUMMYFUNCTION("""COMPUTED_VALUE"""),206)</f>
        <v>206</v>
      </c>
      <c r="T657" s="32">
        <f ca="1">IFERROR(__xludf.DUMMYFUNCTION("""COMPUTED_VALUE"""),163)</f>
        <v>163</v>
      </c>
      <c r="U657" s="32"/>
      <c r="V657" s="32">
        <f ca="1">IFERROR(__xludf.DUMMYFUNCTION("""COMPUTED_VALUE"""),107)</f>
        <v>107</v>
      </c>
      <c r="W657" s="32"/>
      <c r="X657" s="32">
        <f ca="1">IFERROR(__xludf.DUMMYFUNCTION("""COMPUTED_VALUE"""),13)</f>
        <v>13</v>
      </c>
      <c r="Y657" s="32"/>
      <c r="Z657" s="2"/>
      <c r="AA657" s="2"/>
      <c r="AB657" s="2"/>
      <c r="AC657" s="2"/>
      <c r="AD657" s="2"/>
      <c r="AE657" s="2"/>
    </row>
    <row r="658" spans="1:31" ht="12.75" x14ac:dyDescent="0.2">
      <c r="A658" s="28">
        <f ca="1">IFERROR(__xludf.DUMMYFUNCTION("""COMPUTED_VALUE"""),19)</f>
        <v>19</v>
      </c>
      <c r="B658" s="29" t="str">
        <f ca="1">IFERROR(__xludf.DUMMYFUNCTION("""COMPUTED_VALUE"""),"TH - THPT Ngô Thời Nhiệm")</f>
        <v>TH - THPT Ngô Thời Nhiệm</v>
      </c>
      <c r="C658" s="33" t="str">
        <f ca="1">IFERROR(__xludf.DUMMYFUNCTION("""COMPUTED_VALUE"""),"THPT")</f>
        <v>THPT</v>
      </c>
      <c r="D658" s="30" t="str">
        <f ca="1">IFERROR(__xludf.DUMMYFUNCTION("""COMPUTED_VALUE"""),"Tp. Thủ Đức")</f>
        <v>Tp. Thủ Đức</v>
      </c>
      <c r="E658" s="31">
        <f ca="1">IFERROR(__xludf.DUMMYFUNCTION("""COMPUTED_VALUE"""),350)</f>
        <v>350</v>
      </c>
      <c r="F658" s="32">
        <f ca="1">IFERROR(__xludf.DUMMYFUNCTION("""COMPUTED_VALUE"""),350)</f>
        <v>350</v>
      </c>
      <c r="G658" s="32"/>
      <c r="H658" s="32">
        <f ca="1">IFERROR(__xludf.DUMMYFUNCTION("""COMPUTED_VALUE"""),350)</f>
        <v>350</v>
      </c>
      <c r="I658" s="32"/>
      <c r="J658" s="32">
        <f ca="1">IFERROR(__xludf.DUMMYFUNCTION("""COMPUTED_VALUE"""),192)</f>
        <v>192</v>
      </c>
      <c r="K658" s="32"/>
      <c r="L658" s="32">
        <f ca="1">IFERROR(__xludf.DUMMYFUNCTION("""COMPUTED_VALUE"""),135)</f>
        <v>135</v>
      </c>
      <c r="M658" s="32"/>
      <c r="N658" s="31">
        <f ca="1">IFERROR(__xludf.DUMMYFUNCTION("""COMPUTED_VALUE"""),496)</f>
        <v>496</v>
      </c>
      <c r="O658" s="32">
        <f ca="1">IFERROR(__xludf.DUMMYFUNCTION("""COMPUTED_VALUE"""),67)</f>
        <v>67</v>
      </c>
      <c r="P658" s="32"/>
      <c r="Q658" s="32">
        <f ca="1">IFERROR(__xludf.DUMMYFUNCTION("""COMPUTED_VALUE"""),32)</f>
        <v>32</v>
      </c>
      <c r="R658" s="32"/>
      <c r="S658" s="31">
        <f ca="1">IFERROR(__xludf.DUMMYFUNCTION("""COMPUTED_VALUE"""),2805)</f>
        <v>2805</v>
      </c>
      <c r="T658" s="32">
        <f ca="1">IFERROR(__xludf.DUMMYFUNCTION("""COMPUTED_VALUE"""),2164)</f>
        <v>2164</v>
      </c>
      <c r="U658" s="32"/>
      <c r="V658" s="32">
        <f ca="1">IFERROR(__xludf.DUMMYFUNCTION("""COMPUTED_VALUE"""),2164)</f>
        <v>2164</v>
      </c>
      <c r="W658" s="32"/>
      <c r="X658" s="32">
        <f ca="1">IFERROR(__xludf.DUMMYFUNCTION("""COMPUTED_VALUE"""),843)</f>
        <v>843</v>
      </c>
      <c r="Y658" s="32"/>
      <c r="Z658" s="2"/>
      <c r="AA658" s="2"/>
      <c r="AB658" s="2"/>
      <c r="AC658" s="2"/>
      <c r="AD658" s="2"/>
      <c r="AE658" s="2"/>
    </row>
    <row r="659" spans="1:31" ht="12.75" x14ac:dyDescent="0.2">
      <c r="A659" s="28">
        <f ca="1">IFERROR(__xludf.DUMMYFUNCTION("""COMPUTED_VALUE"""),20)</f>
        <v>20</v>
      </c>
      <c r="B659" s="29" t="str">
        <f ca="1">IFERROR(__xludf.DUMMYFUNCTION("""COMPUTED_VALUE"""),"TH-THCS-THPT Emasi Vạn Phúc")</f>
        <v>TH-THCS-THPT Emasi Vạn Phúc</v>
      </c>
      <c r="C659" s="33" t="str">
        <f ca="1">IFERROR(__xludf.DUMMYFUNCTION("""COMPUTED_VALUE"""),"THPT")</f>
        <v>THPT</v>
      </c>
      <c r="D659" s="30" t="str">
        <f ca="1">IFERROR(__xludf.DUMMYFUNCTION("""COMPUTED_VALUE"""),"Tp. Thủ Đức")</f>
        <v>Tp. Thủ Đức</v>
      </c>
      <c r="E659" s="31">
        <f ca="1">IFERROR(__xludf.DUMMYFUNCTION("""COMPUTED_VALUE"""),106)</f>
        <v>106</v>
      </c>
      <c r="F659" s="32">
        <f ca="1">IFERROR(__xludf.DUMMYFUNCTION("""COMPUTED_VALUE"""),106)</f>
        <v>106</v>
      </c>
      <c r="G659" s="32"/>
      <c r="H659" s="32">
        <f ca="1">IFERROR(__xludf.DUMMYFUNCTION("""COMPUTED_VALUE"""),106)</f>
        <v>106</v>
      </c>
      <c r="I659" s="32"/>
      <c r="J659" s="32">
        <f ca="1">IFERROR(__xludf.DUMMYFUNCTION("""COMPUTED_VALUE"""),95)</f>
        <v>95</v>
      </c>
      <c r="K659" s="32"/>
      <c r="L659" s="32">
        <f ca="1">IFERROR(__xludf.DUMMYFUNCTION("""COMPUTED_VALUE"""),35)</f>
        <v>35</v>
      </c>
      <c r="M659" s="32"/>
      <c r="N659" s="31">
        <f ca="1">IFERROR(__xludf.DUMMYFUNCTION("""COMPUTED_VALUE"""),503)</f>
        <v>503</v>
      </c>
      <c r="O659" s="32">
        <f ca="1">IFERROR(__xludf.DUMMYFUNCTION("""COMPUTED_VALUE"""),70)</f>
        <v>70</v>
      </c>
      <c r="P659" s="32"/>
      <c r="Q659" s="32">
        <f ca="1">IFERROR(__xludf.DUMMYFUNCTION("""COMPUTED_VALUE"""),30)</f>
        <v>30</v>
      </c>
      <c r="R659" s="32"/>
      <c r="S659" s="31">
        <f ca="1">IFERROR(__xludf.DUMMYFUNCTION("""COMPUTED_VALUE"""),217)</f>
        <v>217</v>
      </c>
      <c r="T659" s="32">
        <f ca="1">IFERROR(__xludf.DUMMYFUNCTION("""COMPUTED_VALUE"""),153)</f>
        <v>153</v>
      </c>
      <c r="U659" s="32"/>
      <c r="V659" s="32">
        <f ca="1">IFERROR(__xludf.DUMMYFUNCTION("""COMPUTED_VALUE"""),153)</f>
        <v>153</v>
      </c>
      <c r="W659" s="32"/>
      <c r="X659" s="32">
        <f ca="1">IFERROR(__xludf.DUMMYFUNCTION("""COMPUTED_VALUE"""),18)</f>
        <v>18</v>
      </c>
      <c r="Y659" s="32"/>
      <c r="Z659" s="2"/>
      <c r="AA659" s="2"/>
      <c r="AB659" s="2"/>
      <c r="AC659" s="2"/>
      <c r="AD659" s="2"/>
      <c r="AE659" s="2"/>
    </row>
    <row r="660" spans="1:31" ht="12.75" x14ac:dyDescent="0.2">
      <c r="A660" s="28">
        <f ca="1">IFERROR(__xludf.DUMMYFUNCTION("""COMPUTED_VALUE"""),21)</f>
        <v>21</v>
      </c>
      <c r="B660" s="46"/>
      <c r="C660" s="33" t="str">
        <f ca="1">IFERROR(__xludf.DUMMYFUNCTION("""COMPUTED_VALUE"""),"THPT")</f>
        <v>THPT</v>
      </c>
      <c r="D660" s="30" t="str">
        <f ca="1">IFERROR(__xludf.DUMMYFUNCTION("""COMPUTED_VALUE"""),"Tp. Thủ Đức")</f>
        <v>Tp. Thủ Đức</v>
      </c>
      <c r="E660" s="31">
        <f ca="1">IFERROR(__xludf.DUMMYFUNCTION("""COMPUTED_VALUE"""),102)</f>
        <v>102</v>
      </c>
      <c r="F660" s="32">
        <f ca="1">IFERROR(__xludf.DUMMYFUNCTION("""COMPUTED_VALUE"""),102)</f>
        <v>102</v>
      </c>
      <c r="G660" s="32"/>
      <c r="H660" s="32">
        <f ca="1">IFERROR(__xludf.DUMMYFUNCTION("""COMPUTED_VALUE"""),102)</f>
        <v>102</v>
      </c>
      <c r="I660" s="32"/>
      <c r="J660" s="32">
        <f ca="1">IFERROR(__xludf.DUMMYFUNCTION("""COMPUTED_VALUE"""),78)</f>
        <v>78</v>
      </c>
      <c r="K660" s="32"/>
      <c r="L660" s="32">
        <f ca="1">IFERROR(__xludf.DUMMYFUNCTION("""COMPUTED_VALUE"""),13)</f>
        <v>13</v>
      </c>
      <c r="M660" s="32"/>
      <c r="N660" s="31">
        <f ca="1">IFERROR(__xludf.DUMMYFUNCTION("""COMPUTED_VALUE"""),0)</f>
        <v>0</v>
      </c>
      <c r="O660" s="32">
        <f ca="1">IFERROR(__xludf.DUMMYFUNCTION("""COMPUTED_VALUE"""),0)</f>
        <v>0</v>
      </c>
      <c r="P660" s="32"/>
      <c r="Q660" s="32">
        <f ca="1">IFERROR(__xludf.DUMMYFUNCTION("""COMPUTED_VALUE"""),0)</f>
        <v>0</v>
      </c>
      <c r="R660" s="32"/>
      <c r="S660" s="31">
        <f ca="1">IFERROR(__xludf.DUMMYFUNCTION("""COMPUTED_VALUE"""),3271)</f>
        <v>3271</v>
      </c>
      <c r="T660" s="32">
        <f ca="1">IFERROR(__xludf.DUMMYFUNCTION("""COMPUTED_VALUE"""),3271)</f>
        <v>3271</v>
      </c>
      <c r="U660" s="32"/>
      <c r="V660" s="32">
        <f ca="1">IFERROR(__xludf.DUMMYFUNCTION("""COMPUTED_VALUE"""),3259)</f>
        <v>3259</v>
      </c>
      <c r="W660" s="32"/>
      <c r="X660" s="32">
        <f ca="1">IFERROR(__xludf.DUMMYFUNCTION("""COMPUTED_VALUE"""),550)</f>
        <v>550</v>
      </c>
      <c r="Y660" s="32"/>
      <c r="Z660" s="2"/>
      <c r="AA660" s="2"/>
      <c r="AB660" s="2"/>
      <c r="AC660" s="2"/>
      <c r="AD660" s="2"/>
      <c r="AE660" s="2"/>
    </row>
    <row r="661" spans="1:31" ht="12.75" x14ac:dyDescent="0.2">
      <c r="A661" s="28" t="str">
        <f ca="1">IFERROR(__xludf.DUMMYFUNCTION("""COMPUTED_VALUE"""),"TRƯỜNG QUỐC TẾ")</f>
        <v>TRƯỜNG QUỐC TẾ</v>
      </c>
      <c r="B661" s="29"/>
      <c r="C661" s="29"/>
      <c r="D661" s="47"/>
      <c r="E661" s="48"/>
      <c r="F661" s="40"/>
      <c r="G661" s="40"/>
      <c r="H661" s="40"/>
      <c r="I661" s="40"/>
      <c r="J661" s="40"/>
      <c r="K661" s="40"/>
      <c r="L661" s="40"/>
      <c r="M661" s="40"/>
      <c r="N661" s="39"/>
      <c r="O661" s="40"/>
      <c r="P661" s="40"/>
      <c r="Q661" s="40"/>
      <c r="R661" s="40"/>
      <c r="S661" s="39"/>
      <c r="T661" s="40"/>
      <c r="U661" s="40"/>
      <c r="V661" s="40"/>
      <c r="W661" s="40"/>
      <c r="X661" s="40"/>
      <c r="Y661" s="40"/>
      <c r="Z661" s="2"/>
      <c r="AA661" s="2"/>
      <c r="AB661" s="2"/>
      <c r="AC661" s="2"/>
      <c r="AD661" s="2"/>
      <c r="AE661" s="2"/>
    </row>
    <row r="662" spans="1:31" ht="12.75" x14ac:dyDescent="0.2">
      <c r="A662" s="45">
        <f ca="1">IFERROR(__xludf.DUMMYFUNCTION("""COMPUTED_VALUE"""),1)</f>
        <v>1</v>
      </c>
      <c r="B662" s="36" t="str">
        <f ca="1">IFERROR(__xludf.DUMMYFUNCTION("""COMPUTED_VALUE"""),"Quốc tế Việt Úc")</f>
        <v>Quốc tế Việt Úc</v>
      </c>
      <c r="C662" s="33" t="str">
        <f ca="1">IFERROR(__xludf.DUMMYFUNCTION("""COMPUTED_VALUE""")," Nhiều cấp học")</f>
        <v xml:space="preserve"> Nhiều cấp học</v>
      </c>
      <c r="D662" s="30" t="str">
        <f ca="1">IFERROR(__xludf.DUMMYFUNCTION("""COMPUTED_VALUE"""),"Tp. Thủ Đức")</f>
        <v>Tp. Thủ Đức</v>
      </c>
      <c r="E662" s="31">
        <f ca="1">IFERROR(__xludf.DUMMYFUNCTION("""COMPUTED_VALUE"""),266)</f>
        <v>266</v>
      </c>
      <c r="F662" s="32">
        <f ca="1">IFERROR(__xludf.DUMMYFUNCTION("""COMPUTED_VALUE"""),266)</f>
        <v>266</v>
      </c>
      <c r="G662" s="32"/>
      <c r="H662" s="32">
        <f ca="1">IFERROR(__xludf.DUMMYFUNCTION("""COMPUTED_VALUE"""),266)</f>
        <v>266</v>
      </c>
      <c r="I662" s="32"/>
      <c r="J662" s="32">
        <f ca="1">IFERROR(__xludf.DUMMYFUNCTION("""COMPUTED_VALUE"""),195)</f>
        <v>195</v>
      </c>
      <c r="K662" s="32"/>
      <c r="L662" s="32">
        <f ca="1">IFERROR(__xludf.DUMMYFUNCTION("""COMPUTED_VALUE"""),23)</f>
        <v>23</v>
      </c>
      <c r="M662" s="32"/>
      <c r="N662" s="31">
        <f ca="1">IFERROR(__xludf.DUMMYFUNCTION("""COMPUTED_VALUE"""),823)</f>
        <v>823</v>
      </c>
      <c r="O662" s="32">
        <f ca="1">IFERROR(__xludf.DUMMYFUNCTION("""COMPUTED_VALUE"""),276)</f>
        <v>276</v>
      </c>
      <c r="P662" s="32"/>
      <c r="Q662" s="32">
        <f ca="1">IFERROR(__xludf.DUMMYFUNCTION("""COMPUTED_VALUE"""),124)</f>
        <v>124</v>
      </c>
      <c r="R662" s="32"/>
      <c r="S662" s="31">
        <f ca="1">IFERROR(__xludf.DUMMYFUNCTION("""COMPUTED_VALUE"""),353)</f>
        <v>353</v>
      </c>
      <c r="T662" s="32">
        <f ca="1">IFERROR(__xludf.DUMMYFUNCTION("""COMPUTED_VALUE"""),312)</f>
        <v>312</v>
      </c>
      <c r="U662" s="32"/>
      <c r="V662" s="32">
        <f ca="1">IFERROR(__xludf.DUMMYFUNCTION("""COMPUTED_VALUE"""),293)</f>
        <v>293</v>
      </c>
      <c r="W662" s="32"/>
      <c r="X662" s="32">
        <f ca="1">IFERROR(__xludf.DUMMYFUNCTION("""COMPUTED_VALUE"""),43)</f>
        <v>43</v>
      </c>
      <c r="Y662" s="32"/>
      <c r="Z662" s="2"/>
      <c r="AA662" s="2"/>
      <c r="AB662" s="2"/>
      <c r="AC662" s="2"/>
      <c r="AD662" s="2"/>
      <c r="AE662" s="2"/>
    </row>
    <row r="663" spans="1:31" ht="12.75" x14ac:dyDescent="0.2">
      <c r="A663" s="28">
        <f ca="1">IFERROR(__xludf.DUMMYFUNCTION("""COMPUTED_VALUE"""),2)</f>
        <v>2</v>
      </c>
      <c r="B663" s="29" t="str">
        <f ca="1">IFERROR(__xludf.DUMMYFUNCTION("""COMPUTED_VALUE"""),"Quốc Tế TAS")</f>
        <v>Quốc Tế TAS</v>
      </c>
      <c r="C663" s="33" t="str">
        <f ca="1">IFERROR(__xludf.DUMMYFUNCTION("""COMPUTED_VALUE""")," Nhiều cấp học")</f>
        <v xml:space="preserve"> Nhiều cấp học</v>
      </c>
      <c r="D663" s="30" t="str">
        <f ca="1">IFERROR(__xludf.DUMMYFUNCTION("""COMPUTED_VALUE"""),"Tp. Thủ Đức")</f>
        <v>Tp. Thủ Đức</v>
      </c>
      <c r="E663" s="31">
        <f ca="1">IFERROR(__xludf.DUMMYFUNCTION("""COMPUTED_VALUE"""),151)</f>
        <v>151</v>
      </c>
      <c r="F663" s="32">
        <f ca="1">IFERROR(__xludf.DUMMYFUNCTION("""COMPUTED_VALUE"""),151)</f>
        <v>151</v>
      </c>
      <c r="G663" s="32"/>
      <c r="H663" s="32">
        <f ca="1">IFERROR(__xludf.DUMMYFUNCTION("""COMPUTED_VALUE"""),151)</f>
        <v>151</v>
      </c>
      <c r="I663" s="32"/>
      <c r="J663" s="32">
        <f ca="1">IFERROR(__xludf.DUMMYFUNCTION("""COMPUTED_VALUE"""),136)</f>
        <v>136</v>
      </c>
      <c r="K663" s="32"/>
      <c r="L663" s="32">
        <f ca="1">IFERROR(__xludf.DUMMYFUNCTION("""COMPUTED_VALUE"""),30)</f>
        <v>30</v>
      </c>
      <c r="M663" s="32"/>
      <c r="N663" s="31">
        <f ca="1">IFERROR(__xludf.DUMMYFUNCTION("""COMPUTED_VALUE"""),123)</f>
        <v>123</v>
      </c>
      <c r="O663" s="32">
        <f ca="1">IFERROR(__xludf.DUMMYFUNCTION("""COMPUTED_VALUE"""),34)</f>
        <v>34</v>
      </c>
      <c r="P663" s="32"/>
      <c r="Q663" s="32">
        <f ca="1">IFERROR(__xludf.DUMMYFUNCTION("""COMPUTED_VALUE"""),19)</f>
        <v>19</v>
      </c>
      <c r="R663" s="32"/>
      <c r="S663" s="31">
        <f ca="1">IFERROR(__xludf.DUMMYFUNCTION("""COMPUTED_VALUE"""),238)</f>
        <v>238</v>
      </c>
      <c r="T663" s="32">
        <f ca="1">IFERROR(__xludf.DUMMYFUNCTION("""COMPUTED_VALUE"""),200)</f>
        <v>200</v>
      </c>
      <c r="U663" s="32"/>
      <c r="V663" s="32">
        <f ca="1">IFERROR(__xludf.DUMMYFUNCTION("""COMPUTED_VALUE"""),180)</f>
        <v>180</v>
      </c>
      <c r="W663" s="32"/>
      <c r="X663" s="32">
        <f ca="1">IFERROR(__xludf.DUMMYFUNCTION("""COMPUTED_VALUE"""),14)</f>
        <v>14</v>
      </c>
      <c r="Y663" s="32"/>
      <c r="Z663" s="2"/>
      <c r="AA663" s="2"/>
      <c r="AB663" s="2"/>
      <c r="AC663" s="2"/>
      <c r="AD663" s="2"/>
      <c r="AE663" s="2"/>
    </row>
    <row r="664" spans="1:31" ht="12.75" x14ac:dyDescent="0.2">
      <c r="A664" s="28">
        <f ca="1">IFERROR(__xludf.DUMMYFUNCTION("""COMPUTED_VALUE"""),3)</f>
        <v>3</v>
      </c>
      <c r="B664" s="29" t="str">
        <f ca="1">IFERROR(__xludf.DUMMYFUNCTION("""COMPUTED_VALUE"""),"Quốc tế Á Châu")</f>
        <v>Quốc tế Á Châu</v>
      </c>
      <c r="C664" s="41" t="str">
        <f ca="1">IFERROR(__xludf.DUMMYFUNCTION("""COMPUTED_VALUE""")," Nhiều cấp học")</f>
        <v xml:space="preserve"> Nhiều cấp học</v>
      </c>
      <c r="D664" s="30" t="str">
        <f ca="1">IFERROR(__xludf.DUMMYFUNCTION("""COMPUTED_VALUE"""),"Tp. Thủ Đức")</f>
        <v>Tp. Thủ Đức</v>
      </c>
      <c r="E664" s="42">
        <f ca="1">IFERROR(__xludf.DUMMYFUNCTION("""COMPUTED_VALUE"""),161)</f>
        <v>161</v>
      </c>
      <c r="F664" s="43">
        <f ca="1">IFERROR(__xludf.DUMMYFUNCTION("""COMPUTED_VALUE"""),89)</f>
        <v>89</v>
      </c>
      <c r="G664" s="43"/>
      <c r="H664" s="43">
        <f ca="1">IFERROR(__xludf.DUMMYFUNCTION("""COMPUTED_VALUE"""),97)</f>
        <v>97</v>
      </c>
      <c r="I664" s="43"/>
      <c r="J664" s="43">
        <f ca="1">IFERROR(__xludf.DUMMYFUNCTION("""COMPUTED_VALUE"""),84)</f>
        <v>84</v>
      </c>
      <c r="K664" s="43"/>
      <c r="L664" s="43">
        <f ca="1">IFERROR(__xludf.DUMMYFUNCTION("""COMPUTED_VALUE"""),32)</f>
        <v>32</v>
      </c>
      <c r="M664" s="43"/>
      <c r="N664" s="42">
        <f ca="1">IFERROR(__xludf.DUMMYFUNCTION("""COMPUTED_VALUE"""),585)</f>
        <v>585</v>
      </c>
      <c r="O664" s="43">
        <f ca="1">IFERROR(__xludf.DUMMYFUNCTION("""COMPUTED_VALUE"""),84)</f>
        <v>84</v>
      </c>
      <c r="P664" s="43"/>
      <c r="Q664" s="43">
        <f ca="1">IFERROR(__xludf.DUMMYFUNCTION("""COMPUTED_VALUE"""),77)</f>
        <v>77</v>
      </c>
      <c r="R664" s="43"/>
      <c r="S664" s="42">
        <f ca="1">IFERROR(__xludf.DUMMYFUNCTION("""COMPUTED_VALUE"""),301)</f>
        <v>301</v>
      </c>
      <c r="T664" s="43">
        <f ca="1">IFERROR(__xludf.DUMMYFUNCTION("""COMPUTED_VALUE"""),167)</f>
        <v>167</v>
      </c>
      <c r="U664" s="43"/>
      <c r="V664" s="43">
        <f ca="1">IFERROR(__xludf.DUMMYFUNCTION("""COMPUTED_VALUE"""),93)</f>
        <v>93</v>
      </c>
      <c r="W664" s="43"/>
      <c r="X664" s="43">
        <f ca="1">IFERROR(__xludf.DUMMYFUNCTION("""COMPUTED_VALUE"""),24)</f>
        <v>24</v>
      </c>
      <c r="Y664" s="43"/>
      <c r="Z664" s="2"/>
      <c r="AA664" s="2"/>
      <c r="AB664" s="2"/>
      <c r="AC664" s="2"/>
      <c r="AD664" s="2"/>
      <c r="AE664" s="2"/>
    </row>
    <row r="665" spans="1:31" ht="12.75" x14ac:dyDescent="0.2">
      <c r="A665" s="28">
        <f ca="1">IFERROR(__xludf.DUMMYFUNCTION("""COMPUTED_VALUE"""),4)</f>
        <v>4</v>
      </c>
      <c r="B665" s="29" t="str">
        <f ca="1">IFERROR(__xludf.DUMMYFUNCTION("""COMPUTED_VALUE"""),"Song Ngữ Quốc Tế Horizon")</f>
        <v>Song Ngữ Quốc Tế Horizon</v>
      </c>
      <c r="C665" s="33" t="str">
        <f ca="1">IFERROR(__xludf.DUMMYFUNCTION("""COMPUTED_VALUE""")," Nhiều cấp học")</f>
        <v xml:space="preserve"> Nhiều cấp học</v>
      </c>
      <c r="D665" s="30" t="str">
        <f ca="1">IFERROR(__xludf.DUMMYFUNCTION("""COMPUTED_VALUE"""),"Tp. Thủ Đức")</f>
        <v>Tp. Thủ Đức</v>
      </c>
      <c r="E665" s="31">
        <f ca="1">IFERROR(__xludf.DUMMYFUNCTION("""COMPUTED_VALUE"""),95)</f>
        <v>95</v>
      </c>
      <c r="F665" s="32">
        <f ca="1">IFERROR(__xludf.DUMMYFUNCTION("""COMPUTED_VALUE"""),94)</f>
        <v>94</v>
      </c>
      <c r="G665" s="32"/>
      <c r="H665" s="32">
        <f ca="1">IFERROR(__xludf.DUMMYFUNCTION("""COMPUTED_VALUE"""),94)</f>
        <v>94</v>
      </c>
      <c r="I665" s="32"/>
      <c r="J665" s="32">
        <f ca="1">IFERROR(__xludf.DUMMYFUNCTION("""COMPUTED_VALUE"""),88)</f>
        <v>88</v>
      </c>
      <c r="K665" s="32"/>
      <c r="L665" s="32">
        <f ca="1">IFERROR(__xludf.DUMMYFUNCTION("""COMPUTED_VALUE"""),19)</f>
        <v>19</v>
      </c>
      <c r="M665" s="32"/>
      <c r="N665" s="31">
        <f ca="1">IFERROR(__xludf.DUMMYFUNCTION("""COMPUTED_VALUE"""),245)</f>
        <v>245</v>
      </c>
      <c r="O665" s="32">
        <f ca="1">IFERROR(__xludf.DUMMYFUNCTION("""COMPUTED_VALUE"""),11)</f>
        <v>11</v>
      </c>
      <c r="P665" s="32"/>
      <c r="Q665" s="32">
        <f ca="1">IFERROR(__xludf.DUMMYFUNCTION("""COMPUTED_VALUE"""),8)</f>
        <v>8</v>
      </c>
      <c r="R665" s="32"/>
      <c r="S665" s="31">
        <f ca="1">IFERROR(__xludf.DUMMYFUNCTION("""COMPUTED_VALUE"""),156)</f>
        <v>156</v>
      </c>
      <c r="T665" s="32">
        <f ca="1">IFERROR(__xludf.DUMMYFUNCTION("""COMPUTED_VALUE"""),127)</f>
        <v>127</v>
      </c>
      <c r="U665" s="32"/>
      <c r="V665" s="32">
        <f ca="1">IFERROR(__xludf.DUMMYFUNCTION("""COMPUTED_VALUE"""),109)</f>
        <v>109</v>
      </c>
      <c r="W665" s="32"/>
      <c r="X665" s="32">
        <f ca="1">IFERROR(__xludf.DUMMYFUNCTION("""COMPUTED_VALUE"""),12)</f>
        <v>12</v>
      </c>
      <c r="Y665" s="32"/>
      <c r="Z665" s="2"/>
      <c r="AA665" s="2"/>
      <c r="AB665" s="2"/>
      <c r="AC665" s="2"/>
      <c r="AD665" s="2"/>
      <c r="AE665" s="2"/>
    </row>
    <row r="666" spans="1:31" ht="12.75" x14ac:dyDescent="0.2">
      <c r="A666" s="28">
        <f ca="1">IFERROR(__xludf.DUMMYFUNCTION("""COMPUTED_VALUE"""),5)</f>
        <v>5</v>
      </c>
      <c r="B666" s="29" t="str">
        <f ca="1">IFERROR(__xludf.DUMMYFUNCTION("""COMPUTED_VALUE"""),"Quốc Tế Dạy Bằng Tiếng Anh (BIS)")</f>
        <v>Quốc Tế Dạy Bằng Tiếng Anh (BIS)</v>
      </c>
      <c r="C666" s="33" t="str">
        <f ca="1">IFERROR(__xludf.DUMMYFUNCTION("""COMPUTED_VALUE""")," Nhiều cấp học")</f>
        <v xml:space="preserve"> Nhiều cấp học</v>
      </c>
      <c r="D666" s="30" t="str">
        <f ca="1">IFERROR(__xludf.DUMMYFUNCTION("""COMPUTED_VALUE"""),"Tp. Thủ Đức")</f>
        <v>Tp. Thủ Đức</v>
      </c>
      <c r="E666" s="31">
        <f ca="1">IFERROR(__xludf.DUMMYFUNCTION("""COMPUTED_VALUE"""),529)</f>
        <v>529</v>
      </c>
      <c r="F666" s="32">
        <f ca="1">IFERROR(__xludf.DUMMYFUNCTION("""COMPUTED_VALUE"""),528)</f>
        <v>528</v>
      </c>
      <c r="G666" s="32"/>
      <c r="H666" s="32">
        <f ca="1">IFERROR(__xludf.DUMMYFUNCTION("""COMPUTED_VALUE"""),527)</f>
        <v>527</v>
      </c>
      <c r="I666" s="32"/>
      <c r="J666" s="32">
        <f ca="1">IFERROR(__xludf.DUMMYFUNCTION("""COMPUTED_VALUE"""),483)</f>
        <v>483</v>
      </c>
      <c r="K666" s="32"/>
      <c r="L666" s="32">
        <f ca="1">IFERROR(__xludf.DUMMYFUNCTION("""COMPUTED_VALUE"""),118)</f>
        <v>118</v>
      </c>
      <c r="M666" s="32"/>
      <c r="N666" s="31">
        <f ca="1">IFERROR(__xludf.DUMMYFUNCTION("""COMPUTED_VALUE"""),1206)</f>
        <v>1206</v>
      </c>
      <c r="O666" s="32">
        <f ca="1">IFERROR(__xludf.DUMMYFUNCTION("""COMPUTED_VALUE"""),219)</f>
        <v>219</v>
      </c>
      <c r="P666" s="32"/>
      <c r="Q666" s="32">
        <f ca="1">IFERROR(__xludf.DUMMYFUNCTION("""COMPUTED_VALUE"""),219)</f>
        <v>219</v>
      </c>
      <c r="R666" s="32"/>
      <c r="S666" s="31">
        <f ca="1">IFERROR(__xludf.DUMMYFUNCTION("""COMPUTED_VALUE"""),885)</f>
        <v>885</v>
      </c>
      <c r="T666" s="32">
        <f ca="1">IFERROR(__xludf.DUMMYFUNCTION("""COMPUTED_VALUE"""),885)</f>
        <v>885</v>
      </c>
      <c r="U666" s="32"/>
      <c r="V666" s="32">
        <f ca="1">IFERROR(__xludf.DUMMYFUNCTION("""COMPUTED_VALUE"""),786)</f>
        <v>786</v>
      </c>
      <c r="W666" s="32"/>
      <c r="X666" s="32">
        <f ca="1">IFERROR(__xludf.DUMMYFUNCTION("""COMPUTED_VALUE"""),320)</f>
        <v>320</v>
      </c>
      <c r="Y666" s="32"/>
      <c r="Z666" s="2"/>
      <c r="AA666" s="2"/>
      <c r="AB666" s="2"/>
      <c r="AC666" s="2"/>
      <c r="AD666" s="2"/>
      <c r="AE666" s="2"/>
    </row>
    <row r="667" spans="1:31" ht="12.75" x14ac:dyDescent="0.2">
      <c r="A667" s="28">
        <f ca="1">IFERROR(__xludf.DUMMYFUNCTION("""COMPUTED_VALUE"""),6)</f>
        <v>6</v>
      </c>
      <c r="B667" s="29" t="str">
        <f ca="1">IFERROR(__xludf.DUMMYFUNCTION("""COMPUTED_VALUE"""),"Quốc Tế Thành Phố Hồ Chí Minh")</f>
        <v>Quốc Tế Thành Phố Hồ Chí Minh</v>
      </c>
      <c r="C667" s="33" t="str">
        <f ca="1">IFERROR(__xludf.DUMMYFUNCTION("""COMPUTED_VALUE""")," Nhiều cấp học")</f>
        <v xml:space="preserve"> Nhiều cấp học</v>
      </c>
      <c r="D667" s="30" t="str">
        <f ca="1">IFERROR(__xludf.DUMMYFUNCTION("""COMPUTED_VALUE"""),"Tp. Thủ Đức")</f>
        <v>Tp. Thủ Đức</v>
      </c>
      <c r="E667" s="31">
        <f ca="1">IFERROR(__xludf.DUMMYFUNCTION("""COMPUTED_VALUE"""),417)</f>
        <v>417</v>
      </c>
      <c r="F667" s="32">
        <f ca="1">IFERROR(__xludf.DUMMYFUNCTION("""COMPUTED_VALUE"""),417)</f>
        <v>417</v>
      </c>
      <c r="G667" s="32"/>
      <c r="H667" s="32">
        <f ca="1">IFERROR(__xludf.DUMMYFUNCTION("""COMPUTED_VALUE"""),417)</f>
        <v>417</v>
      </c>
      <c r="I667" s="32"/>
      <c r="J667" s="32">
        <f ca="1">IFERROR(__xludf.DUMMYFUNCTION("""COMPUTED_VALUE"""),289)</f>
        <v>289</v>
      </c>
      <c r="K667" s="32"/>
      <c r="L667" s="32">
        <f ca="1">IFERROR(__xludf.DUMMYFUNCTION("""COMPUTED_VALUE"""),48)</f>
        <v>48</v>
      </c>
      <c r="M667" s="32"/>
      <c r="N667" s="31">
        <f ca="1">IFERROR(__xludf.DUMMYFUNCTION("""COMPUTED_VALUE"""),503)</f>
        <v>503</v>
      </c>
      <c r="O667" s="32">
        <f ca="1">IFERROR(__xludf.DUMMYFUNCTION("""COMPUTED_VALUE"""),158)</f>
        <v>158</v>
      </c>
      <c r="P667" s="32"/>
      <c r="Q667" s="32">
        <f ca="1">IFERROR(__xludf.DUMMYFUNCTION("""COMPUTED_VALUE"""),20)</f>
        <v>20</v>
      </c>
      <c r="R667" s="32"/>
      <c r="S667" s="31">
        <f ca="1">IFERROR(__xludf.DUMMYFUNCTION("""COMPUTED_VALUE"""),1118)</f>
        <v>1118</v>
      </c>
      <c r="T667" s="32">
        <f ca="1">IFERROR(__xludf.DUMMYFUNCTION("""COMPUTED_VALUE"""),1118)</f>
        <v>1118</v>
      </c>
      <c r="U667" s="32"/>
      <c r="V667" s="32">
        <f ca="1">IFERROR(__xludf.DUMMYFUNCTION("""COMPUTED_VALUE"""),1075)</f>
        <v>1075</v>
      </c>
      <c r="W667" s="32"/>
      <c r="X667" s="32">
        <f ca="1">IFERROR(__xludf.DUMMYFUNCTION("""COMPUTED_VALUE"""),35)</f>
        <v>35</v>
      </c>
      <c r="Y667" s="32"/>
      <c r="Z667" s="2"/>
      <c r="AA667" s="2"/>
      <c r="AB667" s="2"/>
      <c r="AC667" s="2"/>
      <c r="AD667" s="2"/>
      <c r="AE667" s="2"/>
    </row>
    <row r="668" spans="1:31" ht="12.75" x14ac:dyDescent="0.2">
      <c r="A668" s="28">
        <f ca="1">IFERROR(__xludf.DUMMYFUNCTION("""COMPUTED_VALUE"""),7)</f>
        <v>7</v>
      </c>
      <c r="B668" s="29" t="str">
        <f ca="1">IFERROR(__xludf.DUMMYFUNCTION("""COMPUTED_VALUE"""),"Trường Quốc Tế Úc (AIS)")</f>
        <v>Trường Quốc Tế Úc (AIS)</v>
      </c>
      <c r="C668" s="33" t="str">
        <f ca="1">IFERROR(__xludf.DUMMYFUNCTION("""COMPUTED_VALUE""")," Nhiều cấp học")</f>
        <v xml:space="preserve"> Nhiều cấp học</v>
      </c>
      <c r="D668" s="30" t="str">
        <f ca="1">IFERROR(__xludf.DUMMYFUNCTION("""COMPUTED_VALUE"""),"Tp. Thủ Đức")</f>
        <v>Tp. Thủ Đức</v>
      </c>
      <c r="E668" s="31">
        <f ca="1">IFERROR(__xludf.DUMMYFUNCTION("""COMPUTED_VALUE"""),216)</f>
        <v>216</v>
      </c>
      <c r="F668" s="32">
        <f ca="1">IFERROR(__xludf.DUMMYFUNCTION("""COMPUTED_VALUE"""),216)</f>
        <v>216</v>
      </c>
      <c r="G668" s="32"/>
      <c r="H668" s="32">
        <f ca="1">IFERROR(__xludf.DUMMYFUNCTION("""COMPUTED_VALUE"""),216)</f>
        <v>216</v>
      </c>
      <c r="I668" s="32"/>
      <c r="J668" s="32">
        <f ca="1">IFERROR(__xludf.DUMMYFUNCTION("""COMPUTED_VALUE"""),140)</f>
        <v>140</v>
      </c>
      <c r="K668" s="32"/>
      <c r="L668" s="32">
        <f ca="1">IFERROR(__xludf.DUMMYFUNCTION("""COMPUTED_VALUE"""),9)</f>
        <v>9</v>
      </c>
      <c r="M668" s="32"/>
      <c r="N668" s="31">
        <f ca="1">IFERROR(__xludf.DUMMYFUNCTION("""COMPUTED_VALUE"""),458)</f>
        <v>458</v>
      </c>
      <c r="O668" s="32">
        <f ca="1">IFERROR(__xludf.DUMMYFUNCTION("""COMPUTED_VALUE"""),205)</f>
        <v>205</v>
      </c>
      <c r="P668" s="32"/>
      <c r="Q668" s="32">
        <f ca="1">IFERROR(__xludf.DUMMYFUNCTION("""COMPUTED_VALUE"""),20)</f>
        <v>20</v>
      </c>
      <c r="R668" s="32"/>
      <c r="S668" s="31">
        <f ca="1">IFERROR(__xludf.DUMMYFUNCTION("""COMPUTED_VALUE"""),642)</f>
        <v>642</v>
      </c>
      <c r="T668" s="32">
        <f ca="1">IFERROR(__xludf.DUMMYFUNCTION("""COMPUTED_VALUE"""),642)</f>
        <v>642</v>
      </c>
      <c r="U668" s="32"/>
      <c r="V668" s="32">
        <f ca="1">IFERROR(__xludf.DUMMYFUNCTION("""COMPUTED_VALUE"""),478)</f>
        <v>478</v>
      </c>
      <c r="W668" s="32"/>
      <c r="X668" s="32">
        <f ca="1">IFERROR(__xludf.DUMMYFUNCTION("""COMPUTED_VALUE"""),80)</f>
        <v>80</v>
      </c>
      <c r="Y668" s="32"/>
      <c r="Z668" s="2"/>
      <c r="AA668" s="2"/>
      <c r="AB668" s="2"/>
      <c r="AC668" s="2"/>
      <c r="AD668" s="2"/>
      <c r="AE668" s="2"/>
    </row>
    <row r="669" spans="1:31" ht="12.75" x14ac:dyDescent="0.2">
      <c r="A669" s="28">
        <f ca="1">IFERROR(__xludf.DUMMYFUNCTION("""COMPUTED_VALUE"""),9)</f>
        <v>9</v>
      </c>
      <c r="B669" s="29" t="str">
        <f ca="1">IFERROR(__xludf.DUMMYFUNCTION("""COMPUTED_VALUE"""),"Quốc Tế Châu Âu")</f>
        <v>Quốc Tế Châu Âu</v>
      </c>
      <c r="C669" s="33" t="str">
        <f ca="1">IFERROR(__xludf.DUMMYFUNCTION("""COMPUTED_VALUE""")," Nhiều cấp học")</f>
        <v xml:space="preserve"> Nhiều cấp học</v>
      </c>
      <c r="D669" s="30" t="str">
        <f ca="1">IFERROR(__xludf.DUMMYFUNCTION("""COMPUTED_VALUE"""),"Tp. Thủ Đức")</f>
        <v>Tp. Thủ Đức</v>
      </c>
      <c r="E669" s="31">
        <f ca="1">IFERROR(__xludf.DUMMYFUNCTION("""COMPUTED_VALUE"""),110)</f>
        <v>110</v>
      </c>
      <c r="F669" s="32">
        <f ca="1">IFERROR(__xludf.DUMMYFUNCTION("""COMPUTED_VALUE"""),110)</f>
        <v>110</v>
      </c>
      <c r="G669" s="32"/>
      <c r="H669" s="32">
        <f ca="1">IFERROR(__xludf.DUMMYFUNCTION("""COMPUTED_VALUE"""),110)</f>
        <v>110</v>
      </c>
      <c r="I669" s="32"/>
      <c r="J669" s="32">
        <f ca="1">IFERROR(__xludf.DUMMYFUNCTION("""COMPUTED_VALUE"""),79)</f>
        <v>79</v>
      </c>
      <c r="K669" s="32"/>
      <c r="L669" s="32">
        <f ca="1">IFERROR(__xludf.DUMMYFUNCTION("""COMPUTED_VALUE"""),1)</f>
        <v>1</v>
      </c>
      <c r="M669" s="32"/>
      <c r="N669" s="31">
        <f ca="1">IFERROR(__xludf.DUMMYFUNCTION("""COMPUTED_VALUE"""),359)</f>
        <v>359</v>
      </c>
      <c r="O669" s="32">
        <f ca="1">IFERROR(__xludf.DUMMYFUNCTION("""COMPUTED_VALUE"""),43)</f>
        <v>43</v>
      </c>
      <c r="P669" s="32"/>
      <c r="Q669" s="32">
        <f ca="1">IFERROR(__xludf.DUMMYFUNCTION("""COMPUTED_VALUE"""),12)</f>
        <v>12</v>
      </c>
      <c r="R669" s="32"/>
      <c r="S669" s="31">
        <f ca="1">IFERROR(__xludf.DUMMYFUNCTION("""COMPUTED_VALUE"""),227)</f>
        <v>227</v>
      </c>
      <c r="T669" s="32">
        <f ca="1">IFERROR(__xludf.DUMMYFUNCTION("""COMPUTED_VALUE"""),9)</f>
        <v>9</v>
      </c>
      <c r="U669" s="32"/>
      <c r="V669" s="32">
        <f ca="1">IFERROR(__xludf.DUMMYFUNCTION("""COMPUTED_VALUE"""),163)</f>
        <v>163</v>
      </c>
      <c r="W669" s="32"/>
      <c r="X669" s="32">
        <f ca="1">IFERROR(__xludf.DUMMYFUNCTION("""COMPUTED_VALUE"""),0)</f>
        <v>0</v>
      </c>
      <c r="Y669" s="32"/>
      <c r="Z669" s="2"/>
      <c r="AA669" s="2"/>
      <c r="AB669" s="2"/>
      <c r="AC669" s="2"/>
      <c r="AD669" s="2"/>
      <c r="AE669" s="2"/>
    </row>
    <row r="670" spans="1:31" ht="12.75" x14ac:dyDescent="0.2">
      <c r="A670" s="28"/>
      <c r="B670" s="35" t="str">
        <f ca="1">IFERROR(__xludf.DUMMYFUNCTION("""COMPUTED_VALUE"""),"ĐƠN VỊ TRỰC THUỘC")</f>
        <v>ĐƠN VỊ TRỰC THUỘC</v>
      </c>
      <c r="C670" s="29"/>
      <c r="D670" s="36"/>
      <c r="E670" s="39"/>
      <c r="F670" s="40"/>
      <c r="G670" s="40"/>
      <c r="H670" s="40"/>
      <c r="I670" s="40"/>
      <c r="J670" s="40"/>
      <c r="K670" s="40"/>
      <c r="L670" s="40"/>
      <c r="M670" s="40"/>
      <c r="N670" s="31"/>
      <c r="O670" s="32"/>
      <c r="P670" s="32"/>
      <c r="Q670" s="32"/>
      <c r="R670" s="32"/>
      <c r="S670" s="31"/>
      <c r="T670" s="32"/>
      <c r="U670" s="32"/>
      <c r="V670" s="32"/>
      <c r="W670" s="32"/>
      <c r="X670" s="32"/>
      <c r="Y670" s="32"/>
      <c r="Z670" s="2"/>
      <c r="AA670" s="2"/>
      <c r="AB670" s="2"/>
      <c r="AC670" s="2"/>
      <c r="AD670" s="2"/>
      <c r="AE670" s="2"/>
    </row>
    <row r="671" spans="1:31" ht="12.75" x14ac:dyDescent="0.2">
      <c r="A671" s="28">
        <f ca="1">IFERROR(__xludf.DUMMYFUNCTION("""COMPUTED_VALUE"""),-2)</f>
        <v>-2</v>
      </c>
      <c r="B671" s="35" t="str">
        <f ca="1">IFERROR(__xludf.DUMMYFUNCTION("""COMPUTED_VALUE"""),"Giáo dục Chuyên biệt Thảo Điền")</f>
        <v>Giáo dục Chuyên biệt Thảo Điền</v>
      </c>
      <c r="C671" s="33" t="str">
        <f ca="1">IFERROR(__xludf.DUMMYFUNCTION("""COMPUTED_VALUE""")," Nhiều cấp học")</f>
        <v xml:space="preserve"> Nhiều cấp học</v>
      </c>
      <c r="D671" s="30" t="str">
        <f ca="1">IFERROR(__xludf.DUMMYFUNCTION("""COMPUTED_VALUE"""),"Tp. Thủ Đức")</f>
        <v>Tp. Thủ Đức</v>
      </c>
      <c r="E671" s="31">
        <f ca="1">IFERROR(__xludf.DUMMYFUNCTION("""COMPUTED_VALUE"""),25)</f>
        <v>25</v>
      </c>
      <c r="F671" s="32">
        <f ca="1">IFERROR(__xludf.DUMMYFUNCTION("""COMPUTED_VALUE"""),25)</f>
        <v>25</v>
      </c>
      <c r="G671" s="32"/>
      <c r="H671" s="32">
        <f ca="1">IFERROR(__xludf.DUMMYFUNCTION("""COMPUTED_VALUE"""),25)</f>
        <v>25</v>
      </c>
      <c r="I671" s="32"/>
      <c r="J671" s="32">
        <f ca="1">IFERROR(__xludf.DUMMYFUNCTION("""COMPUTED_VALUE"""),25)</f>
        <v>25</v>
      </c>
      <c r="K671" s="32"/>
      <c r="L671" s="32">
        <f ca="1">IFERROR(__xludf.DUMMYFUNCTION("""COMPUTED_VALUE"""),10)</f>
        <v>10</v>
      </c>
      <c r="M671" s="32"/>
      <c r="N671" s="31">
        <f ca="1">IFERROR(__xludf.DUMMYFUNCTION("""COMPUTED_VALUE"""),39)</f>
        <v>39</v>
      </c>
      <c r="O671" s="32">
        <f ca="1">IFERROR(__xludf.DUMMYFUNCTION("""COMPUTED_VALUE"""),19)</f>
        <v>19</v>
      </c>
      <c r="P671" s="32"/>
      <c r="Q671" s="32">
        <f ca="1">IFERROR(__xludf.DUMMYFUNCTION("""COMPUTED_VALUE"""),7)</f>
        <v>7</v>
      </c>
      <c r="R671" s="32"/>
      <c r="S671" s="31">
        <f ca="1">IFERROR(__xludf.DUMMYFUNCTION("""COMPUTED_VALUE"""),49)</f>
        <v>49</v>
      </c>
      <c r="T671" s="32">
        <f ca="1">IFERROR(__xludf.DUMMYFUNCTION("""COMPUTED_VALUE"""),41)</f>
        <v>41</v>
      </c>
      <c r="U671" s="32"/>
      <c r="V671" s="32">
        <f ca="1">IFERROR(__xludf.DUMMYFUNCTION("""COMPUTED_VALUE"""),39)</f>
        <v>39</v>
      </c>
      <c r="W671" s="32"/>
      <c r="X671" s="32">
        <f ca="1">IFERROR(__xludf.DUMMYFUNCTION("""COMPUTED_VALUE"""),16)</f>
        <v>16</v>
      </c>
      <c r="Y671" s="32"/>
      <c r="Z671" s="2"/>
      <c r="AA671" s="2"/>
      <c r="AB671" s="2"/>
      <c r="AC671" s="2"/>
      <c r="AD671" s="2"/>
      <c r="AE671" s="2"/>
    </row>
    <row r="672" spans="1:31" ht="12.75" x14ac:dyDescent="0.2">
      <c r="A672" s="28">
        <f ca="1">IFERROR(__xludf.DUMMYFUNCTION("""COMPUTED_VALUE"""),1)</f>
        <v>1</v>
      </c>
      <c r="B672" s="35" t="str">
        <f ca="1">IFERROR(__xludf.DUMMYFUNCTION("""COMPUTED_VALUE"""),"TRƯỜNG KHÁC")</f>
        <v>TRƯỜNG KHÁC</v>
      </c>
      <c r="C672" s="29"/>
      <c r="D672" s="36"/>
      <c r="E672" s="39"/>
      <c r="F672" s="40"/>
      <c r="G672" s="40"/>
      <c r="H672" s="40"/>
      <c r="I672" s="40"/>
      <c r="J672" s="40"/>
      <c r="K672" s="40"/>
      <c r="L672" s="40"/>
      <c r="M672" s="40"/>
      <c r="N672" s="39"/>
      <c r="O672" s="40"/>
      <c r="P672" s="40"/>
      <c r="Q672" s="40"/>
      <c r="R672" s="40"/>
      <c r="S672" s="39"/>
      <c r="T672" s="40"/>
      <c r="U672" s="40"/>
      <c r="V672" s="40"/>
      <c r="W672" s="40"/>
      <c r="X672" s="40"/>
      <c r="Y672" s="40"/>
      <c r="Z672" s="2"/>
      <c r="AA672" s="2"/>
      <c r="AB672" s="2"/>
      <c r="AC672" s="2"/>
      <c r="AD672" s="2"/>
      <c r="AE672" s="2"/>
    </row>
    <row r="673" spans="1:31" ht="12.75" x14ac:dyDescent="0.2">
      <c r="A673" s="28">
        <f ca="1">IFERROR(__xludf.DUMMYFUNCTION("""COMPUTED_VALUE"""),2)</f>
        <v>2</v>
      </c>
      <c r="B673" s="35" t="str">
        <f ca="1">IFERROR(__xludf.DUMMYFUNCTION("""COMPUTED_VALUE"""),"Phổ thông Năng khiếu Thể Thao Olympic")</f>
        <v>Phổ thông Năng khiếu Thể Thao Olympic</v>
      </c>
      <c r="C673" s="33" t="str">
        <f ca="1">IFERROR(__xludf.DUMMYFUNCTION("""COMPUTED_VALUE"""),"Khác")</f>
        <v>Khác</v>
      </c>
      <c r="D673" s="30" t="str">
        <f ca="1">IFERROR(__xludf.DUMMYFUNCTION("""COMPUTED_VALUE"""),"Tp. Thủ Đức")</f>
        <v>Tp. Thủ Đức</v>
      </c>
      <c r="E673" s="31">
        <f ca="1">IFERROR(__xludf.DUMMYFUNCTION("""COMPUTED_VALUE"""),24)</f>
        <v>24</v>
      </c>
      <c r="F673" s="32">
        <f ca="1">IFERROR(__xludf.DUMMYFUNCTION("""COMPUTED_VALUE"""),24)</f>
        <v>24</v>
      </c>
      <c r="G673" s="32"/>
      <c r="H673" s="32">
        <f ca="1">IFERROR(__xludf.DUMMYFUNCTION("""COMPUTED_VALUE"""),24)</f>
        <v>24</v>
      </c>
      <c r="I673" s="32"/>
      <c r="J673" s="32">
        <f ca="1">IFERROR(__xludf.DUMMYFUNCTION("""COMPUTED_VALUE"""),10)</f>
        <v>10</v>
      </c>
      <c r="K673" s="32"/>
      <c r="L673" s="32">
        <f ca="1">IFERROR(__xludf.DUMMYFUNCTION("""COMPUTED_VALUE"""),7)</f>
        <v>7</v>
      </c>
      <c r="M673" s="32"/>
      <c r="N673" s="31">
        <f ca="1">IFERROR(__xludf.DUMMYFUNCTION("""COMPUTED_VALUE"""),0)</f>
        <v>0</v>
      </c>
      <c r="O673" s="32">
        <f ca="1">IFERROR(__xludf.DUMMYFUNCTION("""COMPUTED_VALUE"""),0)</f>
        <v>0</v>
      </c>
      <c r="P673" s="32"/>
      <c r="Q673" s="32">
        <f ca="1">IFERROR(__xludf.DUMMYFUNCTION("""COMPUTED_VALUE"""),0)</f>
        <v>0</v>
      </c>
      <c r="R673" s="32"/>
      <c r="S673" s="31">
        <f ca="1">IFERROR(__xludf.DUMMYFUNCTION("""COMPUTED_VALUE"""),61)</f>
        <v>61</v>
      </c>
      <c r="T673" s="32">
        <f ca="1">IFERROR(__xludf.DUMMYFUNCTION("""COMPUTED_VALUE"""),61)</f>
        <v>61</v>
      </c>
      <c r="U673" s="32"/>
      <c r="V673" s="32">
        <f ca="1">IFERROR(__xludf.DUMMYFUNCTION("""COMPUTED_VALUE"""),25)</f>
        <v>25</v>
      </c>
      <c r="W673" s="32"/>
      <c r="X673" s="32">
        <f ca="1">IFERROR(__xludf.DUMMYFUNCTION("""COMPUTED_VALUE"""),0)</f>
        <v>0</v>
      </c>
      <c r="Y673" s="32"/>
      <c r="Z673" s="2"/>
      <c r="AA673" s="2"/>
      <c r="AB673" s="2"/>
      <c r="AC673" s="2"/>
      <c r="AD673" s="2"/>
      <c r="AE673" s="2"/>
    </row>
    <row r="674" spans="1:31" ht="12.75" x14ac:dyDescent="0.2">
      <c r="A674" s="28">
        <f ca="1">IFERROR(__xludf.DUMMYFUNCTION("""COMPUTED_VALUE"""),3)</f>
        <v>3</v>
      </c>
      <c r="B674" s="29" t="str">
        <f ca="1">IFERROR(__xludf.DUMMYFUNCTION("""COMPUTED_VALUE"""),"Cao đẳng Công nghệ Thủ Đức")</f>
        <v>Cao đẳng Công nghệ Thủ Đức</v>
      </c>
      <c r="C674" s="33" t="str">
        <f ca="1">IFERROR(__xludf.DUMMYFUNCTION("""COMPUTED_VALUE"""),"Khác")</f>
        <v>Khác</v>
      </c>
      <c r="D674" s="30" t="str">
        <f ca="1">IFERROR(__xludf.DUMMYFUNCTION("""COMPUTED_VALUE"""),"Tp. Thủ Đức")</f>
        <v>Tp. Thủ Đức</v>
      </c>
      <c r="E674" s="31">
        <f ca="1">IFERROR(__xludf.DUMMYFUNCTION("""COMPUTED_VALUE"""),306)</f>
        <v>306</v>
      </c>
      <c r="F674" s="32">
        <f ca="1">IFERROR(__xludf.DUMMYFUNCTION("""COMPUTED_VALUE"""),306)</f>
        <v>306</v>
      </c>
      <c r="G674" s="32"/>
      <c r="H674" s="32">
        <f ca="1">IFERROR(__xludf.DUMMYFUNCTION("""COMPUTED_VALUE"""),306)</f>
        <v>306</v>
      </c>
      <c r="I674" s="32"/>
      <c r="J674" s="32">
        <f ca="1">IFERROR(__xludf.DUMMYFUNCTION("""COMPUTED_VALUE"""),306)</f>
        <v>306</v>
      </c>
      <c r="K674" s="32"/>
      <c r="L674" s="32">
        <f ca="1">IFERROR(__xludf.DUMMYFUNCTION("""COMPUTED_VALUE"""),189)</f>
        <v>189</v>
      </c>
      <c r="M674" s="32"/>
      <c r="N674" s="31">
        <f ca="1">IFERROR(__xludf.DUMMYFUNCTION("""COMPUTED_VALUE"""),0)</f>
        <v>0</v>
      </c>
      <c r="O674" s="32">
        <f ca="1">IFERROR(__xludf.DUMMYFUNCTION("""COMPUTED_VALUE"""),0)</f>
        <v>0</v>
      </c>
      <c r="P674" s="32"/>
      <c r="Q674" s="32">
        <f ca="1">IFERROR(__xludf.DUMMYFUNCTION("""COMPUTED_VALUE"""),0)</f>
        <v>0</v>
      </c>
      <c r="R674" s="32"/>
      <c r="S674" s="31">
        <f ca="1">IFERROR(__xludf.DUMMYFUNCTION("""COMPUTED_VALUE"""),181)</f>
        <v>181</v>
      </c>
      <c r="T674" s="32">
        <f ca="1">IFERROR(__xludf.DUMMYFUNCTION("""COMPUTED_VALUE"""),181)</f>
        <v>181</v>
      </c>
      <c r="U674" s="32"/>
      <c r="V674" s="32">
        <f ca="1">IFERROR(__xludf.DUMMYFUNCTION("""COMPUTED_VALUE"""),175)</f>
        <v>175</v>
      </c>
      <c r="W674" s="32"/>
      <c r="X674" s="32">
        <f ca="1">IFERROR(__xludf.DUMMYFUNCTION("""COMPUTED_VALUE"""),108)</f>
        <v>108</v>
      </c>
      <c r="Y674" s="32"/>
      <c r="Z674" s="2"/>
      <c r="AA674" s="2"/>
      <c r="AB674" s="2"/>
      <c r="AC674" s="2"/>
      <c r="AD674" s="2"/>
      <c r="AE674" s="2"/>
    </row>
    <row r="675" spans="1:31" ht="12.75" x14ac:dyDescent="0.2">
      <c r="A675" s="28">
        <f ca="1">IFERROR(__xludf.DUMMYFUNCTION("""COMPUTED_VALUE"""),4)</f>
        <v>4</v>
      </c>
      <c r="B675" s="29" t="str">
        <f ca="1">IFERROR(__xludf.DUMMYFUNCTION("""COMPUTED_VALUE"""),"Cao đẳng Thủ Thiêm ")</f>
        <v xml:space="preserve">Cao đẳng Thủ Thiêm </v>
      </c>
      <c r="C675" s="33" t="str">
        <f ca="1">IFERROR(__xludf.DUMMYFUNCTION("""COMPUTED_VALUE"""),"Khác")</f>
        <v>Khác</v>
      </c>
      <c r="D675" s="30" t="str">
        <f ca="1">IFERROR(__xludf.DUMMYFUNCTION("""COMPUTED_VALUE"""),"Tp. Thủ Đức")</f>
        <v>Tp. Thủ Đức</v>
      </c>
      <c r="E675" s="31">
        <f ca="1">IFERROR(__xludf.DUMMYFUNCTION("""COMPUTED_VALUE"""),31)</f>
        <v>31</v>
      </c>
      <c r="F675" s="32">
        <f ca="1">IFERROR(__xludf.DUMMYFUNCTION("""COMPUTED_VALUE"""),31)</f>
        <v>31</v>
      </c>
      <c r="G675" s="32"/>
      <c r="H675" s="32">
        <f ca="1">IFERROR(__xludf.DUMMYFUNCTION("""COMPUTED_VALUE"""),31)</f>
        <v>31</v>
      </c>
      <c r="I675" s="32"/>
      <c r="J675" s="32">
        <f ca="1">IFERROR(__xludf.DUMMYFUNCTION("""COMPUTED_VALUE"""),29)</f>
        <v>29</v>
      </c>
      <c r="K675" s="32"/>
      <c r="L675" s="32">
        <f ca="1">IFERROR(__xludf.DUMMYFUNCTION("""COMPUTED_VALUE"""),10)</f>
        <v>10</v>
      </c>
      <c r="M675" s="32"/>
      <c r="N675" s="31">
        <f ca="1">IFERROR(__xludf.DUMMYFUNCTION("""COMPUTED_VALUE"""),0)</f>
        <v>0</v>
      </c>
      <c r="O675" s="32">
        <f ca="1">IFERROR(__xludf.DUMMYFUNCTION("""COMPUTED_VALUE"""),0)</f>
        <v>0</v>
      </c>
      <c r="P675" s="32"/>
      <c r="Q675" s="32">
        <f ca="1">IFERROR(__xludf.DUMMYFUNCTION("""COMPUTED_VALUE"""),0)</f>
        <v>0</v>
      </c>
      <c r="R675" s="32"/>
      <c r="S675" s="31">
        <f ca="1">IFERROR(__xludf.DUMMYFUNCTION("""COMPUTED_VALUE"""),134)</f>
        <v>134</v>
      </c>
      <c r="T675" s="32">
        <f ca="1">IFERROR(__xludf.DUMMYFUNCTION("""COMPUTED_VALUE"""),134)</f>
        <v>134</v>
      </c>
      <c r="U675" s="32"/>
      <c r="V675" s="32">
        <f ca="1">IFERROR(__xludf.DUMMYFUNCTION("""COMPUTED_VALUE"""),116)</f>
        <v>116</v>
      </c>
      <c r="W675" s="32"/>
      <c r="X675" s="32">
        <f ca="1">IFERROR(__xludf.DUMMYFUNCTION("""COMPUTED_VALUE"""),26)</f>
        <v>26</v>
      </c>
      <c r="Y675" s="32"/>
      <c r="Z675" s="2"/>
      <c r="AA675" s="2"/>
      <c r="AB675" s="2"/>
      <c r="AC675" s="2"/>
      <c r="AD675" s="2"/>
      <c r="AE675" s="2"/>
    </row>
    <row r="676" spans="1:31" ht="12.75" x14ac:dyDescent="0.2">
      <c r="A676" s="28">
        <f ca="1">IFERROR(__xludf.DUMMYFUNCTION("""COMPUTED_VALUE"""),5)</f>
        <v>5</v>
      </c>
      <c r="B676" s="29" t="str">
        <f ca="1">IFERROR(__xludf.DUMMYFUNCTION("""COMPUTED_VALUE"""),"Trung cấp Đông Sài Gòn")</f>
        <v>Trung cấp Đông Sài Gòn</v>
      </c>
      <c r="C676" s="33" t="str">
        <f ca="1">IFERROR(__xludf.DUMMYFUNCTION("""COMPUTED_VALUE"""),"Khác")</f>
        <v>Khác</v>
      </c>
      <c r="D676" s="30" t="str">
        <f ca="1">IFERROR(__xludf.DUMMYFUNCTION("""COMPUTED_VALUE"""),"Tp. Thủ Đức")</f>
        <v>Tp. Thủ Đức</v>
      </c>
      <c r="E676" s="31">
        <f ca="1">IFERROR(__xludf.DUMMYFUNCTION("""COMPUTED_VALUE"""),30)</f>
        <v>30</v>
      </c>
      <c r="F676" s="32">
        <f ca="1">IFERROR(__xludf.DUMMYFUNCTION("""COMPUTED_VALUE"""),30)</f>
        <v>30</v>
      </c>
      <c r="G676" s="32"/>
      <c r="H676" s="32">
        <f ca="1">IFERROR(__xludf.DUMMYFUNCTION("""COMPUTED_VALUE"""),30)</f>
        <v>30</v>
      </c>
      <c r="I676" s="32"/>
      <c r="J676" s="32">
        <f ca="1">IFERROR(__xludf.DUMMYFUNCTION("""COMPUTED_VALUE"""),30)</f>
        <v>30</v>
      </c>
      <c r="K676" s="32"/>
      <c r="L676" s="32">
        <f ca="1">IFERROR(__xludf.DUMMYFUNCTION("""COMPUTED_VALUE"""),15)</f>
        <v>15</v>
      </c>
      <c r="M676" s="32"/>
      <c r="N676" s="31">
        <f ca="1">IFERROR(__xludf.DUMMYFUNCTION("""COMPUTED_VALUE"""),0)</f>
        <v>0</v>
      </c>
      <c r="O676" s="32">
        <f ca="1">IFERROR(__xludf.DUMMYFUNCTION("""COMPUTED_VALUE"""),0)</f>
        <v>0</v>
      </c>
      <c r="P676" s="32"/>
      <c r="Q676" s="32">
        <f ca="1">IFERROR(__xludf.DUMMYFUNCTION("""COMPUTED_VALUE"""),0)</f>
        <v>0</v>
      </c>
      <c r="R676" s="32"/>
      <c r="S676" s="31">
        <f ca="1">IFERROR(__xludf.DUMMYFUNCTION("""COMPUTED_VALUE"""),482)</f>
        <v>482</v>
      </c>
      <c r="T676" s="32">
        <f ca="1">IFERROR(__xludf.DUMMYFUNCTION("""COMPUTED_VALUE"""),482)</f>
        <v>482</v>
      </c>
      <c r="U676" s="32"/>
      <c r="V676" s="32">
        <f ca="1">IFERROR(__xludf.DUMMYFUNCTION("""COMPUTED_VALUE"""),375)</f>
        <v>375</v>
      </c>
      <c r="W676" s="32"/>
      <c r="X676" s="32">
        <f ca="1">IFERROR(__xludf.DUMMYFUNCTION("""COMPUTED_VALUE"""),225)</f>
        <v>225</v>
      </c>
      <c r="Y676" s="32"/>
      <c r="Z676" s="2"/>
      <c r="AA676" s="2"/>
      <c r="AB676" s="2"/>
      <c r="AC676" s="2"/>
      <c r="AD676" s="2"/>
      <c r="AE676" s="2"/>
    </row>
    <row r="677" spans="1:31" ht="12.75" x14ac:dyDescent="0.2">
      <c r="A677" s="28">
        <f ca="1">IFERROR(__xludf.DUMMYFUNCTION("""COMPUTED_VALUE"""),6)</f>
        <v>6</v>
      </c>
      <c r="B677" s="29" t="str">
        <f ca="1">IFERROR(__xludf.DUMMYFUNCTION("""COMPUTED_VALUE"""),"Trung tâm GDTX Gia Định")</f>
        <v>Trung tâm GDTX Gia Định</v>
      </c>
      <c r="C677" s="33" t="str">
        <f ca="1">IFERROR(__xludf.DUMMYFUNCTION("""COMPUTED_VALUE"""),"Khác")</f>
        <v>Khác</v>
      </c>
      <c r="D677" s="30" t="str">
        <f ca="1">IFERROR(__xludf.DUMMYFUNCTION("""COMPUTED_VALUE"""),"Tp. Thủ Đức")</f>
        <v>Tp. Thủ Đức</v>
      </c>
      <c r="E677" s="31">
        <f ca="1">IFERROR(__xludf.DUMMYFUNCTION("""COMPUTED_VALUE"""),35)</f>
        <v>35</v>
      </c>
      <c r="F677" s="32">
        <f ca="1">IFERROR(__xludf.DUMMYFUNCTION("""COMPUTED_VALUE"""),35)</f>
        <v>35</v>
      </c>
      <c r="G677" s="32"/>
      <c r="H677" s="32">
        <f ca="1">IFERROR(__xludf.DUMMYFUNCTION("""COMPUTED_VALUE"""),35)</f>
        <v>35</v>
      </c>
      <c r="I677" s="32"/>
      <c r="J677" s="32">
        <f ca="1">IFERROR(__xludf.DUMMYFUNCTION("""COMPUTED_VALUE"""),35)</f>
        <v>35</v>
      </c>
      <c r="K677" s="32"/>
      <c r="L677" s="32">
        <f ca="1">IFERROR(__xludf.DUMMYFUNCTION("""COMPUTED_VALUE"""),20)</f>
        <v>20</v>
      </c>
      <c r="M677" s="32"/>
      <c r="N677" s="31">
        <f ca="1">IFERROR(__xludf.DUMMYFUNCTION("""COMPUTED_VALUE"""),0)</f>
        <v>0</v>
      </c>
      <c r="O677" s="32">
        <f ca="1">IFERROR(__xludf.DUMMYFUNCTION("""COMPUTED_VALUE"""),0)</f>
        <v>0</v>
      </c>
      <c r="P677" s="32"/>
      <c r="Q677" s="32">
        <f ca="1">IFERROR(__xludf.DUMMYFUNCTION("""COMPUTED_VALUE"""),0)</f>
        <v>0</v>
      </c>
      <c r="R677" s="32"/>
      <c r="S677" s="31">
        <f ca="1">IFERROR(__xludf.DUMMYFUNCTION("""COMPUTED_VALUE"""),145)</f>
        <v>145</v>
      </c>
      <c r="T677" s="32">
        <f ca="1">IFERROR(__xludf.DUMMYFUNCTION("""COMPUTED_VALUE"""),145)</f>
        <v>145</v>
      </c>
      <c r="U677" s="32"/>
      <c r="V677" s="32">
        <f ca="1">IFERROR(__xludf.DUMMYFUNCTION("""COMPUTED_VALUE"""),87)</f>
        <v>87</v>
      </c>
      <c r="W677" s="32"/>
      <c r="X677" s="32">
        <f ca="1">IFERROR(__xludf.DUMMYFUNCTION("""COMPUTED_VALUE"""),20)</f>
        <v>20</v>
      </c>
      <c r="Y677" s="32"/>
      <c r="Z677" s="2"/>
      <c r="AA677" s="2"/>
      <c r="AB677" s="2"/>
      <c r="AC677" s="2"/>
      <c r="AD677" s="2"/>
      <c r="AE677" s="2"/>
    </row>
    <row r="678" spans="1:31" ht="12.75" x14ac:dyDescent="0.2">
      <c r="A678" s="28">
        <f ca="1">IFERROR(__xludf.DUMMYFUNCTION("""COMPUTED_VALUE"""),7)</f>
        <v>7</v>
      </c>
      <c r="B678" s="29" t="str">
        <f ca="1">IFERROR(__xludf.DUMMYFUNCTION("""COMPUTED_VALUE"""),"Cao đẳng KTKT Thủ Đức")</f>
        <v>Cao đẳng KTKT Thủ Đức</v>
      </c>
      <c r="C678" s="33" t="str">
        <f ca="1">IFERROR(__xludf.DUMMYFUNCTION("""COMPUTED_VALUE"""),"Khác")</f>
        <v>Khác</v>
      </c>
      <c r="D678" s="30" t="str">
        <f ca="1">IFERROR(__xludf.DUMMYFUNCTION("""COMPUTED_VALUE"""),"Tp. Thủ Đức")</f>
        <v>Tp. Thủ Đức</v>
      </c>
      <c r="E678" s="31">
        <f ca="1">IFERROR(__xludf.DUMMYFUNCTION("""COMPUTED_VALUE"""),45)</f>
        <v>45</v>
      </c>
      <c r="F678" s="32">
        <f ca="1">IFERROR(__xludf.DUMMYFUNCTION("""COMPUTED_VALUE"""),45)</f>
        <v>45</v>
      </c>
      <c r="G678" s="32"/>
      <c r="H678" s="32">
        <f ca="1">IFERROR(__xludf.DUMMYFUNCTION("""COMPUTED_VALUE"""),45)</f>
        <v>45</v>
      </c>
      <c r="I678" s="32"/>
      <c r="J678" s="32">
        <f ca="1">IFERROR(__xludf.DUMMYFUNCTION("""COMPUTED_VALUE"""),45)</f>
        <v>45</v>
      </c>
      <c r="K678" s="32"/>
      <c r="L678" s="32">
        <f ca="1">IFERROR(__xludf.DUMMYFUNCTION("""COMPUTED_VALUE"""),40)</f>
        <v>40</v>
      </c>
      <c r="M678" s="32"/>
      <c r="N678" s="31">
        <f ca="1">IFERROR(__xludf.DUMMYFUNCTION("""COMPUTED_VALUE"""),0)</f>
        <v>0</v>
      </c>
      <c r="O678" s="32">
        <f ca="1">IFERROR(__xludf.DUMMYFUNCTION("""COMPUTED_VALUE"""),0)</f>
        <v>0</v>
      </c>
      <c r="P678" s="32"/>
      <c r="Q678" s="32">
        <f ca="1">IFERROR(__xludf.DUMMYFUNCTION("""COMPUTED_VALUE"""),0)</f>
        <v>0</v>
      </c>
      <c r="R678" s="32"/>
      <c r="S678" s="31">
        <f ca="1">IFERROR(__xludf.DUMMYFUNCTION("""COMPUTED_VALUE"""),1037)</f>
        <v>1037</v>
      </c>
      <c r="T678" s="32">
        <f ca="1">IFERROR(__xludf.DUMMYFUNCTION("""COMPUTED_VALUE"""),1037)</f>
        <v>1037</v>
      </c>
      <c r="U678" s="32"/>
      <c r="V678" s="32">
        <f ca="1">IFERROR(__xludf.DUMMYFUNCTION("""COMPUTED_VALUE"""),1037)</f>
        <v>1037</v>
      </c>
      <c r="W678" s="32"/>
      <c r="X678" s="32">
        <f ca="1">IFERROR(__xludf.DUMMYFUNCTION("""COMPUTED_VALUE"""),565)</f>
        <v>565</v>
      </c>
      <c r="Y678" s="32"/>
      <c r="Z678" s="2"/>
      <c r="AA678" s="2"/>
      <c r="AB678" s="2"/>
      <c r="AC678" s="2"/>
      <c r="AD678" s="2"/>
      <c r="AE678" s="2"/>
    </row>
    <row r="679" spans="1:31" ht="12.75" x14ac:dyDescent="0.2">
      <c r="A679" s="28"/>
      <c r="B679" s="29"/>
      <c r="C679" s="29"/>
      <c r="D679" s="36"/>
      <c r="E679" s="31"/>
      <c r="F679" s="32"/>
      <c r="G679" s="32"/>
      <c r="H679" s="32"/>
      <c r="I679" s="32"/>
      <c r="J679" s="32"/>
      <c r="K679" s="32"/>
      <c r="L679" s="32"/>
      <c r="M679" s="32"/>
      <c r="N679" s="31"/>
      <c r="O679" s="32"/>
      <c r="P679" s="32"/>
      <c r="Q679" s="32"/>
      <c r="R679" s="32"/>
      <c r="S679" s="31"/>
      <c r="T679" s="32"/>
      <c r="U679" s="32"/>
      <c r="V679" s="32"/>
      <c r="W679" s="32"/>
      <c r="X679" s="32"/>
      <c r="Y679" s="32"/>
      <c r="Z679" s="2"/>
      <c r="AA679" s="2"/>
      <c r="AB679" s="2"/>
      <c r="AC679" s="2"/>
      <c r="AD679" s="2"/>
      <c r="AE679" s="2"/>
    </row>
    <row r="680" spans="1:31" ht="12.75" x14ac:dyDescent="0.2">
      <c r="A680" s="28"/>
      <c r="B680" s="29"/>
      <c r="C680" s="29"/>
      <c r="D680" s="36"/>
      <c r="E680" s="31"/>
      <c r="F680" s="32"/>
      <c r="G680" s="32"/>
      <c r="H680" s="32"/>
      <c r="I680" s="32"/>
      <c r="J680" s="32"/>
      <c r="K680" s="32"/>
      <c r="L680" s="32"/>
      <c r="M680" s="32"/>
      <c r="N680" s="31"/>
      <c r="O680" s="32"/>
      <c r="P680" s="32"/>
      <c r="Q680" s="32"/>
      <c r="R680" s="32"/>
      <c r="S680" s="31"/>
      <c r="T680" s="32"/>
      <c r="U680" s="32"/>
      <c r="V680" s="32"/>
      <c r="W680" s="32"/>
      <c r="X680" s="32"/>
      <c r="Y680" s="32"/>
      <c r="Z680" s="2"/>
      <c r="AA680" s="2"/>
      <c r="AB680" s="2"/>
      <c r="AC680" s="2"/>
      <c r="AD680" s="2"/>
      <c r="AE680" s="2"/>
    </row>
    <row r="681" spans="1:31" ht="12.75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2.75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2.75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2.75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2.75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2.75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2.75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2.75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2.75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2.75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2.75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2.75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2.75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2.75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2.75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2.75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2.75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2.75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2.75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2.75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2.75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2.75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2.75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2.75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2.75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2.75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2.75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2.75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2.75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2.75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2.75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2.75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2.75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2.75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2.75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2.75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2.75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2.75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2.75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2.75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2.75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2.75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2.75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2.75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2.75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2.75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2.75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2.75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2.75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2.75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2.75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2.75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2.75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2.75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2.75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2.75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2.75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2.75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2.75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2.75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2.75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2.75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2.75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2.75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2.75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2.75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2.75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2.75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2.75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2.75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2.75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2.75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2.75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2.75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2.75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2.75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2.75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2.75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2.75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2.75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2.75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2.75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2.75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2.75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2.75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2.75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2.75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2.75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2.75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2.75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2.75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2.75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2.75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2.75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2.75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2.75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2.75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2.75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2.75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2.75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2.75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2.75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2.75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2.75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2.75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2.75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2.75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2.75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2.75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2.75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2.75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2.75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2.75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2.75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2.75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2.75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2.75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2.75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2.75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2.75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2.75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2.75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2.75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2.75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2.75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2.75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2.75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2.75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2.75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2.75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2.75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2.75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2.75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2.75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2.75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2.75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2.75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2.75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2.75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2.75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2.75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2.75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2.75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2.75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2.75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2.75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2.75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2.75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2.75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2.75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2.75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2.75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2.75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2.75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2.75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2.75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2.75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2.75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2.75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2.75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2.75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2.75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2.75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2.75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2.75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2.75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2.75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2.75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2.75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2.75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2.75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2.75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2.75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2.75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2.75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2.75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2.75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2.75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2.75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2.75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2.75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2.75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2.75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2.75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2.75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2.75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2.75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2.75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2.75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2.75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2.75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2.75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2.75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2.75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2.75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2.75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2.75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2.75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2.75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2.75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2.75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2.75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2.75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2.75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2.75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2.75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2.75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2.75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2.75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2.75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2.75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2.75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2.75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2.75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2.75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2.75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2.75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2.75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2.75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2.75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2.75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2.75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2.75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2.75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2.75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2.75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2.75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2.75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2.75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2.75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2.75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2.75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2.75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2.75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2.75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2.75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2.75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2.75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2.75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2.75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2.75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2.75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2.75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2.75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2.75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2.75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2.75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2.75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2.75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2.75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2.75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2.75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2.75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2.75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2.75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2.75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2.75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2.75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2.75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2.75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2.75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2.75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2.75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2.75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2.75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2.75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2.75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2.75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2.75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2.75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2.75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2.75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2.75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2.75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2.75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2.75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2.75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2.75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2.75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2.75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2.75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2.75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2.75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2.75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2.75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2.75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2.75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2.75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2.75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2.75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2.75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2.75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2.75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2.75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2.75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2.75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2.75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2.75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2.75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2.75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2.75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2.75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2.75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2.75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2.75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2.75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2.75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2.75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2.75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2.75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2.75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2.75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2.75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2.75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2.75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2.75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2.75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 ht="12.75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 ht="12.75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  <row r="1000" spans="1:31" ht="12.75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</row>
  </sheetData>
  <mergeCells count="18">
    <mergeCell ref="D3:D4"/>
    <mergeCell ref="E3:M3"/>
    <mergeCell ref="N3:R3"/>
    <mergeCell ref="S3:Y3"/>
    <mergeCell ref="F4:G4"/>
    <mergeCell ref="H4:I4"/>
    <mergeCell ref="J4:K4"/>
    <mergeCell ref="L4:M4"/>
    <mergeCell ref="O4:P4"/>
    <mergeCell ref="Q4:R4"/>
    <mergeCell ref="T4:U4"/>
    <mergeCell ref="V4:W4"/>
    <mergeCell ref="X4:Y4"/>
    <mergeCell ref="B3:B4"/>
    <mergeCell ref="A598:B598"/>
    <mergeCell ref="A636:B636"/>
    <mergeCell ref="A3:A4"/>
    <mergeCell ref="C3:C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D1000"/>
  <sheetViews>
    <sheetView zoomScale="85" zoomScaleNormal="85" workbookViewId="0">
      <selection activeCell="B21" sqref="B21"/>
    </sheetView>
  </sheetViews>
  <sheetFormatPr defaultColWidth="12.5703125" defaultRowHeight="15.75" customHeight="1" x14ac:dyDescent="0.2"/>
  <cols>
    <col min="1" max="1" width="8.7109375" style="3" customWidth="1"/>
    <col min="2" max="2" width="27.5703125" style="3" customWidth="1"/>
    <col min="3" max="4" width="12.5703125" style="3"/>
    <col min="5" max="5" width="10.42578125" style="3" customWidth="1"/>
    <col min="6" max="13" width="8.85546875" style="3" customWidth="1"/>
    <col min="14" max="14" width="10.42578125" style="3" customWidth="1"/>
    <col min="15" max="18" width="8.85546875" style="3" customWidth="1"/>
    <col min="19" max="19" width="10.42578125" style="3" customWidth="1"/>
    <col min="20" max="25" width="8.85546875" style="3" customWidth="1"/>
    <col min="26" max="16384" width="12.5703125" style="3"/>
  </cols>
  <sheetData>
    <row r="1" spans="1:30" ht="26.25" customHeight="1" x14ac:dyDescent="0.2">
      <c r="A1" s="49" t="s">
        <v>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</row>
    <row r="2" spans="1:30" ht="35.25" customHeight="1" x14ac:dyDescent="0.2">
      <c r="A2" s="4" t="s">
        <v>26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</row>
    <row r="3" spans="1:30" ht="30.75" customHeight="1" x14ac:dyDescent="0.2">
      <c r="A3" s="89" t="str">
        <f ca="1">IFERROR(__xludf.DUMMYFUNCTION("IMPORTRANGE(""https://docs.google.com/spreadsheets/d/1giFCfPZvq6d2WPbrXwJ7ksTcnSjmuNbU5G4IRrh5hOk/edit#gid=0"",""Q4!A14:T300"")"),"STT")</f>
        <v>STT</v>
      </c>
      <c r="B3" s="101" t="str">
        <f ca="1">IFERROR(__xludf.DUMMYFUNCTION("""COMPUTED_VALUE"""),"TRƯỜNG")</f>
        <v>TRƯỜNG</v>
      </c>
      <c r="C3" s="101" t="str">
        <f ca="1">IFERROR(__xludf.DUMMYFUNCTION("""COMPUTED_VALUE"""),"BẬC HỌC (MN, TH, THCS, THPT, CB, GDTX)")</f>
        <v>BẬC HỌC (MN, TH, THCS, THPT, CB, GDTX)</v>
      </c>
      <c r="D3" s="101" t="str">
        <f ca="1">IFERROR(__xludf.DUMMYFUNCTION("""COMPUTED_VALUE"""),"THÀNH PHỐ, QUẬN, HUYỆN")</f>
        <v>THÀNH PHỐ, QUẬN, HUYỆN</v>
      </c>
      <c r="E3" s="91" t="str">
        <f ca="1">IFERROR(__xludf.DUMMYFUNCTION("""COMPUTED_VALUE"""),"Cán bộ - Giáo viên - Nhân viên")</f>
        <v>Cán bộ - Giáo viên - Nhân viên</v>
      </c>
      <c r="F3" s="92"/>
      <c r="G3" s="92"/>
      <c r="H3" s="92"/>
      <c r="I3" s="92"/>
      <c r="J3" s="92"/>
      <c r="K3" s="92"/>
      <c r="L3" s="92"/>
      <c r="M3" s="92"/>
      <c r="N3" s="102" t="str">
        <f ca="1">IFERROR(__xludf.DUMMYFUNCTION("""COMPUTED_VALUE"""),"Học sinh từ 5 đến dưới 12 tuổi")</f>
        <v>Học sinh từ 5 đến dưới 12 tuổi</v>
      </c>
      <c r="O3" s="92"/>
      <c r="P3" s="92"/>
      <c r="Q3" s="92"/>
      <c r="R3" s="92"/>
      <c r="S3" s="94" t="str">
        <f ca="1">IFERROR(__xludf.DUMMYFUNCTION("""COMPUTED_VALUE"""),"Học sinh từ 12 đến dưới 18 tuổi")</f>
        <v>Học sinh từ 12 đến dưới 18 tuổi</v>
      </c>
      <c r="T3" s="95"/>
      <c r="U3" s="95"/>
      <c r="V3" s="95"/>
      <c r="W3" s="95"/>
      <c r="X3" s="95"/>
      <c r="Y3" s="95"/>
      <c r="Z3" s="2"/>
      <c r="AA3" s="2"/>
      <c r="AB3" s="2"/>
      <c r="AC3" s="2"/>
      <c r="AD3" s="2"/>
    </row>
    <row r="4" spans="1:30" ht="27" customHeight="1" x14ac:dyDescent="0.2">
      <c r="A4" s="90"/>
      <c r="B4" s="88"/>
      <c r="C4" s="88"/>
      <c r="D4" s="88"/>
      <c r="E4" s="58" t="str">
        <f ca="1">IFERROR(__xludf.DUMMYFUNCTION("""COMPUTED_VALUE"""),"Tổng CB-GV-NV")</f>
        <v>Tổng CB-GV-NV</v>
      </c>
      <c r="F4" s="96" t="s">
        <v>22</v>
      </c>
      <c r="G4" s="97"/>
      <c r="H4" s="96" t="s">
        <v>23</v>
      </c>
      <c r="I4" s="97"/>
      <c r="J4" s="96" t="s">
        <v>24</v>
      </c>
      <c r="K4" s="97"/>
      <c r="L4" s="96" t="s">
        <v>25</v>
      </c>
      <c r="M4" s="97"/>
      <c r="N4" s="58" t="str">
        <f ca="1">IFERROR(__xludf.DUMMYFUNCTION("""COMPUTED_VALUE"""),"Tổng học sinh")</f>
        <v>Tổng học sinh</v>
      </c>
      <c r="O4" s="96" t="s">
        <v>22</v>
      </c>
      <c r="P4" s="97"/>
      <c r="Q4" s="96" t="s">
        <v>23</v>
      </c>
      <c r="R4" s="97"/>
      <c r="S4" s="58" t="str">
        <f ca="1">IFERROR(__xludf.DUMMYFUNCTION("""COMPUTED_VALUE"""),"Tổng học sinh")</f>
        <v>Tổng học sinh</v>
      </c>
      <c r="T4" s="98" t="s">
        <v>22</v>
      </c>
      <c r="U4" s="99"/>
      <c r="V4" s="98" t="s">
        <v>23</v>
      </c>
      <c r="W4" s="99"/>
      <c r="X4" s="98" t="s">
        <v>24</v>
      </c>
      <c r="Y4" s="99"/>
      <c r="Z4" s="2"/>
      <c r="AA4" s="2"/>
      <c r="AB4" s="2"/>
      <c r="AC4" s="2"/>
      <c r="AD4" s="2"/>
    </row>
    <row r="5" spans="1:30" ht="12.75" x14ac:dyDescent="0.2">
      <c r="A5" s="75" t="str">
        <f ca="1">IFERROR(__xludf.DUMMYFUNCTION("""COMPUTED_VALUE"""),"TỔNG TOÀN QUẬN/HUYỆN/TP")</f>
        <v>TỔNG TOÀN QUẬN/HUYỆN/TP</v>
      </c>
      <c r="B5" s="60"/>
      <c r="C5" s="76"/>
      <c r="D5" s="76" t="str">
        <f ca="1">IFERROR(__xludf.DUMMYFUNCTION("""COMPUTED_VALUE"""),"QUẬN 4")</f>
        <v>QUẬN 4</v>
      </c>
      <c r="E5" s="15">
        <f ca="1">IFERROR(__xludf.DUMMYFUNCTION("""COMPUTED_VALUE"""),1830)</f>
        <v>1830</v>
      </c>
      <c r="F5" s="15">
        <f ca="1">IFERROR(__xludf.DUMMYFUNCTION("""COMPUTED_VALUE"""),1827)</f>
        <v>1827</v>
      </c>
      <c r="G5" s="51">
        <f ca="1">IFERROR(F5/E5,"")</f>
        <v>0.99836065573770494</v>
      </c>
      <c r="H5" s="15">
        <f ca="1">IFERROR(__xludf.DUMMYFUNCTION("""COMPUTED_VALUE"""),1824)</f>
        <v>1824</v>
      </c>
      <c r="I5" s="51">
        <f ca="1">IFERROR(H5/E5,"")</f>
        <v>0.99672131147540988</v>
      </c>
      <c r="J5" s="15">
        <f ca="1">IFERROR(__xludf.DUMMYFUNCTION("""COMPUTED_VALUE"""),1736)</f>
        <v>1736</v>
      </c>
      <c r="K5" s="51">
        <f ca="1">IFERROR(J5/E5,"")</f>
        <v>0.94863387978142077</v>
      </c>
      <c r="L5" s="15">
        <f ca="1">IFERROR(__xludf.DUMMYFUNCTION("""COMPUTED_VALUE"""),840)</f>
        <v>840</v>
      </c>
      <c r="M5" s="51">
        <f ca="1">IFERROR(L5/E5,"")</f>
        <v>0.45901639344262296</v>
      </c>
      <c r="N5" s="15">
        <f ca="1">IFERROR(__xludf.DUMMYFUNCTION("""COMPUTED_VALUE"""),12140)</f>
        <v>12140</v>
      </c>
      <c r="O5" s="15">
        <f ca="1">IFERROR(__xludf.DUMMYFUNCTION("""COMPUTED_VALUE"""),6313)</f>
        <v>6313</v>
      </c>
      <c r="P5" s="51">
        <f ca="1">IFERROR(O5/N5,"")</f>
        <v>0.52001647446457988</v>
      </c>
      <c r="Q5" s="15">
        <f ca="1">IFERROR(__xludf.DUMMYFUNCTION("""COMPUTED_VALUE"""),3941)</f>
        <v>3941</v>
      </c>
      <c r="R5" s="51">
        <f ca="1">IFERROR(Q5/N5,"")</f>
        <v>0.3246293245469522</v>
      </c>
      <c r="S5" s="15">
        <f ca="1">IFERROR(__xludf.DUMMYFUNCTION("""COMPUTED_VALUE"""),9504)</f>
        <v>9504</v>
      </c>
      <c r="T5" s="15">
        <f ca="1">IFERROR(__xludf.DUMMYFUNCTION("""COMPUTED_VALUE"""),8927)</f>
        <v>8927</v>
      </c>
      <c r="U5" s="51">
        <f ca="1">IFERROR(T5/S5,"")</f>
        <v>0.93928872053872059</v>
      </c>
      <c r="V5" s="15">
        <f ca="1">IFERROR(__xludf.DUMMYFUNCTION("""COMPUTED_VALUE"""),8258)</f>
        <v>8258</v>
      </c>
      <c r="W5" s="51">
        <f ca="1">IFERROR(V5/S5,"")</f>
        <v>0.86889730639730645</v>
      </c>
      <c r="X5" s="15">
        <f ca="1">IFERROR(__xludf.DUMMYFUNCTION("""COMPUTED_VALUE"""),3286)</f>
        <v>3286</v>
      </c>
      <c r="Y5" s="51">
        <f ca="1">IFERROR(X5/S5,"")</f>
        <v>0.34574915824915825</v>
      </c>
      <c r="Z5" s="2"/>
      <c r="AA5" s="2"/>
      <c r="AB5" s="2"/>
      <c r="AC5" s="2"/>
      <c r="AD5" s="2"/>
    </row>
    <row r="6" spans="1:30" ht="12.75" x14ac:dyDescent="0.2">
      <c r="A6" s="103" t="str">
        <f ca="1">IFERROR(__xludf.DUMMYFUNCTION("""COMPUTED_VALUE"""),"Mầm non")</f>
        <v>Mầm non</v>
      </c>
      <c r="B6" s="92"/>
      <c r="C6" s="104"/>
      <c r="D6" s="20"/>
      <c r="E6" s="17">
        <f ca="1">IFERROR(__xludf.DUMMYFUNCTION("""COMPUTED_VALUE"""),602)</f>
        <v>602</v>
      </c>
      <c r="F6" s="17">
        <f ca="1">IFERROR(__xludf.DUMMYFUNCTION("""COMPUTED_VALUE"""),600)</f>
        <v>600</v>
      </c>
      <c r="G6" s="51">
        <f t="shared" ref="G6:G69" ca="1" si="0">IFERROR(F6/E6,"")</f>
        <v>0.99667774086378735</v>
      </c>
      <c r="H6" s="17">
        <f ca="1">IFERROR(__xludf.DUMMYFUNCTION("""COMPUTED_VALUE"""),598)</f>
        <v>598</v>
      </c>
      <c r="I6" s="51">
        <f t="shared" ref="I6:I69" ca="1" si="1">IFERROR(H6/E6,"")</f>
        <v>0.99335548172757471</v>
      </c>
      <c r="J6" s="17">
        <f ca="1">IFERROR(__xludf.DUMMYFUNCTION("""COMPUTED_VALUE"""),580)</f>
        <v>580</v>
      </c>
      <c r="K6" s="51">
        <f t="shared" ref="K6:K69" ca="1" si="2">IFERROR(J6/E6,"")</f>
        <v>0.96345514950166111</v>
      </c>
      <c r="L6" s="17">
        <f ca="1">IFERROR(__xludf.DUMMYFUNCTION("""COMPUTED_VALUE"""),358)</f>
        <v>358</v>
      </c>
      <c r="M6" s="51">
        <f t="shared" ref="M6:M69" ca="1" si="3">IFERROR(L6/E6,"")</f>
        <v>0.59468438538205981</v>
      </c>
      <c r="N6" s="17">
        <f ca="1">IFERROR(__xludf.DUMMYFUNCTION("""COMPUTED_VALUE"""),1200)</f>
        <v>1200</v>
      </c>
      <c r="O6" s="17">
        <f ca="1">IFERROR(__xludf.DUMMYFUNCTION("""COMPUTED_VALUE"""),232)</f>
        <v>232</v>
      </c>
      <c r="P6" s="51">
        <f t="shared" ref="P6:P69" ca="1" si="4">IFERROR(O6/N6,"")</f>
        <v>0.19333333333333333</v>
      </c>
      <c r="Q6" s="17">
        <f ca="1">IFERROR(__xludf.DUMMYFUNCTION("""COMPUTED_VALUE"""),111)</f>
        <v>111</v>
      </c>
      <c r="R6" s="51">
        <f t="shared" ref="R6:R69" ca="1" si="5">IFERROR(Q6/N6,"")</f>
        <v>9.2499999999999999E-2</v>
      </c>
      <c r="S6" s="17">
        <f ca="1">IFERROR(__xludf.DUMMYFUNCTION("""COMPUTED_VALUE"""),0)</f>
        <v>0</v>
      </c>
      <c r="T6" s="17">
        <f ca="1">IFERROR(__xludf.DUMMYFUNCTION("""COMPUTED_VALUE"""),0)</f>
        <v>0</v>
      </c>
      <c r="U6" s="51" t="str">
        <f t="shared" ref="U6:U69" ca="1" si="6">IFERROR(T6/S6,"")</f>
        <v/>
      </c>
      <c r="V6" s="17">
        <f ca="1">IFERROR(__xludf.DUMMYFUNCTION("""COMPUTED_VALUE"""),0)</f>
        <v>0</v>
      </c>
      <c r="W6" s="51" t="str">
        <f t="shared" ref="W6:W69" ca="1" si="7">IFERROR(V6/S6,"")</f>
        <v/>
      </c>
      <c r="X6" s="17">
        <f ca="1">IFERROR(__xludf.DUMMYFUNCTION("""COMPUTED_VALUE"""),0)</f>
        <v>0</v>
      </c>
      <c r="Y6" s="51" t="str">
        <f t="shared" ref="Y6:Y69" ca="1" si="8">IFERROR(X6/S6,"")</f>
        <v/>
      </c>
      <c r="Z6" s="2"/>
      <c r="AA6" s="2"/>
      <c r="AB6" s="2"/>
      <c r="AC6" s="2"/>
      <c r="AD6" s="2"/>
    </row>
    <row r="7" spans="1:30" ht="12.75" x14ac:dyDescent="0.2">
      <c r="A7" s="16">
        <f ca="1">IFERROR(__xludf.DUMMYFUNCTION("""COMPUTED_VALUE"""),1)</f>
        <v>1</v>
      </c>
      <c r="B7" s="14" t="str">
        <f ca="1">IFERROR(__xludf.DUMMYFUNCTION("""COMPUTED_VALUE"""),"Mầm Non 2")</f>
        <v>Mầm Non 2</v>
      </c>
      <c r="C7" s="14" t="str">
        <f ca="1">IFERROR(__xludf.DUMMYFUNCTION("""COMPUTED_VALUE"""),"MN")</f>
        <v>MN</v>
      </c>
      <c r="D7" s="14">
        <f ca="1">IFERROR(__xludf.DUMMYFUNCTION("""COMPUTED_VALUE"""),4)</f>
        <v>4</v>
      </c>
      <c r="E7" s="17">
        <f ca="1">IFERROR(__xludf.DUMMYFUNCTION("""COMPUTED_VALUE"""),44)</f>
        <v>44</v>
      </c>
      <c r="F7" s="19">
        <f ca="1">IFERROR(__xludf.DUMMYFUNCTION("""COMPUTED_VALUE"""),44)</f>
        <v>44</v>
      </c>
      <c r="G7" s="51">
        <f t="shared" ca="1" si="0"/>
        <v>1</v>
      </c>
      <c r="H7" s="19">
        <f ca="1">IFERROR(__xludf.DUMMYFUNCTION("""COMPUTED_VALUE"""),44)</f>
        <v>44</v>
      </c>
      <c r="I7" s="51">
        <f t="shared" ca="1" si="1"/>
        <v>1</v>
      </c>
      <c r="J7" s="19">
        <f ca="1">IFERROR(__xludf.DUMMYFUNCTION("""COMPUTED_VALUE"""),44)</f>
        <v>44</v>
      </c>
      <c r="K7" s="51">
        <f t="shared" ca="1" si="2"/>
        <v>1</v>
      </c>
      <c r="L7" s="19">
        <f ca="1">IFERROR(__xludf.DUMMYFUNCTION("""COMPUTED_VALUE"""),36)</f>
        <v>36</v>
      </c>
      <c r="M7" s="51">
        <f t="shared" ca="1" si="3"/>
        <v>0.81818181818181823</v>
      </c>
      <c r="N7" s="19">
        <f ca="1">IFERROR(__xludf.DUMMYFUNCTION("""COMPUTED_VALUE"""),84)</f>
        <v>84</v>
      </c>
      <c r="O7" s="17">
        <f ca="1">IFERROR(__xludf.DUMMYFUNCTION("""COMPUTED_VALUE"""),16)</f>
        <v>16</v>
      </c>
      <c r="P7" s="51">
        <f t="shared" ca="1" si="4"/>
        <v>0.19047619047619047</v>
      </c>
      <c r="Q7" s="19">
        <f ca="1">IFERROR(__xludf.DUMMYFUNCTION("""COMPUTED_VALUE"""),4)</f>
        <v>4</v>
      </c>
      <c r="R7" s="51">
        <f t="shared" ca="1" si="5"/>
        <v>4.7619047619047616E-2</v>
      </c>
      <c r="S7" s="14"/>
      <c r="T7" s="20"/>
      <c r="U7" s="51" t="str">
        <f t="shared" si="6"/>
        <v/>
      </c>
      <c r="V7" s="14"/>
      <c r="W7" s="51" t="str">
        <f t="shared" si="7"/>
        <v/>
      </c>
      <c r="X7" s="14"/>
      <c r="Y7" s="51" t="str">
        <f t="shared" si="8"/>
        <v/>
      </c>
      <c r="Z7" s="2"/>
      <c r="AA7" s="2"/>
      <c r="AB7" s="2"/>
      <c r="AC7" s="2"/>
      <c r="AD7" s="2"/>
    </row>
    <row r="8" spans="1:30" ht="12.75" x14ac:dyDescent="0.2">
      <c r="A8" s="16">
        <f ca="1">IFERROR(__xludf.DUMMYFUNCTION("""COMPUTED_VALUE"""),2)</f>
        <v>2</v>
      </c>
      <c r="B8" s="14" t="str">
        <f ca="1">IFERROR(__xludf.DUMMYFUNCTION("""COMPUTED_VALUE"""),"Mầm non 3")</f>
        <v>Mầm non 3</v>
      </c>
      <c r="C8" s="14" t="str">
        <f ca="1">IFERROR(__xludf.DUMMYFUNCTION("""COMPUTED_VALUE"""),"MN")</f>
        <v>MN</v>
      </c>
      <c r="D8" s="14">
        <f ca="1">IFERROR(__xludf.DUMMYFUNCTION("""COMPUTED_VALUE"""),4)</f>
        <v>4</v>
      </c>
      <c r="E8" s="17">
        <f ca="1">IFERROR(__xludf.DUMMYFUNCTION("""COMPUTED_VALUE"""),30)</f>
        <v>30</v>
      </c>
      <c r="F8" s="19">
        <f ca="1">IFERROR(__xludf.DUMMYFUNCTION("""COMPUTED_VALUE"""),30)</f>
        <v>30</v>
      </c>
      <c r="G8" s="51">
        <f t="shared" ca="1" si="0"/>
        <v>1</v>
      </c>
      <c r="H8" s="14">
        <f ca="1">IFERROR(__xludf.DUMMYFUNCTION("""COMPUTED_VALUE"""),30)</f>
        <v>30</v>
      </c>
      <c r="I8" s="51">
        <f t="shared" ca="1" si="1"/>
        <v>1</v>
      </c>
      <c r="J8" s="19">
        <f ca="1">IFERROR(__xludf.DUMMYFUNCTION("""COMPUTED_VALUE"""),27)</f>
        <v>27</v>
      </c>
      <c r="K8" s="51">
        <f t="shared" ca="1" si="2"/>
        <v>0.9</v>
      </c>
      <c r="L8" s="19">
        <f ca="1">IFERROR(__xludf.DUMMYFUNCTION("""COMPUTED_VALUE"""),2)</f>
        <v>2</v>
      </c>
      <c r="M8" s="51">
        <f t="shared" ca="1" si="3"/>
        <v>6.6666666666666666E-2</v>
      </c>
      <c r="N8" s="19">
        <f ca="1">IFERROR(__xludf.DUMMYFUNCTION("""COMPUTED_VALUE"""),84)</f>
        <v>84</v>
      </c>
      <c r="O8" s="17">
        <f ca="1">IFERROR(__xludf.DUMMYFUNCTION("""COMPUTED_VALUE"""),19)</f>
        <v>19</v>
      </c>
      <c r="P8" s="51">
        <f t="shared" ca="1" si="4"/>
        <v>0.22619047619047619</v>
      </c>
      <c r="Q8" s="19">
        <f ca="1">IFERROR(__xludf.DUMMYFUNCTION("""COMPUTED_VALUE"""),6)</f>
        <v>6</v>
      </c>
      <c r="R8" s="51">
        <f t="shared" ca="1" si="5"/>
        <v>7.1428571428571425E-2</v>
      </c>
      <c r="S8" s="14"/>
      <c r="T8" s="20"/>
      <c r="U8" s="51" t="str">
        <f t="shared" si="6"/>
        <v/>
      </c>
      <c r="V8" s="14"/>
      <c r="W8" s="51" t="str">
        <f t="shared" si="7"/>
        <v/>
      </c>
      <c r="X8" s="14"/>
      <c r="Y8" s="51" t="str">
        <f t="shared" si="8"/>
        <v/>
      </c>
      <c r="Z8" s="2"/>
      <c r="AA8" s="2"/>
      <c r="AB8" s="2"/>
      <c r="AC8" s="2"/>
      <c r="AD8" s="2"/>
    </row>
    <row r="9" spans="1:30" ht="12.75" x14ac:dyDescent="0.2">
      <c r="A9" s="16">
        <f ca="1">IFERROR(__xludf.DUMMYFUNCTION("""COMPUTED_VALUE"""),3)</f>
        <v>3</v>
      </c>
      <c r="B9" s="14" t="str">
        <f ca="1">IFERROR(__xludf.DUMMYFUNCTION("""COMPUTED_VALUE"""),"Mầm non 6")</f>
        <v>Mầm non 6</v>
      </c>
      <c r="C9" s="14" t="str">
        <f ca="1">IFERROR(__xludf.DUMMYFUNCTION("""COMPUTED_VALUE"""),"MN")</f>
        <v>MN</v>
      </c>
      <c r="D9" s="14">
        <f ca="1">IFERROR(__xludf.DUMMYFUNCTION("""COMPUTED_VALUE"""),4)</f>
        <v>4</v>
      </c>
      <c r="E9" s="17">
        <f ca="1">IFERROR(__xludf.DUMMYFUNCTION("""COMPUTED_VALUE"""),29)</f>
        <v>29</v>
      </c>
      <c r="F9" s="19">
        <f ca="1">IFERROR(__xludf.DUMMYFUNCTION("""COMPUTED_VALUE"""),29)</f>
        <v>29</v>
      </c>
      <c r="G9" s="51">
        <f t="shared" ca="1" si="0"/>
        <v>1</v>
      </c>
      <c r="H9" s="19">
        <f ca="1">IFERROR(__xludf.DUMMYFUNCTION("""COMPUTED_VALUE"""),29)</f>
        <v>29</v>
      </c>
      <c r="I9" s="51">
        <f t="shared" ca="1" si="1"/>
        <v>1</v>
      </c>
      <c r="J9" s="19">
        <f ca="1">IFERROR(__xludf.DUMMYFUNCTION("""COMPUTED_VALUE"""),28)</f>
        <v>28</v>
      </c>
      <c r="K9" s="51">
        <f t="shared" ca="1" si="2"/>
        <v>0.96551724137931039</v>
      </c>
      <c r="L9" s="19">
        <f ca="1">IFERROR(__xludf.DUMMYFUNCTION("""COMPUTED_VALUE"""),14)</f>
        <v>14</v>
      </c>
      <c r="M9" s="51">
        <f t="shared" ca="1" si="3"/>
        <v>0.48275862068965519</v>
      </c>
      <c r="N9" s="19">
        <f ca="1">IFERROR(__xludf.DUMMYFUNCTION("""COMPUTED_VALUE"""),44)</f>
        <v>44</v>
      </c>
      <c r="O9" s="17">
        <f ca="1">IFERROR(__xludf.DUMMYFUNCTION("""COMPUTED_VALUE"""),16)</f>
        <v>16</v>
      </c>
      <c r="P9" s="51">
        <f t="shared" ca="1" si="4"/>
        <v>0.36363636363636365</v>
      </c>
      <c r="Q9" s="19">
        <f ca="1">IFERROR(__xludf.DUMMYFUNCTION("""COMPUTED_VALUE"""),4)</f>
        <v>4</v>
      </c>
      <c r="R9" s="51">
        <f t="shared" ca="1" si="5"/>
        <v>9.0909090909090912E-2</v>
      </c>
      <c r="S9" s="14"/>
      <c r="T9" s="20"/>
      <c r="U9" s="51" t="str">
        <f t="shared" si="6"/>
        <v/>
      </c>
      <c r="V9" s="14"/>
      <c r="W9" s="51" t="str">
        <f t="shared" si="7"/>
        <v/>
      </c>
      <c r="X9" s="14"/>
      <c r="Y9" s="51" t="str">
        <f t="shared" si="8"/>
        <v/>
      </c>
      <c r="Z9" s="2"/>
      <c r="AA9" s="2"/>
      <c r="AB9" s="2"/>
      <c r="AC9" s="2"/>
      <c r="AD9" s="2"/>
    </row>
    <row r="10" spans="1:30" ht="12.75" x14ac:dyDescent="0.2">
      <c r="A10" s="16">
        <f ca="1">IFERROR(__xludf.DUMMYFUNCTION("""COMPUTED_VALUE"""),4)</f>
        <v>4</v>
      </c>
      <c r="B10" s="14" t="str">
        <f ca="1">IFERROR(__xludf.DUMMYFUNCTION("""COMPUTED_VALUE"""),"Mầm non 8")</f>
        <v>Mầm non 8</v>
      </c>
      <c r="C10" s="14" t="str">
        <f ca="1">IFERROR(__xludf.DUMMYFUNCTION("""COMPUTED_VALUE"""),"MN")</f>
        <v>MN</v>
      </c>
      <c r="D10" s="14">
        <f ca="1">IFERROR(__xludf.DUMMYFUNCTION("""COMPUTED_VALUE"""),4)</f>
        <v>4</v>
      </c>
      <c r="E10" s="17">
        <f ca="1">IFERROR(__xludf.DUMMYFUNCTION("""COMPUTED_VALUE"""),16)</f>
        <v>16</v>
      </c>
      <c r="F10" s="19">
        <f ca="1">IFERROR(__xludf.DUMMYFUNCTION("""COMPUTED_VALUE"""),16)</f>
        <v>16</v>
      </c>
      <c r="G10" s="51">
        <f t="shared" ca="1" si="0"/>
        <v>1</v>
      </c>
      <c r="H10" s="19">
        <f ca="1">IFERROR(__xludf.DUMMYFUNCTION("""COMPUTED_VALUE"""),16)</f>
        <v>16</v>
      </c>
      <c r="I10" s="51">
        <f t="shared" ca="1" si="1"/>
        <v>1</v>
      </c>
      <c r="J10" s="19">
        <f ca="1">IFERROR(__xludf.DUMMYFUNCTION("""COMPUTED_VALUE"""),16)</f>
        <v>16</v>
      </c>
      <c r="K10" s="51">
        <f t="shared" ca="1" si="2"/>
        <v>1</v>
      </c>
      <c r="L10" s="19">
        <f ca="1">IFERROR(__xludf.DUMMYFUNCTION("""COMPUTED_VALUE"""),10)</f>
        <v>10</v>
      </c>
      <c r="M10" s="51">
        <f t="shared" ca="1" si="3"/>
        <v>0.625</v>
      </c>
      <c r="N10" s="19">
        <f ca="1">IFERROR(__xludf.DUMMYFUNCTION("""COMPUTED_VALUE"""),34)</f>
        <v>34</v>
      </c>
      <c r="O10" s="17">
        <f ca="1">IFERROR(__xludf.DUMMYFUNCTION("""COMPUTED_VALUE"""),12)</f>
        <v>12</v>
      </c>
      <c r="P10" s="51">
        <f t="shared" ca="1" si="4"/>
        <v>0.35294117647058826</v>
      </c>
      <c r="Q10" s="19">
        <f ca="1">IFERROR(__xludf.DUMMYFUNCTION("""COMPUTED_VALUE"""),11)</f>
        <v>11</v>
      </c>
      <c r="R10" s="51">
        <f t="shared" ca="1" si="5"/>
        <v>0.3235294117647059</v>
      </c>
      <c r="S10" s="14"/>
      <c r="T10" s="20"/>
      <c r="U10" s="51" t="str">
        <f t="shared" si="6"/>
        <v/>
      </c>
      <c r="V10" s="14"/>
      <c r="W10" s="51" t="str">
        <f t="shared" si="7"/>
        <v/>
      </c>
      <c r="X10" s="14"/>
      <c r="Y10" s="51" t="str">
        <f t="shared" si="8"/>
        <v/>
      </c>
      <c r="Z10" s="2"/>
      <c r="AA10" s="2"/>
      <c r="AB10" s="2"/>
      <c r="AC10" s="2"/>
      <c r="AD10" s="2"/>
    </row>
    <row r="11" spans="1:30" ht="12.75" x14ac:dyDescent="0.2">
      <c r="A11" s="16">
        <f ca="1">IFERROR(__xludf.DUMMYFUNCTION("""COMPUTED_VALUE"""),5)</f>
        <v>5</v>
      </c>
      <c r="B11" s="14" t="str">
        <f ca="1">IFERROR(__xludf.DUMMYFUNCTION("""COMPUTED_VALUE"""),"Mầm non 9")</f>
        <v>Mầm non 9</v>
      </c>
      <c r="C11" s="14" t="str">
        <f ca="1">IFERROR(__xludf.DUMMYFUNCTION("""COMPUTED_VALUE"""),"MN")</f>
        <v>MN</v>
      </c>
      <c r="D11" s="14">
        <f ca="1">IFERROR(__xludf.DUMMYFUNCTION("""COMPUTED_VALUE"""),4)</f>
        <v>4</v>
      </c>
      <c r="E11" s="17">
        <f ca="1">IFERROR(__xludf.DUMMYFUNCTION("""COMPUTED_VALUE"""),30)</f>
        <v>30</v>
      </c>
      <c r="F11" s="77">
        <f ca="1">IFERROR(__xludf.DUMMYFUNCTION("""COMPUTED_VALUE"""),30)</f>
        <v>30</v>
      </c>
      <c r="G11" s="51">
        <f t="shared" ca="1" si="0"/>
        <v>1</v>
      </c>
      <c r="H11" s="77">
        <f ca="1">IFERROR(__xludf.DUMMYFUNCTION("""COMPUTED_VALUE"""),30)</f>
        <v>30</v>
      </c>
      <c r="I11" s="51">
        <f t="shared" ca="1" si="1"/>
        <v>1</v>
      </c>
      <c r="J11" s="77">
        <f ca="1">IFERROR(__xludf.DUMMYFUNCTION("""COMPUTED_VALUE"""),29)</f>
        <v>29</v>
      </c>
      <c r="K11" s="51">
        <f t="shared" ca="1" si="2"/>
        <v>0.96666666666666667</v>
      </c>
      <c r="L11" s="77">
        <f ca="1">IFERROR(__xludf.DUMMYFUNCTION("""COMPUTED_VALUE"""),28)</f>
        <v>28</v>
      </c>
      <c r="M11" s="51">
        <f t="shared" ca="1" si="3"/>
        <v>0.93333333333333335</v>
      </c>
      <c r="N11" s="77">
        <f ca="1">IFERROR(__xludf.DUMMYFUNCTION("""COMPUTED_VALUE"""),72)</f>
        <v>72</v>
      </c>
      <c r="O11" s="15">
        <f ca="1">IFERROR(__xludf.DUMMYFUNCTION("""COMPUTED_VALUE"""),16)</f>
        <v>16</v>
      </c>
      <c r="P11" s="51">
        <f t="shared" ca="1" si="4"/>
        <v>0.22222222222222221</v>
      </c>
      <c r="Q11" s="19">
        <f ca="1">IFERROR(__xludf.DUMMYFUNCTION("""COMPUTED_VALUE"""),4)</f>
        <v>4</v>
      </c>
      <c r="R11" s="51">
        <f t="shared" ca="1" si="5"/>
        <v>5.5555555555555552E-2</v>
      </c>
      <c r="S11" s="14"/>
      <c r="T11" s="20"/>
      <c r="U11" s="51" t="str">
        <f t="shared" si="6"/>
        <v/>
      </c>
      <c r="V11" s="14"/>
      <c r="W11" s="51" t="str">
        <f t="shared" si="7"/>
        <v/>
      </c>
      <c r="X11" s="14"/>
      <c r="Y11" s="51" t="str">
        <f t="shared" si="8"/>
        <v/>
      </c>
      <c r="Z11" s="2"/>
      <c r="AA11" s="2"/>
      <c r="AB11" s="2"/>
      <c r="AC11" s="2"/>
      <c r="AD11" s="2"/>
    </row>
    <row r="12" spans="1:30" ht="12.75" x14ac:dyDescent="0.2">
      <c r="A12" s="16">
        <f ca="1">IFERROR(__xludf.DUMMYFUNCTION("""COMPUTED_VALUE"""),6)</f>
        <v>6</v>
      </c>
      <c r="B12" s="14" t="str">
        <f ca="1">IFERROR(__xludf.DUMMYFUNCTION("""COMPUTED_VALUE"""),"Mầm non 10")</f>
        <v>Mầm non 10</v>
      </c>
      <c r="C12" s="14" t="str">
        <f ca="1">IFERROR(__xludf.DUMMYFUNCTION("""COMPUTED_VALUE"""),"MN")</f>
        <v>MN</v>
      </c>
      <c r="D12" s="14">
        <f ca="1">IFERROR(__xludf.DUMMYFUNCTION("""COMPUTED_VALUE"""),4)</f>
        <v>4</v>
      </c>
      <c r="E12" s="17">
        <f ca="1">IFERROR(__xludf.DUMMYFUNCTION("""COMPUTED_VALUE"""),18)</f>
        <v>18</v>
      </c>
      <c r="F12" s="19">
        <f ca="1">IFERROR(__xludf.DUMMYFUNCTION("""COMPUTED_VALUE"""),18)</f>
        <v>18</v>
      </c>
      <c r="G12" s="51">
        <f t="shared" ca="1" si="0"/>
        <v>1</v>
      </c>
      <c r="H12" s="19">
        <f ca="1">IFERROR(__xludf.DUMMYFUNCTION("""COMPUTED_VALUE"""),18)</f>
        <v>18</v>
      </c>
      <c r="I12" s="51">
        <f t="shared" ca="1" si="1"/>
        <v>1</v>
      </c>
      <c r="J12" s="19">
        <f ca="1">IFERROR(__xludf.DUMMYFUNCTION("""COMPUTED_VALUE"""),18)</f>
        <v>18</v>
      </c>
      <c r="K12" s="51">
        <f t="shared" ca="1" si="2"/>
        <v>1</v>
      </c>
      <c r="L12" s="19">
        <f ca="1">IFERROR(__xludf.DUMMYFUNCTION("""COMPUTED_VALUE"""),6)</f>
        <v>6</v>
      </c>
      <c r="M12" s="51">
        <f t="shared" ca="1" si="3"/>
        <v>0.33333333333333331</v>
      </c>
      <c r="N12" s="19">
        <f ca="1">IFERROR(__xludf.DUMMYFUNCTION("""COMPUTED_VALUE"""),53)</f>
        <v>53</v>
      </c>
      <c r="O12" s="17">
        <f ca="1">IFERROR(__xludf.DUMMYFUNCTION("""COMPUTED_VALUE"""),12)</f>
        <v>12</v>
      </c>
      <c r="P12" s="51">
        <f t="shared" ca="1" si="4"/>
        <v>0.22641509433962265</v>
      </c>
      <c r="Q12" s="19">
        <f ca="1">IFERROR(__xludf.DUMMYFUNCTION("""COMPUTED_VALUE"""),2)</f>
        <v>2</v>
      </c>
      <c r="R12" s="51">
        <f t="shared" ca="1" si="5"/>
        <v>3.7735849056603772E-2</v>
      </c>
      <c r="S12" s="14"/>
      <c r="T12" s="20"/>
      <c r="U12" s="51" t="str">
        <f t="shared" si="6"/>
        <v/>
      </c>
      <c r="V12" s="14"/>
      <c r="W12" s="51" t="str">
        <f t="shared" si="7"/>
        <v/>
      </c>
      <c r="X12" s="14"/>
      <c r="Y12" s="51" t="str">
        <f t="shared" si="8"/>
        <v/>
      </c>
      <c r="Z12" s="2"/>
      <c r="AA12" s="2"/>
      <c r="AB12" s="2"/>
      <c r="AC12" s="2"/>
      <c r="AD12" s="2"/>
    </row>
    <row r="13" spans="1:30" ht="12.75" x14ac:dyDescent="0.2">
      <c r="A13" s="16">
        <f ca="1">IFERROR(__xludf.DUMMYFUNCTION("""COMPUTED_VALUE"""),7)</f>
        <v>7</v>
      </c>
      <c r="B13" s="14" t="str">
        <f ca="1">IFERROR(__xludf.DUMMYFUNCTION("""COMPUTED_VALUE"""),"Mầm Non 12")</f>
        <v>Mầm Non 12</v>
      </c>
      <c r="C13" s="14" t="str">
        <f ca="1">IFERROR(__xludf.DUMMYFUNCTION("""COMPUTED_VALUE"""),"MN")</f>
        <v>MN</v>
      </c>
      <c r="D13" s="14">
        <f ca="1">IFERROR(__xludf.DUMMYFUNCTION("""COMPUTED_VALUE"""),4)</f>
        <v>4</v>
      </c>
      <c r="E13" s="17">
        <f ca="1">IFERROR(__xludf.DUMMYFUNCTION("""COMPUTED_VALUE"""),26)</f>
        <v>26</v>
      </c>
      <c r="F13" s="19">
        <f ca="1">IFERROR(__xludf.DUMMYFUNCTION("""COMPUTED_VALUE"""),26)</f>
        <v>26</v>
      </c>
      <c r="G13" s="51">
        <f t="shared" ca="1" si="0"/>
        <v>1</v>
      </c>
      <c r="H13" s="19">
        <f ca="1">IFERROR(__xludf.DUMMYFUNCTION("""COMPUTED_VALUE"""),26)</f>
        <v>26</v>
      </c>
      <c r="I13" s="51">
        <f t="shared" ca="1" si="1"/>
        <v>1</v>
      </c>
      <c r="J13" s="19">
        <f ca="1">IFERROR(__xludf.DUMMYFUNCTION("""COMPUTED_VALUE"""),26)</f>
        <v>26</v>
      </c>
      <c r="K13" s="51">
        <f t="shared" ca="1" si="2"/>
        <v>1</v>
      </c>
      <c r="L13" s="19">
        <f ca="1">IFERROR(__xludf.DUMMYFUNCTION("""COMPUTED_VALUE"""),25)</f>
        <v>25</v>
      </c>
      <c r="M13" s="51">
        <f t="shared" ca="1" si="3"/>
        <v>0.96153846153846156</v>
      </c>
      <c r="N13" s="19">
        <f ca="1">IFERROR(__xludf.DUMMYFUNCTION("""COMPUTED_VALUE"""),52)</f>
        <v>52</v>
      </c>
      <c r="O13" s="17">
        <f ca="1">IFERROR(__xludf.DUMMYFUNCTION("""COMPUTED_VALUE"""),17)</f>
        <v>17</v>
      </c>
      <c r="P13" s="51">
        <f t="shared" ca="1" si="4"/>
        <v>0.32692307692307693</v>
      </c>
      <c r="Q13" s="19">
        <f ca="1">IFERROR(__xludf.DUMMYFUNCTION("""COMPUTED_VALUE"""),17)</f>
        <v>17</v>
      </c>
      <c r="R13" s="51">
        <f t="shared" ca="1" si="5"/>
        <v>0.32692307692307693</v>
      </c>
      <c r="S13" s="14"/>
      <c r="T13" s="20"/>
      <c r="U13" s="51" t="str">
        <f t="shared" si="6"/>
        <v/>
      </c>
      <c r="V13" s="14"/>
      <c r="W13" s="51" t="str">
        <f t="shared" si="7"/>
        <v/>
      </c>
      <c r="X13" s="14"/>
      <c r="Y13" s="51" t="str">
        <f t="shared" si="8"/>
        <v/>
      </c>
      <c r="Z13" s="2"/>
      <c r="AA13" s="2"/>
      <c r="AB13" s="2"/>
      <c r="AC13" s="2"/>
      <c r="AD13" s="2"/>
    </row>
    <row r="14" spans="1:30" ht="12.75" x14ac:dyDescent="0.2">
      <c r="A14" s="16">
        <f ca="1">IFERROR(__xludf.DUMMYFUNCTION("""COMPUTED_VALUE"""),8)</f>
        <v>8</v>
      </c>
      <c r="B14" s="14" t="str">
        <f ca="1">IFERROR(__xludf.DUMMYFUNCTION("""COMPUTED_VALUE"""),"Mầm non Sao Mai 12")</f>
        <v>Mầm non Sao Mai 12</v>
      </c>
      <c r="C14" s="14" t="str">
        <f ca="1">IFERROR(__xludf.DUMMYFUNCTION("""COMPUTED_VALUE"""),"MN")</f>
        <v>MN</v>
      </c>
      <c r="D14" s="14">
        <f ca="1">IFERROR(__xludf.DUMMYFUNCTION("""COMPUTED_VALUE"""),4)</f>
        <v>4</v>
      </c>
      <c r="E14" s="17">
        <f ca="1">IFERROR(__xludf.DUMMYFUNCTION("""COMPUTED_VALUE"""),43)</f>
        <v>43</v>
      </c>
      <c r="F14" s="19">
        <f ca="1">IFERROR(__xludf.DUMMYFUNCTION("""COMPUTED_VALUE"""),43)</f>
        <v>43</v>
      </c>
      <c r="G14" s="51">
        <f t="shared" ca="1" si="0"/>
        <v>1</v>
      </c>
      <c r="H14" s="19">
        <f ca="1">IFERROR(__xludf.DUMMYFUNCTION("""COMPUTED_VALUE"""),43)</f>
        <v>43</v>
      </c>
      <c r="I14" s="51">
        <f t="shared" ca="1" si="1"/>
        <v>1</v>
      </c>
      <c r="J14" s="19">
        <f ca="1">IFERROR(__xludf.DUMMYFUNCTION("""COMPUTED_VALUE"""),39)</f>
        <v>39</v>
      </c>
      <c r="K14" s="51">
        <f t="shared" ca="1" si="2"/>
        <v>0.90697674418604646</v>
      </c>
      <c r="L14" s="19">
        <f ca="1">IFERROR(__xludf.DUMMYFUNCTION("""COMPUTED_VALUE"""),31)</f>
        <v>31</v>
      </c>
      <c r="M14" s="51">
        <f t="shared" ca="1" si="3"/>
        <v>0.72093023255813948</v>
      </c>
      <c r="N14" s="19">
        <f ca="1">IFERROR(__xludf.DUMMYFUNCTION("""COMPUTED_VALUE"""),56)</f>
        <v>56</v>
      </c>
      <c r="O14" s="17">
        <f ca="1">IFERROR(__xludf.DUMMYFUNCTION("""COMPUTED_VALUE"""),8)</f>
        <v>8</v>
      </c>
      <c r="P14" s="51">
        <f t="shared" ca="1" si="4"/>
        <v>0.14285714285714285</v>
      </c>
      <c r="Q14" s="19">
        <f ca="1">IFERROR(__xludf.DUMMYFUNCTION("""COMPUTED_VALUE"""),4)</f>
        <v>4</v>
      </c>
      <c r="R14" s="51">
        <f t="shared" ca="1" si="5"/>
        <v>7.1428571428571425E-2</v>
      </c>
      <c r="S14" s="14"/>
      <c r="T14" s="20"/>
      <c r="U14" s="51" t="str">
        <f t="shared" si="6"/>
        <v/>
      </c>
      <c r="V14" s="14"/>
      <c r="W14" s="51" t="str">
        <f t="shared" si="7"/>
        <v/>
      </c>
      <c r="X14" s="14"/>
      <c r="Y14" s="51" t="str">
        <f t="shared" si="8"/>
        <v/>
      </c>
      <c r="Z14" s="2"/>
      <c r="AA14" s="2"/>
      <c r="AB14" s="2"/>
      <c r="AC14" s="2"/>
      <c r="AD14" s="2"/>
    </row>
    <row r="15" spans="1:30" ht="12.75" x14ac:dyDescent="0.2">
      <c r="A15" s="16">
        <f ca="1">IFERROR(__xludf.DUMMYFUNCTION("""COMPUTED_VALUE"""),9)</f>
        <v>9</v>
      </c>
      <c r="B15" s="14" t="str">
        <f ca="1">IFERROR(__xludf.DUMMYFUNCTION("""COMPUTED_VALUE"""),"Mầm non Sao Mai 13")</f>
        <v>Mầm non Sao Mai 13</v>
      </c>
      <c r="C15" s="14" t="str">
        <f ca="1">IFERROR(__xludf.DUMMYFUNCTION("""COMPUTED_VALUE"""),"MN")</f>
        <v>MN</v>
      </c>
      <c r="D15" s="14">
        <f ca="1">IFERROR(__xludf.DUMMYFUNCTION("""COMPUTED_VALUE"""),4)</f>
        <v>4</v>
      </c>
      <c r="E15" s="17">
        <f ca="1">IFERROR(__xludf.DUMMYFUNCTION("""COMPUTED_VALUE"""),40)</f>
        <v>40</v>
      </c>
      <c r="F15" s="19">
        <f ca="1">IFERROR(__xludf.DUMMYFUNCTION("""COMPUTED_VALUE"""),40)</f>
        <v>40</v>
      </c>
      <c r="G15" s="51">
        <f t="shared" ca="1" si="0"/>
        <v>1</v>
      </c>
      <c r="H15" s="19">
        <f ca="1">IFERROR(__xludf.DUMMYFUNCTION("""COMPUTED_VALUE"""),40)</f>
        <v>40</v>
      </c>
      <c r="I15" s="51">
        <f t="shared" ca="1" si="1"/>
        <v>1</v>
      </c>
      <c r="J15" s="19">
        <f ca="1">IFERROR(__xludf.DUMMYFUNCTION("""COMPUTED_VALUE"""),40)</f>
        <v>40</v>
      </c>
      <c r="K15" s="51">
        <f t="shared" ca="1" si="2"/>
        <v>1</v>
      </c>
      <c r="L15" s="19">
        <f ca="1">IFERROR(__xludf.DUMMYFUNCTION("""COMPUTED_VALUE"""),36)</f>
        <v>36</v>
      </c>
      <c r="M15" s="51">
        <f t="shared" ca="1" si="3"/>
        <v>0.9</v>
      </c>
      <c r="N15" s="19">
        <f ca="1">IFERROR(__xludf.DUMMYFUNCTION("""COMPUTED_VALUE"""),85)</f>
        <v>85</v>
      </c>
      <c r="O15" s="17">
        <f ca="1">IFERROR(__xludf.DUMMYFUNCTION("""COMPUTED_VALUE"""),17)</f>
        <v>17</v>
      </c>
      <c r="P15" s="51">
        <f t="shared" ca="1" si="4"/>
        <v>0.2</v>
      </c>
      <c r="Q15" s="19">
        <f ca="1">IFERROR(__xludf.DUMMYFUNCTION("""COMPUTED_VALUE"""),8)</f>
        <v>8</v>
      </c>
      <c r="R15" s="51">
        <f t="shared" ca="1" si="5"/>
        <v>9.4117647058823528E-2</v>
      </c>
      <c r="S15" s="14"/>
      <c r="T15" s="20"/>
      <c r="U15" s="51" t="str">
        <f t="shared" si="6"/>
        <v/>
      </c>
      <c r="V15" s="14"/>
      <c r="W15" s="51" t="str">
        <f t="shared" si="7"/>
        <v/>
      </c>
      <c r="X15" s="14"/>
      <c r="Y15" s="51" t="str">
        <f t="shared" si="8"/>
        <v/>
      </c>
      <c r="Z15" s="2"/>
      <c r="AA15" s="2"/>
      <c r="AB15" s="2"/>
      <c r="AC15" s="2"/>
      <c r="AD15" s="2"/>
    </row>
    <row r="16" spans="1:30" ht="12.75" x14ac:dyDescent="0.2">
      <c r="A16" s="16">
        <f ca="1">IFERROR(__xludf.DUMMYFUNCTION("""COMPUTED_VALUE"""),10)</f>
        <v>10</v>
      </c>
      <c r="B16" s="14" t="str">
        <f ca="1">IFERROR(__xludf.DUMMYFUNCTION("""COMPUTED_VALUE"""),"Mầm non 14")</f>
        <v>Mầm non 14</v>
      </c>
      <c r="C16" s="14" t="str">
        <f ca="1">IFERROR(__xludf.DUMMYFUNCTION("""COMPUTED_VALUE"""),"MN")</f>
        <v>MN</v>
      </c>
      <c r="D16" s="14">
        <f ca="1">IFERROR(__xludf.DUMMYFUNCTION("""COMPUTED_VALUE"""),4)</f>
        <v>4</v>
      </c>
      <c r="E16" s="17">
        <f ca="1">IFERROR(__xludf.DUMMYFUNCTION("""COMPUTED_VALUE"""),19)</f>
        <v>19</v>
      </c>
      <c r="F16" s="19">
        <f ca="1">IFERROR(__xludf.DUMMYFUNCTION("""COMPUTED_VALUE"""),19)</f>
        <v>19</v>
      </c>
      <c r="G16" s="51">
        <f t="shared" ca="1" si="0"/>
        <v>1</v>
      </c>
      <c r="H16" s="19">
        <f ca="1">IFERROR(__xludf.DUMMYFUNCTION("""COMPUTED_VALUE"""),19)</f>
        <v>19</v>
      </c>
      <c r="I16" s="51">
        <f t="shared" ca="1" si="1"/>
        <v>1</v>
      </c>
      <c r="J16" s="19">
        <f ca="1">IFERROR(__xludf.DUMMYFUNCTION("""COMPUTED_VALUE"""),19)</f>
        <v>19</v>
      </c>
      <c r="K16" s="51">
        <f t="shared" ca="1" si="2"/>
        <v>1</v>
      </c>
      <c r="L16" s="19">
        <f ca="1">IFERROR(__xludf.DUMMYFUNCTION("""COMPUTED_VALUE"""),10)</f>
        <v>10</v>
      </c>
      <c r="M16" s="51">
        <f t="shared" ca="1" si="3"/>
        <v>0.52631578947368418</v>
      </c>
      <c r="N16" s="19">
        <f ca="1">IFERROR(__xludf.DUMMYFUNCTION("""COMPUTED_VALUE"""),43)</f>
        <v>43</v>
      </c>
      <c r="O16" s="17">
        <f ca="1">IFERROR(__xludf.DUMMYFUNCTION("""COMPUTED_VALUE"""),9)</f>
        <v>9</v>
      </c>
      <c r="P16" s="51">
        <f t="shared" ca="1" si="4"/>
        <v>0.20930232558139536</v>
      </c>
      <c r="Q16" s="19">
        <f ca="1">IFERROR(__xludf.DUMMYFUNCTION("""COMPUTED_VALUE"""),4)</f>
        <v>4</v>
      </c>
      <c r="R16" s="51">
        <f t="shared" ca="1" si="5"/>
        <v>9.3023255813953487E-2</v>
      </c>
      <c r="S16" s="14"/>
      <c r="T16" s="20"/>
      <c r="U16" s="51" t="str">
        <f t="shared" si="6"/>
        <v/>
      </c>
      <c r="V16" s="14"/>
      <c r="W16" s="51" t="str">
        <f t="shared" si="7"/>
        <v/>
      </c>
      <c r="X16" s="14"/>
      <c r="Y16" s="51" t="str">
        <f t="shared" si="8"/>
        <v/>
      </c>
      <c r="Z16" s="2"/>
      <c r="AA16" s="2"/>
      <c r="AB16" s="2"/>
      <c r="AC16" s="2"/>
      <c r="AD16" s="2"/>
    </row>
    <row r="17" spans="1:30" ht="12.75" x14ac:dyDescent="0.2">
      <c r="A17" s="16">
        <f ca="1">IFERROR(__xludf.DUMMYFUNCTION("""COMPUTED_VALUE"""),11)</f>
        <v>11</v>
      </c>
      <c r="B17" s="14" t="str">
        <f ca="1">IFERROR(__xludf.DUMMYFUNCTION("""COMPUTED_VALUE"""),"Mầm non 15")</f>
        <v>Mầm non 15</v>
      </c>
      <c r="C17" s="14" t="str">
        <f ca="1">IFERROR(__xludf.DUMMYFUNCTION("""COMPUTED_VALUE"""),"MN")</f>
        <v>MN</v>
      </c>
      <c r="D17" s="14">
        <f ca="1">IFERROR(__xludf.DUMMYFUNCTION("""COMPUTED_VALUE"""),4)</f>
        <v>4</v>
      </c>
      <c r="E17" s="17">
        <f ca="1">IFERROR(__xludf.DUMMYFUNCTION("""COMPUTED_VALUE"""),32)</f>
        <v>32</v>
      </c>
      <c r="F17" s="19">
        <f ca="1">IFERROR(__xludf.DUMMYFUNCTION("""COMPUTED_VALUE"""),32)</f>
        <v>32</v>
      </c>
      <c r="G17" s="51">
        <f t="shared" ca="1" si="0"/>
        <v>1</v>
      </c>
      <c r="H17" s="19">
        <f ca="1">IFERROR(__xludf.DUMMYFUNCTION("""COMPUTED_VALUE"""),32)</f>
        <v>32</v>
      </c>
      <c r="I17" s="51">
        <f t="shared" ca="1" si="1"/>
        <v>1</v>
      </c>
      <c r="J17" s="19">
        <f ca="1">IFERROR(__xludf.DUMMYFUNCTION("""COMPUTED_VALUE"""),32)</f>
        <v>32</v>
      </c>
      <c r="K17" s="51">
        <f t="shared" ca="1" si="2"/>
        <v>1</v>
      </c>
      <c r="L17" s="19">
        <f ca="1">IFERROR(__xludf.DUMMYFUNCTION("""COMPUTED_VALUE"""),28)</f>
        <v>28</v>
      </c>
      <c r="M17" s="51">
        <f t="shared" ca="1" si="3"/>
        <v>0.875</v>
      </c>
      <c r="N17" s="19">
        <f ca="1">IFERROR(__xludf.DUMMYFUNCTION("""COMPUTED_VALUE"""),59)</f>
        <v>59</v>
      </c>
      <c r="O17" s="17">
        <f ca="1">IFERROR(__xludf.DUMMYFUNCTION("""COMPUTED_VALUE"""),16)</f>
        <v>16</v>
      </c>
      <c r="P17" s="51">
        <f t="shared" ca="1" si="4"/>
        <v>0.2711864406779661</v>
      </c>
      <c r="Q17" s="19">
        <f ca="1">IFERROR(__xludf.DUMMYFUNCTION("""COMPUTED_VALUE"""),9)</f>
        <v>9</v>
      </c>
      <c r="R17" s="51">
        <f t="shared" ca="1" si="5"/>
        <v>0.15254237288135594</v>
      </c>
      <c r="S17" s="14"/>
      <c r="T17" s="20"/>
      <c r="U17" s="51" t="str">
        <f t="shared" si="6"/>
        <v/>
      </c>
      <c r="V17" s="14"/>
      <c r="W17" s="51" t="str">
        <f t="shared" si="7"/>
        <v/>
      </c>
      <c r="X17" s="14"/>
      <c r="Y17" s="51" t="str">
        <f t="shared" si="8"/>
        <v/>
      </c>
      <c r="Z17" s="2"/>
      <c r="AA17" s="2"/>
      <c r="AB17" s="2"/>
      <c r="AC17" s="2"/>
      <c r="AD17" s="2"/>
    </row>
    <row r="18" spans="1:30" ht="12.75" x14ac:dyDescent="0.2">
      <c r="A18" s="16">
        <f ca="1">IFERROR(__xludf.DUMMYFUNCTION("""COMPUTED_VALUE"""),12)</f>
        <v>12</v>
      </c>
      <c r="B18" s="14" t="str">
        <f ca="1">IFERROR(__xludf.DUMMYFUNCTION("""COMPUTED_VALUE"""),"Mầm Non 18")</f>
        <v>Mầm Non 18</v>
      </c>
      <c r="C18" s="14" t="str">
        <f ca="1">IFERROR(__xludf.DUMMYFUNCTION("""COMPUTED_VALUE"""),"MN")</f>
        <v>MN</v>
      </c>
      <c r="D18" s="14">
        <f ca="1">IFERROR(__xludf.DUMMYFUNCTION("""COMPUTED_VALUE"""),4)</f>
        <v>4</v>
      </c>
      <c r="E18" s="17">
        <f ca="1">IFERROR(__xludf.DUMMYFUNCTION("""COMPUTED_VALUE"""),17)</f>
        <v>17</v>
      </c>
      <c r="F18" s="19">
        <f ca="1">IFERROR(__xludf.DUMMYFUNCTION("""COMPUTED_VALUE"""),17)</f>
        <v>17</v>
      </c>
      <c r="G18" s="51">
        <f t="shared" ca="1" si="0"/>
        <v>1</v>
      </c>
      <c r="H18" s="19">
        <f ca="1">IFERROR(__xludf.DUMMYFUNCTION("""COMPUTED_VALUE"""),16)</f>
        <v>16</v>
      </c>
      <c r="I18" s="51">
        <f t="shared" ca="1" si="1"/>
        <v>0.94117647058823528</v>
      </c>
      <c r="J18" s="19">
        <f ca="1">IFERROR(__xludf.DUMMYFUNCTION("""COMPUTED_VALUE"""),16)</f>
        <v>16</v>
      </c>
      <c r="K18" s="51">
        <f t="shared" ca="1" si="2"/>
        <v>0.94117647058823528</v>
      </c>
      <c r="L18" s="19">
        <f ca="1">IFERROR(__xludf.DUMMYFUNCTION("""COMPUTED_VALUE"""),14)</f>
        <v>14</v>
      </c>
      <c r="M18" s="51">
        <f t="shared" ca="1" si="3"/>
        <v>0.82352941176470584</v>
      </c>
      <c r="N18" s="19">
        <f ca="1">IFERROR(__xludf.DUMMYFUNCTION("""COMPUTED_VALUE"""),30)</f>
        <v>30</v>
      </c>
      <c r="O18" s="17">
        <f ca="1">IFERROR(__xludf.DUMMYFUNCTION("""COMPUTED_VALUE"""),3)</f>
        <v>3</v>
      </c>
      <c r="P18" s="51">
        <f t="shared" ca="1" si="4"/>
        <v>0.1</v>
      </c>
      <c r="Q18" s="19">
        <f ca="1">IFERROR(__xludf.DUMMYFUNCTION("""COMPUTED_VALUE"""),3)</f>
        <v>3</v>
      </c>
      <c r="R18" s="51">
        <f t="shared" ca="1" si="5"/>
        <v>0.1</v>
      </c>
      <c r="S18" s="14"/>
      <c r="T18" s="20"/>
      <c r="U18" s="51" t="str">
        <f t="shared" si="6"/>
        <v/>
      </c>
      <c r="V18" s="14"/>
      <c r="W18" s="51" t="str">
        <f t="shared" si="7"/>
        <v/>
      </c>
      <c r="X18" s="14"/>
      <c r="Y18" s="51" t="str">
        <f t="shared" si="8"/>
        <v/>
      </c>
      <c r="Z18" s="2"/>
      <c r="AA18" s="2"/>
      <c r="AB18" s="2"/>
      <c r="AC18" s="2"/>
      <c r="AD18" s="2"/>
    </row>
    <row r="19" spans="1:30" ht="12.75" x14ac:dyDescent="0.2">
      <c r="A19" s="16">
        <f ca="1">IFERROR(__xludf.DUMMYFUNCTION("""COMPUTED_VALUE"""),13)</f>
        <v>13</v>
      </c>
      <c r="B19" s="14" t="str">
        <f ca="1">IFERROR(__xludf.DUMMYFUNCTION("""COMPUTED_VALUE"""),"Mầm non Nguyễn Tất Thành")</f>
        <v>Mầm non Nguyễn Tất Thành</v>
      </c>
      <c r="C19" s="14" t="str">
        <f ca="1">IFERROR(__xludf.DUMMYFUNCTION("""COMPUTED_VALUE"""),"MN")</f>
        <v>MN</v>
      </c>
      <c r="D19" s="14">
        <f ca="1">IFERROR(__xludf.DUMMYFUNCTION("""COMPUTED_VALUE"""),4)</f>
        <v>4</v>
      </c>
      <c r="E19" s="17">
        <f ca="1">IFERROR(__xludf.DUMMYFUNCTION("""COMPUTED_VALUE"""),48)</f>
        <v>48</v>
      </c>
      <c r="F19" s="19">
        <f ca="1">IFERROR(__xludf.DUMMYFUNCTION("""COMPUTED_VALUE"""),48)</f>
        <v>48</v>
      </c>
      <c r="G19" s="51">
        <f t="shared" ca="1" si="0"/>
        <v>1</v>
      </c>
      <c r="H19" s="19">
        <f ca="1">IFERROR(__xludf.DUMMYFUNCTION("""COMPUTED_VALUE"""),48)</f>
        <v>48</v>
      </c>
      <c r="I19" s="51">
        <f t="shared" ca="1" si="1"/>
        <v>1</v>
      </c>
      <c r="J19" s="19">
        <f ca="1">IFERROR(__xludf.DUMMYFUNCTION("""COMPUTED_VALUE"""),48)</f>
        <v>48</v>
      </c>
      <c r="K19" s="51">
        <f t="shared" ca="1" si="2"/>
        <v>1</v>
      </c>
      <c r="L19" s="19">
        <f ca="1">IFERROR(__xludf.DUMMYFUNCTION("""COMPUTED_VALUE"""),45)</f>
        <v>45</v>
      </c>
      <c r="M19" s="51">
        <f t="shared" ca="1" si="3"/>
        <v>0.9375</v>
      </c>
      <c r="N19" s="19">
        <f ca="1">IFERROR(__xludf.DUMMYFUNCTION("""COMPUTED_VALUE"""),136)</f>
        <v>136</v>
      </c>
      <c r="O19" s="17">
        <f ca="1">IFERROR(__xludf.DUMMYFUNCTION("""COMPUTED_VALUE"""),14)</f>
        <v>14</v>
      </c>
      <c r="P19" s="51">
        <f t="shared" ca="1" si="4"/>
        <v>0.10294117647058823</v>
      </c>
      <c r="Q19" s="19">
        <f ca="1">IFERROR(__xludf.DUMMYFUNCTION("""COMPUTED_VALUE"""),5)</f>
        <v>5</v>
      </c>
      <c r="R19" s="51">
        <f t="shared" ca="1" si="5"/>
        <v>3.6764705882352942E-2</v>
      </c>
      <c r="S19" s="14"/>
      <c r="T19" s="20"/>
      <c r="U19" s="51" t="str">
        <f t="shared" si="6"/>
        <v/>
      </c>
      <c r="V19" s="14"/>
      <c r="W19" s="51" t="str">
        <f t="shared" si="7"/>
        <v/>
      </c>
      <c r="X19" s="14"/>
      <c r="Y19" s="51" t="str">
        <f t="shared" si="8"/>
        <v/>
      </c>
      <c r="Z19" s="2"/>
      <c r="AA19" s="2"/>
      <c r="AB19" s="2"/>
      <c r="AC19" s="2"/>
      <c r="AD19" s="2"/>
    </row>
    <row r="20" spans="1:30" ht="12.75" x14ac:dyDescent="0.2">
      <c r="A20" s="16">
        <f ca="1">IFERROR(__xludf.DUMMYFUNCTION("""COMPUTED_VALUE"""),14)</f>
        <v>14</v>
      </c>
      <c r="B20" s="14" t="str">
        <f ca="1">IFERROR(__xludf.DUMMYFUNCTION("""COMPUTED_VALUE"""),"Mầm Non Ban Mai")</f>
        <v>Mầm Non Ban Mai</v>
      </c>
      <c r="C20" s="14" t="str">
        <f ca="1">IFERROR(__xludf.DUMMYFUNCTION("""COMPUTED_VALUE"""),"MN")</f>
        <v>MN</v>
      </c>
      <c r="D20" s="14">
        <f ca="1">IFERROR(__xludf.DUMMYFUNCTION("""COMPUTED_VALUE"""),4)</f>
        <v>4</v>
      </c>
      <c r="E20" s="17">
        <f ca="1">IFERROR(__xludf.DUMMYFUNCTION("""COMPUTED_VALUE"""),45)</f>
        <v>45</v>
      </c>
      <c r="F20" s="19">
        <f ca="1">IFERROR(__xludf.DUMMYFUNCTION("""COMPUTED_VALUE"""),45)</f>
        <v>45</v>
      </c>
      <c r="G20" s="51">
        <f t="shared" ca="1" si="0"/>
        <v>1</v>
      </c>
      <c r="H20" s="19">
        <f ca="1">IFERROR(__xludf.DUMMYFUNCTION("""COMPUTED_VALUE"""),45)</f>
        <v>45</v>
      </c>
      <c r="I20" s="51">
        <f t="shared" ca="1" si="1"/>
        <v>1</v>
      </c>
      <c r="J20" s="19">
        <f ca="1">IFERROR(__xludf.DUMMYFUNCTION("""COMPUTED_VALUE"""),45)</f>
        <v>45</v>
      </c>
      <c r="K20" s="51">
        <f t="shared" ca="1" si="2"/>
        <v>1</v>
      </c>
      <c r="L20" s="19">
        <f ca="1">IFERROR(__xludf.DUMMYFUNCTION("""COMPUTED_VALUE"""),32)</f>
        <v>32</v>
      </c>
      <c r="M20" s="51">
        <f t="shared" ca="1" si="3"/>
        <v>0.71111111111111114</v>
      </c>
      <c r="N20" s="19">
        <f ca="1">IFERROR(__xludf.DUMMYFUNCTION("""COMPUTED_VALUE"""),107)</f>
        <v>107</v>
      </c>
      <c r="O20" s="17">
        <f ca="1">IFERROR(__xludf.DUMMYFUNCTION("""COMPUTED_VALUE"""),39)</f>
        <v>39</v>
      </c>
      <c r="P20" s="51">
        <f t="shared" ca="1" si="4"/>
        <v>0.3644859813084112</v>
      </c>
      <c r="Q20" s="19">
        <f ca="1">IFERROR(__xludf.DUMMYFUNCTION("""COMPUTED_VALUE"""),18)</f>
        <v>18</v>
      </c>
      <c r="R20" s="51">
        <f t="shared" ca="1" si="5"/>
        <v>0.16822429906542055</v>
      </c>
      <c r="S20" s="14"/>
      <c r="T20" s="20"/>
      <c r="U20" s="51" t="str">
        <f t="shared" si="6"/>
        <v/>
      </c>
      <c r="V20" s="14"/>
      <c r="W20" s="51" t="str">
        <f t="shared" si="7"/>
        <v/>
      </c>
      <c r="X20" s="14"/>
      <c r="Y20" s="51" t="str">
        <f t="shared" si="8"/>
        <v/>
      </c>
      <c r="Z20" s="2"/>
      <c r="AA20" s="2"/>
      <c r="AB20" s="2"/>
      <c r="AC20" s="2"/>
      <c r="AD20" s="2"/>
    </row>
    <row r="21" spans="1:30" ht="12.75" x14ac:dyDescent="0.2">
      <c r="A21" s="16">
        <f ca="1">IFERROR(__xludf.DUMMYFUNCTION("""COMPUTED_VALUE"""),15)</f>
        <v>15</v>
      </c>
      <c r="B21" s="14" t="str">
        <f ca="1">IFERROR(__xludf.DUMMYFUNCTION("""COMPUTED_VALUE"""),"MN Ngôi Nhà Ong")</f>
        <v>MN Ngôi Nhà Ong</v>
      </c>
      <c r="C21" s="14" t="str">
        <f ca="1">IFERROR(__xludf.DUMMYFUNCTION("""COMPUTED_VALUE"""),"MN")</f>
        <v>MN</v>
      </c>
      <c r="D21" s="14">
        <f ca="1">IFERROR(__xludf.DUMMYFUNCTION("""COMPUTED_VALUE"""),4)</f>
        <v>4</v>
      </c>
      <c r="E21" s="17">
        <f ca="1">IFERROR(__xludf.DUMMYFUNCTION("""COMPUTED_VALUE"""),28)</f>
        <v>28</v>
      </c>
      <c r="F21" s="19">
        <f ca="1">IFERROR(__xludf.DUMMYFUNCTION("""COMPUTED_VALUE"""),26)</f>
        <v>26</v>
      </c>
      <c r="G21" s="51">
        <f t="shared" ca="1" si="0"/>
        <v>0.9285714285714286</v>
      </c>
      <c r="H21" s="19">
        <f ca="1">IFERROR(__xludf.DUMMYFUNCTION("""COMPUTED_VALUE"""),26)</f>
        <v>26</v>
      </c>
      <c r="I21" s="51">
        <f t="shared" ca="1" si="1"/>
        <v>0.9285714285714286</v>
      </c>
      <c r="J21" s="19">
        <f ca="1">IFERROR(__xludf.DUMMYFUNCTION("""COMPUTED_VALUE"""),22)</f>
        <v>22</v>
      </c>
      <c r="K21" s="51">
        <f t="shared" ca="1" si="2"/>
        <v>0.7857142857142857</v>
      </c>
      <c r="L21" s="19">
        <f ca="1">IFERROR(__xludf.DUMMYFUNCTION("""COMPUTED_VALUE"""),5)</f>
        <v>5</v>
      </c>
      <c r="M21" s="51">
        <f t="shared" ca="1" si="3"/>
        <v>0.17857142857142858</v>
      </c>
      <c r="N21" s="19">
        <f ca="1">IFERROR(__xludf.DUMMYFUNCTION("""COMPUTED_VALUE"""),24)</f>
        <v>24</v>
      </c>
      <c r="O21" s="17">
        <f ca="1">IFERROR(__xludf.DUMMYFUNCTION("""COMPUTED_VALUE"""),1)</f>
        <v>1</v>
      </c>
      <c r="P21" s="51">
        <f t="shared" ca="1" si="4"/>
        <v>4.1666666666666664E-2</v>
      </c>
      <c r="Q21" s="19">
        <f ca="1">IFERROR(__xludf.DUMMYFUNCTION("""COMPUTED_VALUE"""),0)</f>
        <v>0</v>
      </c>
      <c r="R21" s="51">
        <f t="shared" ca="1" si="5"/>
        <v>0</v>
      </c>
      <c r="S21" s="14"/>
      <c r="T21" s="20"/>
      <c r="U21" s="51" t="str">
        <f t="shared" si="6"/>
        <v/>
      </c>
      <c r="V21" s="14"/>
      <c r="W21" s="51" t="str">
        <f t="shared" si="7"/>
        <v/>
      </c>
      <c r="X21" s="14"/>
      <c r="Y21" s="51" t="str">
        <f t="shared" si="8"/>
        <v/>
      </c>
      <c r="Z21" s="2"/>
      <c r="AA21" s="2"/>
      <c r="AB21" s="2"/>
      <c r="AC21" s="2"/>
      <c r="AD21" s="2"/>
    </row>
    <row r="22" spans="1:30" ht="12.75" x14ac:dyDescent="0.2">
      <c r="A22" s="16">
        <f ca="1">IFERROR(__xludf.DUMMYFUNCTION("""COMPUTED_VALUE"""),16)</f>
        <v>16</v>
      </c>
      <c r="B22" s="14" t="str">
        <f ca="1">IFERROR(__xludf.DUMMYFUNCTION("""COMPUTED_VALUE"""),"Mầm Non Việt Mỹ")</f>
        <v>Mầm Non Việt Mỹ</v>
      </c>
      <c r="C22" s="14" t="str">
        <f ca="1">IFERROR(__xludf.DUMMYFUNCTION("""COMPUTED_VALUE"""),"MN")</f>
        <v>MN</v>
      </c>
      <c r="D22" s="14">
        <f ca="1">IFERROR(__xludf.DUMMYFUNCTION("""COMPUTED_VALUE"""),4)</f>
        <v>4</v>
      </c>
      <c r="E22" s="17">
        <f ca="1">IFERROR(__xludf.DUMMYFUNCTION("""COMPUTED_VALUE"""),29)</f>
        <v>29</v>
      </c>
      <c r="F22" s="19">
        <f ca="1">IFERROR(__xludf.DUMMYFUNCTION("""COMPUTED_VALUE"""),29)</f>
        <v>29</v>
      </c>
      <c r="G22" s="51">
        <f t="shared" ca="1" si="0"/>
        <v>1</v>
      </c>
      <c r="H22" s="19">
        <f ca="1">IFERROR(__xludf.DUMMYFUNCTION("""COMPUTED_VALUE"""),29)</f>
        <v>29</v>
      </c>
      <c r="I22" s="51">
        <f t="shared" ca="1" si="1"/>
        <v>1</v>
      </c>
      <c r="J22" s="19">
        <f ca="1">IFERROR(__xludf.DUMMYFUNCTION("""COMPUTED_VALUE"""),26)</f>
        <v>26</v>
      </c>
      <c r="K22" s="51">
        <f t="shared" ca="1" si="2"/>
        <v>0.89655172413793105</v>
      </c>
      <c r="L22" s="19">
        <f ca="1">IFERROR(__xludf.DUMMYFUNCTION("""COMPUTED_VALUE"""),8)</f>
        <v>8</v>
      </c>
      <c r="M22" s="51">
        <f t="shared" ca="1" si="3"/>
        <v>0.27586206896551724</v>
      </c>
      <c r="N22" s="19">
        <f ca="1">IFERROR(__xludf.DUMMYFUNCTION("""COMPUTED_VALUE"""),35)</f>
        <v>35</v>
      </c>
      <c r="O22" s="17">
        <f ca="1">IFERROR(__xludf.DUMMYFUNCTION("""COMPUTED_VALUE"""),1)</f>
        <v>1</v>
      </c>
      <c r="P22" s="51">
        <f t="shared" ca="1" si="4"/>
        <v>2.8571428571428571E-2</v>
      </c>
      <c r="Q22" s="19">
        <f ca="1">IFERROR(__xludf.DUMMYFUNCTION("""COMPUTED_VALUE"""),1)</f>
        <v>1</v>
      </c>
      <c r="R22" s="51">
        <f t="shared" ca="1" si="5"/>
        <v>2.8571428571428571E-2</v>
      </c>
      <c r="S22" s="14"/>
      <c r="T22" s="20"/>
      <c r="U22" s="51" t="str">
        <f t="shared" si="6"/>
        <v/>
      </c>
      <c r="V22" s="14"/>
      <c r="W22" s="51" t="str">
        <f t="shared" si="7"/>
        <v/>
      </c>
      <c r="X22" s="14"/>
      <c r="Y22" s="51" t="str">
        <f t="shared" si="8"/>
        <v/>
      </c>
      <c r="Z22" s="2"/>
      <c r="AA22" s="2"/>
      <c r="AB22" s="2"/>
      <c r="AC22" s="2"/>
      <c r="AD22" s="2"/>
    </row>
    <row r="23" spans="1:30" ht="12.75" x14ac:dyDescent="0.2">
      <c r="A23" s="16">
        <f ca="1">IFERROR(__xludf.DUMMYFUNCTION("""COMPUTED_VALUE"""),17)</f>
        <v>17</v>
      </c>
      <c r="B23" s="14" t="str">
        <f ca="1">IFERROR(__xludf.DUMMYFUNCTION("""COMPUTED_VALUE"""),"Mầm Non Anh Việt Mỹ")</f>
        <v>Mầm Non Anh Việt Mỹ</v>
      </c>
      <c r="C23" s="14" t="str">
        <f ca="1">IFERROR(__xludf.DUMMYFUNCTION("""COMPUTED_VALUE"""),"MN")</f>
        <v>MN</v>
      </c>
      <c r="D23" s="14">
        <f ca="1">IFERROR(__xludf.DUMMYFUNCTION("""COMPUTED_VALUE"""),4)</f>
        <v>4</v>
      </c>
      <c r="E23" s="17">
        <f ca="1">IFERROR(__xludf.DUMMYFUNCTION("""COMPUTED_VALUE"""),24)</f>
        <v>24</v>
      </c>
      <c r="F23" s="19">
        <f ca="1">IFERROR(__xludf.DUMMYFUNCTION("""COMPUTED_VALUE"""),24)</f>
        <v>24</v>
      </c>
      <c r="G23" s="51">
        <f t="shared" ca="1" si="0"/>
        <v>1</v>
      </c>
      <c r="H23" s="19">
        <f ca="1">IFERROR(__xludf.DUMMYFUNCTION("""COMPUTED_VALUE"""),24)</f>
        <v>24</v>
      </c>
      <c r="I23" s="51">
        <f t="shared" ca="1" si="1"/>
        <v>1</v>
      </c>
      <c r="J23" s="19">
        <f ca="1">IFERROR(__xludf.DUMMYFUNCTION("""COMPUTED_VALUE"""),24)</f>
        <v>24</v>
      </c>
      <c r="K23" s="51">
        <f t="shared" ca="1" si="2"/>
        <v>1</v>
      </c>
      <c r="L23" s="19">
        <f ca="1">IFERROR(__xludf.DUMMYFUNCTION("""COMPUTED_VALUE"""),5)</f>
        <v>5</v>
      </c>
      <c r="M23" s="51">
        <f t="shared" ca="1" si="3"/>
        <v>0.20833333333333334</v>
      </c>
      <c r="N23" s="19">
        <f ca="1">IFERROR(__xludf.DUMMYFUNCTION("""COMPUTED_VALUE"""),48)</f>
        <v>48</v>
      </c>
      <c r="O23" s="17">
        <f ca="1">IFERROR(__xludf.DUMMYFUNCTION("""COMPUTED_VALUE"""),4)</f>
        <v>4</v>
      </c>
      <c r="P23" s="51">
        <f t="shared" ca="1" si="4"/>
        <v>8.3333333333333329E-2</v>
      </c>
      <c r="Q23" s="19">
        <f ca="1">IFERROR(__xludf.DUMMYFUNCTION("""COMPUTED_VALUE"""),1)</f>
        <v>1</v>
      </c>
      <c r="R23" s="51">
        <f t="shared" ca="1" si="5"/>
        <v>2.0833333333333332E-2</v>
      </c>
      <c r="S23" s="14"/>
      <c r="T23" s="20"/>
      <c r="U23" s="51" t="str">
        <f t="shared" si="6"/>
        <v/>
      </c>
      <c r="V23" s="14"/>
      <c r="W23" s="51" t="str">
        <f t="shared" si="7"/>
        <v/>
      </c>
      <c r="X23" s="14"/>
      <c r="Y23" s="51" t="str">
        <f t="shared" si="8"/>
        <v/>
      </c>
      <c r="Z23" s="2"/>
      <c r="AA23" s="2"/>
      <c r="AB23" s="2"/>
      <c r="AC23" s="2"/>
      <c r="AD23" s="2"/>
    </row>
    <row r="24" spans="1:30" ht="12.75" x14ac:dyDescent="0.2">
      <c r="A24" s="16">
        <f ca="1">IFERROR(__xludf.DUMMYFUNCTION("""COMPUTED_VALUE"""),18)</f>
        <v>18</v>
      </c>
      <c r="B24" s="14" t="str">
        <f ca="1">IFERROR(__xludf.DUMMYFUNCTION("""COMPUTED_VALUE"""),"Mầm Non BABY")</f>
        <v>Mầm Non BABY</v>
      </c>
      <c r="C24" s="14" t="str">
        <f ca="1">IFERROR(__xludf.DUMMYFUNCTION("""COMPUTED_VALUE"""),"MN")</f>
        <v>MN</v>
      </c>
      <c r="D24" s="14">
        <f ca="1">IFERROR(__xludf.DUMMYFUNCTION("""COMPUTED_VALUE"""),4)</f>
        <v>4</v>
      </c>
      <c r="E24" s="17">
        <f ca="1">IFERROR(__xludf.DUMMYFUNCTION("""COMPUTED_VALUE"""),12)</f>
        <v>12</v>
      </c>
      <c r="F24" s="19">
        <f ca="1">IFERROR(__xludf.DUMMYFUNCTION("""COMPUTED_VALUE"""),12)</f>
        <v>12</v>
      </c>
      <c r="G24" s="51">
        <f t="shared" ca="1" si="0"/>
        <v>1</v>
      </c>
      <c r="H24" s="19">
        <f ca="1">IFERROR(__xludf.DUMMYFUNCTION("""COMPUTED_VALUE"""),12)</f>
        <v>12</v>
      </c>
      <c r="I24" s="51">
        <f t="shared" ca="1" si="1"/>
        <v>1</v>
      </c>
      <c r="J24" s="19">
        <f ca="1">IFERROR(__xludf.DUMMYFUNCTION("""COMPUTED_VALUE"""),11)</f>
        <v>11</v>
      </c>
      <c r="K24" s="51">
        <f t="shared" ca="1" si="2"/>
        <v>0.91666666666666663</v>
      </c>
      <c r="L24" s="19">
        <f ca="1">IFERROR(__xludf.DUMMYFUNCTION("""COMPUTED_VALUE"""),6)</f>
        <v>6</v>
      </c>
      <c r="M24" s="51">
        <f t="shared" ca="1" si="3"/>
        <v>0.5</v>
      </c>
      <c r="N24" s="19">
        <f ca="1">IFERROR(__xludf.DUMMYFUNCTION("""COMPUTED_VALUE"""),14)</f>
        <v>14</v>
      </c>
      <c r="O24" s="17">
        <f ca="1">IFERROR(__xludf.DUMMYFUNCTION("""COMPUTED_VALUE"""),0)</f>
        <v>0</v>
      </c>
      <c r="P24" s="51">
        <f t="shared" ca="1" si="4"/>
        <v>0</v>
      </c>
      <c r="Q24" s="19">
        <f ca="1">IFERROR(__xludf.DUMMYFUNCTION("""COMPUTED_VALUE"""),0)</f>
        <v>0</v>
      </c>
      <c r="R24" s="51">
        <f t="shared" ca="1" si="5"/>
        <v>0</v>
      </c>
      <c r="S24" s="14"/>
      <c r="T24" s="20"/>
      <c r="U24" s="51" t="str">
        <f t="shared" si="6"/>
        <v/>
      </c>
      <c r="V24" s="14"/>
      <c r="W24" s="51" t="str">
        <f t="shared" si="7"/>
        <v/>
      </c>
      <c r="X24" s="14"/>
      <c r="Y24" s="51" t="str">
        <f t="shared" si="8"/>
        <v/>
      </c>
      <c r="Z24" s="2"/>
      <c r="AA24" s="2"/>
      <c r="AB24" s="2"/>
      <c r="AC24" s="2"/>
      <c r="AD24" s="2"/>
    </row>
    <row r="25" spans="1:30" ht="12.75" x14ac:dyDescent="0.2">
      <c r="A25" s="16">
        <f ca="1">IFERROR(__xludf.DUMMYFUNCTION("""COMPUTED_VALUE"""),19)</f>
        <v>19</v>
      </c>
      <c r="B25" s="14" t="str">
        <f ca="1">IFERROR(__xludf.DUMMYFUNCTION("""COMPUTED_VALUE"""),"Mẫu giáo SAVIO")</f>
        <v>Mẫu giáo SAVIO</v>
      </c>
      <c r="C25" s="14" t="str">
        <f ca="1">IFERROR(__xludf.DUMMYFUNCTION("""COMPUTED_VALUE"""),"MN")</f>
        <v>MN</v>
      </c>
      <c r="D25" s="14">
        <f ca="1">IFERROR(__xludf.DUMMYFUNCTION("""COMPUTED_VALUE"""),4)</f>
        <v>4</v>
      </c>
      <c r="E25" s="17">
        <f ca="1">IFERROR(__xludf.DUMMYFUNCTION("""COMPUTED_VALUE"""),18)</f>
        <v>18</v>
      </c>
      <c r="F25" s="19">
        <f ca="1">IFERROR(__xludf.DUMMYFUNCTION("""COMPUTED_VALUE"""),18)</f>
        <v>18</v>
      </c>
      <c r="G25" s="51">
        <f t="shared" ca="1" si="0"/>
        <v>1</v>
      </c>
      <c r="H25" s="19">
        <f ca="1">IFERROR(__xludf.DUMMYFUNCTION("""COMPUTED_VALUE"""),17)</f>
        <v>17</v>
      </c>
      <c r="I25" s="51">
        <f t="shared" ca="1" si="1"/>
        <v>0.94444444444444442</v>
      </c>
      <c r="J25" s="19">
        <f ca="1">IFERROR(__xludf.DUMMYFUNCTION("""COMPUTED_VALUE"""),17)</f>
        <v>17</v>
      </c>
      <c r="K25" s="51">
        <f t="shared" ca="1" si="2"/>
        <v>0.94444444444444442</v>
      </c>
      <c r="L25" s="19">
        <f ca="1">IFERROR(__xludf.DUMMYFUNCTION("""COMPUTED_VALUE"""),5)</f>
        <v>5</v>
      </c>
      <c r="M25" s="51">
        <f t="shared" ca="1" si="3"/>
        <v>0.27777777777777779</v>
      </c>
      <c r="N25" s="19">
        <f ca="1">IFERROR(__xludf.DUMMYFUNCTION("""COMPUTED_VALUE"""),82)</f>
        <v>82</v>
      </c>
      <c r="O25" s="17">
        <f ca="1">IFERROR(__xludf.DUMMYFUNCTION("""COMPUTED_VALUE"""),5)</f>
        <v>5</v>
      </c>
      <c r="P25" s="51">
        <f t="shared" ca="1" si="4"/>
        <v>6.097560975609756E-2</v>
      </c>
      <c r="Q25" s="19">
        <f ca="1">IFERROR(__xludf.DUMMYFUNCTION("""COMPUTED_VALUE"""),3)</f>
        <v>3</v>
      </c>
      <c r="R25" s="51">
        <f t="shared" ca="1" si="5"/>
        <v>3.6585365853658534E-2</v>
      </c>
      <c r="S25" s="14"/>
      <c r="T25" s="20"/>
      <c r="U25" s="51" t="str">
        <f t="shared" si="6"/>
        <v/>
      </c>
      <c r="V25" s="14"/>
      <c r="W25" s="51" t="str">
        <f t="shared" si="7"/>
        <v/>
      </c>
      <c r="X25" s="14"/>
      <c r="Y25" s="51" t="str">
        <f t="shared" si="8"/>
        <v/>
      </c>
      <c r="Z25" s="2"/>
      <c r="AA25" s="2"/>
      <c r="AB25" s="2"/>
      <c r="AC25" s="2"/>
      <c r="AD25" s="2"/>
    </row>
    <row r="26" spans="1:30" ht="12.75" x14ac:dyDescent="0.2">
      <c r="A26" s="16">
        <f ca="1">IFERROR(__xludf.DUMMYFUNCTION("""COMPUTED_VALUE"""),20)</f>
        <v>20</v>
      </c>
      <c r="B26" s="14" t="str">
        <f ca="1">IFERROR(__xludf.DUMMYFUNCTION("""COMPUTED_VALUE"""),"MN Thiên Thần Nhỏ")</f>
        <v>MN Thiên Thần Nhỏ</v>
      </c>
      <c r="C26" s="14" t="str">
        <f ca="1">IFERROR(__xludf.DUMMYFUNCTION("""COMPUTED_VALUE"""),"MN")</f>
        <v>MN</v>
      </c>
      <c r="D26" s="14">
        <f ca="1">IFERROR(__xludf.DUMMYFUNCTION("""COMPUTED_VALUE"""),4)</f>
        <v>4</v>
      </c>
      <c r="E26" s="17">
        <f ca="1">IFERROR(__xludf.DUMMYFUNCTION("""COMPUTED_VALUE"""),17)</f>
        <v>17</v>
      </c>
      <c r="F26" s="19">
        <f ca="1">IFERROR(__xludf.DUMMYFUNCTION("""COMPUTED_VALUE"""),17)</f>
        <v>17</v>
      </c>
      <c r="G26" s="51">
        <f t="shared" ca="1" si="0"/>
        <v>1</v>
      </c>
      <c r="H26" s="19">
        <f ca="1">IFERROR(__xludf.DUMMYFUNCTION("""COMPUTED_VALUE"""),17)</f>
        <v>17</v>
      </c>
      <c r="I26" s="51">
        <f t="shared" ca="1" si="1"/>
        <v>1</v>
      </c>
      <c r="J26" s="19">
        <f ca="1">IFERROR(__xludf.DUMMYFUNCTION("""COMPUTED_VALUE"""),17)</f>
        <v>17</v>
      </c>
      <c r="K26" s="51">
        <f t="shared" ca="1" si="2"/>
        <v>1</v>
      </c>
      <c r="L26" s="19">
        <f ca="1">IFERROR(__xludf.DUMMYFUNCTION("""COMPUTED_VALUE"""),4)</f>
        <v>4</v>
      </c>
      <c r="M26" s="51">
        <f t="shared" ca="1" si="3"/>
        <v>0.23529411764705882</v>
      </c>
      <c r="N26" s="19">
        <f ca="1">IFERROR(__xludf.DUMMYFUNCTION("""COMPUTED_VALUE"""),28)</f>
        <v>28</v>
      </c>
      <c r="O26" s="17">
        <f ca="1">IFERROR(__xludf.DUMMYFUNCTION("""COMPUTED_VALUE"""),6)</f>
        <v>6</v>
      </c>
      <c r="P26" s="51">
        <f t="shared" ca="1" si="4"/>
        <v>0.21428571428571427</v>
      </c>
      <c r="Q26" s="19">
        <f ca="1">IFERROR(__xludf.DUMMYFUNCTION("""COMPUTED_VALUE"""),6)</f>
        <v>6</v>
      </c>
      <c r="R26" s="51">
        <f t="shared" ca="1" si="5"/>
        <v>0.21428571428571427</v>
      </c>
      <c r="S26" s="14"/>
      <c r="T26" s="20"/>
      <c r="U26" s="51" t="str">
        <f t="shared" si="6"/>
        <v/>
      </c>
      <c r="V26" s="14"/>
      <c r="W26" s="51" t="str">
        <f t="shared" si="7"/>
        <v/>
      </c>
      <c r="X26" s="14"/>
      <c r="Y26" s="51" t="str">
        <f t="shared" si="8"/>
        <v/>
      </c>
      <c r="Z26" s="2"/>
      <c r="AA26" s="2"/>
      <c r="AB26" s="2"/>
      <c r="AC26" s="2"/>
      <c r="AD26" s="2"/>
    </row>
    <row r="27" spans="1:30" ht="12.75" x14ac:dyDescent="0.2">
      <c r="A27" s="16">
        <f ca="1">IFERROR(__xludf.DUMMYFUNCTION("""COMPUTED_VALUE"""),21)</f>
        <v>21</v>
      </c>
      <c r="B27" s="14" t="str">
        <f ca="1">IFERROR(__xludf.DUMMYFUNCTION("""COMPUTED_VALUE"""),"Trường mầm non Chú Gấu Nhỏ")</f>
        <v>Trường mầm non Chú Gấu Nhỏ</v>
      </c>
      <c r="C27" s="14" t="str">
        <f ca="1">IFERROR(__xludf.DUMMYFUNCTION("""COMPUTED_VALUE"""),"MN")</f>
        <v>MN</v>
      </c>
      <c r="D27" s="14">
        <f ca="1">IFERROR(__xludf.DUMMYFUNCTION("""COMPUTED_VALUE"""),4)</f>
        <v>4</v>
      </c>
      <c r="E27" s="17">
        <f ca="1">IFERROR(__xludf.DUMMYFUNCTION("""COMPUTED_VALUE"""),16)</f>
        <v>16</v>
      </c>
      <c r="F27" s="19">
        <f ca="1">IFERROR(__xludf.DUMMYFUNCTION("""COMPUTED_VALUE"""),16)</f>
        <v>16</v>
      </c>
      <c r="G27" s="51">
        <f t="shared" ca="1" si="0"/>
        <v>1</v>
      </c>
      <c r="H27" s="19">
        <f ca="1">IFERROR(__xludf.DUMMYFUNCTION("""COMPUTED_VALUE"""),16)</f>
        <v>16</v>
      </c>
      <c r="I27" s="51">
        <f t="shared" ca="1" si="1"/>
        <v>1</v>
      </c>
      <c r="J27" s="19">
        <f ca="1">IFERROR(__xludf.DUMMYFUNCTION("""COMPUTED_VALUE"""),15)</f>
        <v>15</v>
      </c>
      <c r="K27" s="51">
        <f t="shared" ca="1" si="2"/>
        <v>0.9375</v>
      </c>
      <c r="L27" s="19">
        <f ca="1">IFERROR(__xludf.DUMMYFUNCTION("""COMPUTED_VALUE"""),3)</f>
        <v>3</v>
      </c>
      <c r="M27" s="51">
        <f t="shared" ca="1" si="3"/>
        <v>0.1875</v>
      </c>
      <c r="N27" s="19">
        <f ca="1">IFERROR(__xludf.DUMMYFUNCTION("""COMPUTED_VALUE"""),21)</f>
        <v>21</v>
      </c>
      <c r="O27" s="17">
        <f ca="1">IFERROR(__xludf.DUMMYFUNCTION("""COMPUTED_VALUE"""),1)</f>
        <v>1</v>
      </c>
      <c r="P27" s="51">
        <f t="shared" ca="1" si="4"/>
        <v>4.7619047619047616E-2</v>
      </c>
      <c r="Q27" s="19">
        <f ca="1">IFERROR(__xludf.DUMMYFUNCTION("""COMPUTED_VALUE"""),1)</f>
        <v>1</v>
      </c>
      <c r="R27" s="51">
        <f t="shared" ca="1" si="5"/>
        <v>4.7619047619047616E-2</v>
      </c>
      <c r="S27" s="14"/>
      <c r="T27" s="20"/>
      <c r="U27" s="51" t="str">
        <f t="shared" si="6"/>
        <v/>
      </c>
      <c r="V27" s="14"/>
      <c r="W27" s="51" t="str">
        <f t="shared" si="7"/>
        <v/>
      </c>
      <c r="X27" s="14"/>
      <c r="Y27" s="51" t="str">
        <f t="shared" si="8"/>
        <v/>
      </c>
      <c r="Z27" s="2"/>
      <c r="AA27" s="2"/>
      <c r="AB27" s="2"/>
      <c r="AC27" s="2"/>
      <c r="AD27" s="2"/>
    </row>
    <row r="28" spans="1:30" ht="12.75" x14ac:dyDescent="0.2">
      <c r="A28" s="16">
        <f ca="1">IFERROR(__xludf.DUMMYFUNCTION("""COMPUTED_VALUE"""),22)</f>
        <v>22</v>
      </c>
      <c r="B28" s="14" t="str">
        <f ca="1">IFERROR(__xludf.DUMMYFUNCTION("""COMPUTED_VALUE"""),"Mẫu giáo Vàng Anh")</f>
        <v>Mẫu giáo Vàng Anh</v>
      </c>
      <c r="C28" s="14" t="str">
        <f ca="1">IFERROR(__xludf.DUMMYFUNCTION("""COMPUTED_VALUE"""),"MN")</f>
        <v>MN</v>
      </c>
      <c r="D28" s="14">
        <f ca="1">IFERROR(__xludf.DUMMYFUNCTION("""COMPUTED_VALUE"""),4)</f>
        <v>4</v>
      </c>
      <c r="E28" s="17">
        <f ca="1">IFERROR(__xludf.DUMMYFUNCTION("""COMPUTED_VALUE"""),4)</f>
        <v>4</v>
      </c>
      <c r="F28" s="19">
        <f ca="1">IFERROR(__xludf.DUMMYFUNCTION("""COMPUTED_VALUE"""),4)</f>
        <v>4</v>
      </c>
      <c r="G28" s="51">
        <f t="shared" ca="1" si="0"/>
        <v>1</v>
      </c>
      <c r="H28" s="19">
        <f ca="1">IFERROR(__xludf.DUMMYFUNCTION("""COMPUTED_VALUE"""),4)</f>
        <v>4</v>
      </c>
      <c r="I28" s="51">
        <f t="shared" ca="1" si="1"/>
        <v>1</v>
      </c>
      <c r="J28" s="19">
        <f ca="1">IFERROR(__xludf.DUMMYFUNCTION("""COMPUTED_VALUE"""),4)</f>
        <v>4</v>
      </c>
      <c r="K28" s="51">
        <f t="shared" ca="1" si="2"/>
        <v>1</v>
      </c>
      <c r="L28" s="19">
        <f ca="1">IFERROR(__xludf.DUMMYFUNCTION("""COMPUTED_VALUE"""),0)</f>
        <v>0</v>
      </c>
      <c r="M28" s="51">
        <f t="shared" ca="1" si="3"/>
        <v>0</v>
      </c>
      <c r="N28" s="19">
        <f ca="1">IFERROR(__xludf.DUMMYFUNCTION("""COMPUTED_VALUE"""),7)</f>
        <v>7</v>
      </c>
      <c r="O28" s="17">
        <f ca="1">IFERROR(__xludf.DUMMYFUNCTION("""COMPUTED_VALUE"""),0)</f>
        <v>0</v>
      </c>
      <c r="P28" s="51">
        <f t="shared" ca="1" si="4"/>
        <v>0</v>
      </c>
      <c r="Q28" s="19">
        <f ca="1">IFERROR(__xludf.DUMMYFUNCTION("""COMPUTED_VALUE"""),0)</f>
        <v>0</v>
      </c>
      <c r="R28" s="51">
        <f t="shared" ca="1" si="5"/>
        <v>0</v>
      </c>
      <c r="S28" s="14"/>
      <c r="T28" s="20"/>
      <c r="U28" s="51" t="str">
        <f t="shared" si="6"/>
        <v/>
      </c>
      <c r="V28" s="14"/>
      <c r="W28" s="51" t="str">
        <f t="shared" si="7"/>
        <v/>
      </c>
      <c r="X28" s="14"/>
      <c r="Y28" s="51" t="str">
        <f t="shared" si="8"/>
        <v/>
      </c>
      <c r="Z28" s="2"/>
      <c r="AA28" s="2"/>
      <c r="AB28" s="2"/>
      <c r="AC28" s="2"/>
      <c r="AD28" s="2"/>
    </row>
    <row r="29" spans="1:30" ht="12.75" x14ac:dyDescent="0.2">
      <c r="A29" s="16">
        <f ca="1">IFERROR(__xludf.DUMMYFUNCTION("""COMPUTED_VALUE"""),23)</f>
        <v>23</v>
      </c>
      <c r="B29" s="14" t="str">
        <f ca="1">IFERROR(__xludf.DUMMYFUNCTION("""COMPUTED_VALUE"""),"Ngôi Nhà Bí Đỏ")</f>
        <v>Ngôi Nhà Bí Đỏ</v>
      </c>
      <c r="C29" s="14" t="str">
        <f ca="1">IFERROR(__xludf.DUMMYFUNCTION("""COMPUTED_VALUE"""),"MN")</f>
        <v>MN</v>
      </c>
      <c r="D29" s="14">
        <f ca="1">IFERROR(__xludf.DUMMYFUNCTION("""COMPUTED_VALUE"""),4)</f>
        <v>4</v>
      </c>
      <c r="E29" s="17">
        <f ca="1">IFERROR(__xludf.DUMMYFUNCTION("""COMPUTED_VALUE"""),5)</f>
        <v>5</v>
      </c>
      <c r="F29" s="19">
        <f ca="1">IFERROR(__xludf.DUMMYFUNCTION("""COMPUTED_VALUE"""),5)</f>
        <v>5</v>
      </c>
      <c r="G29" s="51">
        <f t="shared" ca="1" si="0"/>
        <v>1</v>
      </c>
      <c r="H29" s="19">
        <f ca="1">IFERROR(__xludf.DUMMYFUNCTION("""COMPUTED_VALUE"""),5)</f>
        <v>5</v>
      </c>
      <c r="I29" s="51">
        <f t="shared" ca="1" si="1"/>
        <v>1</v>
      </c>
      <c r="J29" s="19">
        <f ca="1">IFERROR(__xludf.DUMMYFUNCTION("""COMPUTED_VALUE"""),5)</f>
        <v>5</v>
      </c>
      <c r="K29" s="51">
        <f t="shared" ca="1" si="2"/>
        <v>1</v>
      </c>
      <c r="L29" s="19">
        <f ca="1">IFERROR(__xludf.DUMMYFUNCTION("""COMPUTED_VALUE"""),1)</f>
        <v>1</v>
      </c>
      <c r="M29" s="51">
        <f t="shared" ca="1" si="3"/>
        <v>0.2</v>
      </c>
      <c r="N29" s="19">
        <f ca="1">IFERROR(__xludf.DUMMYFUNCTION("""COMPUTED_VALUE"""),2)</f>
        <v>2</v>
      </c>
      <c r="O29" s="17">
        <f ca="1">IFERROR(__xludf.DUMMYFUNCTION("""COMPUTED_VALUE"""),0)</f>
        <v>0</v>
      </c>
      <c r="P29" s="51">
        <f t="shared" ca="1" si="4"/>
        <v>0</v>
      </c>
      <c r="Q29" s="19">
        <f ca="1">IFERROR(__xludf.DUMMYFUNCTION("""COMPUTED_VALUE"""),0)</f>
        <v>0</v>
      </c>
      <c r="R29" s="51">
        <f t="shared" ca="1" si="5"/>
        <v>0</v>
      </c>
      <c r="S29" s="14"/>
      <c r="T29" s="20"/>
      <c r="U29" s="51" t="str">
        <f t="shared" si="6"/>
        <v/>
      </c>
      <c r="V29" s="14"/>
      <c r="W29" s="51" t="str">
        <f t="shared" si="7"/>
        <v/>
      </c>
      <c r="X29" s="14"/>
      <c r="Y29" s="51" t="str">
        <f t="shared" si="8"/>
        <v/>
      </c>
      <c r="Z29" s="2"/>
      <c r="AA29" s="2"/>
      <c r="AB29" s="2"/>
      <c r="AC29" s="2"/>
      <c r="AD29" s="2"/>
    </row>
    <row r="30" spans="1:30" ht="12.75" x14ac:dyDescent="0.2">
      <c r="A30" s="16">
        <f ca="1">IFERROR(__xludf.DUMMYFUNCTION("""COMPUTED_VALUE"""),24)</f>
        <v>24</v>
      </c>
      <c r="B30" s="14" t="str">
        <f ca="1">IFERROR(__xludf.DUMMYFUNCTION("""COMPUTED_VALUE"""),"Nhóm Trẻ Thiên Thần")</f>
        <v>Nhóm Trẻ Thiên Thần</v>
      </c>
      <c r="C30" s="14" t="str">
        <f ca="1">IFERROR(__xludf.DUMMYFUNCTION("""COMPUTED_VALUE"""),"MN")</f>
        <v>MN</v>
      </c>
      <c r="D30" s="14">
        <f ca="1">IFERROR(__xludf.DUMMYFUNCTION("""COMPUTED_VALUE"""),4)</f>
        <v>4</v>
      </c>
      <c r="E30" s="15">
        <f ca="1">IFERROR(__xludf.DUMMYFUNCTION("""COMPUTED_VALUE"""),12)</f>
        <v>12</v>
      </c>
      <c r="F30" s="19">
        <f ca="1">IFERROR(__xludf.DUMMYFUNCTION("""COMPUTED_VALUE"""),12)</f>
        <v>12</v>
      </c>
      <c r="G30" s="51">
        <f t="shared" ca="1" si="0"/>
        <v>1</v>
      </c>
      <c r="H30" s="19">
        <f ca="1">IFERROR(__xludf.DUMMYFUNCTION("""COMPUTED_VALUE"""),12)</f>
        <v>12</v>
      </c>
      <c r="I30" s="51">
        <f t="shared" ca="1" si="1"/>
        <v>1</v>
      </c>
      <c r="J30" s="19">
        <f ca="1">IFERROR(__xludf.DUMMYFUNCTION("""COMPUTED_VALUE"""),12)</f>
        <v>12</v>
      </c>
      <c r="K30" s="51">
        <f t="shared" ca="1" si="2"/>
        <v>1</v>
      </c>
      <c r="L30" s="19">
        <f ca="1">IFERROR(__xludf.DUMMYFUNCTION("""COMPUTED_VALUE"""),4)</f>
        <v>4</v>
      </c>
      <c r="M30" s="51">
        <f t="shared" ca="1" si="3"/>
        <v>0.33333333333333331</v>
      </c>
      <c r="N30" s="19">
        <f ca="1">IFERROR(__xludf.DUMMYFUNCTION("""COMPUTED_VALUE"""),0)</f>
        <v>0</v>
      </c>
      <c r="O30" s="17">
        <f ca="1">IFERROR(__xludf.DUMMYFUNCTION("""COMPUTED_VALUE"""),0)</f>
        <v>0</v>
      </c>
      <c r="P30" s="51" t="str">
        <f t="shared" ca="1" si="4"/>
        <v/>
      </c>
      <c r="Q30" s="19">
        <f ca="1">IFERROR(__xludf.DUMMYFUNCTION("""COMPUTED_VALUE"""),0)</f>
        <v>0</v>
      </c>
      <c r="R30" s="51" t="str">
        <f t="shared" ca="1" si="5"/>
        <v/>
      </c>
      <c r="S30" s="14"/>
      <c r="T30" s="20"/>
      <c r="U30" s="51" t="str">
        <f t="shared" si="6"/>
        <v/>
      </c>
      <c r="V30" s="14"/>
      <c r="W30" s="51" t="str">
        <f t="shared" si="7"/>
        <v/>
      </c>
      <c r="X30" s="14"/>
      <c r="Y30" s="51" t="str">
        <f t="shared" si="8"/>
        <v/>
      </c>
      <c r="Z30" s="2"/>
      <c r="AA30" s="2"/>
      <c r="AB30" s="2"/>
      <c r="AC30" s="2"/>
      <c r="AD30" s="2"/>
    </row>
    <row r="31" spans="1:30" ht="12.75" x14ac:dyDescent="0.2">
      <c r="A31" s="86" t="str">
        <f ca="1">IFERROR(__xludf.DUMMYFUNCTION("""COMPUTED_VALUE"""),"Tiểu học")</f>
        <v>Tiểu học</v>
      </c>
      <c r="B31" s="87"/>
      <c r="C31" s="88"/>
      <c r="D31" s="14"/>
      <c r="E31" s="17">
        <f ca="1">IFERROR(__xludf.DUMMYFUNCTION("""COMPUTED_VALUE"""),576)</f>
        <v>576</v>
      </c>
      <c r="F31" s="17">
        <f ca="1">IFERROR(__xludf.DUMMYFUNCTION("""COMPUTED_VALUE"""),576)</f>
        <v>576</v>
      </c>
      <c r="G31" s="51">
        <f t="shared" ca="1" si="0"/>
        <v>1</v>
      </c>
      <c r="H31" s="17">
        <f ca="1">IFERROR(__xludf.DUMMYFUNCTION("""COMPUTED_VALUE"""),575)</f>
        <v>575</v>
      </c>
      <c r="I31" s="51">
        <f t="shared" ca="1" si="1"/>
        <v>0.99826388888888884</v>
      </c>
      <c r="J31" s="17">
        <f ca="1">IFERROR(__xludf.DUMMYFUNCTION("""COMPUTED_VALUE"""),560)</f>
        <v>560</v>
      </c>
      <c r="K31" s="51">
        <f t="shared" ca="1" si="2"/>
        <v>0.97222222222222221</v>
      </c>
      <c r="L31" s="17">
        <f ca="1">IFERROR(__xludf.DUMMYFUNCTION("""COMPUTED_VALUE"""),291)</f>
        <v>291</v>
      </c>
      <c r="M31" s="51">
        <f t="shared" ca="1" si="3"/>
        <v>0.50520833333333337</v>
      </c>
      <c r="N31" s="17">
        <f ca="1">IFERROR(__xludf.DUMMYFUNCTION("""COMPUTED_VALUE"""),9393)</f>
        <v>9393</v>
      </c>
      <c r="O31" s="17">
        <f ca="1">IFERROR(__xludf.DUMMYFUNCTION("""COMPUTED_VALUE"""),5091)</f>
        <v>5091</v>
      </c>
      <c r="P31" s="51">
        <f t="shared" ca="1" si="4"/>
        <v>0.54199936122644521</v>
      </c>
      <c r="Q31" s="17">
        <f ca="1">IFERROR(__xludf.DUMMYFUNCTION("""COMPUTED_VALUE"""),3153)</f>
        <v>3153</v>
      </c>
      <c r="R31" s="51">
        <f t="shared" ca="1" si="5"/>
        <v>0.33567550303417437</v>
      </c>
      <c r="S31" s="17">
        <f ca="1">IFERROR(__xludf.DUMMYFUNCTION("""COMPUTED_VALUE"""),9)</f>
        <v>9</v>
      </c>
      <c r="T31" s="17">
        <f ca="1">IFERROR(__xludf.DUMMYFUNCTION("""COMPUTED_VALUE"""),5)</f>
        <v>5</v>
      </c>
      <c r="U31" s="51">
        <f t="shared" ca="1" si="6"/>
        <v>0.55555555555555558</v>
      </c>
      <c r="V31" s="17">
        <f ca="1">IFERROR(__xludf.DUMMYFUNCTION("""COMPUTED_VALUE"""),3)</f>
        <v>3</v>
      </c>
      <c r="W31" s="51">
        <f t="shared" ca="1" si="7"/>
        <v>0.33333333333333331</v>
      </c>
      <c r="X31" s="17">
        <f ca="1">IFERROR(__xludf.DUMMYFUNCTION("""COMPUTED_VALUE"""),1)</f>
        <v>1</v>
      </c>
      <c r="Y31" s="51">
        <f t="shared" ca="1" si="8"/>
        <v>0.1111111111111111</v>
      </c>
      <c r="Z31" s="2"/>
      <c r="AA31" s="2"/>
      <c r="AB31" s="2"/>
      <c r="AC31" s="2"/>
      <c r="AD31" s="2"/>
    </row>
    <row r="32" spans="1:30" ht="12.75" x14ac:dyDescent="0.2">
      <c r="A32" s="16">
        <f ca="1">IFERROR(__xludf.DUMMYFUNCTION("""COMPUTED_VALUE"""),1)</f>
        <v>1</v>
      </c>
      <c r="B32" s="14" t="str">
        <f ca="1">IFERROR(__xludf.DUMMYFUNCTION("""COMPUTED_VALUE"""),"Nguyễn Huệ 1")</f>
        <v>Nguyễn Huệ 1</v>
      </c>
      <c r="C32" s="14" t="str">
        <f ca="1">IFERROR(__xludf.DUMMYFUNCTION("""COMPUTED_VALUE"""),"TH")</f>
        <v>TH</v>
      </c>
      <c r="D32" s="14">
        <f ca="1">IFERROR(__xludf.DUMMYFUNCTION("""COMPUTED_VALUE"""),4)</f>
        <v>4</v>
      </c>
      <c r="E32" s="17">
        <f ca="1">IFERROR(__xludf.DUMMYFUNCTION("""COMPUTED_VALUE"""),17)</f>
        <v>17</v>
      </c>
      <c r="F32" s="19">
        <f ca="1">IFERROR(__xludf.DUMMYFUNCTION("""COMPUTED_VALUE"""),17)</f>
        <v>17</v>
      </c>
      <c r="G32" s="51">
        <f t="shared" ca="1" si="0"/>
        <v>1</v>
      </c>
      <c r="H32" s="19">
        <f ca="1">IFERROR(__xludf.DUMMYFUNCTION("""COMPUTED_VALUE"""),17)</f>
        <v>17</v>
      </c>
      <c r="I32" s="51">
        <f t="shared" ca="1" si="1"/>
        <v>1</v>
      </c>
      <c r="J32" s="19">
        <f ca="1">IFERROR(__xludf.DUMMYFUNCTION("""COMPUTED_VALUE"""),17)</f>
        <v>17</v>
      </c>
      <c r="K32" s="51">
        <f t="shared" ca="1" si="2"/>
        <v>1</v>
      </c>
      <c r="L32" s="19">
        <f ca="1">IFERROR(__xludf.DUMMYFUNCTION("""COMPUTED_VALUE"""),8)</f>
        <v>8</v>
      </c>
      <c r="M32" s="51">
        <f t="shared" ca="1" si="3"/>
        <v>0.47058823529411764</v>
      </c>
      <c r="N32" s="19">
        <f ca="1">IFERROR(__xludf.DUMMYFUNCTION("""COMPUTED_VALUE"""),275)</f>
        <v>275</v>
      </c>
      <c r="O32" s="17">
        <f ca="1">IFERROR(__xludf.DUMMYFUNCTION("""COMPUTED_VALUE"""),139)</f>
        <v>139</v>
      </c>
      <c r="P32" s="51">
        <f t="shared" ca="1" si="4"/>
        <v>0.50545454545454549</v>
      </c>
      <c r="Q32" s="19">
        <f ca="1">IFERROR(__xludf.DUMMYFUNCTION("""COMPUTED_VALUE"""),85)</f>
        <v>85</v>
      </c>
      <c r="R32" s="51">
        <f t="shared" ca="1" si="5"/>
        <v>0.30909090909090908</v>
      </c>
      <c r="S32" s="19">
        <f ca="1">IFERROR(__xludf.DUMMYFUNCTION("""COMPUTED_VALUE"""),1)</f>
        <v>1</v>
      </c>
      <c r="T32" s="17">
        <f ca="1">IFERROR(__xludf.DUMMYFUNCTION("""COMPUTED_VALUE"""),0)</f>
        <v>0</v>
      </c>
      <c r="U32" s="51">
        <f t="shared" ca="1" si="6"/>
        <v>0</v>
      </c>
      <c r="V32" s="19">
        <f ca="1">IFERROR(__xludf.DUMMYFUNCTION("""COMPUTED_VALUE"""),0)</f>
        <v>0</v>
      </c>
      <c r="W32" s="51">
        <f t="shared" ca="1" si="7"/>
        <v>0</v>
      </c>
      <c r="X32" s="19">
        <f ca="1">IFERROR(__xludf.DUMMYFUNCTION("""COMPUTED_VALUE"""),0)</f>
        <v>0</v>
      </c>
      <c r="Y32" s="51">
        <f t="shared" ca="1" si="8"/>
        <v>0</v>
      </c>
      <c r="Z32" s="2"/>
      <c r="AA32" s="2"/>
      <c r="AB32" s="2"/>
      <c r="AC32" s="2"/>
      <c r="AD32" s="2"/>
    </row>
    <row r="33" spans="1:30" ht="12.75" x14ac:dyDescent="0.2">
      <c r="A33" s="16">
        <f ca="1">IFERROR(__xludf.DUMMYFUNCTION("""COMPUTED_VALUE"""),2)</f>
        <v>2</v>
      </c>
      <c r="B33" s="14" t="str">
        <f ca="1">IFERROR(__xludf.DUMMYFUNCTION("""COMPUTED_VALUE"""),"Lê Thánh Tôn")</f>
        <v>Lê Thánh Tôn</v>
      </c>
      <c r="C33" s="14" t="str">
        <f ca="1">IFERROR(__xludf.DUMMYFUNCTION("""COMPUTED_VALUE"""),"TH")</f>
        <v>TH</v>
      </c>
      <c r="D33" s="14">
        <f ca="1">IFERROR(__xludf.DUMMYFUNCTION("""COMPUTED_VALUE"""),4)</f>
        <v>4</v>
      </c>
      <c r="E33" s="17">
        <f ca="1">IFERROR(__xludf.DUMMYFUNCTION("""COMPUTED_VALUE"""),33)</f>
        <v>33</v>
      </c>
      <c r="F33" s="19">
        <f ca="1">IFERROR(__xludf.DUMMYFUNCTION("""COMPUTED_VALUE"""),33)</f>
        <v>33</v>
      </c>
      <c r="G33" s="51">
        <f t="shared" ca="1" si="0"/>
        <v>1</v>
      </c>
      <c r="H33" s="19">
        <f ca="1">IFERROR(__xludf.DUMMYFUNCTION("""COMPUTED_VALUE"""),33)</f>
        <v>33</v>
      </c>
      <c r="I33" s="51">
        <f t="shared" ca="1" si="1"/>
        <v>1</v>
      </c>
      <c r="J33" s="19">
        <f ca="1">IFERROR(__xludf.DUMMYFUNCTION("""COMPUTED_VALUE"""),33)</f>
        <v>33</v>
      </c>
      <c r="K33" s="51">
        <f t="shared" ca="1" si="2"/>
        <v>1</v>
      </c>
      <c r="L33" s="19">
        <f ca="1">IFERROR(__xludf.DUMMYFUNCTION("""COMPUTED_VALUE"""),23)</f>
        <v>23</v>
      </c>
      <c r="M33" s="51">
        <f t="shared" ca="1" si="3"/>
        <v>0.69696969696969702</v>
      </c>
      <c r="N33" s="19">
        <f ca="1">IFERROR(__xludf.DUMMYFUNCTION("""COMPUTED_VALUE"""),581)</f>
        <v>581</v>
      </c>
      <c r="O33" s="17">
        <f ca="1">IFERROR(__xludf.DUMMYFUNCTION("""COMPUTED_VALUE"""),265)</f>
        <v>265</v>
      </c>
      <c r="P33" s="51">
        <f t="shared" ca="1" si="4"/>
        <v>0.45611015490533563</v>
      </c>
      <c r="Q33" s="19">
        <f ca="1">IFERROR(__xludf.DUMMYFUNCTION("""COMPUTED_VALUE"""),182)</f>
        <v>182</v>
      </c>
      <c r="R33" s="51">
        <f t="shared" ca="1" si="5"/>
        <v>0.31325301204819278</v>
      </c>
      <c r="S33" s="19">
        <f ca="1">IFERROR(__xludf.DUMMYFUNCTION("""COMPUTED_VALUE"""),0)</f>
        <v>0</v>
      </c>
      <c r="T33" s="20"/>
      <c r="U33" s="51" t="str">
        <f t="shared" ca="1" si="6"/>
        <v/>
      </c>
      <c r="V33" s="14"/>
      <c r="W33" s="51" t="str">
        <f t="shared" ca="1" si="7"/>
        <v/>
      </c>
      <c r="X33" s="14"/>
      <c r="Y33" s="51" t="str">
        <f t="shared" ca="1" si="8"/>
        <v/>
      </c>
      <c r="Z33" s="2"/>
      <c r="AA33" s="2"/>
      <c r="AB33" s="2"/>
      <c r="AC33" s="2"/>
      <c r="AD33" s="2"/>
    </row>
    <row r="34" spans="1:30" ht="12.75" x14ac:dyDescent="0.2">
      <c r="A34" s="16">
        <f ca="1">IFERROR(__xludf.DUMMYFUNCTION("""COMPUTED_VALUE"""),3)</f>
        <v>3</v>
      </c>
      <c r="B34" s="14" t="str">
        <f ca="1">IFERROR(__xludf.DUMMYFUNCTION("""COMPUTED_VALUE"""),"Đoàn Thị Điểm")</f>
        <v>Đoàn Thị Điểm</v>
      </c>
      <c r="C34" s="14" t="str">
        <f ca="1">IFERROR(__xludf.DUMMYFUNCTION("""COMPUTED_VALUE"""),"TH")</f>
        <v>TH</v>
      </c>
      <c r="D34" s="14">
        <f ca="1">IFERROR(__xludf.DUMMYFUNCTION("""COMPUTED_VALUE"""),4)</f>
        <v>4</v>
      </c>
      <c r="E34" s="17">
        <f ca="1">IFERROR(__xludf.DUMMYFUNCTION("""COMPUTED_VALUE"""),47)</f>
        <v>47</v>
      </c>
      <c r="F34" s="19">
        <f ca="1">IFERROR(__xludf.DUMMYFUNCTION("""COMPUTED_VALUE"""),47)</f>
        <v>47</v>
      </c>
      <c r="G34" s="51">
        <f t="shared" ca="1" si="0"/>
        <v>1</v>
      </c>
      <c r="H34" s="19">
        <f ca="1">IFERROR(__xludf.DUMMYFUNCTION("""COMPUTED_VALUE"""),47)</f>
        <v>47</v>
      </c>
      <c r="I34" s="51">
        <f t="shared" ca="1" si="1"/>
        <v>1</v>
      </c>
      <c r="J34" s="19">
        <f ca="1">IFERROR(__xludf.DUMMYFUNCTION("""COMPUTED_VALUE"""),45)</f>
        <v>45</v>
      </c>
      <c r="K34" s="51">
        <f t="shared" ca="1" si="2"/>
        <v>0.95744680851063835</v>
      </c>
      <c r="L34" s="19">
        <f ca="1">IFERROR(__xludf.DUMMYFUNCTION("""COMPUTED_VALUE"""),31)</f>
        <v>31</v>
      </c>
      <c r="M34" s="51">
        <f t="shared" ca="1" si="3"/>
        <v>0.65957446808510634</v>
      </c>
      <c r="N34" s="19">
        <f ca="1">IFERROR(__xludf.DUMMYFUNCTION("""COMPUTED_VALUE"""),848)</f>
        <v>848</v>
      </c>
      <c r="O34" s="17">
        <f ca="1">IFERROR(__xludf.DUMMYFUNCTION("""COMPUTED_VALUE"""),499)</f>
        <v>499</v>
      </c>
      <c r="P34" s="51">
        <f t="shared" ca="1" si="4"/>
        <v>0.58844339622641506</v>
      </c>
      <c r="Q34" s="19">
        <f ca="1">IFERROR(__xludf.DUMMYFUNCTION("""COMPUTED_VALUE"""),308)</f>
        <v>308</v>
      </c>
      <c r="R34" s="51">
        <f t="shared" ca="1" si="5"/>
        <v>0.3632075471698113</v>
      </c>
      <c r="S34" s="19">
        <f ca="1">IFERROR(__xludf.DUMMYFUNCTION("""COMPUTED_VALUE"""),1)</f>
        <v>1</v>
      </c>
      <c r="T34" s="17">
        <f ca="1">IFERROR(__xludf.DUMMYFUNCTION("""COMPUTED_VALUE"""),1)</f>
        <v>1</v>
      </c>
      <c r="U34" s="51">
        <f t="shared" ca="1" si="6"/>
        <v>1</v>
      </c>
      <c r="V34" s="19">
        <f ca="1">IFERROR(__xludf.DUMMYFUNCTION("""COMPUTED_VALUE"""),0)</f>
        <v>0</v>
      </c>
      <c r="W34" s="51">
        <f t="shared" ca="1" si="7"/>
        <v>0</v>
      </c>
      <c r="X34" s="19">
        <f ca="1">IFERROR(__xludf.DUMMYFUNCTION("""COMPUTED_VALUE"""),0)</f>
        <v>0</v>
      </c>
      <c r="Y34" s="51">
        <f t="shared" ca="1" si="8"/>
        <v>0</v>
      </c>
      <c r="Z34" s="2"/>
      <c r="AA34" s="2"/>
      <c r="AB34" s="2"/>
      <c r="AC34" s="2"/>
      <c r="AD34" s="2"/>
    </row>
    <row r="35" spans="1:30" ht="12.75" x14ac:dyDescent="0.2">
      <c r="A35" s="16">
        <f ca="1">IFERROR(__xludf.DUMMYFUNCTION("""COMPUTED_VALUE"""),4)</f>
        <v>4</v>
      </c>
      <c r="B35" s="14" t="str">
        <f ca="1">IFERROR(__xludf.DUMMYFUNCTION("""COMPUTED_VALUE"""),"Đinh Bộ Lĩnh")</f>
        <v>Đinh Bộ Lĩnh</v>
      </c>
      <c r="C35" s="14" t="str">
        <f ca="1">IFERROR(__xludf.DUMMYFUNCTION("""COMPUTED_VALUE"""),"TH")</f>
        <v>TH</v>
      </c>
      <c r="D35" s="14">
        <f ca="1">IFERROR(__xludf.DUMMYFUNCTION("""COMPUTED_VALUE"""),4)</f>
        <v>4</v>
      </c>
      <c r="E35" s="17">
        <f ca="1">IFERROR(__xludf.DUMMYFUNCTION("""COMPUTED_VALUE"""),30)</f>
        <v>30</v>
      </c>
      <c r="F35" s="19">
        <f ca="1">IFERROR(__xludf.DUMMYFUNCTION("""COMPUTED_VALUE"""),30)</f>
        <v>30</v>
      </c>
      <c r="G35" s="51">
        <f t="shared" ca="1" si="0"/>
        <v>1</v>
      </c>
      <c r="H35" s="19">
        <f ca="1">IFERROR(__xludf.DUMMYFUNCTION("""COMPUTED_VALUE"""),30)</f>
        <v>30</v>
      </c>
      <c r="I35" s="51">
        <f t="shared" ca="1" si="1"/>
        <v>1</v>
      </c>
      <c r="J35" s="19">
        <f ca="1">IFERROR(__xludf.DUMMYFUNCTION("""COMPUTED_VALUE"""),29)</f>
        <v>29</v>
      </c>
      <c r="K35" s="51">
        <f t="shared" ca="1" si="2"/>
        <v>0.96666666666666667</v>
      </c>
      <c r="L35" s="19">
        <f ca="1">IFERROR(__xludf.DUMMYFUNCTION("""COMPUTED_VALUE"""),13)</f>
        <v>13</v>
      </c>
      <c r="M35" s="51">
        <f t="shared" ca="1" si="3"/>
        <v>0.43333333333333335</v>
      </c>
      <c r="N35" s="19">
        <f ca="1">IFERROR(__xludf.DUMMYFUNCTION("""COMPUTED_VALUE"""),560)</f>
        <v>560</v>
      </c>
      <c r="O35" s="17">
        <f ca="1">IFERROR(__xludf.DUMMYFUNCTION("""COMPUTED_VALUE"""),344)</f>
        <v>344</v>
      </c>
      <c r="P35" s="51">
        <f t="shared" ca="1" si="4"/>
        <v>0.61428571428571432</v>
      </c>
      <c r="Q35" s="19">
        <f ca="1">IFERROR(__xludf.DUMMYFUNCTION("""COMPUTED_VALUE"""),213)</f>
        <v>213</v>
      </c>
      <c r="R35" s="51">
        <f t="shared" ca="1" si="5"/>
        <v>0.38035714285714284</v>
      </c>
      <c r="S35" s="19">
        <f ca="1">IFERROR(__xludf.DUMMYFUNCTION("""COMPUTED_VALUE"""),0)</f>
        <v>0</v>
      </c>
      <c r="T35" s="17">
        <f ca="1">IFERROR(__xludf.DUMMYFUNCTION("""COMPUTED_VALUE"""),0)</f>
        <v>0</v>
      </c>
      <c r="U35" s="51" t="str">
        <f t="shared" ca="1" si="6"/>
        <v/>
      </c>
      <c r="V35" s="19">
        <f ca="1">IFERROR(__xludf.DUMMYFUNCTION("""COMPUTED_VALUE"""),0)</f>
        <v>0</v>
      </c>
      <c r="W35" s="51" t="str">
        <f t="shared" ca="1" si="7"/>
        <v/>
      </c>
      <c r="X35" s="19">
        <f ca="1">IFERROR(__xludf.DUMMYFUNCTION("""COMPUTED_VALUE"""),0)</f>
        <v>0</v>
      </c>
      <c r="Y35" s="51" t="str">
        <f t="shared" ca="1" si="8"/>
        <v/>
      </c>
      <c r="Z35" s="2"/>
      <c r="AA35" s="2"/>
      <c r="AB35" s="2"/>
      <c r="AC35" s="2"/>
      <c r="AD35" s="2"/>
    </row>
    <row r="36" spans="1:30" ht="12.75" x14ac:dyDescent="0.2">
      <c r="A36" s="16">
        <f ca="1">IFERROR(__xludf.DUMMYFUNCTION("""COMPUTED_VALUE"""),5)</f>
        <v>5</v>
      </c>
      <c r="B36" s="14"/>
      <c r="C36" s="14"/>
      <c r="D36" s="14">
        <f ca="1">IFERROR(__xludf.DUMMYFUNCTION("""COMPUTED_VALUE"""),4)</f>
        <v>4</v>
      </c>
      <c r="E36" s="17">
        <f ca="1">IFERROR(__xludf.DUMMYFUNCTION("""COMPUTED_VALUE"""),31)</f>
        <v>31</v>
      </c>
      <c r="F36" s="19">
        <f ca="1">IFERROR(__xludf.DUMMYFUNCTION("""COMPUTED_VALUE"""),31)</f>
        <v>31</v>
      </c>
      <c r="G36" s="51">
        <f t="shared" ca="1" si="0"/>
        <v>1</v>
      </c>
      <c r="H36" s="19">
        <f ca="1">IFERROR(__xludf.DUMMYFUNCTION("""COMPUTED_VALUE"""),31)</f>
        <v>31</v>
      </c>
      <c r="I36" s="51">
        <f t="shared" ca="1" si="1"/>
        <v>1</v>
      </c>
      <c r="J36" s="19">
        <f ca="1">IFERROR(__xludf.DUMMYFUNCTION("""COMPUTED_VALUE"""),30)</f>
        <v>30</v>
      </c>
      <c r="K36" s="51">
        <f t="shared" ca="1" si="2"/>
        <v>0.967741935483871</v>
      </c>
      <c r="L36" s="19">
        <f ca="1">IFERROR(__xludf.DUMMYFUNCTION("""COMPUTED_VALUE"""),10)</f>
        <v>10</v>
      </c>
      <c r="M36" s="51">
        <f t="shared" ca="1" si="3"/>
        <v>0.32258064516129031</v>
      </c>
      <c r="N36" s="19">
        <f ca="1">IFERROR(__xludf.DUMMYFUNCTION("""COMPUTED_VALUE"""),395)</f>
        <v>395</v>
      </c>
      <c r="O36" s="17">
        <f ca="1">IFERROR(__xludf.DUMMYFUNCTION("""COMPUTED_VALUE"""),236)</f>
        <v>236</v>
      </c>
      <c r="P36" s="51">
        <f t="shared" ca="1" si="4"/>
        <v>0.59746835443037971</v>
      </c>
      <c r="Q36" s="19">
        <f ca="1">IFERROR(__xludf.DUMMYFUNCTION("""COMPUTED_VALUE"""),142)</f>
        <v>142</v>
      </c>
      <c r="R36" s="51">
        <f t="shared" ca="1" si="5"/>
        <v>0.35949367088607592</v>
      </c>
      <c r="S36" s="19">
        <f ca="1">IFERROR(__xludf.DUMMYFUNCTION("""COMPUTED_VALUE"""),0)</f>
        <v>0</v>
      </c>
      <c r="T36" s="17">
        <f ca="1">IFERROR(__xludf.DUMMYFUNCTION("""COMPUTED_VALUE"""),0)</f>
        <v>0</v>
      </c>
      <c r="U36" s="51" t="str">
        <f t="shared" ca="1" si="6"/>
        <v/>
      </c>
      <c r="V36" s="19">
        <f ca="1">IFERROR(__xludf.DUMMYFUNCTION("""COMPUTED_VALUE"""),0)</f>
        <v>0</v>
      </c>
      <c r="W36" s="51" t="str">
        <f t="shared" ca="1" si="7"/>
        <v/>
      </c>
      <c r="X36" s="19">
        <f ca="1">IFERROR(__xludf.DUMMYFUNCTION("""COMPUTED_VALUE"""),0)</f>
        <v>0</v>
      </c>
      <c r="Y36" s="51" t="str">
        <f t="shared" ca="1" si="8"/>
        <v/>
      </c>
      <c r="Z36" s="2"/>
      <c r="AA36" s="2"/>
      <c r="AB36" s="2"/>
      <c r="AC36" s="2"/>
      <c r="AD36" s="2"/>
    </row>
    <row r="37" spans="1:30" ht="12.75" x14ac:dyDescent="0.2">
      <c r="A37" s="16">
        <f ca="1">IFERROR(__xludf.DUMMYFUNCTION("""COMPUTED_VALUE"""),6)</f>
        <v>6</v>
      </c>
      <c r="B37" s="14" t="str">
        <f ca="1">IFERROR(__xludf.DUMMYFUNCTION("""COMPUTED_VALUE"""),"Nguyễn Trường Tộ")</f>
        <v>Nguyễn Trường Tộ</v>
      </c>
      <c r="C37" s="14" t="str">
        <f ca="1">IFERROR(__xludf.DUMMYFUNCTION("""COMPUTED_VALUE"""),"TH")</f>
        <v>TH</v>
      </c>
      <c r="D37" s="14">
        <f ca="1">IFERROR(__xludf.DUMMYFUNCTION("""COMPUTED_VALUE"""),4)</f>
        <v>4</v>
      </c>
      <c r="E37" s="17">
        <f ca="1">IFERROR(__xludf.DUMMYFUNCTION("""COMPUTED_VALUE"""),41)</f>
        <v>41</v>
      </c>
      <c r="F37" s="19">
        <f ca="1">IFERROR(__xludf.DUMMYFUNCTION("""COMPUTED_VALUE"""),41)</f>
        <v>41</v>
      </c>
      <c r="G37" s="51">
        <f t="shared" ca="1" si="0"/>
        <v>1</v>
      </c>
      <c r="H37" s="19">
        <f ca="1">IFERROR(__xludf.DUMMYFUNCTION("""COMPUTED_VALUE"""),41)</f>
        <v>41</v>
      </c>
      <c r="I37" s="51">
        <f t="shared" ca="1" si="1"/>
        <v>1</v>
      </c>
      <c r="J37" s="19">
        <f ca="1">IFERROR(__xludf.DUMMYFUNCTION("""COMPUTED_VALUE"""),41)</f>
        <v>41</v>
      </c>
      <c r="K37" s="51">
        <f t="shared" ca="1" si="2"/>
        <v>1</v>
      </c>
      <c r="L37" s="19">
        <f ca="1">IFERROR(__xludf.DUMMYFUNCTION("""COMPUTED_VALUE"""),26)</f>
        <v>26</v>
      </c>
      <c r="M37" s="51">
        <f t="shared" ca="1" si="3"/>
        <v>0.63414634146341464</v>
      </c>
      <c r="N37" s="19">
        <f ca="1">IFERROR(__xludf.DUMMYFUNCTION("""COMPUTED_VALUE"""),687)</f>
        <v>687</v>
      </c>
      <c r="O37" s="17">
        <f ca="1">IFERROR(__xludf.DUMMYFUNCTION("""COMPUTED_VALUE"""),290)</f>
        <v>290</v>
      </c>
      <c r="P37" s="51">
        <f t="shared" ca="1" si="4"/>
        <v>0.42212518195050946</v>
      </c>
      <c r="Q37" s="19">
        <f ca="1">IFERROR(__xludf.DUMMYFUNCTION("""COMPUTED_VALUE"""),226)</f>
        <v>226</v>
      </c>
      <c r="R37" s="51">
        <f t="shared" ca="1" si="5"/>
        <v>0.32896652110625912</v>
      </c>
      <c r="S37" s="19">
        <f ca="1">IFERROR(__xludf.DUMMYFUNCTION("""COMPUTED_VALUE"""),0)</f>
        <v>0</v>
      </c>
      <c r="T37" s="17">
        <f ca="1">IFERROR(__xludf.DUMMYFUNCTION("""COMPUTED_VALUE"""),0)</f>
        <v>0</v>
      </c>
      <c r="U37" s="51" t="str">
        <f t="shared" ca="1" si="6"/>
        <v/>
      </c>
      <c r="V37" s="19">
        <f ca="1">IFERROR(__xludf.DUMMYFUNCTION("""COMPUTED_VALUE"""),0)</f>
        <v>0</v>
      </c>
      <c r="W37" s="51" t="str">
        <f t="shared" ca="1" si="7"/>
        <v/>
      </c>
      <c r="X37" s="19">
        <f ca="1">IFERROR(__xludf.DUMMYFUNCTION("""COMPUTED_VALUE"""),0)</f>
        <v>0</v>
      </c>
      <c r="Y37" s="51" t="str">
        <f t="shared" ca="1" si="8"/>
        <v/>
      </c>
      <c r="Z37" s="2"/>
      <c r="AA37" s="2"/>
      <c r="AB37" s="2"/>
      <c r="AC37" s="2"/>
      <c r="AD37" s="2"/>
    </row>
    <row r="38" spans="1:30" ht="12.75" x14ac:dyDescent="0.2">
      <c r="A38" s="16">
        <f ca="1">IFERROR(__xludf.DUMMYFUNCTION("""COMPUTED_VALUE"""),7)</f>
        <v>7</v>
      </c>
      <c r="B38" s="14" t="str">
        <f ca="1">IFERROR(__xludf.DUMMYFUNCTION("""COMPUTED_VALUE"""),"Nguyễn Thái Bình")</f>
        <v>Nguyễn Thái Bình</v>
      </c>
      <c r="C38" s="14" t="str">
        <f ca="1">IFERROR(__xludf.DUMMYFUNCTION("""COMPUTED_VALUE"""),"TH")</f>
        <v>TH</v>
      </c>
      <c r="D38" s="14">
        <f ca="1">IFERROR(__xludf.DUMMYFUNCTION("""COMPUTED_VALUE"""),4)</f>
        <v>4</v>
      </c>
      <c r="E38" s="17">
        <f ca="1">IFERROR(__xludf.DUMMYFUNCTION("""COMPUTED_VALUE"""),43)</f>
        <v>43</v>
      </c>
      <c r="F38" s="19">
        <f ca="1">IFERROR(__xludf.DUMMYFUNCTION("""COMPUTED_VALUE"""),43)</f>
        <v>43</v>
      </c>
      <c r="G38" s="51">
        <f t="shared" ca="1" si="0"/>
        <v>1</v>
      </c>
      <c r="H38" s="19">
        <f ca="1">IFERROR(__xludf.DUMMYFUNCTION("""COMPUTED_VALUE"""),43)</f>
        <v>43</v>
      </c>
      <c r="I38" s="51">
        <f t="shared" ca="1" si="1"/>
        <v>1</v>
      </c>
      <c r="J38" s="19">
        <f ca="1">IFERROR(__xludf.DUMMYFUNCTION("""COMPUTED_VALUE"""),40)</f>
        <v>40</v>
      </c>
      <c r="K38" s="51">
        <f t="shared" ca="1" si="2"/>
        <v>0.93023255813953487</v>
      </c>
      <c r="L38" s="19">
        <f ca="1">IFERROR(__xludf.DUMMYFUNCTION("""COMPUTED_VALUE"""),13)</f>
        <v>13</v>
      </c>
      <c r="M38" s="51">
        <f t="shared" ca="1" si="3"/>
        <v>0.30232558139534882</v>
      </c>
      <c r="N38" s="19">
        <f ca="1">IFERROR(__xludf.DUMMYFUNCTION("""COMPUTED_VALUE"""),579)</f>
        <v>579</v>
      </c>
      <c r="O38" s="17">
        <f ca="1">IFERROR(__xludf.DUMMYFUNCTION("""COMPUTED_VALUE"""),359)</f>
        <v>359</v>
      </c>
      <c r="P38" s="51">
        <f t="shared" ca="1" si="4"/>
        <v>0.62003454231433508</v>
      </c>
      <c r="Q38" s="19">
        <f ca="1">IFERROR(__xludf.DUMMYFUNCTION("""COMPUTED_VALUE"""),215)</f>
        <v>215</v>
      </c>
      <c r="R38" s="51">
        <f t="shared" ca="1" si="5"/>
        <v>0.37132987910189985</v>
      </c>
      <c r="S38" s="19">
        <f ca="1">IFERROR(__xludf.DUMMYFUNCTION("""COMPUTED_VALUE"""),0)</f>
        <v>0</v>
      </c>
      <c r="T38" s="20">
        <f ca="1">IFERROR(__xludf.DUMMYFUNCTION("""COMPUTED_VALUE"""),0)</f>
        <v>0</v>
      </c>
      <c r="U38" s="51" t="str">
        <f t="shared" ca="1" si="6"/>
        <v/>
      </c>
      <c r="V38" s="19">
        <f ca="1">IFERROR(__xludf.DUMMYFUNCTION("""COMPUTED_VALUE"""),0)</f>
        <v>0</v>
      </c>
      <c r="W38" s="51" t="str">
        <f t="shared" ca="1" si="7"/>
        <v/>
      </c>
      <c r="X38" s="19">
        <f ca="1">IFERROR(__xludf.DUMMYFUNCTION("""COMPUTED_VALUE"""),0)</f>
        <v>0</v>
      </c>
      <c r="Y38" s="51" t="str">
        <f t="shared" ca="1" si="8"/>
        <v/>
      </c>
      <c r="Z38" s="2"/>
      <c r="AA38" s="2"/>
      <c r="AB38" s="2"/>
      <c r="AC38" s="2"/>
      <c r="AD38" s="2"/>
    </row>
    <row r="39" spans="1:30" ht="12.75" x14ac:dyDescent="0.2">
      <c r="A39" s="16">
        <f ca="1">IFERROR(__xludf.DUMMYFUNCTION("""COMPUTED_VALUE"""),8)</f>
        <v>8</v>
      </c>
      <c r="B39" s="14" t="str">
        <f ca="1">IFERROR(__xludf.DUMMYFUNCTION("""COMPUTED_VALUE"""),"Bạch Đằng")</f>
        <v>Bạch Đằng</v>
      </c>
      <c r="C39" s="14" t="str">
        <f ca="1">IFERROR(__xludf.DUMMYFUNCTION("""COMPUTED_VALUE"""),"TH")</f>
        <v>TH</v>
      </c>
      <c r="D39" s="14">
        <f ca="1">IFERROR(__xludf.DUMMYFUNCTION("""COMPUTED_VALUE"""),4)</f>
        <v>4</v>
      </c>
      <c r="E39" s="17">
        <f ca="1">IFERROR(__xludf.DUMMYFUNCTION("""COMPUTED_VALUE"""),41)</f>
        <v>41</v>
      </c>
      <c r="F39" s="19">
        <f ca="1">IFERROR(__xludf.DUMMYFUNCTION("""COMPUTED_VALUE"""),41)</f>
        <v>41</v>
      </c>
      <c r="G39" s="51">
        <f t="shared" ca="1" si="0"/>
        <v>1</v>
      </c>
      <c r="H39" s="19">
        <f ca="1">IFERROR(__xludf.DUMMYFUNCTION("""COMPUTED_VALUE"""),41)</f>
        <v>41</v>
      </c>
      <c r="I39" s="51">
        <f t="shared" ca="1" si="1"/>
        <v>1</v>
      </c>
      <c r="J39" s="19">
        <f ca="1">IFERROR(__xludf.DUMMYFUNCTION("""COMPUTED_VALUE"""),41)</f>
        <v>41</v>
      </c>
      <c r="K39" s="51">
        <f t="shared" ca="1" si="2"/>
        <v>1</v>
      </c>
      <c r="L39" s="19">
        <f ca="1">IFERROR(__xludf.DUMMYFUNCTION("""COMPUTED_VALUE"""),17)</f>
        <v>17</v>
      </c>
      <c r="M39" s="51">
        <f t="shared" ca="1" si="3"/>
        <v>0.41463414634146339</v>
      </c>
      <c r="N39" s="19">
        <f ca="1">IFERROR(__xludf.DUMMYFUNCTION("""COMPUTED_VALUE"""),741)</f>
        <v>741</v>
      </c>
      <c r="O39" s="17">
        <f ca="1">IFERROR(__xludf.DUMMYFUNCTION("""COMPUTED_VALUE"""),480)</f>
        <v>480</v>
      </c>
      <c r="P39" s="51">
        <f t="shared" ca="1" si="4"/>
        <v>0.64777327935222673</v>
      </c>
      <c r="Q39" s="19">
        <f ca="1">IFERROR(__xludf.DUMMYFUNCTION("""COMPUTED_VALUE"""),362)</f>
        <v>362</v>
      </c>
      <c r="R39" s="51">
        <f t="shared" ca="1" si="5"/>
        <v>0.48852901484480432</v>
      </c>
      <c r="S39" s="19">
        <f ca="1">IFERROR(__xludf.DUMMYFUNCTION("""COMPUTED_VALUE"""),1)</f>
        <v>1</v>
      </c>
      <c r="T39" s="20">
        <f ca="1">IFERROR(__xludf.DUMMYFUNCTION("""COMPUTED_VALUE"""),1)</f>
        <v>1</v>
      </c>
      <c r="U39" s="51">
        <f t="shared" ca="1" si="6"/>
        <v>1</v>
      </c>
      <c r="V39" s="19">
        <f ca="1">IFERROR(__xludf.DUMMYFUNCTION("""COMPUTED_VALUE"""),1)</f>
        <v>1</v>
      </c>
      <c r="W39" s="51">
        <f t="shared" ca="1" si="7"/>
        <v>1</v>
      </c>
      <c r="X39" s="19">
        <f ca="1">IFERROR(__xludf.DUMMYFUNCTION("""COMPUTED_VALUE"""),1)</f>
        <v>1</v>
      </c>
      <c r="Y39" s="51">
        <f t="shared" ca="1" si="8"/>
        <v>1</v>
      </c>
      <c r="Z39" s="2"/>
      <c r="AA39" s="2"/>
      <c r="AB39" s="2"/>
      <c r="AC39" s="2"/>
      <c r="AD39" s="2"/>
    </row>
    <row r="40" spans="1:30" ht="12.75" x14ac:dyDescent="0.2">
      <c r="A40" s="16">
        <f ca="1">IFERROR(__xludf.DUMMYFUNCTION("""COMPUTED_VALUE"""),9)</f>
        <v>9</v>
      </c>
      <c r="B40" s="14" t="str">
        <f ca="1">IFERROR(__xludf.DUMMYFUNCTION("""COMPUTED_VALUE"""),"Nguyễn Văn Trỗi")</f>
        <v>Nguyễn Văn Trỗi</v>
      </c>
      <c r="C40" s="14" t="str">
        <f ca="1">IFERROR(__xludf.DUMMYFUNCTION("""COMPUTED_VALUE"""),"TH")</f>
        <v>TH</v>
      </c>
      <c r="D40" s="14">
        <f ca="1">IFERROR(__xludf.DUMMYFUNCTION("""COMPUTED_VALUE"""),4)</f>
        <v>4</v>
      </c>
      <c r="E40" s="17">
        <f ca="1">IFERROR(__xludf.DUMMYFUNCTION("""COMPUTED_VALUE"""),71)</f>
        <v>71</v>
      </c>
      <c r="F40" s="19">
        <f ca="1">IFERROR(__xludf.DUMMYFUNCTION("""COMPUTED_VALUE"""),71)</f>
        <v>71</v>
      </c>
      <c r="G40" s="51">
        <f t="shared" ca="1" si="0"/>
        <v>1</v>
      </c>
      <c r="H40" s="19">
        <f ca="1">IFERROR(__xludf.DUMMYFUNCTION("""COMPUTED_VALUE"""),71)</f>
        <v>71</v>
      </c>
      <c r="I40" s="51">
        <f t="shared" ca="1" si="1"/>
        <v>1</v>
      </c>
      <c r="J40" s="19">
        <f ca="1">IFERROR(__xludf.DUMMYFUNCTION("""COMPUTED_VALUE"""),71)</f>
        <v>71</v>
      </c>
      <c r="K40" s="51">
        <f t="shared" ca="1" si="2"/>
        <v>1</v>
      </c>
      <c r="L40" s="19">
        <f ca="1">IFERROR(__xludf.DUMMYFUNCTION("""COMPUTED_VALUE"""),43)</f>
        <v>43</v>
      </c>
      <c r="M40" s="51">
        <f t="shared" ca="1" si="3"/>
        <v>0.60563380281690138</v>
      </c>
      <c r="N40" s="19">
        <f ca="1">IFERROR(__xludf.DUMMYFUNCTION("""COMPUTED_VALUE"""),1208)</f>
        <v>1208</v>
      </c>
      <c r="O40" s="17">
        <f ca="1">IFERROR(__xludf.DUMMYFUNCTION("""COMPUTED_VALUE"""),504)</f>
        <v>504</v>
      </c>
      <c r="P40" s="51">
        <f t="shared" ca="1" si="4"/>
        <v>0.41721854304635764</v>
      </c>
      <c r="Q40" s="19">
        <f ca="1">IFERROR(__xludf.DUMMYFUNCTION("""COMPUTED_VALUE"""),300)</f>
        <v>300</v>
      </c>
      <c r="R40" s="51">
        <f t="shared" ca="1" si="5"/>
        <v>0.24834437086092714</v>
      </c>
      <c r="S40" s="19">
        <f ca="1">IFERROR(__xludf.DUMMYFUNCTION("""COMPUTED_VALUE"""),2)</f>
        <v>2</v>
      </c>
      <c r="T40" s="20">
        <f ca="1">IFERROR(__xludf.DUMMYFUNCTION("""COMPUTED_VALUE"""),0)</f>
        <v>0</v>
      </c>
      <c r="U40" s="51">
        <f t="shared" ca="1" si="6"/>
        <v>0</v>
      </c>
      <c r="V40" s="19">
        <f ca="1">IFERROR(__xludf.DUMMYFUNCTION("""COMPUTED_VALUE"""),0)</f>
        <v>0</v>
      </c>
      <c r="W40" s="51">
        <f t="shared" ca="1" si="7"/>
        <v>0</v>
      </c>
      <c r="X40" s="19">
        <f ca="1">IFERROR(__xludf.DUMMYFUNCTION("""COMPUTED_VALUE"""),0)</f>
        <v>0</v>
      </c>
      <c r="Y40" s="51">
        <f t="shared" ca="1" si="8"/>
        <v>0</v>
      </c>
      <c r="Z40" s="2"/>
      <c r="AA40" s="2"/>
      <c r="AB40" s="2"/>
      <c r="AC40" s="2"/>
      <c r="AD40" s="2"/>
    </row>
    <row r="41" spans="1:30" ht="12.75" x14ac:dyDescent="0.2">
      <c r="A41" s="16">
        <f ca="1">IFERROR(__xludf.DUMMYFUNCTION("""COMPUTED_VALUE"""),10)</f>
        <v>10</v>
      </c>
      <c r="B41" s="14" t="str">
        <f ca="1">IFERROR(__xludf.DUMMYFUNCTION("""COMPUTED_VALUE"""),"Đặng Trần Côn")</f>
        <v>Đặng Trần Côn</v>
      </c>
      <c r="C41" s="14" t="str">
        <f ca="1">IFERROR(__xludf.DUMMYFUNCTION("""COMPUTED_VALUE"""),"TH")</f>
        <v>TH</v>
      </c>
      <c r="D41" s="14">
        <f ca="1">IFERROR(__xludf.DUMMYFUNCTION("""COMPUTED_VALUE"""),4)</f>
        <v>4</v>
      </c>
      <c r="E41" s="17">
        <f ca="1">IFERROR(__xludf.DUMMYFUNCTION("""COMPUTED_VALUE"""),44)</f>
        <v>44</v>
      </c>
      <c r="F41" s="19">
        <f ca="1">IFERROR(__xludf.DUMMYFUNCTION("""COMPUTED_VALUE"""),44)</f>
        <v>44</v>
      </c>
      <c r="G41" s="51">
        <f t="shared" ca="1" si="0"/>
        <v>1</v>
      </c>
      <c r="H41" s="19">
        <f ca="1">IFERROR(__xludf.DUMMYFUNCTION("""COMPUTED_VALUE"""),43)</f>
        <v>43</v>
      </c>
      <c r="I41" s="51">
        <f t="shared" ca="1" si="1"/>
        <v>0.97727272727272729</v>
      </c>
      <c r="J41" s="19">
        <f ca="1">IFERROR(__xludf.DUMMYFUNCTION("""COMPUTED_VALUE"""),43)</f>
        <v>43</v>
      </c>
      <c r="K41" s="51">
        <f t="shared" ca="1" si="2"/>
        <v>0.97727272727272729</v>
      </c>
      <c r="L41" s="19">
        <f ca="1">IFERROR(__xludf.DUMMYFUNCTION("""COMPUTED_VALUE"""),37)</f>
        <v>37</v>
      </c>
      <c r="M41" s="51">
        <f t="shared" ca="1" si="3"/>
        <v>0.84090909090909094</v>
      </c>
      <c r="N41" s="19">
        <f ca="1">IFERROR(__xludf.DUMMYFUNCTION("""COMPUTED_VALUE"""),754)</f>
        <v>754</v>
      </c>
      <c r="O41" s="17">
        <f ca="1">IFERROR(__xludf.DUMMYFUNCTION("""COMPUTED_VALUE"""),418)</f>
        <v>418</v>
      </c>
      <c r="P41" s="51">
        <f t="shared" ca="1" si="4"/>
        <v>0.55437665782493373</v>
      </c>
      <c r="Q41" s="19">
        <f ca="1">IFERROR(__xludf.DUMMYFUNCTION("""COMPUTED_VALUE"""),245)</f>
        <v>245</v>
      </c>
      <c r="R41" s="51">
        <f t="shared" ca="1" si="5"/>
        <v>0.32493368700265252</v>
      </c>
      <c r="S41" s="19">
        <f ca="1">IFERROR(__xludf.DUMMYFUNCTION("""COMPUTED_VALUE"""),0)</f>
        <v>0</v>
      </c>
      <c r="T41" s="17">
        <f ca="1">IFERROR(__xludf.DUMMYFUNCTION("""COMPUTED_VALUE"""),0)</f>
        <v>0</v>
      </c>
      <c r="U41" s="51" t="str">
        <f t="shared" ca="1" si="6"/>
        <v/>
      </c>
      <c r="V41" s="19">
        <f ca="1">IFERROR(__xludf.DUMMYFUNCTION("""COMPUTED_VALUE"""),0)</f>
        <v>0</v>
      </c>
      <c r="W41" s="51" t="str">
        <f t="shared" ca="1" si="7"/>
        <v/>
      </c>
      <c r="X41" s="19">
        <f ca="1">IFERROR(__xludf.DUMMYFUNCTION("""COMPUTED_VALUE"""),0)</f>
        <v>0</v>
      </c>
      <c r="Y41" s="51" t="str">
        <f t="shared" ca="1" si="8"/>
        <v/>
      </c>
      <c r="Z41" s="2"/>
      <c r="AA41" s="2"/>
      <c r="AB41" s="2"/>
      <c r="AC41" s="2"/>
      <c r="AD41" s="2"/>
    </row>
    <row r="42" spans="1:30" ht="12.75" x14ac:dyDescent="0.2">
      <c r="A42" s="16">
        <f ca="1">IFERROR(__xludf.DUMMYFUNCTION("""COMPUTED_VALUE"""),11)</f>
        <v>11</v>
      </c>
      <c r="B42" s="14" t="str">
        <f ca="1">IFERROR(__xludf.DUMMYFUNCTION("""COMPUTED_VALUE"""),"Xóm Chiếu ")</f>
        <v xml:space="preserve">Xóm Chiếu </v>
      </c>
      <c r="C42" s="14" t="str">
        <f ca="1">IFERROR(__xludf.DUMMYFUNCTION("""COMPUTED_VALUE"""),"TH")</f>
        <v>TH</v>
      </c>
      <c r="D42" s="14">
        <f ca="1">IFERROR(__xludf.DUMMYFUNCTION("""COMPUTED_VALUE"""),4)</f>
        <v>4</v>
      </c>
      <c r="E42" s="17">
        <f ca="1">IFERROR(__xludf.DUMMYFUNCTION("""COMPUTED_VALUE"""),47)</f>
        <v>47</v>
      </c>
      <c r="F42" s="19">
        <f ca="1">IFERROR(__xludf.DUMMYFUNCTION("""COMPUTED_VALUE"""),47)</f>
        <v>47</v>
      </c>
      <c r="G42" s="51">
        <f t="shared" ca="1" si="0"/>
        <v>1</v>
      </c>
      <c r="H42" s="19">
        <f ca="1">IFERROR(__xludf.DUMMYFUNCTION("""COMPUTED_VALUE"""),47)</f>
        <v>47</v>
      </c>
      <c r="I42" s="51">
        <f t="shared" ca="1" si="1"/>
        <v>1</v>
      </c>
      <c r="J42" s="19">
        <f ca="1">IFERROR(__xludf.DUMMYFUNCTION("""COMPUTED_VALUE"""),46)</f>
        <v>46</v>
      </c>
      <c r="K42" s="51">
        <f t="shared" ca="1" si="2"/>
        <v>0.97872340425531912</v>
      </c>
      <c r="L42" s="19">
        <f ca="1">IFERROR(__xludf.DUMMYFUNCTION("""COMPUTED_VALUE"""),35)</f>
        <v>35</v>
      </c>
      <c r="M42" s="51">
        <f t="shared" ca="1" si="3"/>
        <v>0.74468085106382975</v>
      </c>
      <c r="N42" s="19">
        <f ca="1">IFERROR(__xludf.DUMMYFUNCTION("""COMPUTED_VALUE"""),778)</f>
        <v>778</v>
      </c>
      <c r="O42" s="17">
        <f ca="1">IFERROR(__xludf.DUMMYFUNCTION("""COMPUTED_VALUE"""),442)</f>
        <v>442</v>
      </c>
      <c r="P42" s="51">
        <f t="shared" ca="1" si="4"/>
        <v>0.56812339331619532</v>
      </c>
      <c r="Q42" s="19">
        <f ca="1">IFERROR(__xludf.DUMMYFUNCTION("""COMPUTED_VALUE"""),253)</f>
        <v>253</v>
      </c>
      <c r="R42" s="51">
        <f t="shared" ca="1" si="5"/>
        <v>0.32519280205655526</v>
      </c>
      <c r="S42" s="19">
        <f ca="1">IFERROR(__xludf.DUMMYFUNCTION("""COMPUTED_VALUE"""),0)</f>
        <v>0</v>
      </c>
      <c r="T42" s="17">
        <f ca="1">IFERROR(__xludf.DUMMYFUNCTION("""COMPUTED_VALUE"""),0)</f>
        <v>0</v>
      </c>
      <c r="U42" s="51" t="str">
        <f t="shared" ca="1" si="6"/>
        <v/>
      </c>
      <c r="V42" s="19">
        <f ca="1">IFERROR(__xludf.DUMMYFUNCTION("""COMPUTED_VALUE"""),0)</f>
        <v>0</v>
      </c>
      <c r="W42" s="51" t="str">
        <f t="shared" ca="1" si="7"/>
        <v/>
      </c>
      <c r="X42" s="19">
        <f ca="1">IFERROR(__xludf.DUMMYFUNCTION("""COMPUTED_VALUE"""),0)</f>
        <v>0</v>
      </c>
      <c r="Y42" s="51" t="str">
        <f t="shared" ca="1" si="8"/>
        <v/>
      </c>
      <c r="Z42" s="2"/>
      <c r="AA42" s="2"/>
      <c r="AB42" s="2"/>
      <c r="AC42" s="2"/>
      <c r="AD42" s="2"/>
    </row>
    <row r="43" spans="1:30" ht="12.75" x14ac:dyDescent="0.2">
      <c r="A43" s="16">
        <f ca="1">IFERROR(__xludf.DUMMYFUNCTION("""COMPUTED_VALUE"""),12)</f>
        <v>12</v>
      </c>
      <c r="B43" s="14" t="str">
        <f ca="1">IFERROR(__xludf.DUMMYFUNCTION("""COMPUTED_VALUE"""),"Đống Đa")</f>
        <v>Đống Đa</v>
      </c>
      <c r="C43" s="14" t="str">
        <f ca="1">IFERROR(__xludf.DUMMYFUNCTION("""COMPUTED_VALUE"""),"TH")</f>
        <v>TH</v>
      </c>
      <c r="D43" s="14">
        <f ca="1">IFERROR(__xludf.DUMMYFUNCTION("""COMPUTED_VALUE"""),4)</f>
        <v>4</v>
      </c>
      <c r="E43" s="17">
        <f ca="1">IFERROR(__xludf.DUMMYFUNCTION("""COMPUTED_VALUE"""),25)</f>
        <v>25</v>
      </c>
      <c r="F43" s="19">
        <f ca="1">IFERROR(__xludf.DUMMYFUNCTION("""COMPUTED_VALUE"""),25)</f>
        <v>25</v>
      </c>
      <c r="G43" s="51">
        <f t="shared" ca="1" si="0"/>
        <v>1</v>
      </c>
      <c r="H43" s="19">
        <f ca="1">IFERROR(__xludf.DUMMYFUNCTION("""COMPUTED_VALUE"""),25)</f>
        <v>25</v>
      </c>
      <c r="I43" s="51">
        <f t="shared" ca="1" si="1"/>
        <v>1</v>
      </c>
      <c r="J43" s="19">
        <f ca="1">IFERROR(__xludf.DUMMYFUNCTION("""COMPUTED_VALUE"""),24)</f>
        <v>24</v>
      </c>
      <c r="K43" s="51">
        <f t="shared" ca="1" si="2"/>
        <v>0.96</v>
      </c>
      <c r="L43" s="19">
        <f ca="1">IFERROR(__xludf.DUMMYFUNCTION("""COMPUTED_VALUE"""),8)</f>
        <v>8</v>
      </c>
      <c r="M43" s="51">
        <f t="shared" ca="1" si="3"/>
        <v>0.32</v>
      </c>
      <c r="N43" s="19">
        <f ca="1">IFERROR(__xludf.DUMMYFUNCTION("""COMPUTED_VALUE"""),380)</f>
        <v>380</v>
      </c>
      <c r="O43" s="17">
        <f ca="1">IFERROR(__xludf.DUMMYFUNCTION("""COMPUTED_VALUE"""),272)</f>
        <v>272</v>
      </c>
      <c r="P43" s="51">
        <f t="shared" ca="1" si="4"/>
        <v>0.71578947368421053</v>
      </c>
      <c r="Q43" s="19">
        <f ca="1">IFERROR(__xludf.DUMMYFUNCTION("""COMPUTED_VALUE"""),131)</f>
        <v>131</v>
      </c>
      <c r="R43" s="51">
        <f t="shared" ca="1" si="5"/>
        <v>0.34473684210526317</v>
      </c>
      <c r="S43" s="19">
        <f ca="1">IFERROR(__xludf.DUMMYFUNCTION("""COMPUTED_VALUE"""),3)</f>
        <v>3</v>
      </c>
      <c r="T43" s="17">
        <f ca="1">IFERROR(__xludf.DUMMYFUNCTION("""COMPUTED_VALUE"""),2)</f>
        <v>2</v>
      </c>
      <c r="U43" s="51">
        <f t="shared" ca="1" si="6"/>
        <v>0.66666666666666663</v>
      </c>
      <c r="V43" s="19">
        <f ca="1">IFERROR(__xludf.DUMMYFUNCTION("""COMPUTED_VALUE"""),1)</f>
        <v>1</v>
      </c>
      <c r="W43" s="51">
        <f t="shared" ca="1" si="7"/>
        <v>0.33333333333333331</v>
      </c>
      <c r="X43" s="19">
        <f ca="1">IFERROR(__xludf.DUMMYFUNCTION("""COMPUTED_VALUE"""),0)</f>
        <v>0</v>
      </c>
      <c r="Y43" s="51">
        <f t="shared" ca="1" si="8"/>
        <v>0</v>
      </c>
      <c r="Z43" s="2"/>
      <c r="AA43" s="2"/>
      <c r="AB43" s="2"/>
      <c r="AC43" s="2"/>
      <c r="AD43" s="2"/>
    </row>
    <row r="44" spans="1:30" ht="12.75" x14ac:dyDescent="0.2">
      <c r="A44" s="16">
        <f ca="1">IFERROR(__xludf.DUMMYFUNCTION("""COMPUTED_VALUE"""),13)</f>
        <v>13</v>
      </c>
      <c r="B44" s="14" t="str">
        <f ca="1">IFERROR(__xludf.DUMMYFUNCTION("""COMPUTED_VALUE"""),"Lý Nhơn")</f>
        <v>Lý Nhơn</v>
      </c>
      <c r="C44" s="14" t="str">
        <f ca="1">IFERROR(__xludf.DUMMYFUNCTION("""COMPUTED_VALUE"""),"TH")</f>
        <v>TH</v>
      </c>
      <c r="D44" s="14">
        <f ca="1">IFERROR(__xludf.DUMMYFUNCTION("""COMPUTED_VALUE"""),4)</f>
        <v>4</v>
      </c>
      <c r="E44" s="17">
        <f ca="1">IFERROR(__xludf.DUMMYFUNCTION("""COMPUTED_VALUE"""),33)</f>
        <v>33</v>
      </c>
      <c r="F44" s="19">
        <f ca="1">IFERROR(__xludf.DUMMYFUNCTION("""COMPUTED_VALUE"""),33)</f>
        <v>33</v>
      </c>
      <c r="G44" s="51">
        <f t="shared" ca="1" si="0"/>
        <v>1</v>
      </c>
      <c r="H44" s="19">
        <f ca="1">IFERROR(__xludf.DUMMYFUNCTION("""COMPUTED_VALUE"""),33)</f>
        <v>33</v>
      </c>
      <c r="I44" s="51">
        <f t="shared" ca="1" si="1"/>
        <v>1</v>
      </c>
      <c r="J44" s="19">
        <f ca="1">IFERROR(__xludf.DUMMYFUNCTION("""COMPUTED_VALUE"""),29)</f>
        <v>29</v>
      </c>
      <c r="K44" s="51">
        <f t="shared" ca="1" si="2"/>
        <v>0.87878787878787878</v>
      </c>
      <c r="L44" s="19">
        <f ca="1">IFERROR(__xludf.DUMMYFUNCTION("""COMPUTED_VALUE"""),12)</f>
        <v>12</v>
      </c>
      <c r="M44" s="51">
        <f t="shared" ca="1" si="3"/>
        <v>0.36363636363636365</v>
      </c>
      <c r="N44" s="19">
        <f ca="1">IFERROR(__xludf.DUMMYFUNCTION("""COMPUTED_VALUE"""),667)</f>
        <v>667</v>
      </c>
      <c r="O44" s="17">
        <f ca="1">IFERROR(__xludf.DUMMYFUNCTION("""COMPUTED_VALUE"""),364)</f>
        <v>364</v>
      </c>
      <c r="P44" s="51">
        <f t="shared" ca="1" si="4"/>
        <v>0.54572713643178405</v>
      </c>
      <c r="Q44" s="19">
        <f ca="1">IFERROR(__xludf.DUMMYFUNCTION("""COMPUTED_VALUE"""),167)</f>
        <v>167</v>
      </c>
      <c r="R44" s="51">
        <f t="shared" ca="1" si="5"/>
        <v>0.25037481259370314</v>
      </c>
      <c r="S44" s="19">
        <f ca="1">IFERROR(__xludf.DUMMYFUNCTION("""COMPUTED_VALUE"""),1)</f>
        <v>1</v>
      </c>
      <c r="T44" s="17">
        <f ca="1">IFERROR(__xludf.DUMMYFUNCTION("""COMPUTED_VALUE"""),1)</f>
        <v>1</v>
      </c>
      <c r="U44" s="51">
        <f t="shared" ca="1" si="6"/>
        <v>1</v>
      </c>
      <c r="V44" s="19">
        <f ca="1">IFERROR(__xludf.DUMMYFUNCTION("""COMPUTED_VALUE"""),1)</f>
        <v>1</v>
      </c>
      <c r="W44" s="51">
        <f t="shared" ca="1" si="7"/>
        <v>1</v>
      </c>
      <c r="X44" s="19">
        <f ca="1">IFERROR(__xludf.DUMMYFUNCTION("""COMPUTED_VALUE"""),0)</f>
        <v>0</v>
      </c>
      <c r="Y44" s="51">
        <f t="shared" ca="1" si="8"/>
        <v>0</v>
      </c>
      <c r="Z44" s="2"/>
      <c r="AA44" s="2"/>
      <c r="AB44" s="2"/>
      <c r="AC44" s="2"/>
      <c r="AD44" s="2"/>
    </row>
    <row r="45" spans="1:30" ht="12.75" x14ac:dyDescent="0.2">
      <c r="A45" s="16">
        <f ca="1">IFERROR(__xludf.DUMMYFUNCTION("""COMPUTED_VALUE"""),14)</f>
        <v>14</v>
      </c>
      <c r="B45" s="14" t="str">
        <f ca="1">IFERROR(__xludf.DUMMYFUNCTION("""COMPUTED_VALUE"""),"Vĩnh Hội")</f>
        <v>Vĩnh Hội</v>
      </c>
      <c r="C45" s="14" t="str">
        <f ca="1">IFERROR(__xludf.DUMMYFUNCTION("""COMPUTED_VALUE"""),"TH")</f>
        <v>TH</v>
      </c>
      <c r="D45" s="14">
        <f ca="1">IFERROR(__xludf.DUMMYFUNCTION("""COMPUTED_VALUE"""),4)</f>
        <v>4</v>
      </c>
      <c r="E45" s="17">
        <f ca="1">IFERROR(__xludf.DUMMYFUNCTION("""COMPUTED_VALUE"""),40)</f>
        <v>40</v>
      </c>
      <c r="F45" s="19">
        <f ca="1">IFERROR(__xludf.DUMMYFUNCTION("""COMPUTED_VALUE"""),40)</f>
        <v>40</v>
      </c>
      <c r="G45" s="51">
        <f t="shared" ca="1" si="0"/>
        <v>1</v>
      </c>
      <c r="H45" s="19">
        <f ca="1">IFERROR(__xludf.DUMMYFUNCTION("""COMPUTED_VALUE"""),40)</f>
        <v>40</v>
      </c>
      <c r="I45" s="51">
        <f t="shared" ca="1" si="1"/>
        <v>1</v>
      </c>
      <c r="J45" s="19">
        <f ca="1">IFERROR(__xludf.DUMMYFUNCTION("""COMPUTED_VALUE"""),38)</f>
        <v>38</v>
      </c>
      <c r="K45" s="51">
        <f t="shared" ca="1" si="2"/>
        <v>0.95</v>
      </c>
      <c r="L45" s="19">
        <f ca="1">IFERROR(__xludf.DUMMYFUNCTION("""COMPUTED_VALUE"""),9)</f>
        <v>9</v>
      </c>
      <c r="M45" s="51">
        <f t="shared" ca="1" si="3"/>
        <v>0.22500000000000001</v>
      </c>
      <c r="N45" s="19">
        <f ca="1">IFERROR(__xludf.DUMMYFUNCTION("""COMPUTED_VALUE"""),729)</f>
        <v>729</v>
      </c>
      <c r="O45" s="17">
        <f ca="1">IFERROR(__xludf.DUMMYFUNCTION("""COMPUTED_VALUE"""),428)</f>
        <v>428</v>
      </c>
      <c r="P45" s="51">
        <f t="shared" ca="1" si="4"/>
        <v>0.58710562414266121</v>
      </c>
      <c r="Q45" s="19">
        <f ca="1">IFERROR(__xludf.DUMMYFUNCTION("""COMPUTED_VALUE"""),306)</f>
        <v>306</v>
      </c>
      <c r="R45" s="51">
        <f t="shared" ca="1" si="5"/>
        <v>0.41975308641975306</v>
      </c>
      <c r="S45" s="19">
        <f ca="1">IFERROR(__xludf.DUMMYFUNCTION("""COMPUTED_VALUE"""),0)</f>
        <v>0</v>
      </c>
      <c r="T45" s="20">
        <f ca="1">IFERROR(__xludf.DUMMYFUNCTION("""COMPUTED_VALUE"""),0)</f>
        <v>0</v>
      </c>
      <c r="U45" s="51" t="str">
        <f t="shared" ca="1" si="6"/>
        <v/>
      </c>
      <c r="V45" s="19">
        <f ca="1">IFERROR(__xludf.DUMMYFUNCTION("""COMPUTED_VALUE"""),0)</f>
        <v>0</v>
      </c>
      <c r="W45" s="51" t="str">
        <f t="shared" ca="1" si="7"/>
        <v/>
      </c>
      <c r="X45" s="19">
        <f ca="1">IFERROR(__xludf.DUMMYFUNCTION("""COMPUTED_VALUE"""),0)</f>
        <v>0</v>
      </c>
      <c r="Y45" s="51" t="str">
        <f t="shared" ca="1" si="8"/>
        <v/>
      </c>
      <c r="Z45" s="2"/>
      <c r="AA45" s="2"/>
      <c r="AB45" s="2"/>
      <c r="AC45" s="2"/>
      <c r="AD45" s="2"/>
    </row>
    <row r="46" spans="1:30" ht="12.75" x14ac:dyDescent="0.2">
      <c r="A46" s="16">
        <f ca="1">IFERROR(__xludf.DUMMYFUNCTION("""COMPUTED_VALUE"""),15)</f>
        <v>15</v>
      </c>
      <c r="B46" s="14" t="str">
        <f ca="1">IFERROR(__xludf.DUMMYFUNCTION("""COMPUTED_VALUE"""),"Anh Việt Mỹ")</f>
        <v>Anh Việt Mỹ</v>
      </c>
      <c r="C46" s="14" t="str">
        <f ca="1">IFERROR(__xludf.DUMMYFUNCTION("""COMPUTED_VALUE"""),"TH")</f>
        <v>TH</v>
      </c>
      <c r="D46" s="14">
        <f ca="1">IFERROR(__xludf.DUMMYFUNCTION("""COMPUTED_VALUE"""),4)</f>
        <v>4</v>
      </c>
      <c r="E46" s="17">
        <f ca="1">IFERROR(__xludf.DUMMYFUNCTION("""COMPUTED_VALUE"""),33)</f>
        <v>33</v>
      </c>
      <c r="F46" s="19">
        <f ca="1">IFERROR(__xludf.DUMMYFUNCTION("""COMPUTED_VALUE"""),33)</f>
        <v>33</v>
      </c>
      <c r="G46" s="51">
        <f t="shared" ca="1" si="0"/>
        <v>1</v>
      </c>
      <c r="H46" s="19">
        <f ca="1">IFERROR(__xludf.DUMMYFUNCTION("""COMPUTED_VALUE"""),33)</f>
        <v>33</v>
      </c>
      <c r="I46" s="51">
        <f t="shared" ca="1" si="1"/>
        <v>1</v>
      </c>
      <c r="J46" s="19">
        <f ca="1">IFERROR(__xludf.DUMMYFUNCTION("""COMPUTED_VALUE"""),33)</f>
        <v>33</v>
      </c>
      <c r="K46" s="51">
        <f t="shared" ca="1" si="2"/>
        <v>1</v>
      </c>
      <c r="L46" s="19">
        <f ca="1">IFERROR(__xludf.DUMMYFUNCTION("""COMPUTED_VALUE"""),6)</f>
        <v>6</v>
      </c>
      <c r="M46" s="51">
        <f t="shared" ca="1" si="3"/>
        <v>0.18181818181818182</v>
      </c>
      <c r="N46" s="19">
        <f ca="1">IFERROR(__xludf.DUMMYFUNCTION("""COMPUTED_VALUE"""),211)</f>
        <v>211</v>
      </c>
      <c r="O46" s="17">
        <f ca="1">IFERROR(__xludf.DUMMYFUNCTION("""COMPUTED_VALUE"""),51)</f>
        <v>51</v>
      </c>
      <c r="P46" s="51">
        <f t="shared" ca="1" si="4"/>
        <v>0.24170616113744076</v>
      </c>
      <c r="Q46" s="19">
        <f ca="1">IFERROR(__xludf.DUMMYFUNCTION("""COMPUTED_VALUE"""),18)</f>
        <v>18</v>
      </c>
      <c r="R46" s="51">
        <f t="shared" ca="1" si="5"/>
        <v>8.5308056872037921E-2</v>
      </c>
      <c r="S46" s="19">
        <f ca="1">IFERROR(__xludf.DUMMYFUNCTION("""COMPUTED_VALUE"""),0)</f>
        <v>0</v>
      </c>
      <c r="T46" s="20">
        <f ca="1">IFERROR(__xludf.DUMMYFUNCTION("""COMPUTED_VALUE"""),0)</f>
        <v>0</v>
      </c>
      <c r="U46" s="51" t="str">
        <f t="shared" ca="1" si="6"/>
        <v/>
      </c>
      <c r="V46" s="19">
        <f ca="1">IFERROR(__xludf.DUMMYFUNCTION("""COMPUTED_VALUE"""),0)</f>
        <v>0</v>
      </c>
      <c r="W46" s="51" t="str">
        <f t="shared" ca="1" si="7"/>
        <v/>
      </c>
      <c r="X46" s="19">
        <f ca="1">IFERROR(__xludf.DUMMYFUNCTION("""COMPUTED_VALUE"""),0)</f>
        <v>0</v>
      </c>
      <c r="Y46" s="51" t="str">
        <f t="shared" ca="1" si="8"/>
        <v/>
      </c>
      <c r="Z46" s="2"/>
      <c r="AA46" s="2"/>
      <c r="AB46" s="2"/>
      <c r="AC46" s="2"/>
      <c r="AD46" s="2"/>
    </row>
    <row r="47" spans="1:30" ht="12.75" x14ac:dyDescent="0.2">
      <c r="A47" s="86" t="str">
        <f ca="1">IFERROR(__xludf.DUMMYFUNCTION("""COMPUTED_VALUE"""),"THCS")</f>
        <v>THCS</v>
      </c>
      <c r="B47" s="87"/>
      <c r="C47" s="88"/>
      <c r="D47" s="14"/>
      <c r="E47" s="17">
        <f ca="1">IFERROR(__xludf.DUMMYFUNCTION("""COMPUTED_VALUE"""),394)</f>
        <v>394</v>
      </c>
      <c r="F47" s="17">
        <f ca="1">IFERROR(__xludf.DUMMYFUNCTION("""COMPUTED_VALUE"""),393)</f>
        <v>393</v>
      </c>
      <c r="G47" s="51">
        <f t="shared" ca="1" si="0"/>
        <v>0.9974619289340102</v>
      </c>
      <c r="H47" s="17">
        <f ca="1">IFERROR(__xludf.DUMMYFUNCTION("""COMPUTED_VALUE"""),393)</f>
        <v>393</v>
      </c>
      <c r="I47" s="51">
        <f t="shared" ca="1" si="1"/>
        <v>0.9974619289340102</v>
      </c>
      <c r="J47" s="17">
        <f ca="1">IFERROR(__xludf.DUMMYFUNCTION("""COMPUTED_VALUE"""),351)</f>
        <v>351</v>
      </c>
      <c r="K47" s="51">
        <f t="shared" ca="1" si="2"/>
        <v>0.8908629441624365</v>
      </c>
      <c r="L47" s="17">
        <f ca="1">IFERROR(__xludf.DUMMYFUNCTION("""COMPUTED_VALUE"""),85)</f>
        <v>85</v>
      </c>
      <c r="M47" s="51">
        <f t="shared" ca="1" si="3"/>
        <v>0.21573604060913706</v>
      </c>
      <c r="N47" s="17">
        <f ca="1">IFERROR(__xludf.DUMMYFUNCTION("""COMPUTED_VALUE"""),1485)</f>
        <v>1485</v>
      </c>
      <c r="O47" s="17">
        <f ca="1">IFERROR(__xludf.DUMMYFUNCTION("""COMPUTED_VALUE"""),953)</f>
        <v>953</v>
      </c>
      <c r="P47" s="51">
        <f t="shared" ca="1" si="4"/>
        <v>0.64175084175084174</v>
      </c>
      <c r="Q47" s="17">
        <f ca="1">IFERROR(__xludf.DUMMYFUNCTION("""COMPUTED_VALUE"""),659)</f>
        <v>659</v>
      </c>
      <c r="R47" s="51">
        <f t="shared" ca="1" si="5"/>
        <v>0.44377104377104376</v>
      </c>
      <c r="S47" s="17">
        <f ca="1">IFERROR(__xludf.DUMMYFUNCTION("""COMPUTED_VALUE"""),5221)</f>
        <v>5221</v>
      </c>
      <c r="T47" s="20">
        <f ca="1">IFERROR(__xludf.DUMMYFUNCTION("""COMPUTED_VALUE"""),4708)</f>
        <v>4708</v>
      </c>
      <c r="U47" s="51">
        <f t="shared" ca="1" si="6"/>
        <v>0.90174296111855967</v>
      </c>
      <c r="V47" s="17">
        <f ca="1">IFERROR(__xludf.DUMMYFUNCTION("""COMPUTED_VALUE"""),4324)</f>
        <v>4324</v>
      </c>
      <c r="W47" s="51">
        <f t="shared" ca="1" si="7"/>
        <v>0.82819383259911894</v>
      </c>
      <c r="X47" s="17">
        <f ca="1">IFERROR(__xludf.DUMMYFUNCTION("""COMPUTED_VALUE"""),979)</f>
        <v>979</v>
      </c>
      <c r="Y47" s="51">
        <f t="shared" ca="1" si="8"/>
        <v>0.1875119708868033</v>
      </c>
      <c r="Z47" s="2"/>
      <c r="AA47" s="2"/>
      <c r="AB47" s="2"/>
      <c r="AC47" s="2"/>
      <c r="AD47" s="2"/>
    </row>
    <row r="48" spans="1:30" ht="12.75" x14ac:dyDescent="0.2">
      <c r="A48" s="16">
        <f ca="1">IFERROR(__xludf.DUMMYFUNCTION("""COMPUTED_VALUE"""),1)</f>
        <v>1</v>
      </c>
      <c r="B48" s="14" t="str">
        <f ca="1">IFERROR(__xludf.DUMMYFUNCTION("""COMPUTED_VALUE"""),"Quang Trung")</f>
        <v>Quang Trung</v>
      </c>
      <c r="C48" s="14" t="str">
        <f ca="1">IFERROR(__xludf.DUMMYFUNCTION("""COMPUTED_VALUE"""),"THCS")</f>
        <v>THCS</v>
      </c>
      <c r="D48" s="14">
        <f ca="1">IFERROR(__xludf.DUMMYFUNCTION("""COMPUTED_VALUE"""),4)</f>
        <v>4</v>
      </c>
      <c r="E48" s="17">
        <f ca="1">IFERROR(__xludf.DUMMYFUNCTION("""COMPUTED_VALUE"""),64)</f>
        <v>64</v>
      </c>
      <c r="F48" s="19">
        <f ca="1">IFERROR(__xludf.DUMMYFUNCTION("""COMPUTED_VALUE"""),63)</f>
        <v>63</v>
      </c>
      <c r="G48" s="51">
        <f t="shared" ca="1" si="0"/>
        <v>0.984375</v>
      </c>
      <c r="H48" s="19">
        <f ca="1">IFERROR(__xludf.DUMMYFUNCTION("""COMPUTED_VALUE"""),63)</f>
        <v>63</v>
      </c>
      <c r="I48" s="51">
        <f t="shared" ca="1" si="1"/>
        <v>0.984375</v>
      </c>
      <c r="J48" s="19">
        <f ca="1">IFERROR(__xludf.DUMMYFUNCTION("""COMPUTED_VALUE"""),57)</f>
        <v>57</v>
      </c>
      <c r="K48" s="51">
        <f t="shared" ca="1" si="2"/>
        <v>0.890625</v>
      </c>
      <c r="L48" s="19">
        <f ca="1">IFERROR(__xludf.DUMMYFUNCTION("""COMPUTED_VALUE"""),12)</f>
        <v>12</v>
      </c>
      <c r="M48" s="51">
        <f t="shared" ca="1" si="3"/>
        <v>0.1875</v>
      </c>
      <c r="N48" s="19">
        <f ca="1">IFERROR(__xludf.DUMMYFUNCTION("""COMPUTED_VALUE"""),344)</f>
        <v>344</v>
      </c>
      <c r="O48" s="17">
        <f ca="1">IFERROR(__xludf.DUMMYFUNCTION("""COMPUTED_VALUE"""),233)</f>
        <v>233</v>
      </c>
      <c r="P48" s="51">
        <f t="shared" ca="1" si="4"/>
        <v>0.67732558139534882</v>
      </c>
      <c r="Q48" s="19">
        <f ca="1">IFERROR(__xludf.DUMMYFUNCTION("""COMPUTED_VALUE"""),154)</f>
        <v>154</v>
      </c>
      <c r="R48" s="51">
        <f t="shared" ca="1" si="5"/>
        <v>0.44767441860465118</v>
      </c>
      <c r="S48" s="19">
        <f ca="1">IFERROR(__xludf.DUMMYFUNCTION("""COMPUTED_VALUE"""),649)</f>
        <v>649</v>
      </c>
      <c r="T48" s="20">
        <f ca="1">IFERROR(__xludf.DUMMYFUNCTION("""COMPUTED_VALUE"""),623)</f>
        <v>623</v>
      </c>
      <c r="U48" s="51">
        <f t="shared" ca="1" si="6"/>
        <v>0.95993836671802768</v>
      </c>
      <c r="V48" s="19">
        <f ca="1">IFERROR(__xludf.DUMMYFUNCTION("""COMPUTED_VALUE"""),582)</f>
        <v>582</v>
      </c>
      <c r="W48" s="51">
        <f t="shared" ca="1" si="7"/>
        <v>0.8967642526964561</v>
      </c>
      <c r="X48" s="19">
        <f ca="1">IFERROR(__xludf.DUMMYFUNCTION("""COMPUTED_VALUE"""),188)</f>
        <v>188</v>
      </c>
      <c r="Y48" s="51">
        <f t="shared" ca="1" si="8"/>
        <v>0.2896764252696456</v>
      </c>
      <c r="Z48" s="2"/>
      <c r="AA48" s="2"/>
      <c r="AB48" s="2"/>
      <c r="AC48" s="2"/>
      <c r="AD48" s="2"/>
    </row>
    <row r="49" spans="1:30" ht="12.75" x14ac:dyDescent="0.2">
      <c r="A49" s="16">
        <f ca="1">IFERROR(__xludf.DUMMYFUNCTION("""COMPUTED_VALUE"""),2)</f>
        <v>2</v>
      </c>
      <c r="B49" s="14" t="str">
        <f ca="1">IFERROR(__xludf.DUMMYFUNCTION("""COMPUTED_VALUE"""),"Tăng Bạt Hổ")</f>
        <v>Tăng Bạt Hổ</v>
      </c>
      <c r="C49" s="14" t="str">
        <f ca="1">IFERROR(__xludf.DUMMYFUNCTION("""COMPUTED_VALUE"""),"THCS")</f>
        <v>THCS</v>
      </c>
      <c r="D49" s="14">
        <f ca="1">IFERROR(__xludf.DUMMYFUNCTION("""COMPUTED_VALUE"""),4)</f>
        <v>4</v>
      </c>
      <c r="E49" s="17">
        <f ca="1">IFERROR(__xludf.DUMMYFUNCTION("""COMPUTED_VALUE"""),67)</f>
        <v>67</v>
      </c>
      <c r="F49" s="19">
        <f ca="1">IFERROR(__xludf.DUMMYFUNCTION("""COMPUTED_VALUE"""),67)</f>
        <v>67</v>
      </c>
      <c r="G49" s="51">
        <f t="shared" ca="1" si="0"/>
        <v>1</v>
      </c>
      <c r="H49" s="19">
        <f ca="1">IFERROR(__xludf.DUMMYFUNCTION("""COMPUTED_VALUE"""),67)</f>
        <v>67</v>
      </c>
      <c r="I49" s="51">
        <f t="shared" ca="1" si="1"/>
        <v>1</v>
      </c>
      <c r="J49" s="19">
        <f ca="1">IFERROR(__xludf.DUMMYFUNCTION("""COMPUTED_VALUE"""),58)</f>
        <v>58</v>
      </c>
      <c r="K49" s="51">
        <f t="shared" ca="1" si="2"/>
        <v>0.86567164179104472</v>
      </c>
      <c r="L49" s="19">
        <f ca="1">IFERROR(__xludf.DUMMYFUNCTION("""COMPUTED_VALUE"""),24)</f>
        <v>24</v>
      </c>
      <c r="M49" s="51">
        <f t="shared" ca="1" si="3"/>
        <v>0.35820895522388058</v>
      </c>
      <c r="N49" s="19">
        <f ca="1">IFERROR(__xludf.DUMMYFUNCTION("""COMPUTED_VALUE"""),345)</f>
        <v>345</v>
      </c>
      <c r="O49" s="17">
        <f ca="1">IFERROR(__xludf.DUMMYFUNCTION("""COMPUTED_VALUE"""),253)</f>
        <v>253</v>
      </c>
      <c r="P49" s="51">
        <f t="shared" ca="1" si="4"/>
        <v>0.73333333333333328</v>
      </c>
      <c r="Q49" s="19">
        <f ca="1">IFERROR(__xludf.DUMMYFUNCTION("""COMPUTED_VALUE"""),164)</f>
        <v>164</v>
      </c>
      <c r="R49" s="51">
        <f t="shared" ca="1" si="5"/>
        <v>0.47536231884057972</v>
      </c>
      <c r="S49" s="19">
        <f ca="1">IFERROR(__xludf.DUMMYFUNCTION("""COMPUTED_VALUE"""),1116)</f>
        <v>1116</v>
      </c>
      <c r="T49" s="20">
        <f ca="1">IFERROR(__xludf.DUMMYFUNCTION("""COMPUTED_VALUE"""),1073)</f>
        <v>1073</v>
      </c>
      <c r="U49" s="51">
        <f t="shared" ca="1" si="6"/>
        <v>0.96146953405017921</v>
      </c>
      <c r="V49" s="19">
        <f ca="1">IFERROR(__xludf.DUMMYFUNCTION("""COMPUTED_VALUE"""),1023)</f>
        <v>1023</v>
      </c>
      <c r="W49" s="51">
        <f t="shared" ca="1" si="7"/>
        <v>0.91666666666666663</v>
      </c>
      <c r="X49" s="19">
        <f ca="1">IFERROR(__xludf.DUMMYFUNCTION("""COMPUTED_VALUE"""),104)</f>
        <v>104</v>
      </c>
      <c r="Y49" s="51">
        <f t="shared" ca="1" si="8"/>
        <v>9.3189964157706098E-2</v>
      </c>
      <c r="Z49" s="2"/>
      <c r="AA49" s="2"/>
      <c r="AB49" s="2"/>
      <c r="AC49" s="2"/>
      <c r="AD49" s="2"/>
    </row>
    <row r="50" spans="1:30" ht="12.75" x14ac:dyDescent="0.2">
      <c r="A50" s="16">
        <f ca="1">IFERROR(__xludf.DUMMYFUNCTION("""COMPUTED_VALUE"""),3)</f>
        <v>3</v>
      </c>
      <c r="B50" s="14" t="str">
        <f ca="1">IFERROR(__xludf.DUMMYFUNCTION("""COMPUTED_VALUE"""),"Nguyễn Huệ")</f>
        <v>Nguyễn Huệ</v>
      </c>
      <c r="C50" s="14" t="str">
        <f ca="1">IFERROR(__xludf.DUMMYFUNCTION("""COMPUTED_VALUE"""),"THCS")</f>
        <v>THCS</v>
      </c>
      <c r="D50" s="14">
        <f ca="1">IFERROR(__xludf.DUMMYFUNCTION("""COMPUTED_VALUE"""),4)</f>
        <v>4</v>
      </c>
      <c r="E50" s="17">
        <f ca="1">IFERROR(__xludf.DUMMYFUNCTION("""COMPUTED_VALUE"""),65)</f>
        <v>65</v>
      </c>
      <c r="F50" s="19">
        <f ca="1">IFERROR(__xludf.DUMMYFUNCTION("""COMPUTED_VALUE"""),65)</f>
        <v>65</v>
      </c>
      <c r="G50" s="51">
        <f t="shared" ca="1" si="0"/>
        <v>1</v>
      </c>
      <c r="H50" s="19">
        <f ca="1">IFERROR(__xludf.DUMMYFUNCTION("""COMPUTED_VALUE"""),65)</f>
        <v>65</v>
      </c>
      <c r="I50" s="51">
        <f t="shared" ca="1" si="1"/>
        <v>1</v>
      </c>
      <c r="J50" s="19">
        <f ca="1">IFERROR(__xludf.DUMMYFUNCTION("""COMPUTED_VALUE"""),57)</f>
        <v>57</v>
      </c>
      <c r="K50" s="51">
        <f t="shared" ca="1" si="2"/>
        <v>0.87692307692307692</v>
      </c>
      <c r="L50" s="19">
        <f ca="1">IFERROR(__xludf.DUMMYFUNCTION("""COMPUTED_VALUE"""),22)</f>
        <v>22</v>
      </c>
      <c r="M50" s="51">
        <f t="shared" ca="1" si="3"/>
        <v>0.33846153846153848</v>
      </c>
      <c r="N50" s="19">
        <f ca="1">IFERROR(__xludf.DUMMYFUNCTION("""COMPUTED_VALUE"""),251)</f>
        <v>251</v>
      </c>
      <c r="O50" s="17">
        <f ca="1">IFERROR(__xludf.DUMMYFUNCTION("""COMPUTED_VALUE"""),203)</f>
        <v>203</v>
      </c>
      <c r="P50" s="51">
        <f t="shared" ca="1" si="4"/>
        <v>0.80876494023904377</v>
      </c>
      <c r="Q50" s="19">
        <f ca="1">IFERROR(__xludf.DUMMYFUNCTION("""COMPUTED_VALUE"""),154)</f>
        <v>154</v>
      </c>
      <c r="R50" s="51">
        <f t="shared" ca="1" si="5"/>
        <v>0.61354581673306774</v>
      </c>
      <c r="S50" s="19">
        <f ca="1">IFERROR(__xludf.DUMMYFUNCTION("""COMPUTED_VALUE"""),677)</f>
        <v>677</v>
      </c>
      <c r="T50" s="17">
        <f ca="1">IFERROR(__xludf.DUMMYFUNCTION("""COMPUTED_VALUE"""),631)</f>
        <v>631</v>
      </c>
      <c r="U50" s="51">
        <f t="shared" ca="1" si="6"/>
        <v>0.93205317577548008</v>
      </c>
      <c r="V50" s="19">
        <f ca="1">IFERROR(__xludf.DUMMYFUNCTION("""COMPUTED_VALUE"""),584)</f>
        <v>584</v>
      </c>
      <c r="W50" s="51">
        <f t="shared" ca="1" si="7"/>
        <v>0.86262924667651408</v>
      </c>
      <c r="X50" s="19">
        <f ca="1">IFERROR(__xludf.DUMMYFUNCTION("""COMPUTED_VALUE"""),273)</f>
        <v>273</v>
      </c>
      <c r="Y50" s="51">
        <f t="shared" ca="1" si="8"/>
        <v>0.40324963072378139</v>
      </c>
      <c r="Z50" s="2"/>
      <c r="AA50" s="2"/>
      <c r="AB50" s="2"/>
      <c r="AC50" s="2"/>
      <c r="AD50" s="2"/>
    </row>
    <row r="51" spans="1:30" ht="12.75" x14ac:dyDescent="0.2">
      <c r="A51" s="16">
        <f ca="1">IFERROR(__xludf.DUMMYFUNCTION("""COMPUTED_VALUE"""),4)</f>
        <v>4</v>
      </c>
      <c r="B51" s="14" t="str">
        <f ca="1">IFERROR(__xludf.DUMMYFUNCTION("""COMPUTED_VALUE"""),"Vân Đồn")</f>
        <v>Vân Đồn</v>
      </c>
      <c r="C51" s="14" t="str">
        <f ca="1">IFERROR(__xludf.DUMMYFUNCTION("""COMPUTED_VALUE"""),"THCS")</f>
        <v>THCS</v>
      </c>
      <c r="D51" s="14">
        <f ca="1">IFERROR(__xludf.DUMMYFUNCTION("""COMPUTED_VALUE"""),4)</f>
        <v>4</v>
      </c>
      <c r="E51" s="17">
        <f ca="1">IFERROR(__xludf.DUMMYFUNCTION("""COMPUTED_VALUE"""),67)</f>
        <v>67</v>
      </c>
      <c r="F51" s="19">
        <f ca="1">IFERROR(__xludf.DUMMYFUNCTION("""COMPUTED_VALUE"""),67)</f>
        <v>67</v>
      </c>
      <c r="G51" s="51">
        <f t="shared" ca="1" si="0"/>
        <v>1</v>
      </c>
      <c r="H51" s="19">
        <f ca="1">IFERROR(__xludf.DUMMYFUNCTION("""COMPUTED_VALUE"""),67)</f>
        <v>67</v>
      </c>
      <c r="I51" s="51">
        <f t="shared" ca="1" si="1"/>
        <v>1</v>
      </c>
      <c r="J51" s="19">
        <f ca="1">IFERROR(__xludf.DUMMYFUNCTION("""COMPUTED_VALUE"""),60)</f>
        <v>60</v>
      </c>
      <c r="K51" s="51">
        <f t="shared" ca="1" si="2"/>
        <v>0.89552238805970152</v>
      </c>
      <c r="L51" s="19">
        <f ca="1">IFERROR(__xludf.DUMMYFUNCTION("""COMPUTED_VALUE"""),10)</f>
        <v>10</v>
      </c>
      <c r="M51" s="51">
        <f t="shared" ca="1" si="3"/>
        <v>0.14925373134328357</v>
      </c>
      <c r="N51" s="19">
        <f ca="1">IFERROR(__xludf.DUMMYFUNCTION("""COMPUTED_VALUE"""),217)</f>
        <v>217</v>
      </c>
      <c r="O51" s="17">
        <f ca="1">IFERROR(__xludf.DUMMYFUNCTION("""COMPUTED_VALUE"""),3)</f>
        <v>3</v>
      </c>
      <c r="P51" s="51">
        <f t="shared" ca="1" si="4"/>
        <v>1.3824884792626729E-2</v>
      </c>
      <c r="Q51" s="19">
        <f ca="1">IFERROR(__xludf.DUMMYFUNCTION("""COMPUTED_VALUE"""),3)</f>
        <v>3</v>
      </c>
      <c r="R51" s="51">
        <f t="shared" ca="1" si="5"/>
        <v>1.3824884792626729E-2</v>
      </c>
      <c r="S51" s="19">
        <f ca="1">IFERROR(__xludf.DUMMYFUNCTION("""COMPUTED_VALUE"""),981)</f>
        <v>981</v>
      </c>
      <c r="T51" s="20">
        <f ca="1">IFERROR(__xludf.DUMMYFUNCTION("""COMPUTED_VALUE"""),756)</f>
        <v>756</v>
      </c>
      <c r="U51" s="51">
        <f t="shared" ca="1" si="6"/>
        <v>0.77064220183486243</v>
      </c>
      <c r="V51" s="19">
        <f ca="1">IFERROR(__xludf.DUMMYFUNCTION("""COMPUTED_VALUE"""),590)</f>
        <v>590</v>
      </c>
      <c r="W51" s="51">
        <f t="shared" ca="1" si="7"/>
        <v>0.60142711518858305</v>
      </c>
      <c r="X51" s="19">
        <f ca="1">IFERROR(__xludf.DUMMYFUNCTION("""COMPUTED_VALUE"""),88)</f>
        <v>88</v>
      </c>
      <c r="Y51" s="51">
        <f t="shared" ca="1" si="8"/>
        <v>8.9704383282364936E-2</v>
      </c>
      <c r="Z51" s="2"/>
      <c r="AA51" s="2"/>
      <c r="AB51" s="2"/>
      <c r="AC51" s="2"/>
      <c r="AD51" s="2"/>
    </row>
    <row r="52" spans="1:30" ht="12.75" x14ac:dyDescent="0.2">
      <c r="A52" s="16">
        <f ca="1">IFERROR(__xludf.DUMMYFUNCTION("""COMPUTED_VALUE"""),5)</f>
        <v>5</v>
      </c>
      <c r="B52" s="14" t="str">
        <f ca="1">IFERROR(__xludf.DUMMYFUNCTION("""COMPUTED_VALUE"""),"Chi Lăng")</f>
        <v>Chi Lăng</v>
      </c>
      <c r="C52" s="14" t="str">
        <f ca="1">IFERROR(__xludf.DUMMYFUNCTION("""COMPUTED_VALUE"""),"THCS")</f>
        <v>THCS</v>
      </c>
      <c r="D52" s="14">
        <f ca="1">IFERROR(__xludf.DUMMYFUNCTION("""COMPUTED_VALUE"""),4)</f>
        <v>4</v>
      </c>
      <c r="E52" s="17">
        <f ca="1">IFERROR(__xludf.DUMMYFUNCTION("""COMPUTED_VALUE"""),71)</f>
        <v>71</v>
      </c>
      <c r="F52" s="19">
        <f ca="1">IFERROR(__xludf.DUMMYFUNCTION("""COMPUTED_VALUE"""),71)</f>
        <v>71</v>
      </c>
      <c r="G52" s="51">
        <f t="shared" ca="1" si="0"/>
        <v>1</v>
      </c>
      <c r="H52" s="19">
        <f ca="1">IFERROR(__xludf.DUMMYFUNCTION("""COMPUTED_VALUE"""),71)</f>
        <v>71</v>
      </c>
      <c r="I52" s="51">
        <f t="shared" ca="1" si="1"/>
        <v>1</v>
      </c>
      <c r="J52" s="19">
        <f ca="1">IFERROR(__xludf.DUMMYFUNCTION("""COMPUTED_VALUE"""),59)</f>
        <v>59</v>
      </c>
      <c r="K52" s="51">
        <f t="shared" ca="1" si="2"/>
        <v>0.83098591549295775</v>
      </c>
      <c r="L52" s="19">
        <f ca="1">IFERROR(__xludf.DUMMYFUNCTION("""COMPUTED_VALUE"""),8)</f>
        <v>8</v>
      </c>
      <c r="M52" s="51">
        <f t="shared" ca="1" si="3"/>
        <v>0.11267605633802817</v>
      </c>
      <c r="N52" s="19">
        <f ca="1">IFERROR(__xludf.DUMMYFUNCTION("""COMPUTED_VALUE"""),96)</f>
        <v>96</v>
      </c>
      <c r="O52" s="17">
        <f ca="1">IFERROR(__xludf.DUMMYFUNCTION("""COMPUTED_VALUE"""),91)</f>
        <v>91</v>
      </c>
      <c r="P52" s="51">
        <f t="shared" ca="1" si="4"/>
        <v>0.94791666666666663</v>
      </c>
      <c r="Q52" s="19">
        <f ca="1">IFERROR(__xludf.DUMMYFUNCTION("""COMPUTED_VALUE"""),63)</f>
        <v>63</v>
      </c>
      <c r="R52" s="51">
        <f t="shared" ca="1" si="5"/>
        <v>0.65625</v>
      </c>
      <c r="S52" s="19">
        <f ca="1">IFERROR(__xludf.DUMMYFUNCTION("""COMPUTED_VALUE"""),1204)</f>
        <v>1204</v>
      </c>
      <c r="T52" s="17">
        <f ca="1">IFERROR(__xludf.DUMMYFUNCTION("""COMPUTED_VALUE"""),1182)</f>
        <v>1182</v>
      </c>
      <c r="U52" s="51">
        <f t="shared" ca="1" si="6"/>
        <v>0.98172757475083061</v>
      </c>
      <c r="V52" s="19">
        <f ca="1">IFERROR(__xludf.DUMMYFUNCTION("""COMPUTED_VALUE"""),1142)</f>
        <v>1142</v>
      </c>
      <c r="W52" s="51">
        <f t="shared" ca="1" si="7"/>
        <v>0.94850498338870437</v>
      </c>
      <c r="X52" s="19">
        <f ca="1">IFERROR(__xludf.DUMMYFUNCTION("""COMPUTED_VALUE"""),207)</f>
        <v>207</v>
      </c>
      <c r="Y52" s="51">
        <f t="shared" ca="1" si="8"/>
        <v>0.17192691029900331</v>
      </c>
      <c r="Z52" s="2"/>
      <c r="AA52" s="2"/>
      <c r="AB52" s="2"/>
      <c r="AC52" s="2"/>
      <c r="AD52" s="2"/>
    </row>
    <row r="53" spans="1:30" ht="12.75" x14ac:dyDescent="0.2">
      <c r="A53" s="16">
        <f ca="1">IFERROR(__xludf.DUMMYFUNCTION("""COMPUTED_VALUE"""),6)</f>
        <v>6</v>
      </c>
      <c r="B53" s="14" t="str">
        <f ca="1">IFERROR(__xludf.DUMMYFUNCTION("""COMPUTED_VALUE"""),"Khánh Hội")</f>
        <v>Khánh Hội</v>
      </c>
      <c r="C53" s="14" t="str">
        <f ca="1">IFERROR(__xludf.DUMMYFUNCTION("""COMPUTED_VALUE"""),"THCS")</f>
        <v>THCS</v>
      </c>
      <c r="D53" s="14">
        <f ca="1">IFERROR(__xludf.DUMMYFUNCTION("""COMPUTED_VALUE"""),4)</f>
        <v>4</v>
      </c>
      <c r="E53" s="17">
        <f ca="1">IFERROR(__xludf.DUMMYFUNCTION("""COMPUTED_VALUE"""),60)</f>
        <v>60</v>
      </c>
      <c r="F53" s="19">
        <f ca="1">IFERROR(__xludf.DUMMYFUNCTION("""COMPUTED_VALUE"""),60)</f>
        <v>60</v>
      </c>
      <c r="G53" s="51">
        <f t="shared" ca="1" si="0"/>
        <v>1</v>
      </c>
      <c r="H53" s="19">
        <f ca="1">IFERROR(__xludf.DUMMYFUNCTION("""COMPUTED_VALUE"""),60)</f>
        <v>60</v>
      </c>
      <c r="I53" s="51">
        <f t="shared" ca="1" si="1"/>
        <v>1</v>
      </c>
      <c r="J53" s="19">
        <f ca="1">IFERROR(__xludf.DUMMYFUNCTION("""COMPUTED_VALUE"""),60)</f>
        <v>60</v>
      </c>
      <c r="K53" s="51">
        <f t="shared" ca="1" si="2"/>
        <v>1</v>
      </c>
      <c r="L53" s="19">
        <f ca="1">IFERROR(__xludf.DUMMYFUNCTION("""COMPUTED_VALUE"""),9)</f>
        <v>9</v>
      </c>
      <c r="M53" s="51">
        <f t="shared" ca="1" si="3"/>
        <v>0.15</v>
      </c>
      <c r="N53" s="19">
        <f ca="1">IFERROR(__xludf.DUMMYFUNCTION("""COMPUTED_VALUE"""),232)</f>
        <v>232</v>
      </c>
      <c r="O53" s="17">
        <f ca="1">IFERROR(__xludf.DUMMYFUNCTION("""COMPUTED_VALUE"""),170)</f>
        <v>170</v>
      </c>
      <c r="P53" s="51">
        <f t="shared" ca="1" si="4"/>
        <v>0.73275862068965514</v>
      </c>
      <c r="Q53" s="19">
        <f ca="1">IFERROR(__xludf.DUMMYFUNCTION("""COMPUTED_VALUE"""),121)</f>
        <v>121</v>
      </c>
      <c r="R53" s="51">
        <f t="shared" ca="1" si="5"/>
        <v>0.52155172413793105</v>
      </c>
      <c r="S53" s="19">
        <f ca="1">IFERROR(__xludf.DUMMYFUNCTION("""COMPUTED_VALUE"""),594)</f>
        <v>594</v>
      </c>
      <c r="T53" s="17">
        <f ca="1">IFERROR(__xludf.DUMMYFUNCTION("""COMPUTED_VALUE"""),443)</f>
        <v>443</v>
      </c>
      <c r="U53" s="51">
        <f t="shared" ca="1" si="6"/>
        <v>0.74579124579124578</v>
      </c>
      <c r="V53" s="19">
        <f ca="1">IFERROR(__xludf.DUMMYFUNCTION("""COMPUTED_VALUE"""),403)</f>
        <v>403</v>
      </c>
      <c r="W53" s="51">
        <f t="shared" ca="1" si="7"/>
        <v>0.67845117845117842</v>
      </c>
      <c r="X53" s="19">
        <f ca="1">IFERROR(__xludf.DUMMYFUNCTION("""COMPUTED_VALUE"""),119)</f>
        <v>119</v>
      </c>
      <c r="Y53" s="51">
        <f t="shared" ca="1" si="8"/>
        <v>0.20033670033670034</v>
      </c>
      <c r="Z53" s="2"/>
      <c r="AA53" s="2"/>
      <c r="AB53" s="2"/>
      <c r="AC53" s="2"/>
      <c r="AD53" s="2"/>
    </row>
    <row r="54" spans="1:30" ht="12.75" x14ac:dyDescent="0.2">
      <c r="A54" s="86" t="str">
        <f ca="1">IFERROR(__xludf.DUMMYFUNCTION("""COMPUTED_VALUE"""),"THPT")</f>
        <v>THPT</v>
      </c>
      <c r="B54" s="87"/>
      <c r="C54" s="88"/>
      <c r="D54" s="14"/>
      <c r="E54" s="17">
        <f ca="1">IFERROR(__xludf.DUMMYFUNCTION("""COMPUTED_VALUE"""),203)</f>
        <v>203</v>
      </c>
      <c r="F54" s="17">
        <f ca="1">IFERROR(__xludf.DUMMYFUNCTION("""COMPUTED_VALUE"""),203)</f>
        <v>203</v>
      </c>
      <c r="G54" s="51">
        <f t="shared" ca="1" si="0"/>
        <v>1</v>
      </c>
      <c r="H54" s="17">
        <f ca="1">IFERROR(__xludf.DUMMYFUNCTION("""COMPUTED_VALUE"""),203)</f>
        <v>203</v>
      </c>
      <c r="I54" s="51">
        <f t="shared" ca="1" si="1"/>
        <v>1</v>
      </c>
      <c r="J54" s="17">
        <f ca="1">IFERROR(__xludf.DUMMYFUNCTION("""COMPUTED_VALUE"""),194)</f>
        <v>194</v>
      </c>
      <c r="K54" s="51">
        <f t="shared" ca="1" si="2"/>
        <v>0.95566502463054193</v>
      </c>
      <c r="L54" s="17">
        <f ca="1">IFERROR(__xludf.DUMMYFUNCTION("""COMPUTED_VALUE"""),90)</f>
        <v>90</v>
      </c>
      <c r="M54" s="51">
        <f t="shared" ca="1" si="3"/>
        <v>0.44334975369458129</v>
      </c>
      <c r="N54" s="17">
        <f ca="1">IFERROR(__xludf.DUMMYFUNCTION("""COMPUTED_VALUE"""),0)</f>
        <v>0</v>
      </c>
      <c r="O54" s="17">
        <f ca="1">IFERROR(__xludf.DUMMYFUNCTION("""COMPUTED_VALUE"""),0)</f>
        <v>0</v>
      </c>
      <c r="P54" s="51" t="str">
        <f t="shared" ca="1" si="4"/>
        <v/>
      </c>
      <c r="Q54" s="17">
        <f ca="1">IFERROR(__xludf.DUMMYFUNCTION("""COMPUTED_VALUE"""),0)</f>
        <v>0</v>
      </c>
      <c r="R54" s="51" t="str">
        <f t="shared" ca="1" si="5"/>
        <v/>
      </c>
      <c r="S54" s="17">
        <f ca="1">IFERROR(__xludf.DUMMYFUNCTION("""COMPUTED_VALUE"""),3674)</f>
        <v>3674</v>
      </c>
      <c r="T54" s="20">
        <f ca="1">IFERROR(__xludf.DUMMYFUNCTION("""COMPUTED_VALUE"""),3674)</f>
        <v>3674</v>
      </c>
      <c r="U54" s="51">
        <f t="shared" ca="1" si="6"/>
        <v>1</v>
      </c>
      <c r="V54" s="17">
        <f ca="1">IFERROR(__xludf.DUMMYFUNCTION("""COMPUTED_VALUE"""),3490)</f>
        <v>3490</v>
      </c>
      <c r="W54" s="51">
        <f t="shared" ca="1" si="7"/>
        <v>0.94991834512792594</v>
      </c>
      <c r="X54" s="17">
        <f ca="1">IFERROR(__xludf.DUMMYFUNCTION("""COMPUTED_VALUE"""),2187)</f>
        <v>2187</v>
      </c>
      <c r="Y54" s="51">
        <f t="shared" ca="1" si="8"/>
        <v>0.59526401741970603</v>
      </c>
      <c r="Z54" s="2"/>
      <c r="AA54" s="2"/>
      <c r="AB54" s="2"/>
      <c r="AC54" s="2"/>
      <c r="AD54" s="2"/>
    </row>
    <row r="55" spans="1:30" ht="12.75" x14ac:dyDescent="0.2">
      <c r="A55" s="16">
        <f ca="1">IFERROR(__xludf.DUMMYFUNCTION("""COMPUTED_VALUE"""),1)</f>
        <v>1</v>
      </c>
      <c r="B55" s="14" t="str">
        <f ca="1">IFERROR(__xludf.DUMMYFUNCTION("""COMPUTED_VALUE"""),"Nguyễn Hữu Thọ")</f>
        <v>Nguyễn Hữu Thọ</v>
      </c>
      <c r="C55" s="14" t="str">
        <f ca="1">IFERROR(__xludf.DUMMYFUNCTION("""COMPUTED_VALUE"""),"THPT")</f>
        <v>THPT</v>
      </c>
      <c r="D55" s="14">
        <f ca="1">IFERROR(__xludf.DUMMYFUNCTION("""COMPUTED_VALUE"""),4)</f>
        <v>4</v>
      </c>
      <c r="E55" s="17">
        <f ca="1">IFERROR(__xludf.DUMMYFUNCTION("""COMPUTED_VALUE"""),109)</f>
        <v>109</v>
      </c>
      <c r="F55" s="19">
        <f ca="1">IFERROR(__xludf.DUMMYFUNCTION("""COMPUTED_VALUE"""),109)</f>
        <v>109</v>
      </c>
      <c r="G55" s="51">
        <f t="shared" ca="1" si="0"/>
        <v>1</v>
      </c>
      <c r="H55" s="19">
        <f ca="1">IFERROR(__xludf.DUMMYFUNCTION("""COMPUTED_VALUE"""),109)</f>
        <v>109</v>
      </c>
      <c r="I55" s="51">
        <f t="shared" ca="1" si="1"/>
        <v>1</v>
      </c>
      <c r="J55" s="19">
        <f ca="1">IFERROR(__xludf.DUMMYFUNCTION("""COMPUTED_VALUE"""),100)</f>
        <v>100</v>
      </c>
      <c r="K55" s="51">
        <f t="shared" ca="1" si="2"/>
        <v>0.91743119266055051</v>
      </c>
      <c r="L55" s="19">
        <f ca="1">IFERROR(__xludf.DUMMYFUNCTION("""COMPUTED_VALUE"""),42)</f>
        <v>42</v>
      </c>
      <c r="M55" s="51">
        <f t="shared" ca="1" si="3"/>
        <v>0.38532110091743121</v>
      </c>
      <c r="N55" s="14"/>
      <c r="O55" s="20"/>
      <c r="P55" s="51" t="str">
        <f t="shared" si="4"/>
        <v/>
      </c>
      <c r="Q55" s="14"/>
      <c r="R55" s="51" t="str">
        <f t="shared" si="5"/>
        <v/>
      </c>
      <c r="S55" s="19">
        <f ca="1">IFERROR(__xludf.DUMMYFUNCTION("""COMPUTED_VALUE"""),1978)</f>
        <v>1978</v>
      </c>
      <c r="T55" s="20">
        <f ca="1">IFERROR(__xludf.DUMMYFUNCTION("""COMPUTED_VALUE"""),1978)</f>
        <v>1978</v>
      </c>
      <c r="U55" s="51">
        <f t="shared" ca="1" si="6"/>
        <v>1</v>
      </c>
      <c r="V55" s="19">
        <f ca="1">IFERROR(__xludf.DUMMYFUNCTION("""COMPUTED_VALUE"""),1910)</f>
        <v>1910</v>
      </c>
      <c r="W55" s="51">
        <f t="shared" ca="1" si="7"/>
        <v>0.96562184024266939</v>
      </c>
      <c r="X55" s="19">
        <f ca="1">IFERROR(__xludf.DUMMYFUNCTION("""COMPUTED_VALUE"""),1100)</f>
        <v>1100</v>
      </c>
      <c r="Y55" s="51">
        <f t="shared" ca="1" si="8"/>
        <v>0.5561172901921132</v>
      </c>
      <c r="Z55" s="2"/>
      <c r="AA55" s="2"/>
      <c r="AB55" s="2"/>
      <c r="AC55" s="2"/>
      <c r="AD55" s="2"/>
    </row>
    <row r="56" spans="1:30" ht="12.75" x14ac:dyDescent="0.2">
      <c r="A56" s="16">
        <f ca="1">IFERROR(__xludf.DUMMYFUNCTION("""COMPUTED_VALUE"""),2)</f>
        <v>2</v>
      </c>
      <c r="B56" s="14" t="str">
        <f ca="1">IFERROR(__xludf.DUMMYFUNCTION("""COMPUTED_VALUE"""),"Nguyễn Trãi")</f>
        <v>Nguyễn Trãi</v>
      </c>
      <c r="C56" s="14" t="str">
        <f ca="1">IFERROR(__xludf.DUMMYFUNCTION("""COMPUTED_VALUE"""),"THPT")</f>
        <v>THPT</v>
      </c>
      <c r="D56" s="14">
        <f ca="1">IFERROR(__xludf.DUMMYFUNCTION("""COMPUTED_VALUE"""),4)</f>
        <v>4</v>
      </c>
      <c r="E56" s="17">
        <f ca="1">IFERROR(__xludf.DUMMYFUNCTION("""COMPUTED_VALUE"""),94)</f>
        <v>94</v>
      </c>
      <c r="F56" s="19">
        <f ca="1">IFERROR(__xludf.DUMMYFUNCTION("""COMPUTED_VALUE"""),94)</f>
        <v>94</v>
      </c>
      <c r="G56" s="51">
        <f t="shared" ca="1" si="0"/>
        <v>1</v>
      </c>
      <c r="H56" s="19">
        <f ca="1">IFERROR(__xludf.DUMMYFUNCTION("""COMPUTED_VALUE"""),94)</f>
        <v>94</v>
      </c>
      <c r="I56" s="51">
        <f t="shared" ca="1" si="1"/>
        <v>1</v>
      </c>
      <c r="J56" s="19">
        <f ca="1">IFERROR(__xludf.DUMMYFUNCTION("""COMPUTED_VALUE"""),94)</f>
        <v>94</v>
      </c>
      <c r="K56" s="51">
        <f t="shared" ca="1" si="2"/>
        <v>1</v>
      </c>
      <c r="L56" s="19">
        <f ca="1">IFERROR(__xludf.DUMMYFUNCTION("""COMPUTED_VALUE"""),48)</f>
        <v>48</v>
      </c>
      <c r="M56" s="51">
        <f t="shared" ca="1" si="3"/>
        <v>0.51063829787234039</v>
      </c>
      <c r="N56" s="14"/>
      <c r="O56" s="20"/>
      <c r="P56" s="51" t="str">
        <f t="shared" si="4"/>
        <v/>
      </c>
      <c r="Q56" s="14"/>
      <c r="R56" s="51" t="str">
        <f t="shared" si="5"/>
        <v/>
      </c>
      <c r="S56" s="19">
        <f ca="1">IFERROR(__xludf.DUMMYFUNCTION("""COMPUTED_VALUE"""),1696)</f>
        <v>1696</v>
      </c>
      <c r="T56" s="20">
        <f ca="1">IFERROR(__xludf.DUMMYFUNCTION("""COMPUTED_VALUE"""),1696)</f>
        <v>1696</v>
      </c>
      <c r="U56" s="51">
        <f t="shared" ca="1" si="6"/>
        <v>1</v>
      </c>
      <c r="V56" s="19">
        <f ca="1">IFERROR(__xludf.DUMMYFUNCTION("""COMPUTED_VALUE"""),1580)</f>
        <v>1580</v>
      </c>
      <c r="W56" s="51">
        <f t="shared" ca="1" si="7"/>
        <v>0.93160377358490565</v>
      </c>
      <c r="X56" s="19">
        <f ca="1">IFERROR(__xludf.DUMMYFUNCTION("""COMPUTED_VALUE"""),1087)</f>
        <v>1087</v>
      </c>
      <c r="Y56" s="51">
        <f t="shared" ca="1" si="8"/>
        <v>0.64091981132075471</v>
      </c>
      <c r="Z56" s="2"/>
      <c r="AA56" s="2"/>
      <c r="AB56" s="2"/>
      <c r="AC56" s="2"/>
      <c r="AD56" s="2"/>
    </row>
    <row r="57" spans="1:30" ht="12.75" x14ac:dyDescent="0.2">
      <c r="A57" s="100" t="str">
        <f ca="1">IFERROR(__xludf.DUMMYFUNCTION("""COMPUTED_VALUE"""),"Chuyên biệt (Nếu có)")</f>
        <v>Chuyên biệt (Nếu có)</v>
      </c>
      <c r="B57" s="87"/>
      <c r="C57" s="88"/>
      <c r="D57" s="14"/>
      <c r="E57" s="17">
        <f ca="1">IFERROR(__xludf.DUMMYFUNCTION("""COMPUTED_VALUE"""),18)</f>
        <v>18</v>
      </c>
      <c r="F57" s="17">
        <f ca="1">IFERROR(__xludf.DUMMYFUNCTION("""COMPUTED_VALUE"""),18)</f>
        <v>18</v>
      </c>
      <c r="G57" s="51">
        <f t="shared" ca="1" si="0"/>
        <v>1</v>
      </c>
      <c r="H57" s="17">
        <f ca="1">IFERROR(__xludf.DUMMYFUNCTION("""COMPUTED_VALUE"""),18)</f>
        <v>18</v>
      </c>
      <c r="I57" s="51">
        <f t="shared" ca="1" si="1"/>
        <v>1</v>
      </c>
      <c r="J57" s="17">
        <f ca="1">IFERROR(__xludf.DUMMYFUNCTION("""COMPUTED_VALUE"""),16)</f>
        <v>16</v>
      </c>
      <c r="K57" s="51">
        <f t="shared" ca="1" si="2"/>
        <v>0.88888888888888884</v>
      </c>
      <c r="L57" s="17">
        <f ca="1">IFERROR(__xludf.DUMMYFUNCTION("""COMPUTED_VALUE"""),6)</f>
        <v>6</v>
      </c>
      <c r="M57" s="51">
        <f t="shared" ca="1" si="3"/>
        <v>0.33333333333333331</v>
      </c>
      <c r="N57" s="17">
        <f ca="1">IFERROR(__xludf.DUMMYFUNCTION("""COMPUTED_VALUE"""),62)</f>
        <v>62</v>
      </c>
      <c r="O57" s="17">
        <f ca="1">IFERROR(__xludf.DUMMYFUNCTION("""COMPUTED_VALUE"""),37)</f>
        <v>37</v>
      </c>
      <c r="P57" s="51">
        <f t="shared" ca="1" si="4"/>
        <v>0.59677419354838712</v>
      </c>
      <c r="Q57" s="17">
        <f ca="1">IFERROR(__xludf.DUMMYFUNCTION("""COMPUTED_VALUE"""),18)</f>
        <v>18</v>
      </c>
      <c r="R57" s="51">
        <f t="shared" ca="1" si="5"/>
        <v>0.29032258064516131</v>
      </c>
      <c r="S57" s="17">
        <f ca="1">IFERROR(__xludf.DUMMYFUNCTION("""COMPUTED_VALUE"""),62)</f>
        <v>62</v>
      </c>
      <c r="T57" s="17">
        <f ca="1">IFERROR(__xludf.DUMMYFUNCTION("""COMPUTED_VALUE"""),9)</f>
        <v>9</v>
      </c>
      <c r="U57" s="51">
        <f t="shared" ca="1" si="6"/>
        <v>0.14516129032258066</v>
      </c>
      <c r="V57" s="17">
        <f ca="1">IFERROR(__xludf.DUMMYFUNCTION("""COMPUTED_VALUE"""),8)</f>
        <v>8</v>
      </c>
      <c r="W57" s="51">
        <f t="shared" ca="1" si="7"/>
        <v>0.12903225806451613</v>
      </c>
      <c r="X57" s="17">
        <f ca="1">IFERROR(__xludf.DUMMYFUNCTION("""COMPUTED_VALUE"""),0)</f>
        <v>0</v>
      </c>
      <c r="Y57" s="51">
        <f t="shared" ca="1" si="8"/>
        <v>0</v>
      </c>
      <c r="Z57" s="2"/>
      <c r="AA57" s="2"/>
      <c r="AB57" s="2"/>
      <c r="AC57" s="2"/>
      <c r="AD57" s="2"/>
    </row>
    <row r="58" spans="1:30" ht="12.75" x14ac:dyDescent="0.2">
      <c r="A58" s="16">
        <f ca="1">IFERROR(__xludf.DUMMYFUNCTION("""COMPUTED_VALUE"""),1)</f>
        <v>1</v>
      </c>
      <c r="B58" s="14" t="str">
        <f ca="1">IFERROR(__xludf.DUMMYFUNCTION("""COMPUTED_VALUE"""),"Chuyên Biệt 1 Tháng 6")</f>
        <v>Chuyên Biệt 1 Tháng 6</v>
      </c>
      <c r="C58" s="14" t="str">
        <f ca="1">IFERROR(__xludf.DUMMYFUNCTION("""COMPUTED_VALUE"""),"CB")</f>
        <v>CB</v>
      </c>
      <c r="D58" s="14">
        <f ca="1">IFERROR(__xludf.DUMMYFUNCTION("""COMPUTED_VALUE"""),4)</f>
        <v>4</v>
      </c>
      <c r="E58" s="17">
        <f ca="1">IFERROR(__xludf.DUMMYFUNCTION("""COMPUTED_VALUE"""),18)</f>
        <v>18</v>
      </c>
      <c r="F58" s="19">
        <f ca="1">IFERROR(__xludf.DUMMYFUNCTION("""COMPUTED_VALUE"""),18)</f>
        <v>18</v>
      </c>
      <c r="G58" s="51">
        <f t="shared" ca="1" si="0"/>
        <v>1</v>
      </c>
      <c r="H58" s="19">
        <f ca="1">IFERROR(__xludf.DUMMYFUNCTION("""COMPUTED_VALUE"""),18)</f>
        <v>18</v>
      </c>
      <c r="I58" s="51">
        <f t="shared" ca="1" si="1"/>
        <v>1</v>
      </c>
      <c r="J58" s="19">
        <f ca="1">IFERROR(__xludf.DUMMYFUNCTION("""COMPUTED_VALUE"""),16)</f>
        <v>16</v>
      </c>
      <c r="K58" s="51">
        <f t="shared" ca="1" si="2"/>
        <v>0.88888888888888884</v>
      </c>
      <c r="L58" s="19">
        <f ca="1">IFERROR(__xludf.DUMMYFUNCTION("""COMPUTED_VALUE"""),6)</f>
        <v>6</v>
      </c>
      <c r="M58" s="51">
        <f t="shared" ca="1" si="3"/>
        <v>0.33333333333333331</v>
      </c>
      <c r="N58" s="19">
        <f ca="1">IFERROR(__xludf.DUMMYFUNCTION("""COMPUTED_VALUE"""),62)</f>
        <v>62</v>
      </c>
      <c r="O58" s="17">
        <f ca="1">IFERROR(__xludf.DUMMYFUNCTION("""COMPUTED_VALUE"""),37)</f>
        <v>37</v>
      </c>
      <c r="P58" s="51">
        <f t="shared" ca="1" si="4"/>
        <v>0.59677419354838712</v>
      </c>
      <c r="Q58" s="19">
        <f ca="1">IFERROR(__xludf.DUMMYFUNCTION("""COMPUTED_VALUE"""),18)</f>
        <v>18</v>
      </c>
      <c r="R58" s="51">
        <f t="shared" ca="1" si="5"/>
        <v>0.29032258064516131</v>
      </c>
      <c r="S58" s="19">
        <f ca="1">IFERROR(__xludf.DUMMYFUNCTION("""COMPUTED_VALUE"""),9)</f>
        <v>9</v>
      </c>
      <c r="T58" s="20">
        <f ca="1">IFERROR(__xludf.DUMMYFUNCTION("""COMPUTED_VALUE"""),9)</f>
        <v>9</v>
      </c>
      <c r="U58" s="51">
        <f t="shared" ca="1" si="6"/>
        <v>1</v>
      </c>
      <c r="V58" s="19">
        <f ca="1">IFERROR(__xludf.DUMMYFUNCTION("""COMPUTED_VALUE"""),8)</f>
        <v>8</v>
      </c>
      <c r="W58" s="51">
        <f t="shared" ca="1" si="7"/>
        <v>0.88888888888888884</v>
      </c>
      <c r="X58" s="19">
        <f ca="1">IFERROR(__xludf.DUMMYFUNCTION("""COMPUTED_VALUE"""),0)</f>
        <v>0</v>
      </c>
      <c r="Y58" s="51">
        <f t="shared" ca="1" si="8"/>
        <v>0</v>
      </c>
      <c r="Z58" s="2"/>
      <c r="AA58" s="2"/>
      <c r="AB58" s="2"/>
      <c r="AC58" s="2"/>
      <c r="AD58" s="2"/>
    </row>
    <row r="59" spans="1:30" ht="12.75" x14ac:dyDescent="0.2">
      <c r="A59" s="86" t="str">
        <f ca="1">IFERROR(__xludf.DUMMYFUNCTION("""COMPUTED_VALUE"""),"GDTX")</f>
        <v>GDTX</v>
      </c>
      <c r="B59" s="87"/>
      <c r="C59" s="88"/>
      <c r="D59" s="14"/>
      <c r="E59" s="17">
        <f ca="1">IFERROR(__xludf.DUMMYFUNCTION("""COMPUTED_VALUE"""),37)</f>
        <v>37</v>
      </c>
      <c r="F59" s="17">
        <f ca="1">IFERROR(__xludf.DUMMYFUNCTION("""COMPUTED_VALUE"""),37)</f>
        <v>37</v>
      </c>
      <c r="G59" s="51">
        <f t="shared" ca="1" si="0"/>
        <v>1</v>
      </c>
      <c r="H59" s="17">
        <f ca="1">IFERROR(__xludf.DUMMYFUNCTION("""COMPUTED_VALUE"""),37)</f>
        <v>37</v>
      </c>
      <c r="I59" s="51">
        <f t="shared" ca="1" si="1"/>
        <v>1</v>
      </c>
      <c r="J59" s="17">
        <f ca="1">IFERROR(__xludf.DUMMYFUNCTION("""COMPUTED_VALUE"""),35)</f>
        <v>35</v>
      </c>
      <c r="K59" s="51">
        <f t="shared" ca="1" si="2"/>
        <v>0.94594594594594594</v>
      </c>
      <c r="L59" s="17">
        <f ca="1">IFERROR(__xludf.DUMMYFUNCTION("""COMPUTED_VALUE"""),10)</f>
        <v>10</v>
      </c>
      <c r="M59" s="51">
        <f t="shared" ca="1" si="3"/>
        <v>0.27027027027027029</v>
      </c>
      <c r="N59" s="17">
        <f ca="1">IFERROR(__xludf.DUMMYFUNCTION("""COMPUTED_VALUE"""),0)</f>
        <v>0</v>
      </c>
      <c r="O59" s="17">
        <f ca="1">IFERROR(__xludf.DUMMYFUNCTION("""COMPUTED_VALUE"""),0)</f>
        <v>0</v>
      </c>
      <c r="P59" s="51" t="str">
        <f t="shared" ca="1" si="4"/>
        <v/>
      </c>
      <c r="Q59" s="17">
        <f ca="1">IFERROR(__xludf.DUMMYFUNCTION("""COMPUTED_VALUE"""),0)</f>
        <v>0</v>
      </c>
      <c r="R59" s="51" t="str">
        <f t="shared" ca="1" si="5"/>
        <v/>
      </c>
      <c r="S59" s="17">
        <f ca="1">IFERROR(__xludf.DUMMYFUNCTION("""COMPUTED_VALUE"""),538)</f>
        <v>538</v>
      </c>
      <c r="T59" s="17">
        <f ca="1">IFERROR(__xludf.DUMMYFUNCTION("""COMPUTED_VALUE"""),531)</f>
        <v>531</v>
      </c>
      <c r="U59" s="51">
        <f t="shared" ca="1" si="6"/>
        <v>0.98698884758364314</v>
      </c>
      <c r="V59" s="17">
        <f ca="1">IFERROR(__xludf.DUMMYFUNCTION("""COMPUTED_VALUE"""),433)</f>
        <v>433</v>
      </c>
      <c r="W59" s="51">
        <f t="shared" ca="1" si="7"/>
        <v>0.80483271375464682</v>
      </c>
      <c r="X59" s="17">
        <f ca="1">IFERROR(__xludf.DUMMYFUNCTION("""COMPUTED_VALUE"""),119)</f>
        <v>119</v>
      </c>
      <c r="Y59" s="51">
        <f t="shared" ca="1" si="8"/>
        <v>0.22118959107806691</v>
      </c>
      <c r="Z59" s="2"/>
      <c r="AA59" s="2"/>
      <c r="AB59" s="2"/>
      <c r="AC59" s="2"/>
      <c r="AD59" s="2"/>
    </row>
    <row r="60" spans="1:30" ht="12.75" x14ac:dyDescent="0.2">
      <c r="A60" s="16">
        <f ca="1">IFERROR(__xludf.DUMMYFUNCTION("""COMPUTED_VALUE"""),1)</f>
        <v>1</v>
      </c>
      <c r="B60" s="14" t="str">
        <f ca="1">IFERROR(__xludf.DUMMYFUNCTION("""COMPUTED_VALUE"""),"TRUNG TÂM GDNN - GDTX")</f>
        <v>TRUNG TÂM GDNN - GDTX</v>
      </c>
      <c r="C60" s="14" t="str">
        <f ca="1">IFERROR(__xludf.DUMMYFUNCTION("""COMPUTED_VALUE"""),"GDTX")</f>
        <v>GDTX</v>
      </c>
      <c r="D60" s="14">
        <f ca="1">IFERROR(__xludf.DUMMYFUNCTION("""COMPUTED_VALUE"""),4)</f>
        <v>4</v>
      </c>
      <c r="E60" s="17">
        <f ca="1">IFERROR(__xludf.DUMMYFUNCTION("""COMPUTED_VALUE"""),37)</f>
        <v>37</v>
      </c>
      <c r="F60" s="19">
        <f ca="1">IFERROR(__xludf.DUMMYFUNCTION("""COMPUTED_VALUE"""),37)</f>
        <v>37</v>
      </c>
      <c r="G60" s="51">
        <f t="shared" ca="1" si="0"/>
        <v>1</v>
      </c>
      <c r="H60" s="19">
        <f ca="1">IFERROR(__xludf.DUMMYFUNCTION("""COMPUTED_VALUE"""),37)</f>
        <v>37</v>
      </c>
      <c r="I60" s="51">
        <f t="shared" ca="1" si="1"/>
        <v>1</v>
      </c>
      <c r="J60" s="19">
        <f ca="1">IFERROR(__xludf.DUMMYFUNCTION("""COMPUTED_VALUE"""),35)</f>
        <v>35</v>
      </c>
      <c r="K60" s="51">
        <f t="shared" ca="1" si="2"/>
        <v>0.94594594594594594</v>
      </c>
      <c r="L60" s="19">
        <f ca="1">IFERROR(__xludf.DUMMYFUNCTION("""COMPUTED_VALUE"""),10)</f>
        <v>10</v>
      </c>
      <c r="M60" s="51">
        <f t="shared" ca="1" si="3"/>
        <v>0.27027027027027029</v>
      </c>
      <c r="N60" s="19">
        <f ca="1">IFERROR(__xludf.DUMMYFUNCTION("""COMPUTED_VALUE"""),0)</f>
        <v>0</v>
      </c>
      <c r="O60" s="17">
        <f ca="1">IFERROR(__xludf.DUMMYFUNCTION("""COMPUTED_VALUE"""),0)</f>
        <v>0</v>
      </c>
      <c r="P60" s="51" t="str">
        <f t="shared" ca="1" si="4"/>
        <v/>
      </c>
      <c r="Q60" s="19">
        <f ca="1">IFERROR(__xludf.DUMMYFUNCTION("""COMPUTED_VALUE"""),0)</f>
        <v>0</v>
      </c>
      <c r="R60" s="51" t="str">
        <f t="shared" ca="1" si="5"/>
        <v/>
      </c>
      <c r="S60" s="19">
        <f ca="1">IFERROR(__xludf.DUMMYFUNCTION("""COMPUTED_VALUE"""),538)</f>
        <v>538</v>
      </c>
      <c r="T60" s="17">
        <f ca="1">IFERROR(__xludf.DUMMYFUNCTION("""COMPUTED_VALUE"""),531)</f>
        <v>531</v>
      </c>
      <c r="U60" s="51">
        <f t="shared" ca="1" si="6"/>
        <v>0.98698884758364314</v>
      </c>
      <c r="V60" s="19">
        <f ca="1">IFERROR(__xludf.DUMMYFUNCTION("""COMPUTED_VALUE"""),433)</f>
        <v>433</v>
      </c>
      <c r="W60" s="51">
        <f t="shared" ca="1" si="7"/>
        <v>0.80483271375464682</v>
      </c>
      <c r="X60" s="19">
        <f ca="1">IFERROR(__xludf.DUMMYFUNCTION("""COMPUTED_VALUE"""),119)</f>
        <v>119</v>
      </c>
      <c r="Y60" s="51">
        <f t="shared" ca="1" si="8"/>
        <v>0.22118959107806691</v>
      </c>
      <c r="Z60" s="2"/>
      <c r="AA60" s="2"/>
      <c r="AB60" s="2"/>
      <c r="AC60" s="2"/>
      <c r="AD60" s="2"/>
    </row>
    <row r="61" spans="1:30" ht="12.75" x14ac:dyDescent="0.2">
      <c r="A61" s="2"/>
      <c r="B61" s="2"/>
      <c r="C61" s="2"/>
      <c r="D61" s="2"/>
      <c r="E61" s="2"/>
      <c r="F61" s="2"/>
      <c r="G61" s="51" t="str">
        <f t="shared" si="0"/>
        <v/>
      </c>
      <c r="H61" s="2"/>
      <c r="I61" s="51" t="str">
        <f t="shared" si="1"/>
        <v/>
      </c>
      <c r="J61" s="2"/>
      <c r="K61" s="51" t="str">
        <f t="shared" si="2"/>
        <v/>
      </c>
      <c r="L61" s="2"/>
      <c r="M61" s="51" t="str">
        <f t="shared" si="3"/>
        <v/>
      </c>
      <c r="N61" s="2"/>
      <c r="O61" s="2"/>
      <c r="P61" s="51" t="str">
        <f t="shared" si="4"/>
        <v/>
      </c>
      <c r="Q61" s="2"/>
      <c r="R61" s="51" t="str">
        <f t="shared" si="5"/>
        <v/>
      </c>
      <c r="S61" s="2"/>
      <c r="T61" s="2"/>
      <c r="U61" s="51" t="str">
        <f t="shared" si="6"/>
        <v/>
      </c>
      <c r="V61" s="2"/>
      <c r="W61" s="51" t="str">
        <f t="shared" si="7"/>
        <v/>
      </c>
      <c r="X61" s="2"/>
      <c r="Y61" s="51" t="str">
        <f t="shared" si="8"/>
        <v/>
      </c>
      <c r="Z61" s="2"/>
      <c r="AA61" s="2"/>
      <c r="AB61" s="2"/>
      <c r="AC61" s="2"/>
      <c r="AD61" s="2"/>
    </row>
    <row r="62" spans="1:30" ht="12.75" x14ac:dyDescent="0.2">
      <c r="A62" s="2"/>
      <c r="B62" s="2"/>
      <c r="C62" s="2"/>
      <c r="D62" s="2"/>
      <c r="E62" s="2"/>
      <c r="F62" s="2"/>
      <c r="G62" s="51" t="str">
        <f t="shared" si="0"/>
        <v/>
      </c>
      <c r="H62" s="2"/>
      <c r="I62" s="51" t="str">
        <f t="shared" si="1"/>
        <v/>
      </c>
      <c r="J62" s="2"/>
      <c r="K62" s="51" t="str">
        <f t="shared" si="2"/>
        <v/>
      </c>
      <c r="L62" s="2"/>
      <c r="M62" s="51" t="str">
        <f t="shared" si="3"/>
        <v/>
      </c>
      <c r="N62" s="2"/>
      <c r="O62" s="2"/>
      <c r="P62" s="51" t="str">
        <f t="shared" si="4"/>
        <v/>
      </c>
      <c r="Q62" s="2"/>
      <c r="R62" s="51" t="str">
        <f t="shared" si="5"/>
        <v/>
      </c>
      <c r="S62" s="2"/>
      <c r="T62" s="2"/>
      <c r="U62" s="51" t="str">
        <f t="shared" si="6"/>
        <v/>
      </c>
      <c r="V62" s="2"/>
      <c r="W62" s="51" t="str">
        <f t="shared" si="7"/>
        <v/>
      </c>
      <c r="X62" s="2"/>
      <c r="Y62" s="51" t="str">
        <f t="shared" si="8"/>
        <v/>
      </c>
      <c r="Z62" s="2"/>
      <c r="AA62" s="2"/>
      <c r="AB62" s="2"/>
      <c r="AC62" s="2"/>
      <c r="AD62" s="2"/>
    </row>
    <row r="63" spans="1:30" ht="12.75" x14ac:dyDescent="0.2">
      <c r="A63" s="2"/>
      <c r="B63" s="2"/>
      <c r="C63" s="2"/>
      <c r="D63" s="2"/>
      <c r="E63" s="2"/>
      <c r="F63" s="2"/>
      <c r="G63" s="51" t="str">
        <f t="shared" si="0"/>
        <v/>
      </c>
      <c r="H63" s="2"/>
      <c r="I63" s="51" t="str">
        <f t="shared" si="1"/>
        <v/>
      </c>
      <c r="J63" s="2"/>
      <c r="K63" s="51" t="str">
        <f t="shared" si="2"/>
        <v/>
      </c>
      <c r="L63" s="2"/>
      <c r="M63" s="51" t="str">
        <f t="shared" si="3"/>
        <v/>
      </c>
      <c r="N63" s="2"/>
      <c r="O63" s="2"/>
      <c r="P63" s="51" t="str">
        <f t="shared" si="4"/>
        <v/>
      </c>
      <c r="Q63" s="2"/>
      <c r="R63" s="51" t="str">
        <f t="shared" si="5"/>
        <v/>
      </c>
      <c r="S63" s="2"/>
      <c r="T63" s="2"/>
      <c r="U63" s="51" t="str">
        <f t="shared" si="6"/>
        <v/>
      </c>
      <c r="V63" s="2"/>
      <c r="W63" s="51" t="str">
        <f t="shared" si="7"/>
        <v/>
      </c>
      <c r="X63" s="2"/>
      <c r="Y63" s="51" t="str">
        <f t="shared" si="8"/>
        <v/>
      </c>
      <c r="Z63" s="2"/>
      <c r="AA63" s="2"/>
      <c r="AB63" s="2"/>
      <c r="AC63" s="2"/>
      <c r="AD63" s="2"/>
    </row>
    <row r="64" spans="1:30" ht="12.75" x14ac:dyDescent="0.2">
      <c r="A64" s="2"/>
      <c r="B64" s="2"/>
      <c r="C64" s="2"/>
      <c r="D64" s="2"/>
      <c r="E64" s="2"/>
      <c r="F64" s="2"/>
      <c r="G64" s="51" t="str">
        <f t="shared" si="0"/>
        <v/>
      </c>
      <c r="H64" s="2"/>
      <c r="I64" s="51" t="str">
        <f t="shared" si="1"/>
        <v/>
      </c>
      <c r="J64" s="2"/>
      <c r="K64" s="51" t="str">
        <f t="shared" si="2"/>
        <v/>
      </c>
      <c r="L64" s="2"/>
      <c r="M64" s="51" t="str">
        <f t="shared" si="3"/>
        <v/>
      </c>
      <c r="N64" s="2"/>
      <c r="O64" s="2"/>
      <c r="P64" s="51" t="str">
        <f t="shared" si="4"/>
        <v/>
      </c>
      <c r="Q64" s="2"/>
      <c r="R64" s="51" t="str">
        <f t="shared" si="5"/>
        <v/>
      </c>
      <c r="S64" s="2"/>
      <c r="T64" s="2"/>
      <c r="U64" s="51" t="str">
        <f t="shared" si="6"/>
        <v/>
      </c>
      <c r="V64" s="2"/>
      <c r="W64" s="51" t="str">
        <f t="shared" si="7"/>
        <v/>
      </c>
      <c r="X64" s="2"/>
      <c r="Y64" s="51" t="str">
        <f t="shared" si="8"/>
        <v/>
      </c>
      <c r="Z64" s="2"/>
      <c r="AA64" s="2"/>
      <c r="AB64" s="2"/>
      <c r="AC64" s="2"/>
      <c r="AD64" s="2"/>
    </row>
    <row r="65" spans="1:30" ht="12.75" x14ac:dyDescent="0.2">
      <c r="A65" s="2"/>
      <c r="B65" s="2"/>
      <c r="C65" s="2"/>
      <c r="D65" s="2"/>
      <c r="E65" s="2"/>
      <c r="F65" s="2"/>
      <c r="G65" s="51" t="str">
        <f t="shared" si="0"/>
        <v/>
      </c>
      <c r="H65" s="2"/>
      <c r="I65" s="51" t="str">
        <f t="shared" si="1"/>
        <v/>
      </c>
      <c r="J65" s="2"/>
      <c r="K65" s="51" t="str">
        <f t="shared" si="2"/>
        <v/>
      </c>
      <c r="L65" s="2"/>
      <c r="M65" s="51" t="str">
        <f t="shared" si="3"/>
        <v/>
      </c>
      <c r="N65" s="2"/>
      <c r="O65" s="2"/>
      <c r="P65" s="51" t="str">
        <f t="shared" si="4"/>
        <v/>
      </c>
      <c r="Q65" s="2"/>
      <c r="R65" s="51" t="str">
        <f t="shared" si="5"/>
        <v/>
      </c>
      <c r="S65" s="2"/>
      <c r="T65" s="2"/>
      <c r="U65" s="51" t="str">
        <f t="shared" si="6"/>
        <v/>
      </c>
      <c r="V65" s="2"/>
      <c r="W65" s="51" t="str">
        <f t="shared" si="7"/>
        <v/>
      </c>
      <c r="X65" s="2"/>
      <c r="Y65" s="51" t="str">
        <f t="shared" si="8"/>
        <v/>
      </c>
      <c r="Z65" s="2"/>
      <c r="AA65" s="2"/>
      <c r="AB65" s="2"/>
      <c r="AC65" s="2"/>
      <c r="AD65" s="2"/>
    </row>
    <row r="66" spans="1:30" ht="12.75" x14ac:dyDescent="0.2">
      <c r="A66" s="2"/>
      <c r="B66" s="2"/>
      <c r="C66" s="2"/>
      <c r="D66" s="2"/>
      <c r="E66" s="2"/>
      <c r="F66" s="2"/>
      <c r="G66" s="51" t="str">
        <f t="shared" si="0"/>
        <v/>
      </c>
      <c r="H66" s="2"/>
      <c r="I66" s="51" t="str">
        <f t="shared" si="1"/>
        <v/>
      </c>
      <c r="J66" s="2"/>
      <c r="K66" s="51" t="str">
        <f t="shared" si="2"/>
        <v/>
      </c>
      <c r="L66" s="2"/>
      <c r="M66" s="51" t="str">
        <f t="shared" si="3"/>
        <v/>
      </c>
      <c r="N66" s="2"/>
      <c r="O66" s="2"/>
      <c r="P66" s="51" t="str">
        <f t="shared" si="4"/>
        <v/>
      </c>
      <c r="Q66" s="2"/>
      <c r="R66" s="51" t="str">
        <f t="shared" si="5"/>
        <v/>
      </c>
      <c r="S66" s="2"/>
      <c r="T66" s="2"/>
      <c r="U66" s="51" t="str">
        <f t="shared" si="6"/>
        <v/>
      </c>
      <c r="V66" s="2"/>
      <c r="W66" s="51" t="str">
        <f t="shared" si="7"/>
        <v/>
      </c>
      <c r="X66" s="2"/>
      <c r="Y66" s="51" t="str">
        <f t="shared" si="8"/>
        <v/>
      </c>
      <c r="Z66" s="2"/>
      <c r="AA66" s="2"/>
      <c r="AB66" s="2"/>
      <c r="AC66" s="2"/>
      <c r="AD66" s="2"/>
    </row>
    <row r="67" spans="1:30" ht="12.75" x14ac:dyDescent="0.2">
      <c r="A67" s="2"/>
      <c r="B67" s="2"/>
      <c r="C67" s="2"/>
      <c r="D67" s="2"/>
      <c r="E67" s="2"/>
      <c r="F67" s="2"/>
      <c r="G67" s="51" t="str">
        <f t="shared" si="0"/>
        <v/>
      </c>
      <c r="H67" s="2"/>
      <c r="I67" s="51" t="str">
        <f t="shared" si="1"/>
        <v/>
      </c>
      <c r="J67" s="2"/>
      <c r="K67" s="51" t="str">
        <f t="shared" si="2"/>
        <v/>
      </c>
      <c r="L67" s="2"/>
      <c r="M67" s="51" t="str">
        <f t="shared" si="3"/>
        <v/>
      </c>
      <c r="N67" s="2"/>
      <c r="O67" s="2"/>
      <c r="P67" s="51" t="str">
        <f t="shared" si="4"/>
        <v/>
      </c>
      <c r="Q67" s="2"/>
      <c r="R67" s="51" t="str">
        <f t="shared" si="5"/>
        <v/>
      </c>
      <c r="S67" s="2"/>
      <c r="T67" s="2"/>
      <c r="U67" s="51" t="str">
        <f t="shared" si="6"/>
        <v/>
      </c>
      <c r="V67" s="2"/>
      <c r="W67" s="51" t="str">
        <f t="shared" si="7"/>
        <v/>
      </c>
      <c r="X67" s="2"/>
      <c r="Y67" s="51" t="str">
        <f t="shared" si="8"/>
        <v/>
      </c>
      <c r="Z67" s="2"/>
      <c r="AA67" s="2"/>
      <c r="AB67" s="2"/>
      <c r="AC67" s="2"/>
      <c r="AD67" s="2"/>
    </row>
    <row r="68" spans="1:30" ht="12.75" x14ac:dyDescent="0.2">
      <c r="A68" s="2"/>
      <c r="B68" s="2"/>
      <c r="C68" s="2"/>
      <c r="D68" s="2"/>
      <c r="E68" s="2"/>
      <c r="F68" s="2"/>
      <c r="G68" s="51" t="str">
        <f t="shared" si="0"/>
        <v/>
      </c>
      <c r="H68" s="2"/>
      <c r="I68" s="51" t="str">
        <f t="shared" si="1"/>
        <v/>
      </c>
      <c r="J68" s="2"/>
      <c r="K68" s="51" t="str">
        <f t="shared" si="2"/>
        <v/>
      </c>
      <c r="L68" s="2"/>
      <c r="M68" s="51" t="str">
        <f t="shared" si="3"/>
        <v/>
      </c>
      <c r="N68" s="2"/>
      <c r="O68" s="2"/>
      <c r="P68" s="51" t="str">
        <f t="shared" si="4"/>
        <v/>
      </c>
      <c r="Q68" s="2"/>
      <c r="R68" s="51" t="str">
        <f t="shared" si="5"/>
        <v/>
      </c>
      <c r="S68" s="2"/>
      <c r="T68" s="2"/>
      <c r="U68" s="51" t="str">
        <f t="shared" si="6"/>
        <v/>
      </c>
      <c r="V68" s="2"/>
      <c r="W68" s="51" t="str">
        <f t="shared" si="7"/>
        <v/>
      </c>
      <c r="X68" s="2"/>
      <c r="Y68" s="51" t="str">
        <f t="shared" si="8"/>
        <v/>
      </c>
      <c r="Z68" s="2"/>
      <c r="AA68" s="2"/>
      <c r="AB68" s="2"/>
      <c r="AC68" s="2"/>
      <c r="AD68" s="2"/>
    </row>
    <row r="69" spans="1:30" ht="12.75" x14ac:dyDescent="0.2">
      <c r="A69" s="2"/>
      <c r="B69" s="2"/>
      <c r="C69" s="2"/>
      <c r="D69" s="2"/>
      <c r="E69" s="2"/>
      <c r="F69" s="2"/>
      <c r="G69" s="51" t="str">
        <f t="shared" si="0"/>
        <v/>
      </c>
      <c r="H69" s="2"/>
      <c r="I69" s="51" t="str">
        <f t="shared" si="1"/>
        <v/>
      </c>
      <c r="J69" s="2"/>
      <c r="K69" s="51" t="str">
        <f t="shared" si="2"/>
        <v/>
      </c>
      <c r="L69" s="2"/>
      <c r="M69" s="51" t="str">
        <f t="shared" si="3"/>
        <v/>
      </c>
      <c r="N69" s="2"/>
      <c r="O69" s="2"/>
      <c r="P69" s="51" t="str">
        <f t="shared" si="4"/>
        <v/>
      </c>
      <c r="Q69" s="2"/>
      <c r="R69" s="51" t="str">
        <f t="shared" si="5"/>
        <v/>
      </c>
      <c r="S69" s="2"/>
      <c r="T69" s="2"/>
      <c r="U69" s="51" t="str">
        <f t="shared" si="6"/>
        <v/>
      </c>
      <c r="V69" s="2"/>
      <c r="W69" s="51" t="str">
        <f t="shared" si="7"/>
        <v/>
      </c>
      <c r="X69" s="2"/>
      <c r="Y69" s="51" t="str">
        <f t="shared" si="8"/>
        <v/>
      </c>
      <c r="Z69" s="2"/>
      <c r="AA69" s="2"/>
      <c r="AB69" s="2"/>
      <c r="AC69" s="2"/>
      <c r="AD69" s="2"/>
    </row>
    <row r="70" spans="1:30" ht="12.75" x14ac:dyDescent="0.2">
      <c r="A70" s="2"/>
      <c r="B70" s="2"/>
      <c r="C70" s="2"/>
      <c r="D70" s="2"/>
      <c r="E70" s="2"/>
      <c r="F70" s="2"/>
      <c r="G70" s="51" t="str">
        <f t="shared" ref="G70:G78" si="9">IFERROR(F70/E70,"")</f>
        <v/>
      </c>
      <c r="H70" s="2"/>
      <c r="I70" s="51" t="str">
        <f t="shared" ref="I70:I78" si="10">IFERROR(H70/E70,"")</f>
        <v/>
      </c>
      <c r="J70" s="2"/>
      <c r="K70" s="51" t="str">
        <f t="shared" ref="K70:K78" si="11">IFERROR(J70/E70,"")</f>
        <v/>
      </c>
      <c r="L70" s="2"/>
      <c r="M70" s="51" t="str">
        <f t="shared" ref="M70:M78" si="12">IFERROR(L70/E70,"")</f>
        <v/>
      </c>
      <c r="N70" s="2"/>
      <c r="O70" s="2"/>
      <c r="P70" s="51" t="str">
        <f t="shared" ref="P70:P78" si="13">IFERROR(O70/N70,"")</f>
        <v/>
      </c>
      <c r="Q70" s="2"/>
      <c r="R70" s="51" t="str">
        <f t="shared" ref="R70:R78" si="14">IFERROR(Q70/N70,"")</f>
        <v/>
      </c>
      <c r="S70" s="2"/>
      <c r="T70" s="2"/>
      <c r="U70" s="51" t="str">
        <f t="shared" ref="U70:U78" si="15">IFERROR(T70/S70,"")</f>
        <v/>
      </c>
      <c r="V70" s="2"/>
      <c r="W70" s="51" t="str">
        <f t="shared" ref="W70:W78" si="16">IFERROR(V70/S70,"")</f>
        <v/>
      </c>
      <c r="X70" s="2"/>
      <c r="Y70" s="51" t="str">
        <f t="shared" ref="Y70:Y78" si="17">IFERROR(X70/S70,"")</f>
        <v/>
      </c>
      <c r="Z70" s="2"/>
      <c r="AA70" s="2"/>
      <c r="AB70" s="2"/>
      <c r="AC70" s="2"/>
      <c r="AD70" s="2"/>
    </row>
    <row r="71" spans="1:30" ht="12.75" x14ac:dyDescent="0.2">
      <c r="A71" s="2"/>
      <c r="B71" s="2"/>
      <c r="C71" s="2"/>
      <c r="D71" s="2"/>
      <c r="E71" s="2"/>
      <c r="F71" s="2"/>
      <c r="G71" s="51" t="str">
        <f t="shared" si="9"/>
        <v/>
      </c>
      <c r="H71" s="2"/>
      <c r="I71" s="51" t="str">
        <f t="shared" si="10"/>
        <v/>
      </c>
      <c r="J71" s="2"/>
      <c r="K71" s="51" t="str">
        <f t="shared" si="11"/>
        <v/>
      </c>
      <c r="L71" s="2"/>
      <c r="M71" s="51" t="str">
        <f t="shared" si="12"/>
        <v/>
      </c>
      <c r="N71" s="2"/>
      <c r="O71" s="2"/>
      <c r="P71" s="51" t="str">
        <f t="shared" si="13"/>
        <v/>
      </c>
      <c r="Q71" s="2"/>
      <c r="R71" s="51" t="str">
        <f t="shared" si="14"/>
        <v/>
      </c>
      <c r="S71" s="2"/>
      <c r="T71" s="2"/>
      <c r="U71" s="51" t="str">
        <f t="shared" si="15"/>
        <v/>
      </c>
      <c r="V71" s="2"/>
      <c r="W71" s="51" t="str">
        <f t="shared" si="16"/>
        <v/>
      </c>
      <c r="X71" s="2"/>
      <c r="Y71" s="51" t="str">
        <f t="shared" si="17"/>
        <v/>
      </c>
      <c r="Z71" s="2"/>
      <c r="AA71" s="2"/>
      <c r="AB71" s="2"/>
      <c r="AC71" s="2"/>
      <c r="AD71" s="2"/>
    </row>
    <row r="72" spans="1:30" ht="12.75" x14ac:dyDescent="0.2">
      <c r="A72" s="2"/>
      <c r="B72" s="2"/>
      <c r="C72" s="2"/>
      <c r="D72" s="2"/>
      <c r="E72" s="2"/>
      <c r="F72" s="2"/>
      <c r="G72" s="51" t="str">
        <f t="shared" si="9"/>
        <v/>
      </c>
      <c r="H72" s="2"/>
      <c r="I72" s="51" t="str">
        <f t="shared" si="10"/>
        <v/>
      </c>
      <c r="J72" s="2"/>
      <c r="K72" s="51" t="str">
        <f t="shared" si="11"/>
        <v/>
      </c>
      <c r="L72" s="2"/>
      <c r="M72" s="51" t="str">
        <f t="shared" si="12"/>
        <v/>
      </c>
      <c r="N72" s="2"/>
      <c r="O72" s="2"/>
      <c r="P72" s="51" t="str">
        <f t="shared" si="13"/>
        <v/>
      </c>
      <c r="Q72" s="2"/>
      <c r="R72" s="51" t="str">
        <f t="shared" si="14"/>
        <v/>
      </c>
      <c r="S72" s="2"/>
      <c r="T72" s="2"/>
      <c r="U72" s="51" t="str">
        <f t="shared" si="15"/>
        <v/>
      </c>
      <c r="V72" s="2"/>
      <c r="W72" s="51" t="str">
        <f t="shared" si="16"/>
        <v/>
      </c>
      <c r="X72" s="2"/>
      <c r="Y72" s="51" t="str">
        <f t="shared" si="17"/>
        <v/>
      </c>
      <c r="Z72" s="2"/>
      <c r="AA72" s="2"/>
      <c r="AB72" s="2"/>
      <c r="AC72" s="2"/>
      <c r="AD72" s="2"/>
    </row>
    <row r="73" spans="1:30" ht="12.75" x14ac:dyDescent="0.2">
      <c r="A73" s="2"/>
      <c r="B73" s="2"/>
      <c r="C73" s="2"/>
      <c r="D73" s="2"/>
      <c r="E73" s="2"/>
      <c r="F73" s="2"/>
      <c r="G73" s="51" t="str">
        <f t="shared" si="9"/>
        <v/>
      </c>
      <c r="H73" s="2"/>
      <c r="I73" s="51" t="str">
        <f t="shared" si="10"/>
        <v/>
      </c>
      <c r="J73" s="2"/>
      <c r="K73" s="51" t="str">
        <f t="shared" si="11"/>
        <v/>
      </c>
      <c r="L73" s="2"/>
      <c r="M73" s="51" t="str">
        <f t="shared" si="12"/>
        <v/>
      </c>
      <c r="N73" s="2"/>
      <c r="O73" s="2"/>
      <c r="P73" s="51" t="str">
        <f t="shared" si="13"/>
        <v/>
      </c>
      <c r="Q73" s="2"/>
      <c r="R73" s="51" t="str">
        <f t="shared" si="14"/>
        <v/>
      </c>
      <c r="S73" s="2"/>
      <c r="T73" s="2"/>
      <c r="U73" s="51" t="str">
        <f t="shared" si="15"/>
        <v/>
      </c>
      <c r="V73" s="2"/>
      <c r="W73" s="51" t="str">
        <f t="shared" si="16"/>
        <v/>
      </c>
      <c r="X73" s="2"/>
      <c r="Y73" s="51" t="str">
        <f t="shared" si="17"/>
        <v/>
      </c>
      <c r="Z73" s="2"/>
      <c r="AA73" s="2"/>
      <c r="AB73" s="2"/>
      <c r="AC73" s="2"/>
      <c r="AD73" s="2"/>
    </row>
    <row r="74" spans="1:30" ht="12.75" x14ac:dyDescent="0.2">
      <c r="A74" s="2"/>
      <c r="B74" s="2"/>
      <c r="C74" s="2"/>
      <c r="D74" s="2"/>
      <c r="E74" s="2"/>
      <c r="F74" s="2"/>
      <c r="G74" s="51" t="str">
        <f t="shared" si="9"/>
        <v/>
      </c>
      <c r="H74" s="2"/>
      <c r="I74" s="51" t="str">
        <f t="shared" si="10"/>
        <v/>
      </c>
      <c r="J74" s="2"/>
      <c r="K74" s="51" t="str">
        <f t="shared" si="11"/>
        <v/>
      </c>
      <c r="L74" s="2"/>
      <c r="M74" s="51" t="str">
        <f t="shared" si="12"/>
        <v/>
      </c>
      <c r="N74" s="2"/>
      <c r="O74" s="2"/>
      <c r="P74" s="51" t="str">
        <f t="shared" si="13"/>
        <v/>
      </c>
      <c r="Q74" s="2"/>
      <c r="R74" s="51" t="str">
        <f t="shared" si="14"/>
        <v/>
      </c>
      <c r="S74" s="2"/>
      <c r="T74" s="2"/>
      <c r="U74" s="51" t="str">
        <f t="shared" si="15"/>
        <v/>
      </c>
      <c r="V74" s="2"/>
      <c r="W74" s="51" t="str">
        <f t="shared" si="16"/>
        <v/>
      </c>
      <c r="X74" s="2"/>
      <c r="Y74" s="51" t="str">
        <f t="shared" si="17"/>
        <v/>
      </c>
      <c r="Z74" s="2"/>
      <c r="AA74" s="2"/>
      <c r="AB74" s="2"/>
      <c r="AC74" s="2"/>
      <c r="AD74" s="2"/>
    </row>
    <row r="75" spans="1:30" ht="12.75" x14ac:dyDescent="0.2">
      <c r="A75" s="2"/>
      <c r="B75" s="2"/>
      <c r="C75" s="2"/>
      <c r="D75" s="2"/>
      <c r="E75" s="2"/>
      <c r="F75" s="2"/>
      <c r="G75" s="51" t="str">
        <f t="shared" si="9"/>
        <v/>
      </c>
      <c r="H75" s="2"/>
      <c r="I75" s="51" t="str">
        <f t="shared" si="10"/>
        <v/>
      </c>
      <c r="J75" s="2"/>
      <c r="K75" s="51" t="str">
        <f t="shared" si="11"/>
        <v/>
      </c>
      <c r="L75" s="2"/>
      <c r="M75" s="51" t="str">
        <f t="shared" si="12"/>
        <v/>
      </c>
      <c r="N75" s="2"/>
      <c r="O75" s="2"/>
      <c r="P75" s="51" t="str">
        <f t="shared" si="13"/>
        <v/>
      </c>
      <c r="Q75" s="2"/>
      <c r="R75" s="51" t="str">
        <f t="shared" si="14"/>
        <v/>
      </c>
      <c r="S75" s="2"/>
      <c r="T75" s="2"/>
      <c r="U75" s="51" t="str">
        <f t="shared" si="15"/>
        <v/>
      </c>
      <c r="V75" s="2"/>
      <c r="W75" s="51" t="str">
        <f t="shared" si="16"/>
        <v/>
      </c>
      <c r="X75" s="2"/>
      <c r="Y75" s="51" t="str">
        <f t="shared" si="17"/>
        <v/>
      </c>
      <c r="Z75" s="2"/>
      <c r="AA75" s="2"/>
      <c r="AB75" s="2"/>
      <c r="AC75" s="2"/>
      <c r="AD75" s="2"/>
    </row>
    <row r="76" spans="1:30" ht="12.75" x14ac:dyDescent="0.2">
      <c r="A76" s="2"/>
      <c r="B76" s="2"/>
      <c r="C76" s="2"/>
      <c r="D76" s="2"/>
      <c r="E76" s="2"/>
      <c r="F76" s="2"/>
      <c r="G76" s="51" t="str">
        <f t="shared" si="9"/>
        <v/>
      </c>
      <c r="H76" s="2"/>
      <c r="I76" s="51" t="str">
        <f t="shared" si="10"/>
        <v/>
      </c>
      <c r="J76" s="2"/>
      <c r="K76" s="51" t="str">
        <f t="shared" si="11"/>
        <v/>
      </c>
      <c r="L76" s="2"/>
      <c r="M76" s="51" t="str">
        <f t="shared" si="12"/>
        <v/>
      </c>
      <c r="N76" s="2"/>
      <c r="O76" s="2"/>
      <c r="P76" s="51" t="str">
        <f t="shared" si="13"/>
        <v/>
      </c>
      <c r="Q76" s="2"/>
      <c r="R76" s="51" t="str">
        <f t="shared" si="14"/>
        <v/>
      </c>
      <c r="S76" s="2"/>
      <c r="T76" s="2"/>
      <c r="U76" s="51" t="str">
        <f t="shared" si="15"/>
        <v/>
      </c>
      <c r="V76" s="2"/>
      <c r="W76" s="51" t="str">
        <f t="shared" si="16"/>
        <v/>
      </c>
      <c r="X76" s="2"/>
      <c r="Y76" s="51" t="str">
        <f t="shared" si="17"/>
        <v/>
      </c>
      <c r="Z76" s="2"/>
      <c r="AA76" s="2"/>
      <c r="AB76" s="2"/>
      <c r="AC76" s="2"/>
      <c r="AD76" s="2"/>
    </row>
    <row r="77" spans="1:30" ht="12.75" x14ac:dyDescent="0.2">
      <c r="A77" s="2"/>
      <c r="B77" s="2"/>
      <c r="C77" s="2"/>
      <c r="D77" s="2"/>
      <c r="E77" s="2"/>
      <c r="F77" s="2"/>
      <c r="G77" s="51" t="str">
        <f t="shared" si="9"/>
        <v/>
      </c>
      <c r="H77" s="2"/>
      <c r="I77" s="51" t="str">
        <f t="shared" si="10"/>
        <v/>
      </c>
      <c r="J77" s="2"/>
      <c r="K77" s="51" t="str">
        <f t="shared" si="11"/>
        <v/>
      </c>
      <c r="L77" s="2"/>
      <c r="M77" s="51" t="str">
        <f t="shared" si="12"/>
        <v/>
      </c>
      <c r="N77" s="2"/>
      <c r="O77" s="2"/>
      <c r="P77" s="51" t="str">
        <f t="shared" si="13"/>
        <v/>
      </c>
      <c r="Q77" s="2"/>
      <c r="R77" s="51" t="str">
        <f t="shared" si="14"/>
        <v/>
      </c>
      <c r="S77" s="2"/>
      <c r="T77" s="2"/>
      <c r="U77" s="51" t="str">
        <f t="shared" si="15"/>
        <v/>
      </c>
      <c r="V77" s="2"/>
      <c r="W77" s="51" t="str">
        <f t="shared" si="16"/>
        <v/>
      </c>
      <c r="X77" s="2"/>
      <c r="Y77" s="51" t="str">
        <f t="shared" si="17"/>
        <v/>
      </c>
      <c r="Z77" s="2"/>
      <c r="AA77" s="2"/>
      <c r="AB77" s="2"/>
      <c r="AC77" s="2"/>
      <c r="AD77" s="2"/>
    </row>
    <row r="78" spans="1:30" ht="12.75" x14ac:dyDescent="0.2">
      <c r="A78" s="2"/>
      <c r="B78" s="2"/>
      <c r="C78" s="2"/>
      <c r="D78" s="2"/>
      <c r="E78" s="2"/>
      <c r="F78" s="2"/>
      <c r="G78" s="51" t="str">
        <f t="shared" si="9"/>
        <v/>
      </c>
      <c r="H78" s="2"/>
      <c r="I78" s="51" t="str">
        <f t="shared" si="10"/>
        <v/>
      </c>
      <c r="J78" s="2"/>
      <c r="K78" s="51" t="str">
        <f t="shared" si="11"/>
        <v/>
      </c>
      <c r="L78" s="2"/>
      <c r="M78" s="51" t="str">
        <f t="shared" si="12"/>
        <v/>
      </c>
      <c r="N78" s="2"/>
      <c r="O78" s="2"/>
      <c r="P78" s="51" t="str">
        <f t="shared" si="13"/>
        <v/>
      </c>
      <c r="Q78" s="2"/>
      <c r="R78" s="51" t="str">
        <f t="shared" si="14"/>
        <v/>
      </c>
      <c r="S78" s="2"/>
      <c r="T78" s="2"/>
      <c r="U78" s="51" t="str">
        <f t="shared" si="15"/>
        <v/>
      </c>
      <c r="V78" s="2"/>
      <c r="W78" s="51" t="str">
        <f t="shared" si="16"/>
        <v/>
      </c>
      <c r="X78" s="2"/>
      <c r="Y78" s="51" t="str">
        <f t="shared" si="17"/>
        <v/>
      </c>
      <c r="Z78" s="2"/>
      <c r="AA78" s="2"/>
      <c r="AB78" s="2"/>
      <c r="AC78" s="2"/>
      <c r="AD78" s="2"/>
    </row>
    <row r="79" spans="1:30" ht="12.75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</row>
    <row r="80" spans="1:30" ht="12.75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</row>
    <row r="81" spans="1:30" ht="12.75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</row>
    <row r="82" spans="1:30" ht="12.75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</row>
    <row r="83" spans="1:30" ht="12.75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</row>
    <row r="84" spans="1:30" ht="12.75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</row>
    <row r="85" spans="1:30" ht="12.75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</row>
    <row r="86" spans="1:30" ht="12.75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</row>
    <row r="87" spans="1:30" ht="12.75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</row>
    <row r="88" spans="1:30" ht="12.75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</row>
    <row r="89" spans="1:30" ht="12.75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</row>
    <row r="90" spans="1:30" ht="12.75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</row>
    <row r="91" spans="1:30" ht="12.75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</row>
    <row r="92" spans="1:30" ht="12.75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</row>
    <row r="93" spans="1:30" ht="12.75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</row>
    <row r="94" spans="1:30" ht="12.75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</row>
    <row r="95" spans="1:30" ht="12.75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</row>
    <row r="96" spans="1:30" ht="12.75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</row>
    <row r="97" spans="1:30" ht="12.75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</row>
    <row r="98" spans="1:30" ht="12.75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</row>
    <row r="99" spans="1:30" ht="12.75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</row>
    <row r="100" spans="1:30" ht="12.75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</row>
    <row r="101" spans="1:30" ht="12.75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</row>
    <row r="102" spans="1:30" ht="12.75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</row>
    <row r="103" spans="1:30" ht="12.75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</row>
    <row r="104" spans="1:30" ht="12.75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</row>
    <row r="105" spans="1:30" ht="12.75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</row>
    <row r="106" spans="1:30" ht="12.75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</row>
    <row r="107" spans="1:30" ht="12.75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</row>
    <row r="108" spans="1:30" ht="12.75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</row>
    <row r="109" spans="1:30" ht="12.75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</row>
    <row r="110" spans="1:30" ht="12.75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</row>
    <row r="111" spans="1:30" ht="12.75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</row>
    <row r="112" spans="1:30" ht="12.75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</row>
    <row r="113" spans="1:30" ht="12.75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</row>
    <row r="114" spans="1:30" ht="12.75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</row>
    <row r="115" spans="1:30" ht="12.75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</row>
    <row r="116" spans="1:30" ht="12.75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</row>
    <row r="117" spans="1:30" ht="12.75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</row>
    <row r="118" spans="1:30" ht="12.75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</row>
    <row r="119" spans="1:30" ht="12.75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</row>
    <row r="120" spans="1:30" ht="12.75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</row>
    <row r="121" spans="1:30" ht="12.75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</row>
    <row r="122" spans="1:30" ht="12.75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</row>
    <row r="123" spans="1:30" ht="12.75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</row>
    <row r="124" spans="1:30" ht="12.75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</row>
    <row r="125" spans="1:30" ht="12.75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</row>
    <row r="126" spans="1:30" ht="12.75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</row>
    <row r="127" spans="1:30" ht="12.75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</row>
    <row r="128" spans="1:30" ht="12.75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</row>
    <row r="129" spans="1:30" ht="12.75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</row>
    <row r="130" spans="1:30" ht="12.75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</row>
    <row r="131" spans="1:30" ht="12.75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</row>
    <row r="132" spans="1:30" ht="12.75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</row>
    <row r="133" spans="1:30" ht="12.75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</row>
    <row r="134" spans="1:30" ht="12.75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</row>
    <row r="135" spans="1:30" ht="12.75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</row>
    <row r="136" spans="1:30" ht="12.75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</row>
    <row r="137" spans="1:30" ht="12.75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</row>
    <row r="138" spans="1:30" ht="12.75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</row>
    <row r="139" spans="1:30" ht="12.75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</row>
    <row r="140" spans="1:30" ht="12.75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</row>
    <row r="141" spans="1:30" ht="12.75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</row>
    <row r="142" spans="1:30" ht="12.75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</row>
    <row r="143" spans="1:30" ht="12.75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</row>
    <row r="144" spans="1:30" ht="12.75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</row>
    <row r="145" spans="1:30" ht="12.75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</row>
    <row r="146" spans="1:30" ht="12.75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</row>
    <row r="147" spans="1:30" ht="12.75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</row>
    <row r="148" spans="1:30" ht="12.75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</row>
    <row r="149" spans="1:30" ht="12.75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</row>
    <row r="150" spans="1:30" ht="12.75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</row>
    <row r="151" spans="1:30" ht="12.75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</row>
    <row r="152" spans="1:30" ht="12.75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</row>
    <row r="153" spans="1:30" ht="12.75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</row>
    <row r="154" spans="1:30" ht="12.75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</row>
    <row r="155" spans="1:30" ht="12.75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</row>
    <row r="156" spans="1:30" ht="12.75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</row>
    <row r="157" spans="1:30" ht="12.75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</row>
    <row r="158" spans="1:30" ht="12.75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</row>
    <row r="159" spans="1:30" ht="12.75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</row>
    <row r="160" spans="1:30" ht="12.75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</row>
    <row r="161" spans="1:30" ht="12.75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</row>
    <row r="162" spans="1:30" ht="12.75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</row>
    <row r="163" spans="1:30" ht="12.75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</row>
    <row r="164" spans="1:30" ht="12.75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</row>
    <row r="165" spans="1:30" ht="12.75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</row>
    <row r="166" spans="1:30" ht="12.75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</row>
    <row r="167" spans="1:30" ht="12.75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</row>
    <row r="168" spans="1:30" ht="12.75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</row>
    <row r="169" spans="1:30" ht="12.75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</row>
    <row r="170" spans="1:30" ht="12.75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</row>
    <row r="171" spans="1:30" ht="12.75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</row>
    <row r="172" spans="1:30" ht="12.75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</row>
    <row r="173" spans="1:30" ht="12.75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</row>
    <row r="174" spans="1:30" ht="12.75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</row>
    <row r="175" spans="1:30" ht="12.75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</row>
    <row r="176" spans="1:30" ht="12.75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</row>
    <row r="177" spans="1:30" ht="12.75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</row>
    <row r="178" spans="1:30" ht="12.75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</row>
    <row r="179" spans="1:30" ht="12.75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</row>
    <row r="180" spans="1:30" ht="12.75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</row>
    <row r="181" spans="1:30" ht="12.75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</row>
    <row r="182" spans="1:30" ht="12.75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</row>
    <row r="183" spans="1:30" ht="12.75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</row>
    <row r="184" spans="1:30" ht="12.75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</row>
    <row r="185" spans="1:30" ht="12.75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</row>
    <row r="186" spans="1:30" ht="12.75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</row>
    <row r="187" spans="1:30" ht="12.75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</row>
    <row r="188" spans="1:30" ht="12.75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</row>
    <row r="189" spans="1:30" ht="12.75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</row>
    <row r="190" spans="1:30" ht="12.75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</row>
    <row r="191" spans="1:30" ht="12.75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</row>
    <row r="192" spans="1:30" ht="12.75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</row>
    <row r="193" spans="1:30" ht="12.75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</row>
    <row r="194" spans="1:30" ht="12.75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</row>
    <row r="195" spans="1:30" ht="12.75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</row>
    <row r="196" spans="1:30" ht="12.75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</row>
    <row r="197" spans="1:30" ht="12.75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</row>
    <row r="198" spans="1:30" ht="12.75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</row>
    <row r="199" spans="1:30" ht="12.75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</row>
    <row r="200" spans="1:30" ht="12.75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</row>
    <row r="201" spans="1:30" ht="12.75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</row>
    <row r="202" spans="1:30" ht="12.75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</row>
    <row r="203" spans="1:30" ht="12.75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</row>
    <row r="204" spans="1:30" ht="12.75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</row>
    <row r="205" spans="1:30" ht="12.75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</row>
    <row r="206" spans="1:30" ht="12.75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</row>
    <row r="207" spans="1:30" ht="12.75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</row>
    <row r="208" spans="1:30" ht="12.75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</row>
    <row r="209" spans="1:30" ht="12.75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</row>
    <row r="210" spans="1:30" ht="12.75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</row>
    <row r="211" spans="1:30" ht="12.75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</row>
    <row r="212" spans="1:30" ht="12.75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</row>
    <row r="213" spans="1:30" ht="12.75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</row>
    <row r="214" spans="1:30" ht="12.75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</row>
    <row r="215" spans="1:30" ht="12.75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</row>
    <row r="216" spans="1:30" ht="12.75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</row>
    <row r="217" spans="1:30" ht="12.75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</row>
    <row r="218" spans="1:30" ht="12.75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</row>
    <row r="219" spans="1:30" ht="12.75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</row>
    <row r="220" spans="1:30" ht="12.75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</row>
    <row r="221" spans="1:30" ht="12.75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</row>
    <row r="222" spans="1:30" ht="12.75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</row>
    <row r="223" spans="1:30" ht="12.75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</row>
    <row r="224" spans="1:30" ht="12.75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</row>
    <row r="225" spans="1:30" ht="12.75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</row>
    <row r="226" spans="1:30" ht="12.75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</row>
    <row r="227" spans="1:30" ht="12.75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</row>
    <row r="228" spans="1:30" ht="12.75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</row>
    <row r="229" spans="1:30" ht="12.75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</row>
    <row r="230" spans="1:30" ht="12.75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</row>
    <row r="231" spans="1:30" ht="12.75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</row>
    <row r="232" spans="1:30" ht="12.75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</row>
    <row r="233" spans="1:30" ht="12.75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</row>
    <row r="234" spans="1:30" ht="12.75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</row>
    <row r="235" spans="1:30" ht="12.75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</row>
    <row r="236" spans="1:30" ht="12.75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</row>
    <row r="237" spans="1:30" ht="12.75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</row>
    <row r="238" spans="1:30" ht="12.75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</row>
    <row r="239" spans="1:30" ht="12.75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</row>
    <row r="240" spans="1:30" ht="12.75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</row>
    <row r="241" spans="1:30" ht="12.75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</row>
    <row r="242" spans="1:30" ht="12.75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</row>
    <row r="243" spans="1:30" ht="12.75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</row>
    <row r="244" spans="1:30" ht="12.75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</row>
    <row r="245" spans="1:30" ht="12.75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</row>
    <row r="246" spans="1:30" ht="12.75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</row>
    <row r="247" spans="1:30" ht="12.75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</row>
    <row r="248" spans="1:30" ht="12.75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</row>
    <row r="249" spans="1:30" ht="12.75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</row>
    <row r="250" spans="1:30" ht="12.75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</row>
    <row r="251" spans="1:30" ht="12.75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</row>
    <row r="252" spans="1:30" ht="12.75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</row>
    <row r="253" spans="1:30" ht="12.75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</row>
    <row r="254" spans="1:30" ht="12.75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</row>
    <row r="255" spans="1:30" ht="12.75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</row>
    <row r="256" spans="1:30" ht="12.75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</row>
    <row r="257" spans="1:30" ht="12.75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</row>
    <row r="258" spans="1:30" ht="12.75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</row>
    <row r="259" spans="1:30" ht="12.75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</row>
    <row r="260" spans="1:30" ht="12.75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</row>
    <row r="261" spans="1:30" ht="12.75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</row>
    <row r="262" spans="1:30" ht="12.75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</row>
    <row r="263" spans="1:30" ht="12.75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</row>
    <row r="264" spans="1:30" ht="12.75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</row>
    <row r="265" spans="1:30" ht="12.75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</row>
    <row r="266" spans="1:30" ht="12.75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</row>
    <row r="267" spans="1:30" ht="12.75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</row>
    <row r="268" spans="1:30" ht="12.75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</row>
    <row r="269" spans="1:30" ht="12.75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</row>
    <row r="270" spans="1:30" ht="12.75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</row>
    <row r="271" spans="1:30" ht="12.75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</row>
    <row r="272" spans="1:30" ht="12.75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</row>
    <row r="273" spans="1:30" ht="12.75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</row>
    <row r="274" spans="1:30" ht="12.75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</row>
    <row r="275" spans="1:30" ht="12.75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</row>
    <row r="276" spans="1:30" ht="12.75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</row>
    <row r="277" spans="1:30" ht="12.75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</row>
    <row r="278" spans="1:30" ht="12.75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</row>
    <row r="279" spans="1:30" ht="12.75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</row>
    <row r="280" spans="1:30" ht="12.75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</row>
    <row r="281" spans="1:30" ht="12.75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</row>
    <row r="282" spans="1:30" ht="12.75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</row>
    <row r="283" spans="1:30" ht="12.75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</row>
    <row r="284" spans="1:30" ht="12.75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</row>
    <row r="285" spans="1:30" ht="12.75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</row>
    <row r="286" spans="1:30" ht="12.75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</row>
    <row r="287" spans="1:30" ht="12.75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</row>
    <row r="288" spans="1:30" ht="12.75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</row>
    <row r="289" spans="1:30" ht="12.75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</row>
    <row r="290" spans="1:30" ht="12.75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</row>
    <row r="291" spans="1:30" ht="12.75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</row>
    <row r="292" spans="1:30" ht="12.75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</row>
    <row r="293" spans="1:30" ht="12.75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</row>
    <row r="294" spans="1:30" ht="12.75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</row>
    <row r="295" spans="1:30" ht="12.75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</row>
    <row r="296" spans="1:30" ht="12.75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</row>
    <row r="297" spans="1:30" ht="12.75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</row>
    <row r="298" spans="1:30" ht="12.75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</row>
    <row r="299" spans="1:30" ht="12.75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</row>
    <row r="300" spans="1:30" ht="12.75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</row>
    <row r="301" spans="1:30" ht="12.75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</row>
    <row r="302" spans="1:30" ht="12.75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</row>
    <row r="303" spans="1:30" ht="12.75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</row>
    <row r="304" spans="1:30" ht="12.75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</row>
    <row r="305" spans="1:30" ht="12.75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</row>
    <row r="306" spans="1:30" ht="12.75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</row>
    <row r="307" spans="1:30" ht="12.75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</row>
    <row r="308" spans="1:30" ht="12.75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</row>
    <row r="309" spans="1:30" ht="12.75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</row>
    <row r="310" spans="1:30" ht="12.75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</row>
    <row r="311" spans="1:30" ht="12.75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</row>
    <row r="312" spans="1:30" ht="12.75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</row>
    <row r="313" spans="1:30" ht="12.75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</row>
    <row r="314" spans="1:30" ht="12.75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</row>
    <row r="315" spans="1:30" ht="12.75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</row>
    <row r="316" spans="1:30" ht="12.75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</row>
    <row r="317" spans="1:30" ht="12.75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</row>
    <row r="318" spans="1:30" ht="12.75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</row>
    <row r="319" spans="1:30" ht="12.75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</row>
    <row r="320" spans="1:30" ht="12.75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</row>
    <row r="321" spans="1:30" ht="12.75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</row>
    <row r="322" spans="1:30" ht="12.75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</row>
    <row r="323" spans="1:30" ht="12.75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</row>
    <row r="324" spans="1:30" ht="12.75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</row>
    <row r="325" spans="1:30" ht="12.75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</row>
    <row r="326" spans="1:30" ht="12.75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</row>
    <row r="327" spans="1:30" ht="12.75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</row>
    <row r="328" spans="1:30" ht="12.75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</row>
    <row r="329" spans="1:30" ht="12.75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</row>
    <row r="330" spans="1:30" ht="12.75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</row>
    <row r="331" spans="1:30" ht="12.75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</row>
    <row r="332" spans="1:30" ht="12.75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</row>
    <row r="333" spans="1:30" ht="12.75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</row>
    <row r="334" spans="1:30" ht="12.75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</row>
    <row r="335" spans="1:30" ht="12.75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</row>
    <row r="336" spans="1:30" ht="12.75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</row>
    <row r="337" spans="1:30" ht="12.75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</row>
    <row r="338" spans="1:30" ht="12.75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</row>
    <row r="339" spans="1:30" ht="12.75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</row>
    <row r="340" spans="1:30" ht="12.75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</row>
    <row r="341" spans="1:30" ht="12.75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</row>
    <row r="342" spans="1:30" ht="12.75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</row>
    <row r="343" spans="1:30" ht="12.75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</row>
    <row r="344" spans="1:30" ht="12.75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</row>
    <row r="345" spans="1:30" ht="12.75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</row>
    <row r="346" spans="1:30" ht="12.75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</row>
    <row r="347" spans="1:30" ht="12.75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</row>
    <row r="348" spans="1:30" ht="12.75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</row>
    <row r="349" spans="1:30" ht="12.75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</row>
    <row r="350" spans="1:30" ht="12.75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</row>
    <row r="351" spans="1:30" ht="12.75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</row>
    <row r="352" spans="1:30" ht="12.75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</row>
    <row r="353" spans="1:30" ht="12.75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</row>
    <row r="354" spans="1:30" ht="12.75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</row>
    <row r="355" spans="1:30" ht="12.75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</row>
    <row r="356" spans="1:30" ht="12.75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</row>
    <row r="357" spans="1:30" ht="12.75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</row>
    <row r="358" spans="1:30" ht="12.75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</row>
    <row r="359" spans="1:30" ht="12.75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</row>
    <row r="360" spans="1:30" ht="12.75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</row>
    <row r="361" spans="1:30" ht="12.75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</row>
    <row r="362" spans="1:30" ht="12.75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</row>
    <row r="363" spans="1:30" ht="12.75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</row>
    <row r="364" spans="1:30" ht="12.75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</row>
    <row r="365" spans="1:30" ht="12.75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</row>
    <row r="366" spans="1:30" ht="12.75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</row>
    <row r="367" spans="1:30" ht="12.75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</row>
    <row r="368" spans="1:30" ht="12.75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</row>
    <row r="369" spans="1:30" ht="12.75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</row>
    <row r="370" spans="1:30" ht="12.75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</row>
    <row r="371" spans="1:30" ht="12.75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</row>
    <row r="372" spans="1:30" ht="12.75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</row>
    <row r="373" spans="1:30" ht="12.75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</row>
    <row r="374" spans="1:30" ht="12.75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</row>
    <row r="375" spans="1:30" ht="12.75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</row>
    <row r="376" spans="1:30" ht="12.75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</row>
    <row r="377" spans="1:30" ht="12.75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</row>
    <row r="378" spans="1:30" ht="12.75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</row>
    <row r="379" spans="1:30" ht="12.75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</row>
    <row r="380" spans="1:30" ht="12.75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</row>
    <row r="381" spans="1:30" ht="12.75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</row>
    <row r="382" spans="1:30" ht="12.75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</row>
    <row r="383" spans="1:30" ht="12.75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</row>
    <row r="384" spans="1:30" ht="12.75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</row>
    <row r="385" spans="1:30" ht="12.75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</row>
    <row r="386" spans="1:30" ht="12.75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</row>
    <row r="387" spans="1:30" ht="12.75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</row>
    <row r="388" spans="1:30" ht="12.75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</row>
    <row r="389" spans="1:30" ht="12.75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</row>
    <row r="390" spans="1:30" ht="12.75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</row>
    <row r="391" spans="1:30" ht="12.75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</row>
    <row r="392" spans="1:30" ht="12.75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</row>
    <row r="393" spans="1:30" ht="12.75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</row>
    <row r="394" spans="1:30" ht="12.75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</row>
    <row r="395" spans="1:30" ht="12.75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</row>
    <row r="396" spans="1:30" ht="12.75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</row>
    <row r="397" spans="1:30" ht="12.75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</row>
    <row r="398" spans="1:30" ht="12.75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</row>
    <row r="399" spans="1:30" ht="12.75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</row>
    <row r="400" spans="1:30" ht="12.75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</row>
    <row r="401" spans="1:30" ht="12.75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</row>
    <row r="402" spans="1:30" ht="12.75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</row>
    <row r="403" spans="1:30" ht="12.75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</row>
    <row r="404" spans="1:30" ht="12.75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</row>
    <row r="405" spans="1:30" ht="12.75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</row>
    <row r="406" spans="1:30" ht="12.75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</row>
    <row r="407" spans="1:30" ht="12.75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</row>
    <row r="408" spans="1:30" ht="12.75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</row>
    <row r="409" spans="1:30" ht="12.75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</row>
    <row r="410" spans="1:30" ht="12.75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</row>
    <row r="411" spans="1:30" ht="12.75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</row>
    <row r="412" spans="1:30" ht="12.75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</row>
    <row r="413" spans="1:30" ht="12.75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</row>
    <row r="414" spans="1:30" ht="12.75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</row>
    <row r="415" spans="1:30" ht="12.75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</row>
    <row r="416" spans="1:30" ht="12.75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</row>
    <row r="417" spans="1:30" ht="12.75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</row>
    <row r="418" spans="1:30" ht="12.75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</row>
    <row r="419" spans="1:30" ht="12.75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</row>
    <row r="420" spans="1:30" ht="12.75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</row>
    <row r="421" spans="1:30" ht="12.75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</row>
    <row r="422" spans="1:30" ht="12.75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</row>
    <row r="423" spans="1:30" ht="12.75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</row>
    <row r="424" spans="1:30" ht="12.75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</row>
    <row r="425" spans="1:30" ht="12.75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</row>
    <row r="426" spans="1:30" ht="12.75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</row>
    <row r="427" spans="1:30" ht="12.75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</row>
    <row r="428" spans="1:30" ht="12.75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</row>
    <row r="429" spans="1:30" ht="12.75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</row>
    <row r="430" spans="1:30" ht="12.75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</row>
    <row r="431" spans="1:30" ht="12.75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</row>
    <row r="432" spans="1:30" ht="12.75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</row>
    <row r="433" spans="1:30" ht="12.75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</row>
    <row r="434" spans="1:30" ht="12.75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</row>
    <row r="435" spans="1:30" ht="12.75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</row>
    <row r="436" spans="1:30" ht="12.75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</row>
    <row r="437" spans="1:30" ht="12.75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</row>
    <row r="438" spans="1:30" ht="12.75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</row>
    <row r="439" spans="1:30" ht="12.75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</row>
    <row r="440" spans="1:30" ht="12.75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</row>
    <row r="441" spans="1:30" ht="12.75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</row>
    <row r="442" spans="1:30" ht="12.75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</row>
    <row r="443" spans="1:30" ht="12.75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</row>
    <row r="444" spans="1:30" ht="12.75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</row>
    <row r="445" spans="1:30" ht="12.75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</row>
    <row r="446" spans="1:30" ht="12.75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</row>
    <row r="447" spans="1:30" ht="12.75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</row>
    <row r="448" spans="1:30" ht="12.75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</row>
    <row r="449" spans="1:30" ht="12.75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</row>
    <row r="450" spans="1:30" ht="12.75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</row>
    <row r="451" spans="1:30" ht="12.75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</row>
    <row r="452" spans="1:30" ht="12.75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</row>
    <row r="453" spans="1:30" ht="12.75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</row>
    <row r="454" spans="1:30" ht="12.75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</row>
    <row r="455" spans="1:30" ht="12.75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</row>
    <row r="456" spans="1:30" ht="12.75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</row>
    <row r="457" spans="1:30" ht="12.75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</row>
    <row r="458" spans="1:30" ht="12.75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</row>
    <row r="459" spans="1:30" ht="12.75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</row>
    <row r="460" spans="1:30" ht="12.75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</row>
    <row r="461" spans="1:30" ht="12.75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</row>
    <row r="462" spans="1:30" ht="12.75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</row>
    <row r="463" spans="1:30" ht="12.75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</row>
    <row r="464" spans="1:30" ht="12.75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</row>
    <row r="465" spans="1:30" ht="12.75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</row>
    <row r="466" spans="1:30" ht="12.75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</row>
    <row r="467" spans="1:30" ht="12.75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</row>
    <row r="468" spans="1:30" ht="12.75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</row>
    <row r="469" spans="1:30" ht="12.75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</row>
    <row r="470" spans="1:30" ht="12.75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</row>
    <row r="471" spans="1:30" ht="12.75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</row>
    <row r="472" spans="1:30" ht="12.75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</row>
    <row r="473" spans="1:30" ht="12.75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</row>
    <row r="474" spans="1:30" ht="12.75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</row>
    <row r="475" spans="1:30" ht="12.75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</row>
    <row r="476" spans="1:30" ht="12.75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</row>
    <row r="477" spans="1:30" ht="12.75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</row>
    <row r="478" spans="1:30" ht="12.75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</row>
    <row r="479" spans="1:30" ht="12.75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</row>
    <row r="480" spans="1:30" ht="12.75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</row>
    <row r="481" spans="1:30" ht="12.75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</row>
    <row r="482" spans="1:30" ht="12.75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</row>
    <row r="483" spans="1:30" ht="12.75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</row>
    <row r="484" spans="1:30" ht="12.75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</row>
    <row r="485" spans="1:30" ht="12.75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</row>
    <row r="486" spans="1:30" ht="12.75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</row>
    <row r="487" spans="1:30" ht="12.75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</row>
    <row r="488" spans="1:30" ht="12.75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</row>
    <row r="489" spans="1:30" ht="12.75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</row>
    <row r="490" spans="1:30" ht="12.75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</row>
    <row r="491" spans="1:30" ht="12.75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</row>
    <row r="492" spans="1:30" ht="12.75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</row>
    <row r="493" spans="1:30" ht="12.75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</row>
    <row r="494" spans="1:30" ht="12.75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</row>
    <row r="495" spans="1:30" ht="12.75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</row>
    <row r="496" spans="1:30" ht="12.75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</row>
    <row r="497" spans="1:30" ht="12.75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</row>
    <row r="498" spans="1:30" ht="12.75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</row>
    <row r="499" spans="1:30" ht="12.75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</row>
    <row r="500" spans="1:30" ht="12.75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</row>
    <row r="501" spans="1:30" ht="12.75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</row>
    <row r="502" spans="1:30" ht="12.75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</row>
    <row r="503" spans="1:30" ht="12.75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</row>
    <row r="504" spans="1:30" ht="12.75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</row>
    <row r="505" spans="1:30" ht="12.75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</row>
    <row r="506" spans="1:30" ht="12.75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</row>
    <row r="507" spans="1:30" ht="12.75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</row>
    <row r="508" spans="1:30" ht="12.75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</row>
    <row r="509" spans="1:30" ht="12.75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</row>
    <row r="510" spans="1:30" ht="12.75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</row>
    <row r="511" spans="1:30" ht="12.75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</row>
    <row r="512" spans="1:30" ht="12.75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</row>
    <row r="513" spans="1:30" ht="12.75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</row>
    <row r="514" spans="1:30" ht="12.75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</row>
    <row r="515" spans="1:30" ht="12.75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</row>
    <row r="516" spans="1:30" ht="12.75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</row>
    <row r="517" spans="1:30" ht="12.75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</row>
    <row r="518" spans="1:30" ht="12.75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</row>
    <row r="519" spans="1:30" ht="12.75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</row>
    <row r="520" spans="1:30" ht="12.75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</row>
    <row r="521" spans="1:30" ht="12.75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</row>
    <row r="522" spans="1:30" ht="12.75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</row>
    <row r="523" spans="1:30" ht="12.75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</row>
    <row r="524" spans="1:30" ht="12.75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</row>
    <row r="525" spans="1:30" ht="12.75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</row>
    <row r="526" spans="1:30" ht="12.75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</row>
    <row r="527" spans="1:30" ht="12.75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</row>
    <row r="528" spans="1:30" ht="12.75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</row>
    <row r="529" spans="1:30" ht="12.75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</row>
    <row r="530" spans="1:30" ht="12.75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</row>
    <row r="531" spans="1:30" ht="12.75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</row>
    <row r="532" spans="1:30" ht="12.75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</row>
    <row r="533" spans="1:30" ht="12.75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</row>
    <row r="534" spans="1:30" ht="12.75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</row>
    <row r="535" spans="1:30" ht="12.75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</row>
    <row r="536" spans="1:30" ht="12.75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</row>
    <row r="537" spans="1:30" ht="12.75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</row>
    <row r="538" spans="1:30" ht="12.75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</row>
    <row r="539" spans="1:30" ht="12.75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</row>
    <row r="540" spans="1:30" ht="12.75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</row>
    <row r="541" spans="1:30" ht="12.75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</row>
    <row r="542" spans="1:30" ht="12.75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</row>
    <row r="543" spans="1:30" ht="12.75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</row>
    <row r="544" spans="1:30" ht="12.75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</row>
    <row r="545" spans="1:30" ht="12.75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</row>
    <row r="546" spans="1:30" ht="12.75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</row>
    <row r="547" spans="1:30" ht="12.75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</row>
    <row r="548" spans="1:30" ht="12.75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</row>
    <row r="549" spans="1:30" ht="12.75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</row>
    <row r="550" spans="1:30" ht="12.75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</row>
    <row r="551" spans="1:30" ht="12.75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</row>
    <row r="552" spans="1:30" ht="12.75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</row>
    <row r="553" spans="1:30" ht="12.75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</row>
    <row r="554" spans="1:30" ht="12.75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</row>
    <row r="555" spans="1:30" ht="12.75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</row>
    <row r="556" spans="1:30" ht="12.75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</row>
    <row r="557" spans="1:30" ht="12.75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</row>
    <row r="558" spans="1:30" ht="12.75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</row>
    <row r="559" spans="1:30" ht="12.75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</row>
    <row r="560" spans="1:30" ht="12.75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</row>
    <row r="561" spans="1:30" ht="12.75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</row>
    <row r="562" spans="1:30" ht="12.75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</row>
    <row r="563" spans="1:30" ht="12.75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</row>
    <row r="564" spans="1:30" ht="12.75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</row>
    <row r="565" spans="1:30" ht="12.75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</row>
    <row r="566" spans="1:30" ht="12.75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</row>
    <row r="567" spans="1:30" ht="12.75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</row>
    <row r="568" spans="1:30" ht="12.75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</row>
    <row r="569" spans="1:30" ht="12.75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</row>
    <row r="570" spans="1:30" ht="12.75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</row>
    <row r="571" spans="1:30" ht="12.75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</row>
    <row r="572" spans="1:30" ht="12.75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</row>
    <row r="573" spans="1:30" ht="12.75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</row>
    <row r="574" spans="1:30" ht="12.75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</row>
    <row r="575" spans="1:30" ht="12.75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</row>
    <row r="576" spans="1:30" ht="12.75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</row>
    <row r="577" spans="1:30" ht="12.75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</row>
    <row r="578" spans="1:30" ht="12.75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</row>
    <row r="579" spans="1:30" ht="12.75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</row>
    <row r="580" spans="1:30" ht="12.75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</row>
    <row r="581" spans="1:30" ht="12.75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</row>
    <row r="582" spans="1:30" ht="12.75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</row>
    <row r="583" spans="1:30" ht="12.75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</row>
    <row r="584" spans="1:30" ht="12.75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</row>
    <row r="585" spans="1:30" ht="12.75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</row>
    <row r="586" spans="1:30" ht="12.75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</row>
    <row r="587" spans="1:30" ht="12.75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</row>
    <row r="588" spans="1:30" ht="12.75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</row>
    <row r="589" spans="1:30" ht="12.75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</row>
    <row r="590" spans="1:30" ht="12.75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</row>
    <row r="591" spans="1:30" ht="12.75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</row>
    <row r="592" spans="1:30" ht="12.75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</row>
    <row r="593" spans="1:30" ht="12.75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</row>
    <row r="594" spans="1:30" ht="12.75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</row>
    <row r="595" spans="1:30" ht="12.75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</row>
    <row r="596" spans="1:30" ht="12.75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</row>
    <row r="597" spans="1:30" ht="12.75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</row>
    <row r="598" spans="1:30" ht="12.75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</row>
    <row r="599" spans="1:30" ht="12.75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</row>
    <row r="600" spans="1:30" ht="12.75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</row>
    <row r="601" spans="1:30" ht="12.75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</row>
    <row r="602" spans="1:30" ht="12.75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</row>
    <row r="603" spans="1:30" ht="12.75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</row>
    <row r="604" spans="1:30" ht="12.75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</row>
    <row r="605" spans="1:30" ht="12.75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</row>
    <row r="606" spans="1:30" ht="12.75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</row>
    <row r="607" spans="1:30" ht="12.75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</row>
    <row r="608" spans="1:30" ht="12.75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</row>
    <row r="609" spans="1:30" ht="12.75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</row>
    <row r="610" spans="1:30" ht="12.75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</row>
    <row r="611" spans="1:30" ht="12.75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</row>
    <row r="612" spans="1:30" ht="12.75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</row>
    <row r="613" spans="1:30" ht="12.75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</row>
    <row r="614" spans="1:30" ht="12.75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</row>
    <row r="615" spans="1:30" ht="12.75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</row>
    <row r="616" spans="1:30" ht="12.75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</row>
    <row r="617" spans="1:30" ht="12.75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</row>
    <row r="618" spans="1:30" ht="12.75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</row>
    <row r="619" spans="1:30" ht="12.75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</row>
    <row r="620" spans="1:30" ht="12.75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</row>
    <row r="621" spans="1:30" ht="12.75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</row>
    <row r="622" spans="1:30" ht="12.75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</row>
    <row r="623" spans="1:30" ht="12.75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</row>
    <row r="624" spans="1:30" ht="12.75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</row>
    <row r="625" spans="1:30" ht="12.75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</row>
    <row r="626" spans="1:30" ht="12.75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</row>
    <row r="627" spans="1:30" ht="12.75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</row>
    <row r="628" spans="1:30" ht="12.75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</row>
    <row r="629" spans="1:30" ht="12.75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</row>
    <row r="630" spans="1:30" ht="12.75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</row>
    <row r="631" spans="1:30" ht="12.75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</row>
    <row r="632" spans="1:30" ht="12.75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</row>
    <row r="633" spans="1:30" ht="12.75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</row>
    <row r="634" spans="1:30" ht="12.75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</row>
    <row r="635" spans="1:30" ht="12.75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</row>
    <row r="636" spans="1:30" ht="12.75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</row>
    <row r="637" spans="1:30" ht="12.75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</row>
    <row r="638" spans="1:30" ht="12.75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</row>
    <row r="639" spans="1:30" ht="12.75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</row>
    <row r="640" spans="1:30" ht="12.75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</row>
    <row r="641" spans="1:30" ht="12.75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</row>
    <row r="642" spans="1:30" ht="12.75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</row>
    <row r="643" spans="1:30" ht="12.75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</row>
    <row r="644" spans="1:30" ht="12.75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</row>
    <row r="645" spans="1:30" ht="12.75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</row>
    <row r="646" spans="1:30" ht="12.75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</row>
    <row r="647" spans="1:30" ht="12.75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</row>
    <row r="648" spans="1:30" ht="12.75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</row>
    <row r="649" spans="1:30" ht="12.75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</row>
    <row r="650" spans="1:30" ht="12.75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</row>
    <row r="651" spans="1:30" ht="12.75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</row>
    <row r="652" spans="1:30" ht="12.75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</row>
    <row r="653" spans="1:30" ht="12.75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</row>
    <row r="654" spans="1:30" ht="12.75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</row>
    <row r="655" spans="1:30" ht="12.75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</row>
    <row r="656" spans="1:30" ht="12.75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</row>
    <row r="657" spans="1:30" ht="12.75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</row>
    <row r="658" spans="1:30" ht="12.75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</row>
    <row r="659" spans="1:30" ht="12.75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</row>
    <row r="660" spans="1:30" ht="12.75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</row>
    <row r="661" spans="1:30" ht="12.75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</row>
    <row r="662" spans="1:30" ht="12.75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</row>
    <row r="663" spans="1:30" ht="12.75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</row>
    <row r="664" spans="1:30" ht="12.75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</row>
    <row r="665" spans="1:30" ht="12.75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</row>
    <row r="666" spans="1:30" ht="12.75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</row>
    <row r="667" spans="1:30" ht="12.75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</row>
    <row r="668" spans="1:30" ht="12.75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</row>
    <row r="669" spans="1:30" ht="12.75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</row>
    <row r="670" spans="1:30" ht="12.75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</row>
    <row r="671" spans="1:30" ht="12.75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</row>
    <row r="672" spans="1:30" ht="12.75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</row>
    <row r="673" spans="1:30" ht="12.75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</row>
    <row r="674" spans="1:30" ht="12.75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</row>
    <row r="675" spans="1:30" ht="12.75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</row>
    <row r="676" spans="1:30" ht="12.75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</row>
    <row r="677" spans="1:30" ht="12.75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</row>
    <row r="678" spans="1:30" ht="12.75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</row>
    <row r="679" spans="1:30" ht="12.75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</row>
    <row r="680" spans="1:30" ht="12.75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</row>
    <row r="681" spans="1:30" ht="12.75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</row>
    <row r="682" spans="1:30" ht="12.75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</row>
    <row r="683" spans="1:30" ht="12.75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</row>
    <row r="684" spans="1:30" ht="12.75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</row>
    <row r="685" spans="1:30" ht="12.75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</row>
    <row r="686" spans="1:30" ht="12.75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</row>
    <row r="687" spans="1:30" ht="12.75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</row>
    <row r="688" spans="1:30" ht="12.75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</row>
    <row r="689" spans="1:30" ht="12.75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</row>
    <row r="690" spans="1:30" ht="12.75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</row>
    <row r="691" spans="1:30" ht="12.75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</row>
    <row r="692" spans="1:30" ht="12.75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</row>
    <row r="693" spans="1:30" ht="12.75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</row>
    <row r="694" spans="1:30" ht="12.75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</row>
    <row r="695" spans="1:30" ht="12.75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</row>
    <row r="696" spans="1:30" ht="12.75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</row>
    <row r="697" spans="1:30" ht="12.75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</row>
    <row r="698" spans="1:30" ht="12.75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</row>
    <row r="699" spans="1:30" ht="12.75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</row>
    <row r="700" spans="1:30" ht="12.75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</row>
    <row r="701" spans="1:30" ht="12.75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</row>
    <row r="702" spans="1:30" ht="12.75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</row>
    <row r="703" spans="1:30" ht="12.75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</row>
    <row r="704" spans="1:30" ht="12.75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</row>
    <row r="705" spans="1:30" ht="12.75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</row>
    <row r="706" spans="1:30" ht="12.75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</row>
    <row r="707" spans="1:30" ht="12.75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</row>
    <row r="708" spans="1:30" ht="12.75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</row>
    <row r="709" spans="1:30" ht="12.75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</row>
    <row r="710" spans="1:30" ht="12.75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</row>
    <row r="711" spans="1:30" ht="12.75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</row>
    <row r="712" spans="1:30" ht="12.75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</row>
    <row r="713" spans="1:30" ht="12.75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</row>
    <row r="714" spans="1:30" ht="12.75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</row>
    <row r="715" spans="1:30" ht="12.75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</row>
    <row r="716" spans="1:30" ht="12.75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</row>
    <row r="717" spans="1:30" ht="12.75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</row>
    <row r="718" spans="1:30" ht="12.75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</row>
    <row r="719" spans="1:30" ht="12.75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</row>
    <row r="720" spans="1:30" ht="12.75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</row>
    <row r="721" spans="1:30" ht="12.75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</row>
    <row r="722" spans="1:30" ht="12.75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</row>
    <row r="723" spans="1:30" ht="12.75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</row>
    <row r="724" spans="1:30" ht="12.75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</row>
    <row r="725" spans="1:30" ht="12.75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</row>
    <row r="726" spans="1:30" ht="12.75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</row>
    <row r="727" spans="1:30" ht="12.75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</row>
    <row r="728" spans="1:30" ht="12.75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</row>
    <row r="729" spans="1:30" ht="12.75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</row>
    <row r="730" spans="1:30" ht="12.75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</row>
    <row r="731" spans="1:30" ht="12.75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</row>
    <row r="732" spans="1:30" ht="12.75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</row>
    <row r="733" spans="1:30" ht="12.75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</row>
    <row r="734" spans="1:30" ht="12.75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</row>
    <row r="735" spans="1:30" ht="12.75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</row>
    <row r="736" spans="1:30" ht="12.75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</row>
    <row r="737" spans="1:30" ht="12.75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</row>
    <row r="738" spans="1:30" ht="12.75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</row>
    <row r="739" spans="1:30" ht="12.75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</row>
    <row r="740" spans="1:30" ht="12.75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</row>
    <row r="741" spans="1:30" ht="12.75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</row>
    <row r="742" spans="1:30" ht="12.75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</row>
    <row r="743" spans="1:30" ht="12.75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</row>
    <row r="744" spans="1:30" ht="12.75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</row>
    <row r="745" spans="1:30" ht="12.75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</row>
    <row r="746" spans="1:30" ht="12.75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</row>
    <row r="747" spans="1:30" ht="12.75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</row>
    <row r="748" spans="1:30" ht="12.75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</row>
    <row r="749" spans="1:30" ht="12.75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</row>
    <row r="750" spans="1:30" ht="12.75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</row>
    <row r="751" spans="1:30" ht="12.75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</row>
    <row r="752" spans="1:30" ht="12.75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</row>
    <row r="753" spans="1:30" ht="12.75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</row>
    <row r="754" spans="1:30" ht="12.75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</row>
    <row r="755" spans="1:30" ht="12.75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</row>
    <row r="756" spans="1:30" ht="12.75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</row>
    <row r="757" spans="1:30" ht="12.75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</row>
    <row r="758" spans="1:30" ht="12.75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</row>
    <row r="759" spans="1:30" ht="12.75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</row>
    <row r="760" spans="1:30" ht="12.75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</row>
    <row r="761" spans="1:30" ht="12.75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</row>
    <row r="762" spans="1:30" ht="12.75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</row>
    <row r="763" spans="1:30" ht="12.75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</row>
    <row r="764" spans="1:30" ht="12.75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</row>
    <row r="765" spans="1:30" ht="12.75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</row>
    <row r="766" spans="1:30" ht="12.75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</row>
    <row r="767" spans="1:30" ht="12.75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</row>
    <row r="768" spans="1:30" ht="12.75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</row>
    <row r="769" spans="1:30" ht="12.75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</row>
    <row r="770" spans="1:30" ht="12.75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</row>
    <row r="771" spans="1:30" ht="12.75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</row>
    <row r="772" spans="1:30" ht="12.75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</row>
    <row r="773" spans="1:30" ht="12.75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</row>
    <row r="774" spans="1:30" ht="12.75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</row>
    <row r="775" spans="1:30" ht="12.75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</row>
    <row r="776" spans="1:30" ht="12.75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</row>
    <row r="777" spans="1:30" ht="12.75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</row>
    <row r="778" spans="1:30" ht="12.75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</row>
    <row r="779" spans="1:30" ht="12.75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</row>
    <row r="780" spans="1:30" ht="12.75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</row>
    <row r="781" spans="1:30" ht="12.75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</row>
    <row r="782" spans="1:30" ht="12.75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</row>
    <row r="783" spans="1:30" ht="12.75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</row>
    <row r="784" spans="1:30" ht="12.75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</row>
    <row r="785" spans="1:30" ht="12.75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</row>
    <row r="786" spans="1:30" ht="12.75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</row>
    <row r="787" spans="1:30" ht="12.75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</row>
    <row r="788" spans="1:30" ht="12.75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</row>
    <row r="789" spans="1:30" ht="12.75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</row>
    <row r="790" spans="1:30" ht="12.75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</row>
    <row r="791" spans="1:30" ht="12.75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</row>
    <row r="792" spans="1:30" ht="12.75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</row>
    <row r="793" spans="1:30" ht="12.75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</row>
    <row r="794" spans="1:30" ht="12.75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</row>
    <row r="795" spans="1:30" ht="12.75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</row>
    <row r="796" spans="1:30" ht="12.75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</row>
    <row r="797" spans="1:30" ht="12.75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</row>
    <row r="798" spans="1:30" ht="12.75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</row>
    <row r="799" spans="1:30" ht="12.75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</row>
    <row r="800" spans="1:30" ht="12.75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</row>
    <row r="801" spans="1:30" ht="12.75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</row>
    <row r="802" spans="1:30" ht="12.75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</row>
    <row r="803" spans="1:30" ht="12.75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</row>
    <row r="804" spans="1:30" ht="12.75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</row>
    <row r="805" spans="1:30" ht="12.75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</row>
    <row r="806" spans="1:30" ht="12.75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</row>
    <row r="807" spans="1:30" ht="12.75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</row>
    <row r="808" spans="1:30" ht="12.75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</row>
    <row r="809" spans="1:30" ht="12.75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</row>
    <row r="810" spans="1:30" ht="12.75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</row>
    <row r="811" spans="1:30" ht="12.75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</row>
    <row r="812" spans="1:30" ht="12.75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</row>
    <row r="813" spans="1:30" ht="12.75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</row>
    <row r="814" spans="1:30" ht="12.75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</row>
    <row r="815" spans="1:30" ht="12.75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</row>
    <row r="816" spans="1:30" ht="12.75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</row>
    <row r="817" spans="1:30" ht="12.75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</row>
    <row r="818" spans="1:30" ht="12.75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</row>
    <row r="819" spans="1:30" ht="12.75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</row>
    <row r="820" spans="1:30" ht="12.75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</row>
    <row r="821" spans="1:30" ht="12.75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</row>
    <row r="822" spans="1:30" ht="12.75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</row>
    <row r="823" spans="1:30" ht="12.75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</row>
    <row r="824" spans="1:30" ht="12.75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</row>
    <row r="825" spans="1:30" ht="12.75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</row>
    <row r="826" spans="1:30" ht="12.75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</row>
    <row r="827" spans="1:30" ht="12.75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</row>
    <row r="828" spans="1:30" ht="12.75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</row>
    <row r="829" spans="1:30" ht="12.75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</row>
    <row r="830" spans="1:30" ht="12.75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</row>
    <row r="831" spans="1:30" ht="12.75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</row>
    <row r="832" spans="1:30" ht="12.75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</row>
    <row r="833" spans="1:30" ht="12.75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</row>
    <row r="834" spans="1:30" ht="12.75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</row>
    <row r="835" spans="1:30" ht="12.75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</row>
    <row r="836" spans="1:30" ht="12.75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</row>
    <row r="837" spans="1:30" ht="12.75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</row>
    <row r="838" spans="1:30" ht="12.75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</row>
    <row r="839" spans="1:30" ht="12.75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</row>
    <row r="840" spans="1:30" ht="12.75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</row>
    <row r="841" spans="1:30" ht="12.75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</row>
    <row r="842" spans="1:30" ht="12.75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</row>
    <row r="843" spans="1:30" ht="12.75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</row>
    <row r="844" spans="1:30" ht="12.75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</row>
    <row r="845" spans="1:30" ht="12.75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</row>
    <row r="846" spans="1:30" ht="12.75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</row>
    <row r="847" spans="1:30" ht="12.75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</row>
    <row r="848" spans="1:30" ht="12.75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</row>
    <row r="849" spans="1:30" ht="12.75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</row>
    <row r="850" spans="1:30" ht="12.75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</row>
    <row r="851" spans="1:30" ht="12.75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</row>
    <row r="852" spans="1:30" ht="12.75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</row>
    <row r="853" spans="1:30" ht="12.75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</row>
    <row r="854" spans="1:30" ht="12.75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</row>
    <row r="855" spans="1:30" ht="12.75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</row>
    <row r="856" spans="1:30" ht="12.75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</row>
    <row r="857" spans="1:30" ht="12.75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</row>
    <row r="858" spans="1:30" ht="12.75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</row>
    <row r="859" spans="1:30" ht="12.75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</row>
    <row r="860" spans="1:30" ht="12.75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</row>
    <row r="861" spans="1:30" ht="12.75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</row>
    <row r="862" spans="1:30" ht="12.75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</row>
    <row r="863" spans="1:30" ht="12.75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</row>
    <row r="864" spans="1:30" ht="12.75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</row>
    <row r="865" spans="1:30" ht="12.75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</row>
    <row r="866" spans="1:30" ht="12.75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</row>
    <row r="867" spans="1:30" ht="12.75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</row>
    <row r="868" spans="1:30" ht="12.75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</row>
    <row r="869" spans="1:30" ht="12.75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</row>
    <row r="870" spans="1:30" ht="12.75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</row>
    <row r="871" spans="1:30" ht="12.75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</row>
    <row r="872" spans="1:30" ht="12.75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</row>
    <row r="873" spans="1:30" ht="12.75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</row>
    <row r="874" spans="1:30" ht="12.75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</row>
    <row r="875" spans="1:30" ht="12.75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</row>
    <row r="876" spans="1:30" ht="12.75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</row>
    <row r="877" spans="1:30" ht="12.75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</row>
    <row r="878" spans="1:30" ht="12.75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</row>
    <row r="879" spans="1:30" ht="12.75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</row>
    <row r="880" spans="1:30" ht="12.75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</row>
    <row r="881" spans="1:30" ht="12.75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</row>
    <row r="882" spans="1:30" ht="12.75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</row>
    <row r="883" spans="1:30" ht="12.75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</row>
    <row r="884" spans="1:30" ht="12.75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</row>
    <row r="885" spans="1:30" ht="12.75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</row>
    <row r="886" spans="1:30" ht="12.75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</row>
    <row r="887" spans="1:30" ht="12.75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</row>
    <row r="888" spans="1:30" ht="12.75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</row>
    <row r="889" spans="1:30" ht="12.75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</row>
    <row r="890" spans="1:30" ht="12.75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</row>
    <row r="891" spans="1:30" ht="12.75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</row>
    <row r="892" spans="1:30" ht="12.75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</row>
    <row r="893" spans="1:30" ht="12.75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</row>
    <row r="894" spans="1:30" ht="12.75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</row>
    <row r="895" spans="1:30" ht="12.75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</row>
    <row r="896" spans="1:30" ht="12.75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</row>
    <row r="897" spans="1:30" ht="12.75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</row>
    <row r="898" spans="1:30" ht="12.75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</row>
    <row r="899" spans="1:30" ht="12.75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</row>
    <row r="900" spans="1:30" ht="12.75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</row>
    <row r="901" spans="1:30" ht="12.75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</row>
    <row r="902" spans="1:30" ht="12.75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</row>
    <row r="903" spans="1:30" ht="12.75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</row>
    <row r="904" spans="1:30" ht="12.75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</row>
    <row r="905" spans="1:30" ht="12.75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</row>
    <row r="906" spans="1:30" ht="12.75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</row>
    <row r="907" spans="1:30" ht="12.75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</row>
    <row r="908" spans="1:30" ht="12.75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</row>
    <row r="909" spans="1:30" ht="12.75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</row>
    <row r="910" spans="1:30" ht="12.75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</row>
    <row r="911" spans="1:30" ht="12.75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</row>
    <row r="912" spans="1:30" ht="12.75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</row>
    <row r="913" spans="1:30" ht="12.75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</row>
    <row r="914" spans="1:30" ht="12.75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</row>
    <row r="915" spans="1:30" ht="12.75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</row>
    <row r="916" spans="1:30" ht="12.75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</row>
    <row r="917" spans="1:30" ht="12.75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</row>
    <row r="918" spans="1:30" ht="12.75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</row>
    <row r="919" spans="1:30" ht="12.75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</row>
    <row r="920" spans="1:30" ht="12.75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</row>
    <row r="921" spans="1:30" ht="12.75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</row>
    <row r="922" spans="1:30" ht="12.75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</row>
    <row r="923" spans="1:30" ht="12.75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</row>
    <row r="924" spans="1:30" ht="12.75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</row>
    <row r="925" spans="1:30" ht="12.75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</row>
    <row r="926" spans="1:30" ht="12.75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</row>
    <row r="927" spans="1:30" ht="12.75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</row>
    <row r="928" spans="1:30" ht="12.75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</row>
    <row r="929" spans="1:30" ht="12.75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</row>
    <row r="930" spans="1:30" ht="12.75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</row>
    <row r="931" spans="1:30" ht="12.75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</row>
    <row r="932" spans="1:30" ht="12.75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</row>
    <row r="933" spans="1:30" ht="12.75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</row>
    <row r="934" spans="1:30" ht="12.75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</row>
    <row r="935" spans="1:30" ht="12.75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</row>
    <row r="936" spans="1:30" ht="12.75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</row>
    <row r="937" spans="1:30" ht="12.75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</row>
    <row r="938" spans="1:30" ht="12.75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</row>
    <row r="939" spans="1:30" ht="12.75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</row>
    <row r="940" spans="1:30" ht="12.75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</row>
    <row r="941" spans="1:30" ht="12.75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</row>
    <row r="942" spans="1:30" ht="12.75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</row>
    <row r="943" spans="1:30" ht="12.75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</row>
    <row r="944" spans="1:30" ht="12.75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</row>
    <row r="945" spans="1:30" ht="12.75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</row>
    <row r="946" spans="1:30" ht="12.75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</row>
    <row r="947" spans="1:30" ht="12.75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</row>
    <row r="948" spans="1:30" ht="12.75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</row>
    <row r="949" spans="1:30" ht="12.75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</row>
    <row r="950" spans="1:30" ht="12.75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</row>
    <row r="951" spans="1:30" ht="12.75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</row>
    <row r="952" spans="1:30" ht="12.75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</row>
    <row r="953" spans="1:30" ht="12.75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</row>
    <row r="954" spans="1:30" ht="12.75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</row>
    <row r="955" spans="1:30" ht="12.75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</row>
    <row r="956" spans="1:30" ht="12.75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</row>
    <row r="957" spans="1:30" ht="12.75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</row>
    <row r="958" spans="1:30" ht="12.75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</row>
    <row r="959" spans="1:30" ht="12.75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</row>
    <row r="960" spans="1:30" ht="12.75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</row>
    <row r="961" spans="1:30" ht="12.75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</row>
    <row r="962" spans="1:30" ht="12.75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</row>
    <row r="963" spans="1:30" ht="12.75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</row>
    <row r="964" spans="1:30" ht="12.75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</row>
    <row r="965" spans="1:30" ht="12.75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</row>
    <row r="966" spans="1:30" ht="12.75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</row>
    <row r="967" spans="1:30" ht="12.75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</row>
    <row r="968" spans="1:30" ht="12.75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</row>
    <row r="969" spans="1:30" ht="12.75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</row>
    <row r="970" spans="1:30" ht="12.75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</row>
    <row r="971" spans="1:30" ht="12.75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</row>
    <row r="972" spans="1:30" ht="12.75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</row>
    <row r="973" spans="1:30" ht="12.75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</row>
    <row r="974" spans="1:30" ht="12.75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</row>
    <row r="975" spans="1:30" ht="12.75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</row>
    <row r="976" spans="1:30" ht="12.75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</row>
    <row r="977" spans="1:30" ht="12.75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</row>
    <row r="978" spans="1:30" ht="12.75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</row>
    <row r="979" spans="1:30" ht="12.75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</row>
    <row r="980" spans="1:30" ht="12.75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</row>
    <row r="981" spans="1:30" ht="12.75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</row>
    <row r="982" spans="1:30" ht="12.75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</row>
    <row r="983" spans="1:30" ht="12.75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</row>
    <row r="984" spans="1:30" ht="12.75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</row>
    <row r="985" spans="1:30" ht="12.75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</row>
    <row r="986" spans="1:30" ht="12.75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</row>
    <row r="987" spans="1:30" ht="12.75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</row>
    <row r="988" spans="1:30" ht="12.75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</row>
    <row r="989" spans="1:30" ht="12.75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</row>
    <row r="990" spans="1:30" ht="12.75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</row>
    <row r="991" spans="1:30" ht="12.75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</row>
    <row r="992" spans="1:30" ht="12.75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</row>
    <row r="993" spans="1:30" ht="12.75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</row>
    <row r="994" spans="1:30" ht="12.75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</row>
    <row r="995" spans="1:30" ht="12.75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</row>
    <row r="996" spans="1:30" ht="12.75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</row>
    <row r="997" spans="1:30" ht="12.75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</row>
    <row r="998" spans="1:30" ht="12.75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</row>
    <row r="999" spans="1:30" ht="12.75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</row>
    <row r="1000" spans="1:30" ht="12.75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</row>
  </sheetData>
  <mergeCells count="22">
    <mergeCell ref="E3:M3"/>
    <mergeCell ref="N3:R3"/>
    <mergeCell ref="S3:Y3"/>
    <mergeCell ref="F4:G4"/>
    <mergeCell ref="H4:I4"/>
    <mergeCell ref="J4:K4"/>
    <mergeCell ref="L4:M4"/>
    <mergeCell ref="O4:P4"/>
    <mergeCell ref="Q4:R4"/>
    <mergeCell ref="T4:U4"/>
    <mergeCell ref="V4:W4"/>
    <mergeCell ref="X4:Y4"/>
    <mergeCell ref="A57:C57"/>
    <mergeCell ref="A59:C59"/>
    <mergeCell ref="A3:A4"/>
    <mergeCell ref="B3:B4"/>
    <mergeCell ref="D3:D4"/>
    <mergeCell ref="C3:C4"/>
    <mergeCell ref="A6:C6"/>
    <mergeCell ref="A31:C31"/>
    <mergeCell ref="A47:C47"/>
    <mergeCell ref="A54:C5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E1000"/>
  <sheetViews>
    <sheetView zoomScale="85" zoomScaleNormal="85" workbookViewId="0">
      <selection activeCell="B21" sqref="B21"/>
    </sheetView>
  </sheetViews>
  <sheetFormatPr defaultColWidth="12.5703125" defaultRowHeight="15.75" customHeight="1" x14ac:dyDescent="0.2"/>
  <cols>
    <col min="1" max="1" width="12.5703125" style="3"/>
    <col min="2" max="2" width="28" style="3" customWidth="1"/>
    <col min="3" max="4" width="12.5703125" style="3"/>
    <col min="5" max="5" width="10.42578125" style="3" customWidth="1"/>
    <col min="6" max="13" width="8.85546875" style="3" customWidth="1"/>
    <col min="14" max="14" width="10.42578125" style="3" customWidth="1"/>
    <col min="15" max="18" width="8.85546875" style="3" customWidth="1"/>
    <col min="19" max="19" width="10.42578125" style="3" customWidth="1"/>
    <col min="20" max="25" width="8.85546875" style="3" customWidth="1"/>
    <col min="26" max="16384" width="12.5703125" style="3"/>
  </cols>
  <sheetData>
    <row r="1" spans="1:31" ht="26.25" customHeight="1" x14ac:dyDescent="0.2">
      <c r="A1" s="49" t="s">
        <v>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ht="35.25" customHeight="1" x14ac:dyDescent="0.2">
      <c r="A2" s="4" t="s">
        <v>26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</row>
    <row r="3" spans="1:31" ht="30.75" customHeight="1" x14ac:dyDescent="0.2">
      <c r="A3" s="89" t="str">
        <f ca="1">IFERROR(__xludf.DUMMYFUNCTION("IMPORTRANGE(""https://docs.google.com/spreadsheets/d/1giFCfPZvq6d2WPbrXwJ7ksTcnSjmuNbU5G4IRrh5hOk/edit#gid=0"",""Q5!A14:T300"")"),"STT")</f>
        <v>STT</v>
      </c>
      <c r="B3" s="101" t="str">
        <f ca="1">IFERROR(__xludf.DUMMYFUNCTION("""COMPUTED_VALUE"""),"TRƯỜNG")</f>
        <v>TRƯỜNG</v>
      </c>
      <c r="C3" s="101" t="str">
        <f ca="1">IFERROR(__xludf.DUMMYFUNCTION("""COMPUTED_VALUE"""),"BẬC HỌC (MN, TH, THCS, THPT, CB, GDTX)")</f>
        <v>BẬC HỌC (MN, TH, THCS, THPT, CB, GDTX)</v>
      </c>
      <c r="D3" s="101" t="str">
        <f ca="1">IFERROR(__xludf.DUMMYFUNCTION("""COMPUTED_VALUE"""),"THÀNH PHỐ, QUẬN, HUYỆN")</f>
        <v>THÀNH PHỐ, QUẬN, HUYỆN</v>
      </c>
      <c r="E3" s="91" t="str">
        <f ca="1">IFERROR(__xludf.DUMMYFUNCTION("""COMPUTED_VALUE"""),"Cán bộ - Giáo viên - Nhân viên")</f>
        <v>Cán bộ - Giáo viên - Nhân viên</v>
      </c>
      <c r="F3" s="92"/>
      <c r="G3" s="92"/>
      <c r="H3" s="92"/>
      <c r="I3" s="92"/>
      <c r="J3" s="92"/>
      <c r="K3" s="92"/>
      <c r="L3" s="92"/>
      <c r="M3" s="92"/>
      <c r="N3" s="93" t="str">
        <f ca="1">IFERROR(__xludf.DUMMYFUNCTION("""COMPUTED_VALUE"""),"Học sinh từ 5 đến dưới 12 tuổi")</f>
        <v>Học sinh từ 5 đến dưới 12 tuổi</v>
      </c>
      <c r="O3" s="92"/>
      <c r="P3" s="92"/>
      <c r="Q3" s="92"/>
      <c r="R3" s="92"/>
      <c r="S3" s="94" t="str">
        <f ca="1">IFERROR(__xludf.DUMMYFUNCTION("""COMPUTED_VALUE"""),"Học sinh từ 12 đến dưới 18 tuổi")</f>
        <v>Học sinh từ 12 đến dưới 18 tuổi</v>
      </c>
      <c r="T3" s="95"/>
      <c r="U3" s="95"/>
      <c r="V3" s="95"/>
      <c r="W3" s="95"/>
      <c r="X3" s="95"/>
      <c r="Y3" s="95"/>
      <c r="Z3" s="2"/>
      <c r="AA3" s="2"/>
      <c r="AB3" s="2"/>
      <c r="AC3" s="2"/>
      <c r="AD3" s="2"/>
      <c r="AE3" s="2"/>
    </row>
    <row r="4" spans="1:31" ht="27" customHeight="1" x14ac:dyDescent="0.2">
      <c r="A4" s="90"/>
      <c r="B4" s="88"/>
      <c r="C4" s="88"/>
      <c r="D4" s="88"/>
      <c r="E4" s="58" t="str">
        <f ca="1">IFERROR(__xludf.DUMMYFUNCTION("""COMPUTED_VALUE"""),"Tổng CB-GV-NV")</f>
        <v>Tổng CB-GV-NV</v>
      </c>
      <c r="F4" s="96" t="s">
        <v>22</v>
      </c>
      <c r="G4" s="97"/>
      <c r="H4" s="96" t="s">
        <v>23</v>
      </c>
      <c r="I4" s="97"/>
      <c r="J4" s="96" t="s">
        <v>24</v>
      </c>
      <c r="K4" s="97"/>
      <c r="L4" s="96" t="s">
        <v>25</v>
      </c>
      <c r="M4" s="97"/>
      <c r="N4" s="58" t="str">
        <f ca="1">IFERROR(__xludf.DUMMYFUNCTION("""COMPUTED_VALUE"""),"Tổng học sinh")</f>
        <v>Tổng học sinh</v>
      </c>
      <c r="O4" s="96" t="s">
        <v>22</v>
      </c>
      <c r="P4" s="97"/>
      <c r="Q4" s="96" t="s">
        <v>23</v>
      </c>
      <c r="R4" s="97"/>
      <c r="S4" s="58" t="str">
        <f ca="1">IFERROR(__xludf.DUMMYFUNCTION("""COMPUTED_VALUE"""),"Tổng học sinh")</f>
        <v>Tổng học sinh</v>
      </c>
      <c r="T4" s="98" t="s">
        <v>22</v>
      </c>
      <c r="U4" s="99"/>
      <c r="V4" s="98" t="s">
        <v>23</v>
      </c>
      <c r="W4" s="99"/>
      <c r="X4" s="98" t="s">
        <v>24</v>
      </c>
      <c r="Y4" s="99"/>
      <c r="Z4" s="2"/>
      <c r="AA4" s="2"/>
      <c r="AB4" s="2"/>
      <c r="AC4" s="2"/>
      <c r="AD4" s="2"/>
      <c r="AE4" s="2"/>
    </row>
    <row r="5" spans="1:31" ht="12.75" x14ac:dyDescent="0.2">
      <c r="A5" s="59" t="str">
        <f ca="1">IFERROR(__xludf.DUMMYFUNCTION("""COMPUTED_VALUE"""),"Toàn quận")</f>
        <v>Toàn quận</v>
      </c>
      <c r="B5" s="60"/>
      <c r="C5" s="61"/>
      <c r="D5" s="61"/>
      <c r="E5" s="15">
        <f ca="1">IFERROR(__xludf.DUMMYFUNCTION("""COMPUTED_VALUE"""),3671)</f>
        <v>3671</v>
      </c>
      <c r="F5" s="15">
        <f ca="1">IFERROR(__xludf.DUMMYFUNCTION("""COMPUTED_VALUE"""),3667)</f>
        <v>3667</v>
      </c>
      <c r="G5" s="51">
        <f ca="1">IFERROR(F5/E5,"")</f>
        <v>0.99891037864342136</v>
      </c>
      <c r="H5" s="15">
        <f ca="1">IFERROR(__xludf.DUMMYFUNCTION("""COMPUTED_VALUE"""),3655)</f>
        <v>3655</v>
      </c>
      <c r="I5" s="51">
        <f ca="1">IFERROR(H5/E5,"")</f>
        <v>0.99564151457368566</v>
      </c>
      <c r="J5" s="15">
        <f ca="1">IFERROR(__xludf.DUMMYFUNCTION("""COMPUTED_VALUE"""),3591)</f>
        <v>3591</v>
      </c>
      <c r="K5" s="51">
        <f ca="1">IFERROR(J5/E5,"")</f>
        <v>0.97820757286842819</v>
      </c>
      <c r="L5" s="15">
        <f ca="1">IFERROR(__xludf.DUMMYFUNCTION("""COMPUTED_VALUE"""),2560)</f>
        <v>2560</v>
      </c>
      <c r="M5" s="51">
        <f ca="1">IFERROR(L5/E5,"")</f>
        <v>0.69735766821029688</v>
      </c>
      <c r="N5" s="15">
        <f ca="1">IFERROR(__xludf.DUMMYFUNCTION("""COMPUTED_VALUE"""),21030)</f>
        <v>21030</v>
      </c>
      <c r="O5" s="15">
        <f ca="1">IFERROR(__xludf.DUMMYFUNCTION("""COMPUTED_VALUE"""),10588)</f>
        <v>10588</v>
      </c>
      <c r="P5" s="51">
        <f ca="1">IFERROR(O5/N5,"")</f>
        <v>0.50347123157394202</v>
      </c>
      <c r="Q5" s="15">
        <f ca="1">IFERROR(__xludf.DUMMYFUNCTION("""COMPUTED_VALUE"""),6996)</f>
        <v>6996</v>
      </c>
      <c r="R5" s="51">
        <f ca="1">IFERROR(Q5/N5,"")</f>
        <v>0.3326676176890157</v>
      </c>
      <c r="S5" s="15">
        <f ca="1">IFERROR(__xludf.DUMMYFUNCTION("""COMPUTED_VALUE"""),10321)</f>
        <v>10321</v>
      </c>
      <c r="T5" s="15">
        <f ca="1">IFERROR(__xludf.DUMMYFUNCTION("""COMPUTED_VALUE"""),10053)</f>
        <v>10053</v>
      </c>
      <c r="U5" s="51">
        <f ca="1">IFERROR(T5/S5,"")</f>
        <v>0.97403352388334463</v>
      </c>
      <c r="V5" s="15">
        <f ca="1">IFERROR(__xludf.DUMMYFUNCTION("""COMPUTED_VALUE"""),9741)</f>
        <v>9741</v>
      </c>
      <c r="W5" s="51">
        <f ca="1">IFERROR(V5/S5,"")</f>
        <v>0.94380389497141748</v>
      </c>
      <c r="X5" s="15">
        <f ca="1">IFERROR(__xludf.DUMMYFUNCTION("""COMPUTED_VALUE"""),2877)</f>
        <v>2877</v>
      </c>
      <c r="Y5" s="51">
        <f ca="1">IFERROR(X5/S5,"")</f>
        <v>0.27875205890902044</v>
      </c>
      <c r="Z5" s="2"/>
      <c r="AA5" s="2"/>
      <c r="AB5" s="2"/>
      <c r="AC5" s="2"/>
      <c r="AD5" s="2"/>
      <c r="AE5" s="2"/>
    </row>
    <row r="6" spans="1:31" ht="12.75" x14ac:dyDescent="0.2">
      <c r="A6" s="55" t="str">
        <f ca="1">IFERROR(__xludf.DUMMYFUNCTION("""COMPUTED_VALUE"""),"Mầm non")</f>
        <v>Mầm non</v>
      </c>
      <c r="B6" s="66"/>
      <c r="C6" s="66"/>
      <c r="D6" s="66"/>
      <c r="E6" s="67">
        <f ca="1">IFERROR(__xludf.DUMMYFUNCTION("""COMPUTED_VALUE"""),831)</f>
        <v>831</v>
      </c>
      <c r="F6" s="67">
        <f ca="1">IFERROR(__xludf.DUMMYFUNCTION("""COMPUTED_VALUE"""),830)</f>
        <v>830</v>
      </c>
      <c r="G6" s="51">
        <f t="shared" ref="G6:G69" ca="1" si="0">IFERROR(F6/E6,"")</f>
        <v>0.99879663056558365</v>
      </c>
      <c r="H6" s="67">
        <f ca="1">IFERROR(__xludf.DUMMYFUNCTION("""COMPUTED_VALUE"""),829)</f>
        <v>829</v>
      </c>
      <c r="I6" s="51">
        <f t="shared" ref="I6:I69" ca="1" si="1">IFERROR(H6/E6,"")</f>
        <v>0.99759326113116731</v>
      </c>
      <c r="J6" s="67">
        <f ca="1">IFERROR(__xludf.DUMMYFUNCTION("""COMPUTED_VALUE"""),823)</f>
        <v>823</v>
      </c>
      <c r="K6" s="51">
        <f t="shared" ref="K6:K69" ca="1" si="2">IFERROR(J6/E6,"")</f>
        <v>0.99037304452466912</v>
      </c>
      <c r="L6" s="67">
        <f ca="1">IFERROR(__xludf.DUMMYFUNCTION("""COMPUTED_VALUE"""),719)</f>
        <v>719</v>
      </c>
      <c r="M6" s="51">
        <f t="shared" ref="M6:M69" ca="1" si="3">IFERROR(L6/E6,"")</f>
        <v>0.86522262334536704</v>
      </c>
      <c r="N6" s="67">
        <f ca="1">IFERROR(__xludf.DUMMYFUNCTION("""COMPUTED_VALUE"""),1705)</f>
        <v>1705</v>
      </c>
      <c r="O6" s="67">
        <f ca="1">IFERROR(__xludf.DUMMYFUNCTION("""COMPUTED_VALUE"""),171)</f>
        <v>171</v>
      </c>
      <c r="P6" s="51">
        <f t="shared" ref="P6:P69" ca="1" si="4">IFERROR(O6/N6,"")</f>
        <v>0.10029325513196481</v>
      </c>
      <c r="Q6" s="67">
        <f ca="1">IFERROR(__xludf.DUMMYFUNCTION("""COMPUTED_VALUE"""),46)</f>
        <v>46</v>
      </c>
      <c r="R6" s="51">
        <f t="shared" ref="R6:R69" ca="1" si="5">IFERROR(Q6/N6,"")</f>
        <v>2.6979472140762465E-2</v>
      </c>
      <c r="S6" s="66"/>
      <c r="T6" s="66"/>
      <c r="U6" s="51" t="str">
        <f t="shared" ref="U6:U69" si="6">IFERROR(T6/S6,"")</f>
        <v/>
      </c>
      <c r="V6" s="66"/>
      <c r="W6" s="51" t="str">
        <f t="shared" ref="W6:W69" si="7">IFERROR(V6/S6,"")</f>
        <v/>
      </c>
      <c r="X6" s="66"/>
      <c r="Y6" s="51" t="str">
        <f t="shared" ref="Y6:Y69" si="8">IFERROR(X6/S6,"")</f>
        <v/>
      </c>
      <c r="Z6" s="2"/>
      <c r="AA6" s="2"/>
      <c r="AB6" s="2"/>
      <c r="AC6" s="2"/>
      <c r="AD6" s="2"/>
      <c r="AE6" s="2"/>
    </row>
    <row r="7" spans="1:31" ht="12.75" x14ac:dyDescent="0.2">
      <c r="A7" s="53">
        <f ca="1">IFERROR(__xludf.DUMMYFUNCTION("""COMPUTED_VALUE"""),1)</f>
        <v>1</v>
      </c>
      <c r="B7" s="66" t="str">
        <f ca="1">IFERROR(__xludf.DUMMYFUNCTION("""COMPUTED_VALUE"""),"Mầm non 1")</f>
        <v>Mầm non 1</v>
      </c>
      <c r="C7" s="66" t="str">
        <f ca="1">IFERROR(__xludf.DUMMYFUNCTION("""COMPUTED_VALUE"""),"MN")</f>
        <v>MN</v>
      </c>
      <c r="D7" s="66" t="str">
        <f ca="1">IFERROR(__xludf.DUMMYFUNCTION("""COMPUTED_VALUE"""),"Quận 5")</f>
        <v>Quận 5</v>
      </c>
      <c r="E7" s="67">
        <f ca="1">IFERROR(__xludf.DUMMYFUNCTION("""COMPUTED_VALUE"""),35)</f>
        <v>35</v>
      </c>
      <c r="F7" s="67">
        <f ca="1">IFERROR(__xludf.DUMMYFUNCTION("""COMPUTED_VALUE"""),35)</f>
        <v>35</v>
      </c>
      <c r="G7" s="51">
        <f t="shared" ca="1" si="0"/>
        <v>1</v>
      </c>
      <c r="H7" s="67">
        <f ca="1">IFERROR(__xludf.DUMMYFUNCTION("""COMPUTED_VALUE"""),35)</f>
        <v>35</v>
      </c>
      <c r="I7" s="51">
        <f t="shared" ca="1" si="1"/>
        <v>1</v>
      </c>
      <c r="J7" s="67">
        <f ca="1">IFERROR(__xludf.DUMMYFUNCTION("""COMPUTED_VALUE"""),35)</f>
        <v>35</v>
      </c>
      <c r="K7" s="51">
        <f t="shared" ca="1" si="2"/>
        <v>1</v>
      </c>
      <c r="L7" s="67">
        <f ca="1">IFERROR(__xludf.DUMMYFUNCTION("""COMPUTED_VALUE"""),33)</f>
        <v>33</v>
      </c>
      <c r="M7" s="51">
        <f t="shared" ca="1" si="3"/>
        <v>0.94285714285714284</v>
      </c>
      <c r="N7" s="67">
        <f ca="1">IFERROR(__xludf.DUMMYFUNCTION("""COMPUTED_VALUE"""),85)</f>
        <v>85</v>
      </c>
      <c r="O7" s="67">
        <f ca="1">IFERROR(__xludf.DUMMYFUNCTION("""COMPUTED_VALUE"""),21)</f>
        <v>21</v>
      </c>
      <c r="P7" s="51">
        <f t="shared" ca="1" si="4"/>
        <v>0.24705882352941178</v>
      </c>
      <c r="Q7" s="67">
        <f ca="1">IFERROR(__xludf.DUMMYFUNCTION("""COMPUTED_VALUE"""),3)</f>
        <v>3</v>
      </c>
      <c r="R7" s="51">
        <f t="shared" ca="1" si="5"/>
        <v>3.5294117647058823E-2</v>
      </c>
      <c r="S7" s="66"/>
      <c r="T7" s="66"/>
      <c r="U7" s="51" t="str">
        <f t="shared" si="6"/>
        <v/>
      </c>
      <c r="V7" s="66"/>
      <c r="W7" s="51" t="str">
        <f t="shared" si="7"/>
        <v/>
      </c>
      <c r="X7" s="66"/>
      <c r="Y7" s="51" t="str">
        <f t="shared" si="8"/>
        <v/>
      </c>
      <c r="Z7" s="2"/>
      <c r="AA7" s="2"/>
      <c r="AB7" s="2"/>
      <c r="AC7" s="2"/>
      <c r="AD7" s="2"/>
      <c r="AE7" s="2"/>
    </row>
    <row r="8" spans="1:31" ht="12.75" x14ac:dyDescent="0.2">
      <c r="A8" s="53">
        <f ca="1">IFERROR(__xludf.DUMMYFUNCTION("""COMPUTED_VALUE"""),2)</f>
        <v>2</v>
      </c>
      <c r="B8" s="66" t="str">
        <f ca="1">IFERROR(__xludf.DUMMYFUNCTION("""COMPUTED_VALUE"""),"Mầm Non 2B")</f>
        <v>Mầm Non 2B</v>
      </c>
      <c r="C8" s="66" t="str">
        <f ca="1">IFERROR(__xludf.DUMMYFUNCTION("""COMPUTED_VALUE"""),"MN")</f>
        <v>MN</v>
      </c>
      <c r="D8" s="66" t="str">
        <f ca="1">IFERROR(__xludf.DUMMYFUNCTION("""COMPUTED_VALUE"""),"Quận 5")</f>
        <v>Quận 5</v>
      </c>
      <c r="E8" s="67">
        <f ca="1">IFERROR(__xludf.DUMMYFUNCTION("""COMPUTED_VALUE"""),27)</f>
        <v>27</v>
      </c>
      <c r="F8" s="67">
        <f ca="1">IFERROR(__xludf.DUMMYFUNCTION("""COMPUTED_VALUE"""),27)</f>
        <v>27</v>
      </c>
      <c r="G8" s="51">
        <f t="shared" ca="1" si="0"/>
        <v>1</v>
      </c>
      <c r="H8" s="66">
        <f ca="1">IFERROR(__xludf.DUMMYFUNCTION("""COMPUTED_VALUE"""),27)</f>
        <v>27</v>
      </c>
      <c r="I8" s="51">
        <f t="shared" ca="1" si="1"/>
        <v>1</v>
      </c>
      <c r="J8" s="67">
        <f ca="1">IFERROR(__xludf.DUMMYFUNCTION("""COMPUTED_VALUE"""),27)</f>
        <v>27</v>
      </c>
      <c r="K8" s="51">
        <f t="shared" ca="1" si="2"/>
        <v>1</v>
      </c>
      <c r="L8" s="67">
        <f ca="1">IFERROR(__xludf.DUMMYFUNCTION("""COMPUTED_VALUE"""),24)</f>
        <v>24</v>
      </c>
      <c r="M8" s="51">
        <f t="shared" ca="1" si="3"/>
        <v>0.88888888888888884</v>
      </c>
      <c r="N8" s="67">
        <f ca="1">IFERROR(__xludf.DUMMYFUNCTION("""COMPUTED_VALUE"""),35)</f>
        <v>35</v>
      </c>
      <c r="O8" s="67">
        <f ca="1">IFERROR(__xludf.DUMMYFUNCTION("""COMPUTED_VALUE"""),1)</f>
        <v>1</v>
      </c>
      <c r="P8" s="51">
        <f t="shared" ca="1" si="4"/>
        <v>2.8571428571428571E-2</v>
      </c>
      <c r="Q8" s="67">
        <f ca="1">IFERROR(__xludf.DUMMYFUNCTION("""COMPUTED_VALUE"""),0)</f>
        <v>0</v>
      </c>
      <c r="R8" s="51">
        <f t="shared" ca="1" si="5"/>
        <v>0</v>
      </c>
      <c r="S8" s="66"/>
      <c r="T8" s="66"/>
      <c r="U8" s="51" t="str">
        <f t="shared" si="6"/>
        <v/>
      </c>
      <c r="V8" s="66"/>
      <c r="W8" s="51" t="str">
        <f t="shared" si="7"/>
        <v/>
      </c>
      <c r="X8" s="66"/>
      <c r="Y8" s="51" t="str">
        <f t="shared" si="8"/>
        <v/>
      </c>
      <c r="Z8" s="2"/>
      <c r="AA8" s="2"/>
      <c r="AB8" s="2"/>
      <c r="AC8" s="2"/>
      <c r="AD8" s="2"/>
      <c r="AE8" s="2"/>
    </row>
    <row r="9" spans="1:31" ht="12.75" x14ac:dyDescent="0.2">
      <c r="A9" s="53">
        <f ca="1">IFERROR(__xludf.DUMMYFUNCTION("""COMPUTED_VALUE"""),3)</f>
        <v>3</v>
      </c>
      <c r="B9" s="66" t="str">
        <f ca="1">IFERROR(__xludf.DUMMYFUNCTION("""COMPUTED_VALUE"""),"Mầm Non 3")</f>
        <v>Mầm Non 3</v>
      </c>
      <c r="C9" s="66" t="str">
        <f ca="1">IFERROR(__xludf.DUMMYFUNCTION("""COMPUTED_VALUE"""),"MN")</f>
        <v>MN</v>
      </c>
      <c r="D9" s="66" t="str">
        <f ca="1">IFERROR(__xludf.DUMMYFUNCTION("""COMPUTED_VALUE"""),"Quận 5")</f>
        <v>Quận 5</v>
      </c>
      <c r="E9" s="67">
        <f ca="1">IFERROR(__xludf.DUMMYFUNCTION("""COMPUTED_VALUE"""),29)</f>
        <v>29</v>
      </c>
      <c r="F9" s="67">
        <f ca="1">IFERROR(__xludf.DUMMYFUNCTION("""COMPUTED_VALUE"""),29)</f>
        <v>29</v>
      </c>
      <c r="G9" s="51">
        <f t="shared" ca="1" si="0"/>
        <v>1</v>
      </c>
      <c r="H9" s="67">
        <f ca="1">IFERROR(__xludf.DUMMYFUNCTION("""COMPUTED_VALUE"""),29)</f>
        <v>29</v>
      </c>
      <c r="I9" s="51">
        <f t="shared" ca="1" si="1"/>
        <v>1</v>
      </c>
      <c r="J9" s="67">
        <f ca="1">IFERROR(__xludf.DUMMYFUNCTION("""COMPUTED_VALUE"""),29)</f>
        <v>29</v>
      </c>
      <c r="K9" s="51">
        <f t="shared" ca="1" si="2"/>
        <v>1</v>
      </c>
      <c r="L9" s="67">
        <f ca="1">IFERROR(__xludf.DUMMYFUNCTION("""COMPUTED_VALUE"""),28)</f>
        <v>28</v>
      </c>
      <c r="M9" s="51">
        <f t="shared" ca="1" si="3"/>
        <v>0.96551724137931039</v>
      </c>
      <c r="N9" s="67">
        <f ca="1">IFERROR(__xludf.DUMMYFUNCTION("""COMPUTED_VALUE"""),45)</f>
        <v>45</v>
      </c>
      <c r="O9" s="67">
        <f ca="1">IFERROR(__xludf.DUMMYFUNCTION("""COMPUTED_VALUE"""),3)</f>
        <v>3</v>
      </c>
      <c r="P9" s="51">
        <f t="shared" ca="1" si="4"/>
        <v>6.6666666666666666E-2</v>
      </c>
      <c r="Q9" s="67">
        <f ca="1">IFERROR(__xludf.DUMMYFUNCTION("""COMPUTED_VALUE"""),0)</f>
        <v>0</v>
      </c>
      <c r="R9" s="51">
        <f t="shared" ca="1" si="5"/>
        <v>0</v>
      </c>
      <c r="S9" s="66"/>
      <c r="T9" s="66"/>
      <c r="U9" s="51" t="str">
        <f t="shared" si="6"/>
        <v/>
      </c>
      <c r="V9" s="66"/>
      <c r="W9" s="51" t="str">
        <f t="shared" si="7"/>
        <v/>
      </c>
      <c r="X9" s="66"/>
      <c r="Y9" s="51" t="str">
        <f t="shared" si="8"/>
        <v/>
      </c>
      <c r="Z9" s="2"/>
      <c r="AA9" s="2"/>
      <c r="AB9" s="2"/>
      <c r="AC9" s="2"/>
      <c r="AD9" s="2"/>
      <c r="AE9" s="2"/>
    </row>
    <row r="10" spans="1:31" ht="12.75" x14ac:dyDescent="0.2">
      <c r="A10" s="53">
        <f ca="1">IFERROR(__xludf.DUMMYFUNCTION("""COMPUTED_VALUE"""),4)</f>
        <v>4</v>
      </c>
      <c r="B10" s="66" t="str">
        <f ca="1">IFERROR(__xludf.DUMMYFUNCTION("""COMPUTED_VALUE"""),"Mầm Non 5A")</f>
        <v>Mầm Non 5A</v>
      </c>
      <c r="C10" s="66" t="str">
        <f ca="1">IFERROR(__xludf.DUMMYFUNCTION("""COMPUTED_VALUE"""),"MN")</f>
        <v>MN</v>
      </c>
      <c r="D10" s="66" t="str">
        <f ca="1">IFERROR(__xludf.DUMMYFUNCTION("""COMPUTED_VALUE"""),"Quận 5")</f>
        <v>Quận 5</v>
      </c>
      <c r="E10" s="67">
        <f ca="1">IFERROR(__xludf.DUMMYFUNCTION("""COMPUTED_VALUE"""),30)</f>
        <v>30</v>
      </c>
      <c r="F10" s="67">
        <f ca="1">IFERROR(__xludf.DUMMYFUNCTION("""COMPUTED_VALUE"""),30)</f>
        <v>30</v>
      </c>
      <c r="G10" s="51">
        <f t="shared" ca="1" si="0"/>
        <v>1</v>
      </c>
      <c r="H10" s="67">
        <f ca="1">IFERROR(__xludf.DUMMYFUNCTION("""COMPUTED_VALUE"""),30)</f>
        <v>30</v>
      </c>
      <c r="I10" s="51">
        <f t="shared" ca="1" si="1"/>
        <v>1</v>
      </c>
      <c r="J10" s="67">
        <f ca="1">IFERROR(__xludf.DUMMYFUNCTION("""COMPUTED_VALUE"""),30)</f>
        <v>30</v>
      </c>
      <c r="K10" s="51">
        <f t="shared" ca="1" si="2"/>
        <v>1</v>
      </c>
      <c r="L10" s="67">
        <f ca="1">IFERROR(__xludf.DUMMYFUNCTION("""COMPUTED_VALUE"""),30)</f>
        <v>30</v>
      </c>
      <c r="M10" s="51">
        <f t="shared" ca="1" si="3"/>
        <v>1</v>
      </c>
      <c r="N10" s="67">
        <f ca="1">IFERROR(__xludf.DUMMYFUNCTION("""COMPUTED_VALUE"""),56)</f>
        <v>56</v>
      </c>
      <c r="O10" s="67">
        <f ca="1">IFERROR(__xludf.DUMMYFUNCTION("""COMPUTED_VALUE"""),4)</f>
        <v>4</v>
      </c>
      <c r="P10" s="51">
        <f t="shared" ca="1" si="4"/>
        <v>7.1428571428571425E-2</v>
      </c>
      <c r="Q10" s="67">
        <f ca="1">IFERROR(__xludf.DUMMYFUNCTION("""COMPUTED_VALUE"""),1)</f>
        <v>1</v>
      </c>
      <c r="R10" s="51">
        <f t="shared" ca="1" si="5"/>
        <v>1.7857142857142856E-2</v>
      </c>
      <c r="S10" s="66"/>
      <c r="T10" s="66"/>
      <c r="U10" s="51" t="str">
        <f t="shared" si="6"/>
        <v/>
      </c>
      <c r="V10" s="66"/>
      <c r="W10" s="51" t="str">
        <f t="shared" si="7"/>
        <v/>
      </c>
      <c r="X10" s="66"/>
      <c r="Y10" s="51" t="str">
        <f t="shared" si="8"/>
        <v/>
      </c>
      <c r="Z10" s="2"/>
      <c r="AA10" s="2"/>
      <c r="AB10" s="2"/>
      <c r="AC10" s="2"/>
      <c r="AD10" s="2"/>
      <c r="AE10" s="2"/>
    </row>
    <row r="11" spans="1:31" ht="12.75" x14ac:dyDescent="0.2">
      <c r="A11" s="53">
        <f ca="1">IFERROR(__xludf.DUMMYFUNCTION("""COMPUTED_VALUE"""),5)</f>
        <v>5</v>
      </c>
      <c r="B11" s="66" t="str">
        <f ca="1">IFERROR(__xludf.DUMMYFUNCTION("""COMPUTED_VALUE"""),"Mầm Non 5B")</f>
        <v>Mầm Non 5B</v>
      </c>
      <c r="C11" s="66" t="str">
        <f ca="1">IFERROR(__xludf.DUMMYFUNCTION("""COMPUTED_VALUE"""),"MN")</f>
        <v>MN</v>
      </c>
      <c r="D11" s="66" t="str">
        <f ca="1">IFERROR(__xludf.DUMMYFUNCTION("""COMPUTED_VALUE"""),"Quận 5")</f>
        <v>Quận 5</v>
      </c>
      <c r="E11" s="67">
        <f ca="1">IFERROR(__xludf.DUMMYFUNCTION("""COMPUTED_VALUE"""),21)</f>
        <v>21</v>
      </c>
      <c r="F11" s="67">
        <f ca="1">IFERROR(__xludf.DUMMYFUNCTION("""COMPUTED_VALUE"""),21)</f>
        <v>21</v>
      </c>
      <c r="G11" s="51">
        <f t="shared" ca="1" si="0"/>
        <v>1</v>
      </c>
      <c r="H11" s="67">
        <f ca="1">IFERROR(__xludf.DUMMYFUNCTION("""COMPUTED_VALUE"""),21)</f>
        <v>21</v>
      </c>
      <c r="I11" s="51">
        <f t="shared" ca="1" si="1"/>
        <v>1</v>
      </c>
      <c r="J11" s="67">
        <f ca="1">IFERROR(__xludf.DUMMYFUNCTION("""COMPUTED_VALUE"""),20)</f>
        <v>20</v>
      </c>
      <c r="K11" s="51">
        <f t="shared" ca="1" si="2"/>
        <v>0.95238095238095233</v>
      </c>
      <c r="L11" s="67">
        <f ca="1">IFERROR(__xludf.DUMMYFUNCTION("""COMPUTED_VALUE"""),16)</f>
        <v>16</v>
      </c>
      <c r="M11" s="51">
        <f t="shared" ca="1" si="3"/>
        <v>0.76190476190476186</v>
      </c>
      <c r="N11" s="67">
        <f ca="1">IFERROR(__xludf.DUMMYFUNCTION("""COMPUTED_VALUE"""),24)</f>
        <v>24</v>
      </c>
      <c r="O11" s="67">
        <f ca="1">IFERROR(__xludf.DUMMYFUNCTION("""COMPUTED_VALUE"""),6)</f>
        <v>6</v>
      </c>
      <c r="P11" s="51">
        <f t="shared" ca="1" si="4"/>
        <v>0.25</v>
      </c>
      <c r="Q11" s="67">
        <f ca="1">IFERROR(__xludf.DUMMYFUNCTION("""COMPUTED_VALUE"""),0)</f>
        <v>0</v>
      </c>
      <c r="R11" s="51">
        <f t="shared" ca="1" si="5"/>
        <v>0</v>
      </c>
      <c r="S11" s="66"/>
      <c r="T11" s="66"/>
      <c r="U11" s="51" t="str">
        <f t="shared" si="6"/>
        <v/>
      </c>
      <c r="V11" s="66"/>
      <c r="W11" s="51" t="str">
        <f t="shared" si="7"/>
        <v/>
      </c>
      <c r="X11" s="66"/>
      <c r="Y11" s="51" t="str">
        <f t="shared" si="8"/>
        <v/>
      </c>
      <c r="Z11" s="2"/>
      <c r="AA11" s="2"/>
      <c r="AB11" s="2"/>
      <c r="AC11" s="2"/>
      <c r="AD11" s="2"/>
      <c r="AE11" s="2"/>
    </row>
    <row r="12" spans="1:31" ht="12.75" x14ac:dyDescent="0.2">
      <c r="A12" s="53">
        <f ca="1">IFERROR(__xludf.DUMMYFUNCTION("""COMPUTED_VALUE"""),6)</f>
        <v>6</v>
      </c>
      <c r="B12" s="66" t="str">
        <f ca="1">IFERROR(__xludf.DUMMYFUNCTION("""COMPUTED_VALUE"""),"Mầm Non 6")</f>
        <v>Mầm Non 6</v>
      </c>
      <c r="C12" s="66" t="str">
        <f ca="1">IFERROR(__xludf.DUMMYFUNCTION("""COMPUTED_VALUE"""),"MN")</f>
        <v>MN</v>
      </c>
      <c r="D12" s="66" t="str">
        <f ca="1">IFERROR(__xludf.DUMMYFUNCTION("""COMPUTED_VALUE"""),"Quận 5")</f>
        <v>Quận 5</v>
      </c>
      <c r="E12" s="67">
        <f ca="1">IFERROR(__xludf.DUMMYFUNCTION("""COMPUTED_VALUE"""),18)</f>
        <v>18</v>
      </c>
      <c r="F12" s="67">
        <f ca="1">IFERROR(__xludf.DUMMYFUNCTION("""COMPUTED_VALUE"""),18)</f>
        <v>18</v>
      </c>
      <c r="G12" s="51">
        <f t="shared" ca="1" si="0"/>
        <v>1</v>
      </c>
      <c r="H12" s="67">
        <f ca="1">IFERROR(__xludf.DUMMYFUNCTION("""COMPUTED_VALUE"""),18)</f>
        <v>18</v>
      </c>
      <c r="I12" s="51">
        <f t="shared" ca="1" si="1"/>
        <v>1</v>
      </c>
      <c r="J12" s="67">
        <f ca="1">IFERROR(__xludf.DUMMYFUNCTION("""COMPUTED_VALUE"""),18)</f>
        <v>18</v>
      </c>
      <c r="K12" s="51">
        <f t="shared" ca="1" si="2"/>
        <v>1</v>
      </c>
      <c r="L12" s="67">
        <f ca="1">IFERROR(__xludf.DUMMYFUNCTION("""COMPUTED_VALUE"""),12)</f>
        <v>12</v>
      </c>
      <c r="M12" s="51">
        <f t="shared" ca="1" si="3"/>
        <v>0.66666666666666663</v>
      </c>
      <c r="N12" s="67">
        <f ca="1">IFERROR(__xludf.DUMMYFUNCTION("""COMPUTED_VALUE"""),19)</f>
        <v>19</v>
      </c>
      <c r="O12" s="67">
        <f ca="1">IFERROR(__xludf.DUMMYFUNCTION("""COMPUTED_VALUE"""),3)</f>
        <v>3</v>
      </c>
      <c r="P12" s="51">
        <f t="shared" ca="1" si="4"/>
        <v>0.15789473684210525</v>
      </c>
      <c r="Q12" s="67">
        <f ca="1">IFERROR(__xludf.DUMMYFUNCTION("""COMPUTED_VALUE"""),0)</f>
        <v>0</v>
      </c>
      <c r="R12" s="51">
        <f t="shared" ca="1" si="5"/>
        <v>0</v>
      </c>
      <c r="S12" s="66"/>
      <c r="T12" s="66"/>
      <c r="U12" s="51" t="str">
        <f t="shared" si="6"/>
        <v/>
      </c>
      <c r="V12" s="66"/>
      <c r="W12" s="51" t="str">
        <f t="shared" si="7"/>
        <v/>
      </c>
      <c r="X12" s="66"/>
      <c r="Y12" s="51" t="str">
        <f t="shared" si="8"/>
        <v/>
      </c>
      <c r="Z12" s="2"/>
      <c r="AA12" s="2"/>
      <c r="AB12" s="2"/>
      <c r="AC12" s="2"/>
      <c r="AD12" s="2"/>
      <c r="AE12" s="2"/>
    </row>
    <row r="13" spans="1:31" ht="12.75" x14ac:dyDescent="0.2">
      <c r="A13" s="53">
        <f ca="1">IFERROR(__xludf.DUMMYFUNCTION("""COMPUTED_VALUE"""),7)</f>
        <v>7</v>
      </c>
      <c r="B13" s="66" t="str">
        <f ca="1">IFERROR(__xludf.DUMMYFUNCTION("""COMPUTED_VALUE"""),"Mầm Non 8")</f>
        <v>Mầm Non 8</v>
      </c>
      <c r="C13" s="66" t="str">
        <f ca="1">IFERROR(__xludf.DUMMYFUNCTION("""COMPUTED_VALUE"""),"MN")</f>
        <v>MN</v>
      </c>
      <c r="D13" s="66" t="str">
        <f ca="1">IFERROR(__xludf.DUMMYFUNCTION("""COMPUTED_VALUE"""),"Quận 5")</f>
        <v>Quận 5</v>
      </c>
      <c r="E13" s="67">
        <f ca="1">IFERROR(__xludf.DUMMYFUNCTION("""COMPUTED_VALUE"""),25)</f>
        <v>25</v>
      </c>
      <c r="F13" s="67">
        <f ca="1">IFERROR(__xludf.DUMMYFUNCTION("""COMPUTED_VALUE"""),25)</f>
        <v>25</v>
      </c>
      <c r="G13" s="51">
        <f t="shared" ca="1" si="0"/>
        <v>1</v>
      </c>
      <c r="H13" s="67">
        <f ca="1">IFERROR(__xludf.DUMMYFUNCTION("""COMPUTED_VALUE"""),25)</f>
        <v>25</v>
      </c>
      <c r="I13" s="51">
        <f t="shared" ca="1" si="1"/>
        <v>1</v>
      </c>
      <c r="J13" s="67">
        <f ca="1">IFERROR(__xludf.DUMMYFUNCTION("""COMPUTED_VALUE"""),25)</f>
        <v>25</v>
      </c>
      <c r="K13" s="51">
        <f t="shared" ca="1" si="2"/>
        <v>1</v>
      </c>
      <c r="L13" s="67">
        <f ca="1">IFERROR(__xludf.DUMMYFUNCTION("""COMPUTED_VALUE"""),23)</f>
        <v>23</v>
      </c>
      <c r="M13" s="51">
        <f t="shared" ca="1" si="3"/>
        <v>0.92</v>
      </c>
      <c r="N13" s="67">
        <f ca="1">IFERROR(__xludf.DUMMYFUNCTION("""COMPUTED_VALUE"""),55)</f>
        <v>55</v>
      </c>
      <c r="O13" s="67">
        <f ca="1">IFERROR(__xludf.DUMMYFUNCTION("""COMPUTED_VALUE"""),6)</f>
        <v>6</v>
      </c>
      <c r="P13" s="51">
        <f t="shared" ca="1" si="4"/>
        <v>0.10909090909090909</v>
      </c>
      <c r="Q13" s="67">
        <f ca="1">IFERROR(__xludf.DUMMYFUNCTION("""COMPUTED_VALUE"""),4)</f>
        <v>4</v>
      </c>
      <c r="R13" s="51">
        <f t="shared" ca="1" si="5"/>
        <v>7.2727272727272724E-2</v>
      </c>
      <c r="S13" s="66"/>
      <c r="T13" s="66"/>
      <c r="U13" s="51" t="str">
        <f t="shared" si="6"/>
        <v/>
      </c>
      <c r="V13" s="66"/>
      <c r="W13" s="51" t="str">
        <f t="shared" si="7"/>
        <v/>
      </c>
      <c r="X13" s="66"/>
      <c r="Y13" s="51" t="str">
        <f t="shared" si="8"/>
        <v/>
      </c>
      <c r="Z13" s="2"/>
      <c r="AA13" s="2"/>
      <c r="AB13" s="2"/>
      <c r="AC13" s="2"/>
      <c r="AD13" s="2"/>
      <c r="AE13" s="2"/>
    </row>
    <row r="14" spans="1:31" ht="12.75" x14ac:dyDescent="0.2">
      <c r="A14" s="53">
        <f ca="1">IFERROR(__xludf.DUMMYFUNCTION("""COMPUTED_VALUE"""),8)</f>
        <v>8</v>
      </c>
      <c r="B14" s="66" t="str">
        <f ca="1">IFERROR(__xludf.DUMMYFUNCTION("""COMPUTED_VALUE"""),"Mầm Non 9")</f>
        <v>Mầm Non 9</v>
      </c>
      <c r="C14" s="66" t="str">
        <f ca="1">IFERROR(__xludf.DUMMYFUNCTION("""COMPUTED_VALUE"""),"MN")</f>
        <v>MN</v>
      </c>
      <c r="D14" s="66" t="str">
        <f ca="1">IFERROR(__xludf.DUMMYFUNCTION("""COMPUTED_VALUE"""),"Quận 5")</f>
        <v>Quận 5</v>
      </c>
      <c r="E14" s="67">
        <f ca="1">IFERROR(__xludf.DUMMYFUNCTION("""COMPUTED_VALUE"""),37)</f>
        <v>37</v>
      </c>
      <c r="F14" s="67">
        <f ca="1">IFERROR(__xludf.DUMMYFUNCTION("""COMPUTED_VALUE"""),37)</f>
        <v>37</v>
      </c>
      <c r="G14" s="51">
        <f t="shared" ca="1" si="0"/>
        <v>1</v>
      </c>
      <c r="H14" s="67">
        <f ca="1">IFERROR(__xludf.DUMMYFUNCTION("""COMPUTED_VALUE"""),37)</f>
        <v>37</v>
      </c>
      <c r="I14" s="51">
        <f t="shared" ca="1" si="1"/>
        <v>1</v>
      </c>
      <c r="J14" s="67">
        <f ca="1">IFERROR(__xludf.DUMMYFUNCTION("""COMPUTED_VALUE"""),37)</f>
        <v>37</v>
      </c>
      <c r="K14" s="51">
        <f t="shared" ca="1" si="2"/>
        <v>1</v>
      </c>
      <c r="L14" s="67">
        <f ca="1">IFERROR(__xludf.DUMMYFUNCTION("""COMPUTED_VALUE"""),34)</f>
        <v>34</v>
      </c>
      <c r="M14" s="51">
        <f t="shared" ca="1" si="3"/>
        <v>0.91891891891891897</v>
      </c>
      <c r="N14" s="67">
        <f ca="1">IFERROR(__xludf.DUMMYFUNCTION("""COMPUTED_VALUE"""),65)</f>
        <v>65</v>
      </c>
      <c r="O14" s="67">
        <f ca="1">IFERROR(__xludf.DUMMYFUNCTION("""COMPUTED_VALUE"""),3)</f>
        <v>3</v>
      </c>
      <c r="P14" s="51">
        <f t="shared" ca="1" si="4"/>
        <v>4.6153846153846156E-2</v>
      </c>
      <c r="Q14" s="67">
        <f ca="1">IFERROR(__xludf.DUMMYFUNCTION("""COMPUTED_VALUE"""),1)</f>
        <v>1</v>
      </c>
      <c r="R14" s="51">
        <f t="shared" ca="1" si="5"/>
        <v>1.5384615384615385E-2</v>
      </c>
      <c r="S14" s="66"/>
      <c r="T14" s="66"/>
      <c r="U14" s="51" t="str">
        <f t="shared" si="6"/>
        <v/>
      </c>
      <c r="V14" s="66"/>
      <c r="W14" s="51" t="str">
        <f t="shared" si="7"/>
        <v/>
      </c>
      <c r="X14" s="66"/>
      <c r="Y14" s="51" t="str">
        <f t="shared" si="8"/>
        <v/>
      </c>
      <c r="Z14" s="2"/>
      <c r="AA14" s="2"/>
      <c r="AB14" s="2"/>
      <c r="AC14" s="2"/>
      <c r="AD14" s="2"/>
      <c r="AE14" s="2"/>
    </row>
    <row r="15" spans="1:31" ht="12.75" x14ac:dyDescent="0.2">
      <c r="A15" s="53">
        <f ca="1">IFERROR(__xludf.DUMMYFUNCTION("""COMPUTED_VALUE"""),9)</f>
        <v>9</v>
      </c>
      <c r="B15" s="66" t="str">
        <f ca="1">IFERROR(__xludf.DUMMYFUNCTION("""COMPUTED_VALUE"""),"Mầm Non 10")</f>
        <v>Mầm Non 10</v>
      </c>
      <c r="C15" s="66" t="str">
        <f ca="1">IFERROR(__xludf.DUMMYFUNCTION("""COMPUTED_VALUE"""),"MN")</f>
        <v>MN</v>
      </c>
      <c r="D15" s="66" t="str">
        <f ca="1">IFERROR(__xludf.DUMMYFUNCTION("""COMPUTED_VALUE"""),"Quận 5")</f>
        <v>Quận 5</v>
      </c>
      <c r="E15" s="67">
        <f ca="1">IFERROR(__xludf.DUMMYFUNCTION("""COMPUTED_VALUE"""),35)</f>
        <v>35</v>
      </c>
      <c r="F15" s="67">
        <f ca="1">IFERROR(__xludf.DUMMYFUNCTION("""COMPUTED_VALUE"""),35)</f>
        <v>35</v>
      </c>
      <c r="G15" s="51">
        <f t="shared" ca="1" si="0"/>
        <v>1</v>
      </c>
      <c r="H15" s="67">
        <f ca="1">IFERROR(__xludf.DUMMYFUNCTION("""COMPUTED_VALUE"""),35)</f>
        <v>35</v>
      </c>
      <c r="I15" s="51">
        <f t="shared" ca="1" si="1"/>
        <v>1</v>
      </c>
      <c r="J15" s="67">
        <f ca="1">IFERROR(__xludf.DUMMYFUNCTION("""COMPUTED_VALUE"""),35)</f>
        <v>35</v>
      </c>
      <c r="K15" s="51">
        <f t="shared" ca="1" si="2"/>
        <v>1</v>
      </c>
      <c r="L15" s="67">
        <f ca="1">IFERROR(__xludf.DUMMYFUNCTION("""COMPUTED_VALUE"""),34)</f>
        <v>34</v>
      </c>
      <c r="M15" s="51">
        <f t="shared" ca="1" si="3"/>
        <v>0.97142857142857142</v>
      </c>
      <c r="N15" s="67">
        <f ca="1">IFERROR(__xludf.DUMMYFUNCTION("""COMPUTED_VALUE"""),63)</f>
        <v>63</v>
      </c>
      <c r="O15" s="67">
        <f ca="1">IFERROR(__xludf.DUMMYFUNCTION("""COMPUTED_VALUE"""),13)</f>
        <v>13</v>
      </c>
      <c r="P15" s="51">
        <f t="shared" ca="1" si="4"/>
        <v>0.20634920634920634</v>
      </c>
      <c r="Q15" s="67">
        <f ca="1">IFERROR(__xludf.DUMMYFUNCTION("""COMPUTED_VALUE"""),1)</f>
        <v>1</v>
      </c>
      <c r="R15" s="51">
        <f t="shared" ca="1" si="5"/>
        <v>1.5873015873015872E-2</v>
      </c>
      <c r="S15" s="66"/>
      <c r="T15" s="66"/>
      <c r="U15" s="51" t="str">
        <f t="shared" si="6"/>
        <v/>
      </c>
      <c r="V15" s="66"/>
      <c r="W15" s="51" t="str">
        <f t="shared" si="7"/>
        <v/>
      </c>
      <c r="X15" s="66"/>
      <c r="Y15" s="51" t="str">
        <f t="shared" si="8"/>
        <v/>
      </c>
      <c r="Z15" s="2"/>
      <c r="AA15" s="2"/>
      <c r="AB15" s="2"/>
      <c r="AC15" s="2"/>
      <c r="AD15" s="2"/>
      <c r="AE15" s="2"/>
    </row>
    <row r="16" spans="1:31" ht="12.75" x14ac:dyDescent="0.2">
      <c r="A16" s="53">
        <f ca="1">IFERROR(__xludf.DUMMYFUNCTION("""COMPUTED_VALUE"""),10)</f>
        <v>10</v>
      </c>
      <c r="B16" s="66" t="str">
        <f ca="1">IFERROR(__xludf.DUMMYFUNCTION("""COMPUTED_VALUE"""),"Mầm Non 11")</f>
        <v>Mầm Non 11</v>
      </c>
      <c r="C16" s="66" t="str">
        <f ca="1">IFERROR(__xludf.DUMMYFUNCTION("""COMPUTED_VALUE"""),"MN")</f>
        <v>MN</v>
      </c>
      <c r="D16" s="66" t="str">
        <f ca="1">IFERROR(__xludf.DUMMYFUNCTION("""COMPUTED_VALUE"""),"Quận 5")</f>
        <v>Quận 5</v>
      </c>
      <c r="E16" s="67">
        <f ca="1">IFERROR(__xludf.DUMMYFUNCTION("""COMPUTED_VALUE"""),34)</f>
        <v>34</v>
      </c>
      <c r="F16" s="67">
        <f ca="1">IFERROR(__xludf.DUMMYFUNCTION("""COMPUTED_VALUE"""),34)</f>
        <v>34</v>
      </c>
      <c r="G16" s="51">
        <f t="shared" ca="1" si="0"/>
        <v>1</v>
      </c>
      <c r="H16" s="67">
        <f ca="1">IFERROR(__xludf.DUMMYFUNCTION("""COMPUTED_VALUE"""),34)</f>
        <v>34</v>
      </c>
      <c r="I16" s="51">
        <f t="shared" ca="1" si="1"/>
        <v>1</v>
      </c>
      <c r="J16" s="67">
        <f ca="1">IFERROR(__xludf.DUMMYFUNCTION("""COMPUTED_VALUE"""),34)</f>
        <v>34</v>
      </c>
      <c r="K16" s="51">
        <f t="shared" ca="1" si="2"/>
        <v>1</v>
      </c>
      <c r="L16" s="67">
        <f ca="1">IFERROR(__xludf.DUMMYFUNCTION("""COMPUTED_VALUE"""),29)</f>
        <v>29</v>
      </c>
      <c r="M16" s="51">
        <f t="shared" ca="1" si="3"/>
        <v>0.8529411764705882</v>
      </c>
      <c r="N16" s="67">
        <f ca="1">IFERROR(__xludf.DUMMYFUNCTION("""COMPUTED_VALUE"""),68)</f>
        <v>68</v>
      </c>
      <c r="O16" s="67">
        <f ca="1">IFERROR(__xludf.DUMMYFUNCTION("""COMPUTED_VALUE"""),17)</f>
        <v>17</v>
      </c>
      <c r="P16" s="51">
        <f t="shared" ca="1" si="4"/>
        <v>0.25</v>
      </c>
      <c r="Q16" s="67">
        <f ca="1">IFERROR(__xludf.DUMMYFUNCTION("""COMPUTED_VALUE"""),1)</f>
        <v>1</v>
      </c>
      <c r="R16" s="51">
        <f t="shared" ca="1" si="5"/>
        <v>1.4705882352941176E-2</v>
      </c>
      <c r="S16" s="66"/>
      <c r="T16" s="66"/>
      <c r="U16" s="51" t="str">
        <f t="shared" si="6"/>
        <v/>
      </c>
      <c r="V16" s="66"/>
      <c r="W16" s="51" t="str">
        <f t="shared" si="7"/>
        <v/>
      </c>
      <c r="X16" s="66"/>
      <c r="Y16" s="51" t="str">
        <f t="shared" si="8"/>
        <v/>
      </c>
      <c r="Z16" s="2"/>
      <c r="AA16" s="2"/>
      <c r="AB16" s="2"/>
      <c r="AC16" s="2"/>
      <c r="AD16" s="2"/>
      <c r="AE16" s="2"/>
    </row>
    <row r="17" spans="1:31" ht="12.75" x14ac:dyDescent="0.2">
      <c r="A17" s="53">
        <f ca="1">IFERROR(__xludf.DUMMYFUNCTION("""COMPUTED_VALUE"""),11)</f>
        <v>11</v>
      </c>
      <c r="B17" s="66" t="str">
        <f ca="1">IFERROR(__xludf.DUMMYFUNCTION("""COMPUTED_VALUE"""),"Mầm Non 12")</f>
        <v>Mầm Non 12</v>
      </c>
      <c r="C17" s="66" t="str">
        <f ca="1">IFERROR(__xludf.DUMMYFUNCTION("""COMPUTED_VALUE"""),"MN")</f>
        <v>MN</v>
      </c>
      <c r="D17" s="66" t="str">
        <f ca="1">IFERROR(__xludf.DUMMYFUNCTION("""COMPUTED_VALUE"""),"Quận 5")</f>
        <v>Quận 5</v>
      </c>
      <c r="E17" s="67">
        <f ca="1">IFERROR(__xludf.DUMMYFUNCTION("""COMPUTED_VALUE"""),29)</f>
        <v>29</v>
      </c>
      <c r="F17" s="67">
        <f ca="1">IFERROR(__xludf.DUMMYFUNCTION("""COMPUTED_VALUE"""),29)</f>
        <v>29</v>
      </c>
      <c r="G17" s="51">
        <f t="shared" ca="1" si="0"/>
        <v>1</v>
      </c>
      <c r="H17" s="67">
        <f ca="1">IFERROR(__xludf.DUMMYFUNCTION("""COMPUTED_VALUE"""),29)</f>
        <v>29</v>
      </c>
      <c r="I17" s="51">
        <f t="shared" ca="1" si="1"/>
        <v>1</v>
      </c>
      <c r="J17" s="67">
        <f ca="1">IFERROR(__xludf.DUMMYFUNCTION("""COMPUTED_VALUE"""),28)</f>
        <v>28</v>
      </c>
      <c r="K17" s="51">
        <f t="shared" ca="1" si="2"/>
        <v>0.96551724137931039</v>
      </c>
      <c r="L17" s="67">
        <f ca="1">IFERROR(__xludf.DUMMYFUNCTION("""COMPUTED_VALUE"""),28)</f>
        <v>28</v>
      </c>
      <c r="M17" s="51">
        <f t="shared" ca="1" si="3"/>
        <v>0.96551724137931039</v>
      </c>
      <c r="N17" s="67">
        <f ca="1">IFERROR(__xludf.DUMMYFUNCTION("""COMPUTED_VALUE"""),50)</f>
        <v>50</v>
      </c>
      <c r="O17" s="67">
        <f ca="1">IFERROR(__xludf.DUMMYFUNCTION("""COMPUTED_VALUE"""),0)</f>
        <v>0</v>
      </c>
      <c r="P17" s="51">
        <f t="shared" ca="1" si="4"/>
        <v>0</v>
      </c>
      <c r="Q17" s="67">
        <f ca="1">IFERROR(__xludf.DUMMYFUNCTION("""COMPUTED_VALUE"""),0)</f>
        <v>0</v>
      </c>
      <c r="R17" s="51">
        <f t="shared" ca="1" si="5"/>
        <v>0</v>
      </c>
      <c r="S17" s="66"/>
      <c r="T17" s="66"/>
      <c r="U17" s="51" t="str">
        <f t="shared" si="6"/>
        <v/>
      </c>
      <c r="V17" s="66"/>
      <c r="W17" s="51" t="str">
        <f t="shared" si="7"/>
        <v/>
      </c>
      <c r="X17" s="66"/>
      <c r="Y17" s="51" t="str">
        <f t="shared" si="8"/>
        <v/>
      </c>
      <c r="Z17" s="2"/>
      <c r="AA17" s="2"/>
      <c r="AB17" s="2"/>
      <c r="AC17" s="2"/>
      <c r="AD17" s="2"/>
      <c r="AE17" s="2"/>
    </row>
    <row r="18" spans="1:31" ht="12.75" x14ac:dyDescent="0.2">
      <c r="A18" s="53">
        <f ca="1">IFERROR(__xludf.DUMMYFUNCTION("""COMPUTED_VALUE"""),12)</f>
        <v>12</v>
      </c>
      <c r="B18" s="66" t="str">
        <f ca="1">IFERROR(__xludf.DUMMYFUNCTION("""COMPUTED_VALUE"""),"Mầm Non 13")</f>
        <v>Mầm Non 13</v>
      </c>
      <c r="C18" s="66" t="str">
        <f ca="1">IFERROR(__xludf.DUMMYFUNCTION("""COMPUTED_VALUE"""),"MN")</f>
        <v>MN</v>
      </c>
      <c r="D18" s="66" t="str">
        <f ca="1">IFERROR(__xludf.DUMMYFUNCTION("""COMPUTED_VALUE"""),"Quận 5")</f>
        <v>Quận 5</v>
      </c>
      <c r="E18" s="67">
        <f ca="1">IFERROR(__xludf.DUMMYFUNCTION("""COMPUTED_VALUE"""),30)</f>
        <v>30</v>
      </c>
      <c r="F18" s="67">
        <f ca="1">IFERROR(__xludf.DUMMYFUNCTION("""COMPUTED_VALUE"""),30)</f>
        <v>30</v>
      </c>
      <c r="G18" s="51">
        <f t="shared" ca="1" si="0"/>
        <v>1</v>
      </c>
      <c r="H18" s="67">
        <f ca="1">IFERROR(__xludf.DUMMYFUNCTION("""COMPUTED_VALUE"""),30)</f>
        <v>30</v>
      </c>
      <c r="I18" s="51">
        <f t="shared" ca="1" si="1"/>
        <v>1</v>
      </c>
      <c r="J18" s="67">
        <f ca="1">IFERROR(__xludf.DUMMYFUNCTION("""COMPUTED_VALUE"""),30)</f>
        <v>30</v>
      </c>
      <c r="K18" s="51">
        <f t="shared" ca="1" si="2"/>
        <v>1</v>
      </c>
      <c r="L18" s="67">
        <f ca="1">IFERROR(__xludf.DUMMYFUNCTION("""COMPUTED_VALUE"""),30)</f>
        <v>30</v>
      </c>
      <c r="M18" s="51">
        <f t="shared" ca="1" si="3"/>
        <v>1</v>
      </c>
      <c r="N18" s="67">
        <f ca="1">IFERROR(__xludf.DUMMYFUNCTION("""COMPUTED_VALUE"""),31)</f>
        <v>31</v>
      </c>
      <c r="O18" s="67">
        <f ca="1">IFERROR(__xludf.DUMMYFUNCTION("""COMPUTED_VALUE"""),5)</f>
        <v>5</v>
      </c>
      <c r="P18" s="51">
        <f t="shared" ca="1" si="4"/>
        <v>0.16129032258064516</v>
      </c>
      <c r="Q18" s="67">
        <f ca="1">IFERROR(__xludf.DUMMYFUNCTION("""COMPUTED_VALUE"""),2)</f>
        <v>2</v>
      </c>
      <c r="R18" s="51">
        <f t="shared" ca="1" si="5"/>
        <v>6.4516129032258063E-2</v>
      </c>
      <c r="S18" s="66"/>
      <c r="T18" s="66"/>
      <c r="U18" s="51" t="str">
        <f t="shared" si="6"/>
        <v/>
      </c>
      <c r="V18" s="66"/>
      <c r="W18" s="51" t="str">
        <f t="shared" si="7"/>
        <v/>
      </c>
      <c r="X18" s="66"/>
      <c r="Y18" s="51" t="str">
        <f t="shared" si="8"/>
        <v/>
      </c>
      <c r="Z18" s="2"/>
      <c r="AA18" s="2"/>
      <c r="AB18" s="2"/>
      <c r="AC18" s="2"/>
      <c r="AD18" s="2"/>
      <c r="AE18" s="2"/>
    </row>
    <row r="19" spans="1:31" ht="12.75" x14ac:dyDescent="0.2">
      <c r="A19" s="53">
        <f ca="1">IFERROR(__xludf.DUMMYFUNCTION("""COMPUTED_VALUE"""),13)</f>
        <v>13</v>
      </c>
      <c r="B19" s="66" t="str">
        <f ca="1">IFERROR(__xludf.DUMMYFUNCTION("""COMPUTED_VALUE"""),"Mầm Non 14B")</f>
        <v>Mầm Non 14B</v>
      </c>
      <c r="C19" s="66" t="str">
        <f ca="1">IFERROR(__xludf.DUMMYFUNCTION("""COMPUTED_VALUE"""),"MN")</f>
        <v>MN</v>
      </c>
      <c r="D19" s="66" t="str">
        <f ca="1">IFERROR(__xludf.DUMMYFUNCTION("""COMPUTED_VALUE"""),"Quận 5")</f>
        <v>Quận 5</v>
      </c>
      <c r="E19" s="67">
        <f ca="1">IFERROR(__xludf.DUMMYFUNCTION("""COMPUTED_VALUE"""),29)</f>
        <v>29</v>
      </c>
      <c r="F19" s="67">
        <f ca="1">IFERROR(__xludf.DUMMYFUNCTION("""COMPUTED_VALUE"""),29)</f>
        <v>29</v>
      </c>
      <c r="G19" s="51">
        <f t="shared" ca="1" si="0"/>
        <v>1</v>
      </c>
      <c r="H19" s="67">
        <f ca="1">IFERROR(__xludf.DUMMYFUNCTION("""COMPUTED_VALUE"""),29)</f>
        <v>29</v>
      </c>
      <c r="I19" s="51">
        <f t="shared" ca="1" si="1"/>
        <v>1</v>
      </c>
      <c r="J19" s="67">
        <f ca="1">IFERROR(__xludf.DUMMYFUNCTION("""COMPUTED_VALUE"""),28)</f>
        <v>28</v>
      </c>
      <c r="K19" s="51">
        <f t="shared" ca="1" si="2"/>
        <v>0.96551724137931039</v>
      </c>
      <c r="L19" s="67">
        <f ca="1">IFERROR(__xludf.DUMMYFUNCTION("""COMPUTED_VALUE"""),27)</f>
        <v>27</v>
      </c>
      <c r="M19" s="51">
        <f t="shared" ca="1" si="3"/>
        <v>0.93103448275862066</v>
      </c>
      <c r="N19" s="67">
        <f ca="1">IFERROR(__xludf.DUMMYFUNCTION("""COMPUTED_VALUE"""),35)</f>
        <v>35</v>
      </c>
      <c r="O19" s="67">
        <f ca="1">IFERROR(__xludf.DUMMYFUNCTION("""COMPUTED_VALUE"""),1)</f>
        <v>1</v>
      </c>
      <c r="P19" s="51">
        <f t="shared" ca="1" si="4"/>
        <v>2.8571428571428571E-2</v>
      </c>
      <c r="Q19" s="67">
        <f ca="1">IFERROR(__xludf.DUMMYFUNCTION("""COMPUTED_VALUE"""),0)</f>
        <v>0</v>
      </c>
      <c r="R19" s="51">
        <f t="shared" ca="1" si="5"/>
        <v>0</v>
      </c>
      <c r="S19" s="66"/>
      <c r="T19" s="66"/>
      <c r="U19" s="51" t="str">
        <f t="shared" si="6"/>
        <v/>
      </c>
      <c r="V19" s="66"/>
      <c r="W19" s="51" t="str">
        <f t="shared" si="7"/>
        <v/>
      </c>
      <c r="X19" s="66"/>
      <c r="Y19" s="51" t="str">
        <f t="shared" si="8"/>
        <v/>
      </c>
      <c r="Z19" s="2"/>
      <c r="AA19" s="2"/>
      <c r="AB19" s="2"/>
      <c r="AC19" s="2"/>
      <c r="AD19" s="2"/>
      <c r="AE19" s="2"/>
    </row>
    <row r="20" spans="1:31" ht="12.75" x14ac:dyDescent="0.2">
      <c r="A20" s="53">
        <f ca="1">IFERROR(__xludf.DUMMYFUNCTION("""COMPUTED_VALUE"""),14)</f>
        <v>14</v>
      </c>
      <c r="B20" s="66" t="str">
        <f ca="1">IFERROR(__xludf.DUMMYFUNCTION("""COMPUTED_VALUE"""),"MN HM1")</f>
        <v>MN HM1</v>
      </c>
      <c r="C20" s="66" t="str">
        <f ca="1">IFERROR(__xludf.DUMMYFUNCTION("""COMPUTED_VALUE"""),"MN")</f>
        <v>MN</v>
      </c>
      <c r="D20" s="66" t="str">
        <f ca="1">IFERROR(__xludf.DUMMYFUNCTION("""COMPUTED_VALUE"""),"Quận 5")</f>
        <v>Quận 5</v>
      </c>
      <c r="E20" s="67">
        <f ca="1">IFERROR(__xludf.DUMMYFUNCTION("""COMPUTED_VALUE"""),63)</f>
        <v>63</v>
      </c>
      <c r="F20" s="67">
        <f ca="1">IFERROR(__xludf.DUMMYFUNCTION("""COMPUTED_VALUE"""),63)</f>
        <v>63</v>
      </c>
      <c r="G20" s="51">
        <f t="shared" ca="1" si="0"/>
        <v>1</v>
      </c>
      <c r="H20" s="67">
        <f ca="1">IFERROR(__xludf.DUMMYFUNCTION("""COMPUTED_VALUE"""),63)</f>
        <v>63</v>
      </c>
      <c r="I20" s="51">
        <f t="shared" ca="1" si="1"/>
        <v>1</v>
      </c>
      <c r="J20" s="67">
        <f ca="1">IFERROR(__xludf.DUMMYFUNCTION("""COMPUTED_VALUE"""),63)</f>
        <v>63</v>
      </c>
      <c r="K20" s="51">
        <f t="shared" ca="1" si="2"/>
        <v>1</v>
      </c>
      <c r="L20" s="67">
        <f ca="1">IFERROR(__xludf.DUMMYFUNCTION("""COMPUTED_VALUE"""),58)</f>
        <v>58</v>
      </c>
      <c r="M20" s="51">
        <f t="shared" ca="1" si="3"/>
        <v>0.92063492063492058</v>
      </c>
      <c r="N20" s="67">
        <f ca="1">IFERROR(__xludf.DUMMYFUNCTION("""COMPUTED_VALUE"""),109)</f>
        <v>109</v>
      </c>
      <c r="O20" s="67">
        <f ca="1">IFERROR(__xludf.DUMMYFUNCTION("""COMPUTED_VALUE"""),7)</f>
        <v>7</v>
      </c>
      <c r="P20" s="51">
        <f t="shared" ca="1" si="4"/>
        <v>6.4220183486238536E-2</v>
      </c>
      <c r="Q20" s="67">
        <f ca="1">IFERROR(__xludf.DUMMYFUNCTION("""COMPUTED_VALUE"""),7)</f>
        <v>7</v>
      </c>
      <c r="R20" s="51">
        <f t="shared" ca="1" si="5"/>
        <v>6.4220183486238536E-2</v>
      </c>
      <c r="S20" s="66"/>
      <c r="T20" s="66"/>
      <c r="U20" s="51" t="str">
        <f t="shared" si="6"/>
        <v/>
      </c>
      <c r="V20" s="66"/>
      <c r="W20" s="51" t="str">
        <f t="shared" si="7"/>
        <v/>
      </c>
      <c r="X20" s="66"/>
      <c r="Y20" s="51" t="str">
        <f t="shared" si="8"/>
        <v/>
      </c>
      <c r="Z20" s="2"/>
      <c r="AA20" s="2"/>
      <c r="AB20" s="2"/>
      <c r="AC20" s="2"/>
      <c r="AD20" s="2"/>
      <c r="AE20" s="2"/>
    </row>
    <row r="21" spans="1:31" ht="12.75" x14ac:dyDescent="0.2">
      <c r="A21" s="53">
        <f ca="1">IFERROR(__xludf.DUMMYFUNCTION("""COMPUTED_VALUE"""),15)</f>
        <v>15</v>
      </c>
      <c r="B21" s="66" t="str">
        <f ca="1">IFERROR(__xludf.DUMMYFUNCTION("""COMPUTED_VALUE"""),"MN HM2")</f>
        <v>MN HM2</v>
      </c>
      <c r="C21" s="66" t="str">
        <f ca="1">IFERROR(__xludf.DUMMYFUNCTION("""COMPUTED_VALUE"""),"MN")</f>
        <v>MN</v>
      </c>
      <c r="D21" s="66" t="str">
        <f ca="1">IFERROR(__xludf.DUMMYFUNCTION("""COMPUTED_VALUE"""),"Quận 5")</f>
        <v>Quận 5</v>
      </c>
      <c r="E21" s="67">
        <f ca="1">IFERROR(__xludf.DUMMYFUNCTION("""COMPUTED_VALUE"""),57)</f>
        <v>57</v>
      </c>
      <c r="F21" s="67">
        <f ca="1">IFERROR(__xludf.DUMMYFUNCTION("""COMPUTED_VALUE"""),57)</f>
        <v>57</v>
      </c>
      <c r="G21" s="51">
        <f t="shared" ca="1" si="0"/>
        <v>1</v>
      </c>
      <c r="H21" s="67">
        <f ca="1">IFERROR(__xludf.DUMMYFUNCTION("""COMPUTED_VALUE"""),57)</f>
        <v>57</v>
      </c>
      <c r="I21" s="51">
        <f t="shared" ca="1" si="1"/>
        <v>1</v>
      </c>
      <c r="J21" s="67">
        <f ca="1">IFERROR(__xludf.DUMMYFUNCTION("""COMPUTED_VALUE"""),57)</f>
        <v>57</v>
      </c>
      <c r="K21" s="51">
        <f t="shared" ca="1" si="2"/>
        <v>1</v>
      </c>
      <c r="L21" s="67">
        <f ca="1">IFERROR(__xludf.DUMMYFUNCTION("""COMPUTED_VALUE"""),55)</f>
        <v>55</v>
      </c>
      <c r="M21" s="51">
        <f t="shared" ca="1" si="3"/>
        <v>0.96491228070175439</v>
      </c>
      <c r="N21" s="67">
        <f ca="1">IFERROR(__xludf.DUMMYFUNCTION("""COMPUTED_VALUE"""),170)</f>
        <v>170</v>
      </c>
      <c r="O21" s="67">
        <f ca="1">IFERROR(__xludf.DUMMYFUNCTION("""COMPUTED_VALUE"""),31)</f>
        <v>31</v>
      </c>
      <c r="P21" s="51">
        <f t="shared" ca="1" si="4"/>
        <v>0.18235294117647058</v>
      </c>
      <c r="Q21" s="67">
        <f ca="1">IFERROR(__xludf.DUMMYFUNCTION("""COMPUTED_VALUE"""),14)</f>
        <v>14</v>
      </c>
      <c r="R21" s="51">
        <f t="shared" ca="1" si="5"/>
        <v>8.2352941176470587E-2</v>
      </c>
      <c r="S21" s="66"/>
      <c r="T21" s="66"/>
      <c r="U21" s="51" t="str">
        <f t="shared" si="6"/>
        <v/>
      </c>
      <c r="V21" s="66"/>
      <c r="W21" s="51" t="str">
        <f t="shared" si="7"/>
        <v/>
      </c>
      <c r="X21" s="66"/>
      <c r="Y21" s="51" t="str">
        <f t="shared" si="8"/>
        <v/>
      </c>
      <c r="Z21" s="2"/>
      <c r="AA21" s="2"/>
      <c r="AB21" s="2"/>
      <c r="AC21" s="2"/>
      <c r="AD21" s="2"/>
      <c r="AE21" s="2"/>
    </row>
    <row r="22" spans="1:31" ht="12.75" x14ac:dyDescent="0.2">
      <c r="A22" s="53">
        <f ca="1">IFERROR(__xludf.DUMMYFUNCTION("""COMPUTED_VALUE"""),16)</f>
        <v>16</v>
      </c>
      <c r="B22" s="66" t="str">
        <f ca="1">IFERROR(__xludf.DUMMYFUNCTION("""COMPUTED_VALUE"""),"MN HM3")</f>
        <v>MN HM3</v>
      </c>
      <c r="C22" s="66" t="str">
        <f ca="1">IFERROR(__xludf.DUMMYFUNCTION("""COMPUTED_VALUE"""),"MN")</f>
        <v>MN</v>
      </c>
      <c r="D22" s="66" t="str">
        <f ca="1">IFERROR(__xludf.DUMMYFUNCTION("""COMPUTED_VALUE"""),"Quận 5")</f>
        <v>Quận 5</v>
      </c>
      <c r="E22" s="67">
        <f ca="1">IFERROR(__xludf.DUMMYFUNCTION("""COMPUTED_VALUE"""),55)</f>
        <v>55</v>
      </c>
      <c r="F22" s="67">
        <f ca="1">IFERROR(__xludf.DUMMYFUNCTION("""COMPUTED_VALUE"""),55)</f>
        <v>55</v>
      </c>
      <c r="G22" s="51">
        <f t="shared" ca="1" si="0"/>
        <v>1</v>
      </c>
      <c r="H22" s="67">
        <f ca="1">IFERROR(__xludf.DUMMYFUNCTION("""COMPUTED_VALUE"""),55)</f>
        <v>55</v>
      </c>
      <c r="I22" s="51">
        <f t="shared" ca="1" si="1"/>
        <v>1</v>
      </c>
      <c r="J22" s="67">
        <f ca="1">IFERROR(__xludf.DUMMYFUNCTION("""COMPUTED_VALUE"""),55)</f>
        <v>55</v>
      </c>
      <c r="K22" s="51">
        <f t="shared" ca="1" si="2"/>
        <v>1</v>
      </c>
      <c r="L22" s="67">
        <f ca="1">IFERROR(__xludf.DUMMYFUNCTION("""COMPUTED_VALUE"""),53)</f>
        <v>53</v>
      </c>
      <c r="M22" s="51">
        <f t="shared" ca="1" si="3"/>
        <v>0.96363636363636362</v>
      </c>
      <c r="N22" s="67">
        <f ca="1">IFERROR(__xludf.DUMMYFUNCTION("""COMPUTED_VALUE"""),116)</f>
        <v>116</v>
      </c>
      <c r="O22" s="67">
        <f ca="1">IFERROR(__xludf.DUMMYFUNCTION("""COMPUTED_VALUE"""),6)</f>
        <v>6</v>
      </c>
      <c r="P22" s="51">
        <f t="shared" ca="1" si="4"/>
        <v>5.1724137931034482E-2</v>
      </c>
      <c r="Q22" s="67">
        <f ca="1">IFERROR(__xludf.DUMMYFUNCTION("""COMPUTED_VALUE"""),4)</f>
        <v>4</v>
      </c>
      <c r="R22" s="51">
        <f t="shared" ca="1" si="5"/>
        <v>3.4482758620689655E-2</v>
      </c>
      <c r="S22" s="66"/>
      <c r="T22" s="66"/>
      <c r="U22" s="51" t="str">
        <f t="shared" si="6"/>
        <v/>
      </c>
      <c r="V22" s="66"/>
      <c r="W22" s="51" t="str">
        <f t="shared" si="7"/>
        <v/>
      </c>
      <c r="X22" s="66"/>
      <c r="Y22" s="51" t="str">
        <f t="shared" si="8"/>
        <v/>
      </c>
      <c r="Z22" s="2"/>
      <c r="AA22" s="2"/>
      <c r="AB22" s="2"/>
      <c r="AC22" s="2"/>
      <c r="AD22" s="2"/>
      <c r="AE22" s="2"/>
    </row>
    <row r="23" spans="1:31" ht="12.75" x14ac:dyDescent="0.2">
      <c r="A23" s="53">
        <f ca="1">IFERROR(__xludf.DUMMYFUNCTION("""COMPUTED_VALUE"""),17)</f>
        <v>17</v>
      </c>
      <c r="B23" s="66" t="str">
        <f ca="1">IFERROR(__xludf.DUMMYFUNCTION("""COMPUTED_VALUE"""),"MN Vàng Anh  ")</f>
        <v xml:space="preserve">MN Vàng Anh  </v>
      </c>
      <c r="C23" s="66" t="str">
        <f ca="1">IFERROR(__xludf.DUMMYFUNCTION("""COMPUTED_VALUE"""),"MN")</f>
        <v>MN</v>
      </c>
      <c r="D23" s="66" t="str">
        <f ca="1">IFERROR(__xludf.DUMMYFUNCTION("""COMPUTED_VALUE"""),"Quận 5")</f>
        <v>Quận 5</v>
      </c>
      <c r="E23" s="67">
        <f ca="1">IFERROR(__xludf.DUMMYFUNCTION("""COMPUTED_VALUE"""),53)</f>
        <v>53</v>
      </c>
      <c r="F23" s="67">
        <f ca="1">IFERROR(__xludf.DUMMYFUNCTION("""COMPUTED_VALUE"""),53)</f>
        <v>53</v>
      </c>
      <c r="G23" s="51">
        <f t="shared" ca="1" si="0"/>
        <v>1</v>
      </c>
      <c r="H23" s="67">
        <f ca="1">IFERROR(__xludf.DUMMYFUNCTION("""COMPUTED_VALUE"""),53)</f>
        <v>53</v>
      </c>
      <c r="I23" s="51">
        <f t="shared" ca="1" si="1"/>
        <v>1</v>
      </c>
      <c r="J23" s="67">
        <f ca="1">IFERROR(__xludf.DUMMYFUNCTION("""COMPUTED_VALUE"""),53)</f>
        <v>53</v>
      </c>
      <c r="K23" s="51">
        <f t="shared" ca="1" si="2"/>
        <v>1</v>
      </c>
      <c r="L23" s="67">
        <f ca="1">IFERROR(__xludf.DUMMYFUNCTION("""COMPUTED_VALUE"""),43)</f>
        <v>43</v>
      </c>
      <c r="M23" s="51">
        <f t="shared" ca="1" si="3"/>
        <v>0.81132075471698117</v>
      </c>
      <c r="N23" s="67">
        <f ca="1">IFERROR(__xludf.DUMMYFUNCTION("""COMPUTED_VALUE"""),127)</f>
        <v>127</v>
      </c>
      <c r="O23" s="67">
        <f ca="1">IFERROR(__xludf.DUMMYFUNCTION("""COMPUTED_VALUE"""),13)</f>
        <v>13</v>
      </c>
      <c r="P23" s="51">
        <f t="shared" ca="1" si="4"/>
        <v>0.10236220472440945</v>
      </c>
      <c r="Q23" s="67">
        <f ca="1">IFERROR(__xludf.DUMMYFUNCTION("""COMPUTED_VALUE"""),3)</f>
        <v>3</v>
      </c>
      <c r="R23" s="51">
        <f t="shared" ca="1" si="5"/>
        <v>2.3622047244094488E-2</v>
      </c>
      <c r="S23" s="66"/>
      <c r="T23" s="66"/>
      <c r="U23" s="51" t="str">
        <f t="shared" si="6"/>
        <v/>
      </c>
      <c r="V23" s="66"/>
      <c r="W23" s="51" t="str">
        <f t="shared" si="7"/>
        <v/>
      </c>
      <c r="X23" s="66"/>
      <c r="Y23" s="51" t="str">
        <f t="shared" si="8"/>
        <v/>
      </c>
      <c r="Z23" s="2"/>
      <c r="AA23" s="2"/>
      <c r="AB23" s="2"/>
      <c r="AC23" s="2"/>
      <c r="AD23" s="2"/>
      <c r="AE23" s="2"/>
    </row>
    <row r="24" spans="1:31" ht="12.75" x14ac:dyDescent="0.2">
      <c r="A24" s="53">
        <f ca="1">IFERROR(__xludf.DUMMYFUNCTION("""COMPUTED_VALUE"""),18)</f>
        <v>18</v>
      </c>
      <c r="B24" s="66" t="str">
        <f ca="1">IFERROR(__xludf.DUMMYFUNCTION("""COMPUTED_VALUE"""),"MN Sơn Ca  ")</f>
        <v xml:space="preserve">MN Sơn Ca  </v>
      </c>
      <c r="C24" s="66" t="str">
        <f ca="1">IFERROR(__xludf.DUMMYFUNCTION("""COMPUTED_VALUE"""),"MN")</f>
        <v>MN</v>
      </c>
      <c r="D24" s="66" t="str">
        <f ca="1">IFERROR(__xludf.DUMMYFUNCTION("""COMPUTED_VALUE"""),"Quận 5")</f>
        <v>Quận 5</v>
      </c>
      <c r="E24" s="67">
        <f ca="1">IFERROR(__xludf.DUMMYFUNCTION("""COMPUTED_VALUE"""),31)</f>
        <v>31</v>
      </c>
      <c r="F24" s="67">
        <f ca="1">IFERROR(__xludf.DUMMYFUNCTION("""COMPUTED_VALUE"""),31)</f>
        <v>31</v>
      </c>
      <c r="G24" s="51">
        <f t="shared" ca="1" si="0"/>
        <v>1</v>
      </c>
      <c r="H24" s="67">
        <f ca="1">IFERROR(__xludf.DUMMYFUNCTION("""COMPUTED_VALUE"""),31)</f>
        <v>31</v>
      </c>
      <c r="I24" s="51">
        <f t="shared" ca="1" si="1"/>
        <v>1</v>
      </c>
      <c r="J24" s="67">
        <f ca="1">IFERROR(__xludf.DUMMYFUNCTION("""COMPUTED_VALUE"""),31)</f>
        <v>31</v>
      </c>
      <c r="K24" s="51">
        <f t="shared" ca="1" si="2"/>
        <v>1</v>
      </c>
      <c r="L24" s="67">
        <f ca="1">IFERROR(__xludf.DUMMYFUNCTION("""COMPUTED_VALUE"""),29)</f>
        <v>29</v>
      </c>
      <c r="M24" s="51">
        <f t="shared" ca="1" si="3"/>
        <v>0.93548387096774188</v>
      </c>
      <c r="N24" s="67">
        <f ca="1">IFERROR(__xludf.DUMMYFUNCTION("""COMPUTED_VALUE"""),85)</f>
        <v>85</v>
      </c>
      <c r="O24" s="67">
        <f ca="1">IFERROR(__xludf.DUMMYFUNCTION("""COMPUTED_VALUE"""),6)</f>
        <v>6</v>
      </c>
      <c r="P24" s="51">
        <f t="shared" ca="1" si="4"/>
        <v>7.0588235294117646E-2</v>
      </c>
      <c r="Q24" s="67">
        <f ca="1">IFERROR(__xludf.DUMMYFUNCTION("""COMPUTED_VALUE"""),2)</f>
        <v>2</v>
      </c>
      <c r="R24" s="51">
        <f t="shared" ca="1" si="5"/>
        <v>2.3529411764705882E-2</v>
      </c>
      <c r="S24" s="66"/>
      <c r="T24" s="66"/>
      <c r="U24" s="51" t="str">
        <f t="shared" si="6"/>
        <v/>
      </c>
      <c r="V24" s="66"/>
      <c r="W24" s="51" t="str">
        <f t="shared" si="7"/>
        <v/>
      </c>
      <c r="X24" s="66"/>
      <c r="Y24" s="51" t="str">
        <f t="shared" si="8"/>
        <v/>
      </c>
      <c r="Z24" s="2"/>
      <c r="AA24" s="2"/>
      <c r="AB24" s="2"/>
      <c r="AC24" s="2"/>
      <c r="AD24" s="2"/>
      <c r="AE24" s="2"/>
    </row>
    <row r="25" spans="1:31" ht="12.75" x14ac:dyDescent="0.2">
      <c r="A25" s="53">
        <f ca="1">IFERROR(__xludf.DUMMYFUNCTION("""COMPUTED_VALUE"""),19)</f>
        <v>19</v>
      </c>
      <c r="B25" s="66" t="str">
        <f ca="1">IFERROR(__xludf.DUMMYFUNCTION("""COMPUTED_VALUE"""),"MG Mai Anh")</f>
        <v>MG Mai Anh</v>
      </c>
      <c r="C25" s="66" t="str">
        <f ca="1">IFERROR(__xludf.DUMMYFUNCTION("""COMPUTED_VALUE"""),"MN")</f>
        <v>MN</v>
      </c>
      <c r="D25" s="66" t="str">
        <f ca="1">IFERROR(__xludf.DUMMYFUNCTION("""COMPUTED_VALUE"""),"Quận 5")</f>
        <v>Quận 5</v>
      </c>
      <c r="E25" s="67">
        <f ca="1">IFERROR(__xludf.DUMMYFUNCTION("""COMPUTED_VALUE"""),77)</f>
        <v>77</v>
      </c>
      <c r="F25" s="67">
        <f ca="1">IFERROR(__xludf.DUMMYFUNCTION("""COMPUTED_VALUE"""),77)</f>
        <v>77</v>
      </c>
      <c r="G25" s="51">
        <f t="shared" ca="1" si="0"/>
        <v>1</v>
      </c>
      <c r="H25" s="67">
        <f ca="1">IFERROR(__xludf.DUMMYFUNCTION("""COMPUTED_VALUE"""),77)</f>
        <v>77</v>
      </c>
      <c r="I25" s="51">
        <f t="shared" ca="1" si="1"/>
        <v>1</v>
      </c>
      <c r="J25" s="67">
        <f ca="1">IFERROR(__xludf.DUMMYFUNCTION("""COMPUTED_VALUE"""),76)</f>
        <v>76</v>
      </c>
      <c r="K25" s="51">
        <f t="shared" ca="1" si="2"/>
        <v>0.98701298701298701</v>
      </c>
      <c r="L25" s="67">
        <f ca="1">IFERROR(__xludf.DUMMYFUNCTION("""COMPUTED_VALUE"""),56)</f>
        <v>56</v>
      </c>
      <c r="M25" s="51">
        <f t="shared" ca="1" si="3"/>
        <v>0.72727272727272729</v>
      </c>
      <c r="N25" s="67">
        <f ca="1">IFERROR(__xludf.DUMMYFUNCTION("""COMPUTED_VALUE"""),245)</f>
        <v>245</v>
      </c>
      <c r="O25" s="67">
        <f ca="1">IFERROR(__xludf.DUMMYFUNCTION("""COMPUTED_VALUE"""),0)</f>
        <v>0</v>
      </c>
      <c r="P25" s="51">
        <f t="shared" ca="1" si="4"/>
        <v>0</v>
      </c>
      <c r="Q25" s="67">
        <f ca="1">IFERROR(__xludf.DUMMYFUNCTION("""COMPUTED_VALUE"""),0)</f>
        <v>0</v>
      </c>
      <c r="R25" s="51">
        <f t="shared" ca="1" si="5"/>
        <v>0</v>
      </c>
      <c r="S25" s="66"/>
      <c r="T25" s="66"/>
      <c r="U25" s="51" t="str">
        <f t="shared" si="6"/>
        <v/>
      </c>
      <c r="V25" s="66"/>
      <c r="W25" s="51" t="str">
        <f t="shared" si="7"/>
        <v/>
      </c>
      <c r="X25" s="66"/>
      <c r="Y25" s="51" t="str">
        <f t="shared" si="8"/>
        <v/>
      </c>
      <c r="Z25" s="2"/>
      <c r="AA25" s="2"/>
      <c r="AB25" s="2"/>
      <c r="AC25" s="2"/>
      <c r="AD25" s="2"/>
      <c r="AE25" s="2"/>
    </row>
    <row r="26" spans="1:31" ht="12.75" x14ac:dyDescent="0.2">
      <c r="A26" s="53">
        <f ca="1">IFERROR(__xludf.DUMMYFUNCTION("""COMPUTED_VALUE"""),20)</f>
        <v>20</v>
      </c>
      <c r="B26" s="66" t="str">
        <f ca="1">IFERROR(__xludf.DUMMYFUNCTION("""COMPUTED_VALUE"""),"MN Hoa Mai")</f>
        <v>MN Hoa Mai</v>
      </c>
      <c r="C26" s="66" t="str">
        <f ca="1">IFERROR(__xludf.DUMMYFUNCTION("""COMPUTED_VALUE"""),"MN")</f>
        <v>MN</v>
      </c>
      <c r="D26" s="66" t="str">
        <f ca="1">IFERROR(__xludf.DUMMYFUNCTION("""COMPUTED_VALUE"""),"Quận 5")</f>
        <v>Quận 5</v>
      </c>
      <c r="E26" s="67">
        <f ca="1">IFERROR(__xludf.DUMMYFUNCTION("""COMPUTED_VALUE"""),24)</f>
        <v>24</v>
      </c>
      <c r="F26" s="67">
        <f ca="1">IFERROR(__xludf.DUMMYFUNCTION("""COMPUTED_VALUE"""),24)</f>
        <v>24</v>
      </c>
      <c r="G26" s="51">
        <f t="shared" ca="1" si="0"/>
        <v>1</v>
      </c>
      <c r="H26" s="67">
        <f ca="1">IFERROR(__xludf.DUMMYFUNCTION("""COMPUTED_VALUE"""),24)</f>
        <v>24</v>
      </c>
      <c r="I26" s="51">
        <f t="shared" ca="1" si="1"/>
        <v>1</v>
      </c>
      <c r="J26" s="67">
        <f ca="1">IFERROR(__xludf.DUMMYFUNCTION("""COMPUTED_VALUE"""),24)</f>
        <v>24</v>
      </c>
      <c r="K26" s="51">
        <f t="shared" ca="1" si="2"/>
        <v>1</v>
      </c>
      <c r="L26" s="67">
        <f ca="1">IFERROR(__xludf.DUMMYFUNCTION("""COMPUTED_VALUE"""),14)</f>
        <v>14</v>
      </c>
      <c r="M26" s="51">
        <f t="shared" ca="1" si="3"/>
        <v>0.58333333333333337</v>
      </c>
      <c r="N26" s="67">
        <f ca="1">IFERROR(__xludf.DUMMYFUNCTION("""COMPUTED_VALUE"""),27)</f>
        <v>27</v>
      </c>
      <c r="O26" s="67">
        <f ca="1">IFERROR(__xludf.DUMMYFUNCTION("""COMPUTED_VALUE"""),3)</f>
        <v>3</v>
      </c>
      <c r="P26" s="51">
        <f t="shared" ca="1" si="4"/>
        <v>0.1111111111111111</v>
      </c>
      <c r="Q26" s="67">
        <f ca="1">IFERROR(__xludf.DUMMYFUNCTION("""COMPUTED_VALUE"""),0)</f>
        <v>0</v>
      </c>
      <c r="R26" s="51">
        <f t="shared" ca="1" si="5"/>
        <v>0</v>
      </c>
      <c r="S26" s="66"/>
      <c r="T26" s="66"/>
      <c r="U26" s="51" t="str">
        <f t="shared" si="6"/>
        <v/>
      </c>
      <c r="V26" s="66"/>
      <c r="W26" s="51" t="str">
        <f t="shared" si="7"/>
        <v/>
      </c>
      <c r="X26" s="66"/>
      <c r="Y26" s="51" t="str">
        <f t="shared" si="8"/>
        <v/>
      </c>
      <c r="Z26" s="2"/>
      <c r="AA26" s="2"/>
      <c r="AB26" s="2"/>
      <c r="AC26" s="2"/>
      <c r="AD26" s="2"/>
      <c r="AE26" s="2"/>
    </row>
    <row r="27" spans="1:31" ht="12.75" x14ac:dyDescent="0.2">
      <c r="A27" s="53">
        <f ca="1">IFERROR(__xludf.DUMMYFUNCTION("""COMPUTED_VALUE"""),21)</f>
        <v>21</v>
      </c>
      <c r="B27" s="66" t="str">
        <f ca="1">IFERROR(__xludf.DUMMYFUNCTION("""COMPUTED_VALUE"""),"MN An Điềm")</f>
        <v>MN An Điềm</v>
      </c>
      <c r="C27" s="66" t="str">
        <f ca="1">IFERROR(__xludf.DUMMYFUNCTION("""COMPUTED_VALUE"""),"MN")</f>
        <v>MN</v>
      </c>
      <c r="D27" s="66" t="str">
        <f ca="1">IFERROR(__xludf.DUMMYFUNCTION("""COMPUTED_VALUE"""),"Quận 5")</f>
        <v>Quận 5</v>
      </c>
      <c r="E27" s="67">
        <f ca="1">IFERROR(__xludf.DUMMYFUNCTION("""COMPUTED_VALUE"""),23)</f>
        <v>23</v>
      </c>
      <c r="F27" s="67">
        <f ca="1">IFERROR(__xludf.DUMMYFUNCTION("""COMPUTED_VALUE"""),23)</f>
        <v>23</v>
      </c>
      <c r="G27" s="51">
        <f t="shared" ca="1" si="0"/>
        <v>1</v>
      </c>
      <c r="H27" s="67">
        <f ca="1">IFERROR(__xludf.DUMMYFUNCTION("""COMPUTED_VALUE"""),23)</f>
        <v>23</v>
      </c>
      <c r="I27" s="51">
        <f t="shared" ca="1" si="1"/>
        <v>1</v>
      </c>
      <c r="J27" s="67">
        <f ca="1">IFERROR(__xludf.DUMMYFUNCTION("""COMPUTED_VALUE"""),23)</f>
        <v>23</v>
      </c>
      <c r="K27" s="51">
        <f t="shared" ca="1" si="2"/>
        <v>1</v>
      </c>
      <c r="L27" s="67">
        <f ca="1">IFERROR(__xludf.DUMMYFUNCTION("""COMPUTED_VALUE"""),22)</f>
        <v>22</v>
      </c>
      <c r="M27" s="51">
        <f t="shared" ca="1" si="3"/>
        <v>0.95652173913043481</v>
      </c>
      <c r="N27" s="67">
        <f ca="1">IFERROR(__xludf.DUMMYFUNCTION("""COMPUTED_VALUE"""),64)</f>
        <v>64</v>
      </c>
      <c r="O27" s="67">
        <f ca="1">IFERROR(__xludf.DUMMYFUNCTION("""COMPUTED_VALUE"""),6)</f>
        <v>6</v>
      </c>
      <c r="P27" s="51">
        <f t="shared" ca="1" si="4"/>
        <v>9.375E-2</v>
      </c>
      <c r="Q27" s="67">
        <f ca="1">IFERROR(__xludf.DUMMYFUNCTION("""COMPUTED_VALUE"""),1)</f>
        <v>1</v>
      </c>
      <c r="R27" s="51">
        <f t="shared" ca="1" si="5"/>
        <v>1.5625E-2</v>
      </c>
      <c r="S27" s="66"/>
      <c r="T27" s="66"/>
      <c r="U27" s="51" t="str">
        <f t="shared" si="6"/>
        <v/>
      </c>
      <c r="V27" s="66"/>
      <c r="W27" s="51" t="str">
        <f t="shared" si="7"/>
        <v/>
      </c>
      <c r="X27" s="66"/>
      <c r="Y27" s="51" t="str">
        <f t="shared" si="8"/>
        <v/>
      </c>
      <c r="Z27" s="2"/>
      <c r="AA27" s="2"/>
      <c r="AB27" s="2"/>
      <c r="AC27" s="2"/>
      <c r="AD27" s="2"/>
      <c r="AE27" s="2"/>
    </row>
    <row r="28" spans="1:31" ht="12.75" x14ac:dyDescent="0.2">
      <c r="A28" s="53">
        <f ca="1">IFERROR(__xludf.DUMMYFUNCTION("""COMPUTED_VALUE"""),22)</f>
        <v>22</v>
      </c>
      <c r="B28" s="66" t="str">
        <f ca="1">IFERROR(__xludf.DUMMYFUNCTION("""COMPUTED_VALUE"""),"MN Việt Trung")</f>
        <v>MN Việt Trung</v>
      </c>
      <c r="C28" s="66" t="str">
        <f ca="1">IFERROR(__xludf.DUMMYFUNCTION("""COMPUTED_VALUE"""),"MN")</f>
        <v>MN</v>
      </c>
      <c r="D28" s="66" t="str">
        <f ca="1">IFERROR(__xludf.DUMMYFUNCTION("""COMPUTED_VALUE"""),"Quận 5")</f>
        <v>Quận 5</v>
      </c>
      <c r="E28" s="67">
        <f ca="1">IFERROR(__xludf.DUMMYFUNCTION("""COMPUTED_VALUE"""),9)</f>
        <v>9</v>
      </c>
      <c r="F28" s="67">
        <f ca="1">IFERROR(__xludf.DUMMYFUNCTION("""COMPUTED_VALUE"""),9)</f>
        <v>9</v>
      </c>
      <c r="G28" s="51">
        <f t="shared" ca="1" si="0"/>
        <v>1</v>
      </c>
      <c r="H28" s="67">
        <f ca="1">IFERROR(__xludf.DUMMYFUNCTION("""COMPUTED_VALUE"""),9)</f>
        <v>9</v>
      </c>
      <c r="I28" s="51">
        <f t="shared" ca="1" si="1"/>
        <v>1</v>
      </c>
      <c r="J28" s="67">
        <f ca="1">IFERROR(__xludf.DUMMYFUNCTION("""COMPUTED_VALUE"""),9)</f>
        <v>9</v>
      </c>
      <c r="K28" s="51">
        <f t="shared" ca="1" si="2"/>
        <v>1</v>
      </c>
      <c r="L28" s="67">
        <f ca="1">IFERROR(__xludf.DUMMYFUNCTION("""COMPUTED_VALUE"""),9)</f>
        <v>9</v>
      </c>
      <c r="M28" s="51">
        <f t="shared" ca="1" si="3"/>
        <v>1</v>
      </c>
      <c r="N28" s="67">
        <f ca="1">IFERROR(__xludf.DUMMYFUNCTION("""COMPUTED_VALUE"""),11)</f>
        <v>11</v>
      </c>
      <c r="O28" s="67">
        <f ca="1">IFERROR(__xludf.DUMMYFUNCTION("""COMPUTED_VALUE"""),4)</f>
        <v>4</v>
      </c>
      <c r="P28" s="51">
        <f t="shared" ca="1" si="4"/>
        <v>0.36363636363636365</v>
      </c>
      <c r="Q28" s="67">
        <f ca="1">IFERROR(__xludf.DUMMYFUNCTION("""COMPUTED_VALUE"""),0)</f>
        <v>0</v>
      </c>
      <c r="R28" s="51">
        <f t="shared" ca="1" si="5"/>
        <v>0</v>
      </c>
      <c r="S28" s="66"/>
      <c r="T28" s="66"/>
      <c r="U28" s="51" t="str">
        <f t="shared" si="6"/>
        <v/>
      </c>
      <c r="V28" s="66"/>
      <c r="W28" s="51" t="str">
        <f t="shared" si="7"/>
        <v/>
      </c>
      <c r="X28" s="66"/>
      <c r="Y28" s="51" t="str">
        <f t="shared" si="8"/>
        <v/>
      </c>
      <c r="Z28" s="2"/>
      <c r="AA28" s="2"/>
      <c r="AB28" s="2"/>
      <c r="AC28" s="2"/>
      <c r="AD28" s="2"/>
      <c r="AE28" s="2"/>
    </row>
    <row r="29" spans="1:31" ht="12.75" x14ac:dyDescent="0.2">
      <c r="A29" s="53">
        <f ca="1">IFERROR(__xludf.DUMMYFUNCTION("""COMPUTED_VALUE"""),23)</f>
        <v>23</v>
      </c>
      <c r="B29" s="66" t="str">
        <f ca="1">IFERROR(__xludf.DUMMYFUNCTION("""COMPUTED_VALUE"""),"NN Tư Duy")</f>
        <v>NN Tư Duy</v>
      </c>
      <c r="C29" s="66" t="str">
        <f ca="1">IFERROR(__xludf.DUMMYFUNCTION("""COMPUTED_VALUE"""),"MN")</f>
        <v>MN</v>
      </c>
      <c r="D29" s="66" t="str">
        <f ca="1">IFERROR(__xludf.DUMMYFUNCTION("""COMPUTED_VALUE"""),"Quận 5")</f>
        <v>Quận 5</v>
      </c>
      <c r="E29" s="67">
        <f ca="1">IFERROR(__xludf.DUMMYFUNCTION("""COMPUTED_VALUE"""),14)</f>
        <v>14</v>
      </c>
      <c r="F29" s="67">
        <f ca="1">IFERROR(__xludf.DUMMYFUNCTION("""COMPUTED_VALUE"""),14)</f>
        <v>14</v>
      </c>
      <c r="G29" s="51">
        <f t="shared" ca="1" si="0"/>
        <v>1</v>
      </c>
      <c r="H29" s="67">
        <f ca="1">IFERROR(__xludf.DUMMYFUNCTION("""COMPUTED_VALUE"""),13)</f>
        <v>13</v>
      </c>
      <c r="I29" s="51">
        <f t="shared" ca="1" si="1"/>
        <v>0.9285714285714286</v>
      </c>
      <c r="J29" s="67">
        <f ca="1">IFERROR(__xludf.DUMMYFUNCTION("""COMPUTED_VALUE"""),11)</f>
        <v>11</v>
      </c>
      <c r="K29" s="51">
        <f t="shared" ca="1" si="2"/>
        <v>0.7857142857142857</v>
      </c>
      <c r="L29" s="67">
        <f ca="1">IFERROR(__xludf.DUMMYFUNCTION("""COMPUTED_VALUE"""),10)</f>
        <v>10</v>
      </c>
      <c r="M29" s="51">
        <f t="shared" ca="1" si="3"/>
        <v>0.7142857142857143</v>
      </c>
      <c r="N29" s="67">
        <f ca="1">IFERROR(__xludf.DUMMYFUNCTION("""COMPUTED_VALUE"""),7)</f>
        <v>7</v>
      </c>
      <c r="O29" s="67">
        <f ca="1">IFERROR(__xludf.DUMMYFUNCTION("""COMPUTED_VALUE"""),0)</f>
        <v>0</v>
      </c>
      <c r="P29" s="51">
        <f t="shared" ca="1" si="4"/>
        <v>0</v>
      </c>
      <c r="Q29" s="67">
        <f ca="1">IFERROR(__xludf.DUMMYFUNCTION("""COMPUTED_VALUE"""),0)</f>
        <v>0</v>
      </c>
      <c r="R29" s="51">
        <f t="shared" ca="1" si="5"/>
        <v>0</v>
      </c>
      <c r="S29" s="66"/>
      <c r="T29" s="66"/>
      <c r="U29" s="51" t="str">
        <f t="shared" si="6"/>
        <v/>
      </c>
      <c r="V29" s="66"/>
      <c r="W29" s="51" t="str">
        <f t="shared" si="7"/>
        <v/>
      </c>
      <c r="X29" s="66"/>
      <c r="Y29" s="51" t="str">
        <f t="shared" si="8"/>
        <v/>
      </c>
      <c r="Z29" s="2"/>
      <c r="AA29" s="2"/>
      <c r="AB29" s="2"/>
      <c r="AC29" s="2"/>
      <c r="AD29" s="2"/>
      <c r="AE29" s="2"/>
    </row>
    <row r="30" spans="1:31" ht="12.75" x14ac:dyDescent="0.2">
      <c r="A30" s="53">
        <f ca="1">IFERROR(__xludf.DUMMYFUNCTION("""COMPUTED_VALUE"""),24)</f>
        <v>24</v>
      </c>
      <c r="B30" s="66" t="str">
        <f ca="1">IFERROR(__xludf.DUMMYFUNCTION("""COMPUTED_VALUE"""),"Mẫu giáo Văn Lang")</f>
        <v>Mẫu giáo Văn Lang</v>
      </c>
      <c r="C30" s="66" t="str">
        <f ca="1">IFERROR(__xludf.DUMMYFUNCTION("""COMPUTED_VALUE"""),"MN")</f>
        <v>MN</v>
      </c>
      <c r="D30" s="66" t="str">
        <f ca="1">IFERROR(__xludf.DUMMYFUNCTION("""COMPUTED_VALUE"""),"Quận 5")</f>
        <v>Quận 5</v>
      </c>
      <c r="E30" s="67">
        <f ca="1">IFERROR(__xludf.DUMMYFUNCTION("""COMPUTED_VALUE"""),18)</f>
        <v>18</v>
      </c>
      <c r="F30" s="67">
        <f ca="1">IFERROR(__xludf.DUMMYFUNCTION("""COMPUTED_VALUE"""),18)</f>
        <v>18</v>
      </c>
      <c r="G30" s="51">
        <f t="shared" ca="1" si="0"/>
        <v>1</v>
      </c>
      <c r="H30" s="67">
        <f ca="1">IFERROR(__xludf.DUMMYFUNCTION("""COMPUTED_VALUE"""),18)</f>
        <v>18</v>
      </c>
      <c r="I30" s="51">
        <f t="shared" ca="1" si="1"/>
        <v>1</v>
      </c>
      <c r="J30" s="67">
        <f ca="1">IFERROR(__xludf.DUMMYFUNCTION("""COMPUTED_VALUE"""),18)</f>
        <v>18</v>
      </c>
      <c r="K30" s="51">
        <f t="shared" ca="1" si="2"/>
        <v>1</v>
      </c>
      <c r="L30" s="67">
        <f ca="1">IFERROR(__xludf.DUMMYFUNCTION("""COMPUTED_VALUE"""),10)</f>
        <v>10</v>
      </c>
      <c r="M30" s="51">
        <f t="shared" ca="1" si="3"/>
        <v>0.55555555555555558</v>
      </c>
      <c r="N30" s="67">
        <f ca="1">IFERROR(__xludf.DUMMYFUNCTION("""COMPUTED_VALUE"""),67)</f>
        <v>67</v>
      </c>
      <c r="O30" s="67">
        <f ca="1">IFERROR(__xludf.DUMMYFUNCTION("""COMPUTED_VALUE"""),0)</f>
        <v>0</v>
      </c>
      <c r="P30" s="51">
        <f t="shared" ca="1" si="4"/>
        <v>0</v>
      </c>
      <c r="Q30" s="67">
        <f ca="1">IFERROR(__xludf.DUMMYFUNCTION("""COMPUTED_VALUE"""),0)</f>
        <v>0</v>
      </c>
      <c r="R30" s="51">
        <f t="shared" ca="1" si="5"/>
        <v>0</v>
      </c>
      <c r="S30" s="66"/>
      <c r="T30" s="66"/>
      <c r="U30" s="51" t="str">
        <f t="shared" si="6"/>
        <v/>
      </c>
      <c r="V30" s="66"/>
      <c r="W30" s="51" t="str">
        <f t="shared" si="7"/>
        <v/>
      </c>
      <c r="X30" s="66"/>
      <c r="Y30" s="51" t="str">
        <f t="shared" si="8"/>
        <v/>
      </c>
      <c r="Z30" s="2"/>
      <c r="AA30" s="2"/>
      <c r="AB30" s="2"/>
      <c r="AC30" s="2"/>
      <c r="AD30" s="2"/>
      <c r="AE30" s="2"/>
    </row>
    <row r="31" spans="1:31" ht="12.75" x14ac:dyDescent="0.2">
      <c r="A31" s="53">
        <f ca="1">IFERROR(__xludf.DUMMYFUNCTION("""COMPUTED_VALUE"""),25)</f>
        <v>25</v>
      </c>
      <c r="B31" s="66" t="str">
        <f ca="1">IFERROR(__xludf.DUMMYFUNCTION("""COMPUTED_VALUE"""),"MN Tuổi Thơ")</f>
        <v>MN Tuổi Thơ</v>
      </c>
      <c r="C31" s="66" t="str">
        <f ca="1">IFERROR(__xludf.DUMMYFUNCTION("""COMPUTED_VALUE"""),"MN")</f>
        <v>MN</v>
      </c>
      <c r="D31" s="66" t="str">
        <f ca="1">IFERROR(__xludf.DUMMYFUNCTION("""COMPUTED_VALUE"""),"Quận 5")</f>
        <v>Quận 5</v>
      </c>
      <c r="E31" s="67">
        <f ca="1">IFERROR(__xludf.DUMMYFUNCTION("""COMPUTED_VALUE"""),13)</f>
        <v>13</v>
      </c>
      <c r="F31" s="67">
        <f ca="1">IFERROR(__xludf.DUMMYFUNCTION("""COMPUTED_VALUE"""),12)</f>
        <v>12</v>
      </c>
      <c r="G31" s="51">
        <f t="shared" ca="1" si="0"/>
        <v>0.92307692307692313</v>
      </c>
      <c r="H31" s="67">
        <f ca="1">IFERROR(__xludf.DUMMYFUNCTION("""COMPUTED_VALUE"""),12)</f>
        <v>12</v>
      </c>
      <c r="I31" s="51">
        <f t="shared" ca="1" si="1"/>
        <v>0.92307692307692313</v>
      </c>
      <c r="J31" s="67">
        <f ca="1">IFERROR(__xludf.DUMMYFUNCTION("""COMPUTED_VALUE"""),12)</f>
        <v>12</v>
      </c>
      <c r="K31" s="51">
        <f t="shared" ca="1" si="2"/>
        <v>0.92307692307692313</v>
      </c>
      <c r="L31" s="67">
        <f ca="1">IFERROR(__xludf.DUMMYFUNCTION("""COMPUTED_VALUE"""),12)</f>
        <v>12</v>
      </c>
      <c r="M31" s="51">
        <f t="shared" ca="1" si="3"/>
        <v>0.92307692307692313</v>
      </c>
      <c r="N31" s="67">
        <f ca="1">IFERROR(__xludf.DUMMYFUNCTION("""COMPUTED_VALUE"""),11)</f>
        <v>11</v>
      </c>
      <c r="O31" s="67">
        <f ca="1">IFERROR(__xludf.DUMMYFUNCTION("""COMPUTED_VALUE"""),3)</f>
        <v>3</v>
      </c>
      <c r="P31" s="51">
        <f t="shared" ca="1" si="4"/>
        <v>0.27272727272727271</v>
      </c>
      <c r="Q31" s="67">
        <f ca="1">IFERROR(__xludf.DUMMYFUNCTION("""COMPUTED_VALUE"""),2)</f>
        <v>2</v>
      </c>
      <c r="R31" s="51">
        <f t="shared" ca="1" si="5"/>
        <v>0.18181818181818182</v>
      </c>
      <c r="S31" s="66"/>
      <c r="T31" s="66"/>
      <c r="U31" s="51" t="str">
        <f t="shared" si="6"/>
        <v/>
      </c>
      <c r="V31" s="66"/>
      <c r="W31" s="51" t="str">
        <f t="shared" si="7"/>
        <v/>
      </c>
      <c r="X31" s="66"/>
      <c r="Y31" s="51" t="str">
        <f t="shared" si="8"/>
        <v/>
      </c>
      <c r="Z31" s="2"/>
      <c r="AA31" s="2"/>
      <c r="AB31" s="2"/>
      <c r="AC31" s="2"/>
      <c r="AD31" s="2"/>
      <c r="AE31" s="2"/>
    </row>
    <row r="32" spans="1:31" ht="12.75" x14ac:dyDescent="0.2">
      <c r="A32" s="53">
        <f ca="1">IFERROR(__xludf.DUMMYFUNCTION("""COMPUTED_VALUE"""),26)</f>
        <v>26</v>
      </c>
      <c r="B32" s="66" t="str">
        <f ca="1">IFERROR(__xludf.DUMMYFUNCTION("""COMPUTED_VALUE"""),"MG Thiên Phúc ")</f>
        <v xml:space="preserve">MG Thiên Phúc </v>
      </c>
      <c r="C32" s="66" t="str">
        <f ca="1">IFERROR(__xludf.DUMMYFUNCTION("""COMPUTED_VALUE"""),"MN")</f>
        <v>MN</v>
      </c>
      <c r="D32" s="66" t="str">
        <f ca="1">IFERROR(__xludf.DUMMYFUNCTION("""COMPUTED_VALUE"""),"Quận 5")</f>
        <v>Quận 5</v>
      </c>
      <c r="E32" s="67">
        <f ca="1">IFERROR(__xludf.DUMMYFUNCTION("""COMPUTED_VALUE"""),15)</f>
        <v>15</v>
      </c>
      <c r="F32" s="67">
        <f ca="1">IFERROR(__xludf.DUMMYFUNCTION("""COMPUTED_VALUE"""),15)</f>
        <v>15</v>
      </c>
      <c r="G32" s="51">
        <f t="shared" ca="1" si="0"/>
        <v>1</v>
      </c>
      <c r="H32" s="67">
        <f ca="1">IFERROR(__xludf.DUMMYFUNCTION("""COMPUTED_VALUE"""),15)</f>
        <v>15</v>
      </c>
      <c r="I32" s="51">
        <f t="shared" ca="1" si="1"/>
        <v>1</v>
      </c>
      <c r="J32" s="67">
        <f ca="1">IFERROR(__xludf.DUMMYFUNCTION("""COMPUTED_VALUE"""),15)</f>
        <v>15</v>
      </c>
      <c r="K32" s="51">
        <f t="shared" ca="1" si="2"/>
        <v>1</v>
      </c>
      <c r="L32" s="67">
        <f ca="1">IFERROR(__xludf.DUMMYFUNCTION("""COMPUTED_VALUE"""),0)</f>
        <v>0</v>
      </c>
      <c r="M32" s="51">
        <f t="shared" ca="1" si="3"/>
        <v>0</v>
      </c>
      <c r="N32" s="67">
        <f ca="1">IFERROR(__xludf.DUMMYFUNCTION("""COMPUTED_VALUE"""),35)</f>
        <v>35</v>
      </c>
      <c r="O32" s="67">
        <f ca="1">IFERROR(__xludf.DUMMYFUNCTION("""COMPUTED_VALUE"""),9)</f>
        <v>9</v>
      </c>
      <c r="P32" s="51">
        <f t="shared" ca="1" si="4"/>
        <v>0.25714285714285712</v>
      </c>
      <c r="Q32" s="67">
        <f ca="1">IFERROR(__xludf.DUMMYFUNCTION("""COMPUTED_VALUE"""),0)</f>
        <v>0</v>
      </c>
      <c r="R32" s="51">
        <f t="shared" ca="1" si="5"/>
        <v>0</v>
      </c>
      <c r="S32" s="66"/>
      <c r="T32" s="66"/>
      <c r="U32" s="51" t="str">
        <f t="shared" si="6"/>
        <v/>
      </c>
      <c r="V32" s="66"/>
      <c r="W32" s="51" t="str">
        <f t="shared" si="7"/>
        <v/>
      </c>
      <c r="X32" s="66"/>
      <c r="Y32" s="51" t="str">
        <f t="shared" si="8"/>
        <v/>
      </c>
      <c r="Z32" s="2"/>
      <c r="AA32" s="2"/>
      <c r="AB32" s="2"/>
      <c r="AC32" s="2"/>
      <c r="AD32" s="2"/>
      <c r="AE32" s="2"/>
    </row>
    <row r="33" spans="1:31" ht="12.75" x14ac:dyDescent="0.2">
      <c r="A33" s="53">
        <f ca="1">IFERROR(__xludf.DUMMYFUNCTION("""COMPUTED_VALUE"""),27)</f>
        <v>27</v>
      </c>
      <c r="B33" s="66" t="str">
        <f ca="1">IFERROR(__xludf.DUMMYFUNCTION("""COMPUTED_VALUE"""),"MN Ngôi Nhà trí tuệ")</f>
        <v>MN Ngôi Nhà trí tuệ</v>
      </c>
      <c r="C33" s="66" t="str">
        <f ca="1">IFERROR(__xludf.DUMMYFUNCTION("""COMPUTED_VALUE"""),"MN")</f>
        <v>MN</v>
      </c>
      <c r="D33" s="66" t="str">
        <f ca="1">IFERROR(__xludf.DUMMYFUNCTION("""COMPUTED_VALUE"""),"Quận 5")</f>
        <v>Quận 5</v>
      </c>
      <c r="E33" s="67">
        <f ca="1">IFERROR(__xludf.DUMMYFUNCTION("""COMPUTED_VALUE"""),17)</f>
        <v>17</v>
      </c>
      <c r="F33" s="67">
        <f ca="1">IFERROR(__xludf.DUMMYFUNCTION("""COMPUTED_VALUE"""),17)</f>
        <v>17</v>
      </c>
      <c r="G33" s="51">
        <f t="shared" ca="1" si="0"/>
        <v>1</v>
      </c>
      <c r="H33" s="67">
        <f ca="1">IFERROR(__xludf.DUMMYFUNCTION("""COMPUTED_VALUE"""),17)</f>
        <v>17</v>
      </c>
      <c r="I33" s="51">
        <f t="shared" ca="1" si="1"/>
        <v>1</v>
      </c>
      <c r="J33" s="67">
        <f ca="1">IFERROR(__xludf.DUMMYFUNCTION("""COMPUTED_VALUE"""),17)</f>
        <v>17</v>
      </c>
      <c r="K33" s="51">
        <f t="shared" ca="1" si="2"/>
        <v>1</v>
      </c>
      <c r="L33" s="67">
        <f ca="1">IFERROR(__xludf.DUMMYFUNCTION("""COMPUTED_VALUE"""),14)</f>
        <v>14</v>
      </c>
      <c r="M33" s="51">
        <f t="shared" ca="1" si="3"/>
        <v>0.82352941176470584</v>
      </c>
      <c r="N33" s="67">
        <f ca="1">IFERROR(__xludf.DUMMYFUNCTION("""COMPUTED_VALUE"""),78)</f>
        <v>78</v>
      </c>
      <c r="O33" s="67">
        <f ca="1">IFERROR(__xludf.DUMMYFUNCTION("""COMPUTED_VALUE"""),42)</f>
        <v>42</v>
      </c>
      <c r="P33" s="51">
        <f t="shared" ca="1" si="4"/>
        <v>0.53846153846153844</v>
      </c>
      <c r="Q33" s="67">
        <f ca="1">IFERROR(__xludf.DUMMYFUNCTION("""COMPUTED_VALUE"""),42)</f>
        <v>42</v>
      </c>
      <c r="R33" s="51">
        <f t="shared" ca="1" si="5"/>
        <v>0.53846153846153844</v>
      </c>
      <c r="S33" s="66"/>
      <c r="T33" s="66"/>
      <c r="U33" s="51" t="str">
        <f t="shared" si="6"/>
        <v/>
      </c>
      <c r="V33" s="66"/>
      <c r="W33" s="51" t="str">
        <f t="shared" si="7"/>
        <v/>
      </c>
      <c r="X33" s="66"/>
      <c r="Y33" s="51" t="str">
        <f t="shared" si="8"/>
        <v/>
      </c>
      <c r="Z33" s="2"/>
      <c r="AA33" s="2"/>
      <c r="AB33" s="2"/>
      <c r="AC33" s="2"/>
      <c r="AD33" s="2"/>
      <c r="AE33" s="2"/>
    </row>
    <row r="34" spans="1:31" ht="12.75" x14ac:dyDescent="0.2">
      <c r="A34" s="53">
        <f ca="1">IFERROR(__xludf.DUMMYFUNCTION("""COMPUTED_VALUE"""),28)</f>
        <v>28</v>
      </c>
      <c r="B34" s="66" t="str">
        <f ca="1">IFERROR(__xludf.DUMMYFUNCTION("""COMPUTED_VALUE"""),"Tương Lai")</f>
        <v>Tương Lai</v>
      </c>
      <c r="C34" s="66"/>
      <c r="D34" s="66" t="str">
        <f ca="1">IFERROR(__xludf.DUMMYFUNCTION("""COMPUTED_VALUE"""),"Quận 5")</f>
        <v>Quận 5</v>
      </c>
      <c r="E34" s="67">
        <f ca="1">IFERROR(__xludf.DUMMYFUNCTION("""COMPUTED_VALUE"""),25)</f>
        <v>25</v>
      </c>
      <c r="F34" s="67">
        <f ca="1">IFERROR(__xludf.DUMMYFUNCTION("""COMPUTED_VALUE"""),25)</f>
        <v>25</v>
      </c>
      <c r="G34" s="51">
        <f t="shared" ca="1" si="0"/>
        <v>1</v>
      </c>
      <c r="H34" s="67">
        <f ca="1">IFERROR(__xludf.DUMMYFUNCTION("""COMPUTED_VALUE"""),25)</f>
        <v>25</v>
      </c>
      <c r="I34" s="51">
        <f t="shared" ca="1" si="1"/>
        <v>1</v>
      </c>
      <c r="J34" s="67">
        <f ca="1">IFERROR(__xludf.DUMMYFUNCTION("""COMPUTED_VALUE"""),25)</f>
        <v>25</v>
      </c>
      <c r="K34" s="51">
        <f t="shared" ca="1" si="2"/>
        <v>1</v>
      </c>
      <c r="L34" s="67">
        <f ca="1">IFERROR(__xludf.DUMMYFUNCTION("""COMPUTED_VALUE"""),21)</f>
        <v>21</v>
      </c>
      <c r="M34" s="51">
        <f t="shared" ca="1" si="3"/>
        <v>0.84</v>
      </c>
      <c r="N34" s="67">
        <f ca="1">IFERROR(__xludf.DUMMYFUNCTION("""COMPUTED_VALUE"""),15)</f>
        <v>15</v>
      </c>
      <c r="O34" s="67">
        <f ca="1">IFERROR(__xludf.DUMMYFUNCTION("""COMPUTED_VALUE"""),0)</f>
        <v>0</v>
      </c>
      <c r="P34" s="51">
        <f t="shared" ca="1" si="4"/>
        <v>0</v>
      </c>
      <c r="Q34" s="67">
        <f ca="1">IFERROR(__xludf.DUMMYFUNCTION("""COMPUTED_VALUE"""),0)</f>
        <v>0</v>
      </c>
      <c r="R34" s="51">
        <f t="shared" ca="1" si="5"/>
        <v>0</v>
      </c>
      <c r="S34" s="66"/>
      <c r="T34" s="66"/>
      <c r="U34" s="51" t="str">
        <f t="shared" si="6"/>
        <v/>
      </c>
      <c r="V34" s="66"/>
      <c r="W34" s="51" t="str">
        <f t="shared" si="7"/>
        <v/>
      </c>
      <c r="X34" s="66"/>
      <c r="Y34" s="51" t="str">
        <f t="shared" si="8"/>
        <v/>
      </c>
      <c r="Z34" s="2"/>
      <c r="AA34" s="2"/>
      <c r="AB34" s="2"/>
      <c r="AC34" s="2"/>
      <c r="AD34" s="2"/>
      <c r="AE34" s="2"/>
    </row>
    <row r="35" spans="1:31" ht="12.75" x14ac:dyDescent="0.2">
      <c r="A35" s="55" t="str">
        <f ca="1">IFERROR(__xludf.DUMMYFUNCTION("""COMPUTED_VALUE"""),"Tiểu học")</f>
        <v>Tiểu học</v>
      </c>
      <c r="B35" s="66"/>
      <c r="C35" s="66"/>
      <c r="D35" s="66" t="str">
        <f ca="1">IFERROR(__xludf.DUMMYFUNCTION("""COMPUTED_VALUE"""),"Quận 5")</f>
        <v>Quận 5</v>
      </c>
      <c r="E35" s="67">
        <f ca="1">IFERROR(__xludf.DUMMYFUNCTION("""COMPUTED_VALUE"""),1148)</f>
        <v>1148</v>
      </c>
      <c r="F35" s="67">
        <f ca="1">IFERROR(__xludf.DUMMYFUNCTION("""COMPUTED_VALUE"""),1147)</f>
        <v>1147</v>
      </c>
      <c r="G35" s="51">
        <f t="shared" ca="1" si="0"/>
        <v>0.99912891986062713</v>
      </c>
      <c r="H35" s="67">
        <f ca="1">IFERROR(__xludf.DUMMYFUNCTION("""COMPUTED_VALUE"""),1144)</f>
        <v>1144</v>
      </c>
      <c r="I35" s="51">
        <f t="shared" ca="1" si="1"/>
        <v>0.99651567944250874</v>
      </c>
      <c r="J35" s="67">
        <f ca="1">IFERROR(__xludf.DUMMYFUNCTION("""COMPUTED_VALUE"""),1132)</f>
        <v>1132</v>
      </c>
      <c r="K35" s="51">
        <f t="shared" ca="1" si="2"/>
        <v>0.98606271777003485</v>
      </c>
      <c r="L35" s="67">
        <f ca="1">IFERROR(__xludf.DUMMYFUNCTION("""COMPUTED_VALUE"""),935)</f>
        <v>935</v>
      </c>
      <c r="M35" s="51">
        <f t="shared" ca="1" si="3"/>
        <v>0.81445993031358888</v>
      </c>
      <c r="N35" s="67">
        <f ca="1">IFERROR(__xludf.DUMMYFUNCTION("""COMPUTED_VALUE"""),14965)</f>
        <v>14965</v>
      </c>
      <c r="O35" s="67">
        <f ca="1">IFERROR(__xludf.DUMMYFUNCTION("""COMPUTED_VALUE"""),7471)</f>
        <v>7471</v>
      </c>
      <c r="P35" s="51">
        <f t="shared" ca="1" si="4"/>
        <v>0.49923154026060806</v>
      </c>
      <c r="Q35" s="67">
        <f ca="1">IFERROR(__xludf.DUMMYFUNCTION("""COMPUTED_VALUE"""),4899)</f>
        <v>4899</v>
      </c>
      <c r="R35" s="51">
        <f t="shared" ca="1" si="5"/>
        <v>0.32736384898095555</v>
      </c>
      <c r="S35" s="67">
        <f ca="1">IFERROR(__xludf.DUMMYFUNCTION("""COMPUTED_VALUE"""),0)</f>
        <v>0</v>
      </c>
      <c r="T35" s="67">
        <f ca="1">IFERROR(__xludf.DUMMYFUNCTION("""COMPUTED_VALUE"""),0)</f>
        <v>0</v>
      </c>
      <c r="U35" s="51" t="str">
        <f t="shared" ca="1" si="6"/>
        <v/>
      </c>
      <c r="V35" s="67">
        <f ca="1">IFERROR(__xludf.DUMMYFUNCTION("""COMPUTED_VALUE"""),0)</f>
        <v>0</v>
      </c>
      <c r="W35" s="51" t="str">
        <f t="shared" ca="1" si="7"/>
        <v/>
      </c>
      <c r="X35" s="67">
        <f ca="1">IFERROR(__xludf.DUMMYFUNCTION("""COMPUTED_VALUE"""),0)</f>
        <v>0</v>
      </c>
      <c r="Y35" s="51" t="str">
        <f t="shared" ca="1" si="8"/>
        <v/>
      </c>
      <c r="Z35" s="2"/>
      <c r="AA35" s="2"/>
      <c r="AB35" s="2"/>
      <c r="AC35" s="2"/>
      <c r="AD35" s="2"/>
      <c r="AE35" s="2"/>
    </row>
    <row r="36" spans="1:31" ht="12.75" x14ac:dyDescent="0.2">
      <c r="A36" s="53" t="str">
        <f ca="1">IFERROR(__xludf.DUMMYFUNCTION("""COMPUTED_VALUE"""),"1")</f>
        <v>1</v>
      </c>
      <c r="B36" s="66"/>
      <c r="C36" s="66"/>
      <c r="D36" s="66" t="str">
        <f ca="1">IFERROR(__xludf.DUMMYFUNCTION("""COMPUTED_VALUE"""),"Quận 5")</f>
        <v>Quận 5</v>
      </c>
      <c r="E36" s="67">
        <f ca="1">IFERROR(__xludf.DUMMYFUNCTION("""COMPUTED_VALUE"""),61)</f>
        <v>61</v>
      </c>
      <c r="F36" s="67">
        <f ca="1">IFERROR(__xludf.DUMMYFUNCTION("""COMPUTED_VALUE"""),61)</f>
        <v>61</v>
      </c>
      <c r="G36" s="51">
        <f t="shared" ca="1" si="0"/>
        <v>1</v>
      </c>
      <c r="H36" s="67">
        <f ca="1">IFERROR(__xludf.DUMMYFUNCTION("""COMPUTED_VALUE"""),61)</f>
        <v>61</v>
      </c>
      <c r="I36" s="51">
        <f t="shared" ca="1" si="1"/>
        <v>1</v>
      </c>
      <c r="J36" s="67">
        <f ca="1">IFERROR(__xludf.DUMMYFUNCTION("""COMPUTED_VALUE"""),61)</f>
        <v>61</v>
      </c>
      <c r="K36" s="51">
        <f t="shared" ca="1" si="2"/>
        <v>1</v>
      </c>
      <c r="L36" s="67">
        <f ca="1">IFERROR(__xludf.DUMMYFUNCTION("""COMPUTED_VALUE"""),56)</f>
        <v>56</v>
      </c>
      <c r="M36" s="51">
        <f t="shared" ca="1" si="3"/>
        <v>0.91803278688524592</v>
      </c>
      <c r="N36" s="67">
        <f ca="1">IFERROR(__xludf.DUMMYFUNCTION("""COMPUTED_VALUE"""),846)</f>
        <v>846</v>
      </c>
      <c r="O36" s="67">
        <f ca="1">IFERROR(__xludf.DUMMYFUNCTION("""COMPUTED_VALUE"""),356)</f>
        <v>356</v>
      </c>
      <c r="P36" s="51">
        <f t="shared" ca="1" si="4"/>
        <v>0.42080378250591016</v>
      </c>
      <c r="Q36" s="67">
        <f ca="1">IFERROR(__xludf.DUMMYFUNCTION("""COMPUTED_VALUE"""),228)</f>
        <v>228</v>
      </c>
      <c r="R36" s="51">
        <f t="shared" ca="1" si="5"/>
        <v>0.26950354609929078</v>
      </c>
      <c r="S36" s="66"/>
      <c r="T36" s="66"/>
      <c r="U36" s="51" t="str">
        <f t="shared" si="6"/>
        <v/>
      </c>
      <c r="V36" s="66"/>
      <c r="W36" s="51" t="str">
        <f t="shared" si="7"/>
        <v/>
      </c>
      <c r="X36" s="66"/>
      <c r="Y36" s="51" t="str">
        <f t="shared" si="8"/>
        <v/>
      </c>
      <c r="Z36" s="2"/>
      <c r="AA36" s="2"/>
      <c r="AB36" s="2"/>
      <c r="AC36" s="2"/>
      <c r="AD36" s="2"/>
      <c r="AE36" s="2"/>
    </row>
    <row r="37" spans="1:31" ht="12.75" x14ac:dyDescent="0.2">
      <c r="A37" s="53" t="str">
        <f ca="1">IFERROR(__xludf.DUMMYFUNCTION("""COMPUTED_VALUE"""),"2")</f>
        <v>2</v>
      </c>
      <c r="B37" s="66" t="str">
        <f ca="1">IFERROR(__xludf.DUMMYFUNCTION("""COMPUTED_VALUE"""),"Trần Binh Trọng")</f>
        <v>Trần Binh Trọng</v>
      </c>
      <c r="C37" s="66" t="str">
        <f ca="1">IFERROR(__xludf.DUMMYFUNCTION("""COMPUTED_VALUE"""),"TH")</f>
        <v>TH</v>
      </c>
      <c r="D37" s="66" t="str">
        <f ca="1">IFERROR(__xludf.DUMMYFUNCTION("""COMPUTED_VALUE"""),"Quận 5")</f>
        <v>Quận 5</v>
      </c>
      <c r="E37" s="67">
        <f ca="1">IFERROR(__xludf.DUMMYFUNCTION("""COMPUTED_VALUE"""),86)</f>
        <v>86</v>
      </c>
      <c r="F37" s="67">
        <f ca="1">IFERROR(__xludf.DUMMYFUNCTION("""COMPUTED_VALUE"""),86)</f>
        <v>86</v>
      </c>
      <c r="G37" s="51">
        <f t="shared" ca="1" si="0"/>
        <v>1</v>
      </c>
      <c r="H37" s="67">
        <f ca="1">IFERROR(__xludf.DUMMYFUNCTION("""COMPUTED_VALUE"""),86)</f>
        <v>86</v>
      </c>
      <c r="I37" s="51">
        <f t="shared" ca="1" si="1"/>
        <v>1</v>
      </c>
      <c r="J37" s="67">
        <f ca="1">IFERROR(__xludf.DUMMYFUNCTION("""COMPUTED_VALUE"""),86)</f>
        <v>86</v>
      </c>
      <c r="K37" s="51">
        <f t="shared" ca="1" si="2"/>
        <v>1</v>
      </c>
      <c r="L37" s="67">
        <f ca="1">IFERROR(__xludf.DUMMYFUNCTION("""COMPUTED_VALUE"""),67)</f>
        <v>67</v>
      </c>
      <c r="M37" s="51">
        <f t="shared" ca="1" si="3"/>
        <v>0.77906976744186052</v>
      </c>
      <c r="N37" s="67">
        <f ca="1">IFERROR(__xludf.DUMMYFUNCTION("""COMPUTED_VALUE"""),1133)</f>
        <v>1133</v>
      </c>
      <c r="O37" s="67">
        <f ca="1">IFERROR(__xludf.DUMMYFUNCTION("""COMPUTED_VALUE"""),603)</f>
        <v>603</v>
      </c>
      <c r="P37" s="51">
        <f t="shared" ca="1" si="4"/>
        <v>0.53221535745807591</v>
      </c>
      <c r="Q37" s="67">
        <f ca="1">IFERROR(__xludf.DUMMYFUNCTION("""COMPUTED_VALUE"""),303)</f>
        <v>303</v>
      </c>
      <c r="R37" s="51">
        <f t="shared" ca="1" si="5"/>
        <v>0.26743159752868489</v>
      </c>
      <c r="S37" s="66"/>
      <c r="T37" s="66"/>
      <c r="U37" s="51" t="str">
        <f t="shared" si="6"/>
        <v/>
      </c>
      <c r="V37" s="66"/>
      <c r="W37" s="51" t="str">
        <f t="shared" si="7"/>
        <v/>
      </c>
      <c r="X37" s="66"/>
      <c r="Y37" s="51" t="str">
        <f t="shared" si="8"/>
        <v/>
      </c>
      <c r="Z37" s="2"/>
      <c r="AA37" s="2"/>
      <c r="AB37" s="2"/>
      <c r="AC37" s="2"/>
      <c r="AD37" s="2"/>
      <c r="AE37" s="2"/>
    </row>
    <row r="38" spans="1:31" ht="12.75" x14ac:dyDescent="0.2">
      <c r="A38" s="53" t="str">
        <f ca="1">IFERROR(__xludf.DUMMYFUNCTION("""COMPUTED_VALUE"""),"3")</f>
        <v>3</v>
      </c>
      <c r="B38" s="66" t="str">
        <f ca="1">IFERROR(__xludf.DUMMYFUNCTION("""COMPUTED_VALUE"""),"Bàu Sen")</f>
        <v>Bàu Sen</v>
      </c>
      <c r="C38" s="66" t="str">
        <f ca="1">IFERROR(__xludf.DUMMYFUNCTION("""COMPUTED_VALUE"""),"TH")</f>
        <v>TH</v>
      </c>
      <c r="D38" s="66" t="str">
        <f ca="1">IFERROR(__xludf.DUMMYFUNCTION("""COMPUTED_VALUE"""),"Quận 5")</f>
        <v>Quận 5</v>
      </c>
      <c r="E38" s="67">
        <f ca="1">IFERROR(__xludf.DUMMYFUNCTION("""COMPUTED_VALUE"""),76)</f>
        <v>76</v>
      </c>
      <c r="F38" s="67">
        <f ca="1">IFERROR(__xludf.DUMMYFUNCTION("""COMPUTED_VALUE"""),76)</f>
        <v>76</v>
      </c>
      <c r="G38" s="51">
        <f t="shared" ca="1" si="0"/>
        <v>1</v>
      </c>
      <c r="H38" s="67">
        <f ca="1">IFERROR(__xludf.DUMMYFUNCTION("""COMPUTED_VALUE"""),76)</f>
        <v>76</v>
      </c>
      <c r="I38" s="51">
        <f t="shared" ca="1" si="1"/>
        <v>1</v>
      </c>
      <c r="J38" s="67">
        <f ca="1">IFERROR(__xludf.DUMMYFUNCTION("""COMPUTED_VALUE"""),71)</f>
        <v>71</v>
      </c>
      <c r="K38" s="51">
        <f t="shared" ca="1" si="2"/>
        <v>0.93421052631578949</v>
      </c>
      <c r="L38" s="67">
        <f ca="1">IFERROR(__xludf.DUMMYFUNCTION("""COMPUTED_VALUE"""),49)</f>
        <v>49</v>
      </c>
      <c r="M38" s="51">
        <f t="shared" ca="1" si="3"/>
        <v>0.64473684210526316</v>
      </c>
      <c r="N38" s="67">
        <f ca="1">IFERROR(__xludf.DUMMYFUNCTION("""COMPUTED_VALUE"""),990)</f>
        <v>990</v>
      </c>
      <c r="O38" s="67">
        <f ca="1">IFERROR(__xludf.DUMMYFUNCTION("""COMPUTED_VALUE"""),380)</f>
        <v>380</v>
      </c>
      <c r="P38" s="51">
        <f t="shared" ca="1" si="4"/>
        <v>0.38383838383838381</v>
      </c>
      <c r="Q38" s="67">
        <f ca="1">IFERROR(__xludf.DUMMYFUNCTION("""COMPUTED_VALUE"""),280)</f>
        <v>280</v>
      </c>
      <c r="R38" s="51">
        <f t="shared" ca="1" si="5"/>
        <v>0.28282828282828282</v>
      </c>
      <c r="S38" s="66"/>
      <c r="T38" s="66"/>
      <c r="U38" s="51" t="str">
        <f t="shared" si="6"/>
        <v/>
      </c>
      <c r="V38" s="66"/>
      <c r="W38" s="51" t="str">
        <f t="shared" si="7"/>
        <v/>
      </c>
      <c r="X38" s="66"/>
      <c r="Y38" s="51" t="str">
        <f t="shared" si="8"/>
        <v/>
      </c>
      <c r="Z38" s="2"/>
      <c r="AA38" s="2"/>
      <c r="AB38" s="2"/>
      <c r="AC38" s="2"/>
      <c r="AD38" s="2"/>
      <c r="AE38" s="2"/>
    </row>
    <row r="39" spans="1:31" ht="12.75" x14ac:dyDescent="0.2">
      <c r="A39" s="53" t="str">
        <f ca="1">IFERROR(__xludf.DUMMYFUNCTION("""COMPUTED_VALUE"""),"4")</f>
        <v>4</v>
      </c>
      <c r="B39" s="66" t="str">
        <f ca="1">IFERROR(__xludf.DUMMYFUNCTION("""COMPUTED_VALUE"""),"Lê Vãn Tám")</f>
        <v>Lê Vãn Tám</v>
      </c>
      <c r="C39" s="66" t="str">
        <f ca="1">IFERROR(__xludf.DUMMYFUNCTION("""COMPUTED_VALUE"""),"TH")</f>
        <v>TH</v>
      </c>
      <c r="D39" s="66" t="str">
        <f ca="1">IFERROR(__xludf.DUMMYFUNCTION("""COMPUTED_VALUE"""),"Quận 5")</f>
        <v>Quận 5</v>
      </c>
      <c r="E39" s="67">
        <f ca="1">IFERROR(__xludf.DUMMYFUNCTION("""COMPUTED_VALUE"""),38)</f>
        <v>38</v>
      </c>
      <c r="F39" s="67">
        <f ca="1">IFERROR(__xludf.DUMMYFUNCTION("""COMPUTED_VALUE"""),38)</f>
        <v>38</v>
      </c>
      <c r="G39" s="51">
        <f t="shared" ca="1" si="0"/>
        <v>1</v>
      </c>
      <c r="H39" s="67">
        <f ca="1">IFERROR(__xludf.DUMMYFUNCTION("""COMPUTED_VALUE"""),37)</f>
        <v>37</v>
      </c>
      <c r="I39" s="51">
        <f t="shared" ca="1" si="1"/>
        <v>0.97368421052631582</v>
      </c>
      <c r="J39" s="67">
        <f ca="1">IFERROR(__xludf.DUMMYFUNCTION("""COMPUTED_VALUE"""),37)</f>
        <v>37</v>
      </c>
      <c r="K39" s="51">
        <f t="shared" ca="1" si="2"/>
        <v>0.97368421052631582</v>
      </c>
      <c r="L39" s="67">
        <f ca="1">IFERROR(__xludf.DUMMYFUNCTION("""COMPUTED_VALUE"""),19)</f>
        <v>19</v>
      </c>
      <c r="M39" s="51">
        <f t="shared" ca="1" si="3"/>
        <v>0.5</v>
      </c>
      <c r="N39" s="67">
        <f ca="1">IFERROR(__xludf.DUMMYFUNCTION("""COMPUTED_VALUE"""),490)</f>
        <v>490</v>
      </c>
      <c r="O39" s="67">
        <f ca="1">IFERROR(__xludf.DUMMYFUNCTION("""COMPUTED_VALUE"""),230)</f>
        <v>230</v>
      </c>
      <c r="P39" s="51">
        <f t="shared" ca="1" si="4"/>
        <v>0.46938775510204084</v>
      </c>
      <c r="Q39" s="67">
        <f ca="1">IFERROR(__xludf.DUMMYFUNCTION("""COMPUTED_VALUE"""),170)</f>
        <v>170</v>
      </c>
      <c r="R39" s="51">
        <f t="shared" ca="1" si="5"/>
        <v>0.34693877551020408</v>
      </c>
      <c r="S39" s="66"/>
      <c r="T39" s="66"/>
      <c r="U39" s="51" t="str">
        <f t="shared" si="6"/>
        <v/>
      </c>
      <c r="V39" s="66"/>
      <c r="W39" s="51" t="str">
        <f t="shared" si="7"/>
        <v/>
      </c>
      <c r="X39" s="66"/>
      <c r="Y39" s="51" t="str">
        <f t="shared" si="8"/>
        <v/>
      </c>
      <c r="Z39" s="2"/>
      <c r="AA39" s="2"/>
      <c r="AB39" s="2"/>
      <c r="AC39" s="2"/>
      <c r="AD39" s="2"/>
      <c r="AE39" s="2"/>
    </row>
    <row r="40" spans="1:31" ht="12.75" x14ac:dyDescent="0.2">
      <c r="A40" s="53" t="str">
        <f ca="1">IFERROR(__xludf.DUMMYFUNCTION("""COMPUTED_VALUE"""),"5")</f>
        <v>5</v>
      </c>
      <c r="B40" s="66" t="str">
        <f ca="1">IFERROR(__xludf.DUMMYFUNCTION("""COMPUTED_VALUE"""),"Huỳnh Mẫn Đạt")</f>
        <v>Huỳnh Mẫn Đạt</v>
      </c>
      <c r="C40" s="66" t="str">
        <f ca="1">IFERROR(__xludf.DUMMYFUNCTION("""COMPUTED_VALUE"""),"TH")</f>
        <v>TH</v>
      </c>
      <c r="D40" s="66" t="str">
        <f ca="1">IFERROR(__xludf.DUMMYFUNCTION("""COMPUTED_VALUE"""),"Quận 5")</f>
        <v>Quận 5</v>
      </c>
      <c r="E40" s="67">
        <f ca="1">IFERROR(__xludf.DUMMYFUNCTION("""COMPUTED_VALUE"""),48)</f>
        <v>48</v>
      </c>
      <c r="F40" s="67">
        <f ca="1">IFERROR(__xludf.DUMMYFUNCTION("""COMPUTED_VALUE"""),48)</f>
        <v>48</v>
      </c>
      <c r="G40" s="51">
        <f t="shared" ca="1" si="0"/>
        <v>1</v>
      </c>
      <c r="H40" s="67">
        <f ca="1">IFERROR(__xludf.DUMMYFUNCTION("""COMPUTED_VALUE"""),48)</f>
        <v>48</v>
      </c>
      <c r="I40" s="51">
        <f t="shared" ca="1" si="1"/>
        <v>1</v>
      </c>
      <c r="J40" s="67">
        <f ca="1">IFERROR(__xludf.DUMMYFUNCTION("""COMPUTED_VALUE"""),46)</f>
        <v>46</v>
      </c>
      <c r="K40" s="51">
        <f t="shared" ca="1" si="2"/>
        <v>0.95833333333333337</v>
      </c>
      <c r="L40" s="67">
        <f ca="1">IFERROR(__xludf.DUMMYFUNCTION("""COMPUTED_VALUE"""),41)</f>
        <v>41</v>
      </c>
      <c r="M40" s="51">
        <f t="shared" ca="1" si="3"/>
        <v>0.85416666666666663</v>
      </c>
      <c r="N40" s="67">
        <f ca="1">IFERROR(__xludf.DUMMYFUNCTION("""COMPUTED_VALUE"""),654)</f>
        <v>654</v>
      </c>
      <c r="O40" s="67">
        <f ca="1">IFERROR(__xludf.DUMMYFUNCTION("""COMPUTED_VALUE"""),349)</f>
        <v>349</v>
      </c>
      <c r="P40" s="51">
        <f t="shared" ca="1" si="4"/>
        <v>0.53363914373088683</v>
      </c>
      <c r="Q40" s="67">
        <f ca="1">IFERROR(__xludf.DUMMYFUNCTION("""COMPUTED_VALUE"""),228)</f>
        <v>228</v>
      </c>
      <c r="R40" s="51">
        <f t="shared" ca="1" si="5"/>
        <v>0.34862385321100919</v>
      </c>
      <c r="S40" s="66"/>
      <c r="T40" s="66"/>
      <c r="U40" s="51" t="str">
        <f t="shared" si="6"/>
        <v/>
      </c>
      <c r="V40" s="66"/>
      <c r="W40" s="51" t="str">
        <f t="shared" si="7"/>
        <v/>
      </c>
      <c r="X40" s="66"/>
      <c r="Y40" s="51" t="str">
        <f t="shared" si="8"/>
        <v/>
      </c>
      <c r="Z40" s="2"/>
      <c r="AA40" s="2"/>
      <c r="AB40" s="2"/>
      <c r="AC40" s="2"/>
      <c r="AD40" s="2"/>
      <c r="AE40" s="2"/>
    </row>
    <row r="41" spans="1:31" ht="12.75" x14ac:dyDescent="0.2">
      <c r="A41" s="53" t="str">
        <f ca="1">IFERROR(__xludf.DUMMYFUNCTION("""COMPUTED_VALUE"""),"6")</f>
        <v>6</v>
      </c>
      <c r="B41" s="66" t="str">
        <f ca="1">IFERROR(__xludf.DUMMYFUNCTION("""COMPUTED_VALUE"""),"Chương Dương")</f>
        <v>Chương Dương</v>
      </c>
      <c r="C41" s="66" t="str">
        <f ca="1">IFERROR(__xludf.DUMMYFUNCTION("""COMPUTED_VALUE"""),"TH")</f>
        <v>TH</v>
      </c>
      <c r="D41" s="66" t="str">
        <f ca="1">IFERROR(__xludf.DUMMYFUNCTION("""COMPUTED_VALUE"""),"Quận 5")</f>
        <v>Quận 5</v>
      </c>
      <c r="E41" s="67">
        <f ca="1">IFERROR(__xludf.DUMMYFUNCTION("""COMPUTED_VALUE"""),43)</f>
        <v>43</v>
      </c>
      <c r="F41" s="67">
        <f ca="1">IFERROR(__xludf.DUMMYFUNCTION("""COMPUTED_VALUE"""),43)</f>
        <v>43</v>
      </c>
      <c r="G41" s="51">
        <f t="shared" ca="1" si="0"/>
        <v>1</v>
      </c>
      <c r="H41" s="67">
        <f ca="1">IFERROR(__xludf.DUMMYFUNCTION("""COMPUTED_VALUE"""),43)</f>
        <v>43</v>
      </c>
      <c r="I41" s="51">
        <f t="shared" ca="1" si="1"/>
        <v>1</v>
      </c>
      <c r="J41" s="67">
        <f ca="1">IFERROR(__xludf.DUMMYFUNCTION("""COMPUTED_VALUE"""),42)</f>
        <v>42</v>
      </c>
      <c r="K41" s="51">
        <f t="shared" ca="1" si="2"/>
        <v>0.97674418604651159</v>
      </c>
      <c r="L41" s="67">
        <f ca="1">IFERROR(__xludf.DUMMYFUNCTION("""COMPUTED_VALUE"""),32)</f>
        <v>32</v>
      </c>
      <c r="M41" s="51">
        <f t="shared" ca="1" si="3"/>
        <v>0.7441860465116279</v>
      </c>
      <c r="N41" s="67">
        <f ca="1">IFERROR(__xludf.DUMMYFUNCTION("""COMPUTED_VALUE"""),551)</f>
        <v>551</v>
      </c>
      <c r="O41" s="67">
        <f ca="1">IFERROR(__xludf.DUMMYFUNCTION("""COMPUTED_VALUE"""),316)</f>
        <v>316</v>
      </c>
      <c r="P41" s="51">
        <f t="shared" ca="1" si="4"/>
        <v>0.573502722323049</v>
      </c>
      <c r="Q41" s="67">
        <f ca="1">IFERROR(__xludf.DUMMYFUNCTION("""COMPUTED_VALUE"""),213)</f>
        <v>213</v>
      </c>
      <c r="R41" s="51">
        <f t="shared" ca="1" si="5"/>
        <v>0.38656987295825773</v>
      </c>
      <c r="S41" s="66"/>
      <c r="T41" s="66"/>
      <c r="U41" s="51" t="str">
        <f t="shared" si="6"/>
        <v/>
      </c>
      <c r="V41" s="66"/>
      <c r="W41" s="51" t="str">
        <f t="shared" si="7"/>
        <v/>
      </c>
      <c r="X41" s="66"/>
      <c r="Y41" s="51" t="str">
        <f t="shared" si="8"/>
        <v/>
      </c>
      <c r="Z41" s="2"/>
      <c r="AA41" s="2"/>
      <c r="AB41" s="2"/>
      <c r="AC41" s="2"/>
      <c r="AD41" s="2"/>
      <c r="AE41" s="2"/>
    </row>
    <row r="42" spans="1:31" ht="12.75" x14ac:dyDescent="0.2">
      <c r="A42" s="53" t="str">
        <f ca="1">IFERROR(__xludf.DUMMYFUNCTION("""COMPUTED_VALUE"""),"7")</f>
        <v>7</v>
      </c>
      <c r="B42" s="66" t="str">
        <f ca="1">IFERROR(__xludf.DUMMYFUNCTION("""COMPUTED_VALUE"""),"Huỳnh Kiến Hoa")</f>
        <v>Huỳnh Kiến Hoa</v>
      </c>
      <c r="C42" s="66" t="str">
        <f ca="1">IFERROR(__xludf.DUMMYFUNCTION("""COMPUTED_VALUE"""),"TH")</f>
        <v>TH</v>
      </c>
      <c r="D42" s="66" t="str">
        <f ca="1">IFERROR(__xludf.DUMMYFUNCTION("""COMPUTED_VALUE"""),"Quận 5")</f>
        <v>Quận 5</v>
      </c>
      <c r="E42" s="67">
        <f ca="1">IFERROR(__xludf.DUMMYFUNCTION("""COMPUTED_VALUE"""),61)</f>
        <v>61</v>
      </c>
      <c r="F42" s="67">
        <f ca="1">IFERROR(__xludf.DUMMYFUNCTION("""COMPUTED_VALUE"""),61)</f>
        <v>61</v>
      </c>
      <c r="G42" s="51">
        <f t="shared" ca="1" si="0"/>
        <v>1</v>
      </c>
      <c r="H42" s="67">
        <f ca="1">IFERROR(__xludf.DUMMYFUNCTION("""COMPUTED_VALUE"""),61)</f>
        <v>61</v>
      </c>
      <c r="I42" s="51">
        <f t="shared" ca="1" si="1"/>
        <v>1</v>
      </c>
      <c r="J42" s="67">
        <f ca="1">IFERROR(__xludf.DUMMYFUNCTION("""COMPUTED_VALUE"""),60)</f>
        <v>60</v>
      </c>
      <c r="K42" s="51">
        <f t="shared" ca="1" si="2"/>
        <v>0.98360655737704916</v>
      </c>
      <c r="L42" s="67">
        <f ca="1">IFERROR(__xludf.DUMMYFUNCTION("""COMPUTED_VALUE"""),48)</f>
        <v>48</v>
      </c>
      <c r="M42" s="51">
        <f t="shared" ca="1" si="3"/>
        <v>0.78688524590163933</v>
      </c>
      <c r="N42" s="67">
        <f ca="1">IFERROR(__xludf.DUMMYFUNCTION("""COMPUTED_VALUE"""),742)</f>
        <v>742</v>
      </c>
      <c r="O42" s="67">
        <f ca="1">IFERROR(__xludf.DUMMYFUNCTION("""COMPUTED_VALUE"""),435)</f>
        <v>435</v>
      </c>
      <c r="P42" s="51">
        <f t="shared" ca="1" si="4"/>
        <v>0.58625336927223715</v>
      </c>
      <c r="Q42" s="67">
        <f ca="1">IFERROR(__xludf.DUMMYFUNCTION("""COMPUTED_VALUE"""),290)</f>
        <v>290</v>
      </c>
      <c r="R42" s="51">
        <f t="shared" ca="1" si="5"/>
        <v>0.39083557951482478</v>
      </c>
      <c r="S42" s="66"/>
      <c r="T42" s="66"/>
      <c r="U42" s="51" t="str">
        <f t="shared" si="6"/>
        <v/>
      </c>
      <c r="V42" s="66"/>
      <c r="W42" s="51" t="str">
        <f t="shared" si="7"/>
        <v/>
      </c>
      <c r="X42" s="66"/>
      <c r="Y42" s="51" t="str">
        <f t="shared" si="8"/>
        <v/>
      </c>
      <c r="Z42" s="2"/>
      <c r="AA42" s="2"/>
      <c r="AB42" s="2"/>
      <c r="AC42" s="2"/>
      <c r="AD42" s="2"/>
      <c r="AE42" s="2"/>
    </row>
    <row r="43" spans="1:31" ht="12.75" x14ac:dyDescent="0.2">
      <c r="A43" s="53" t="str">
        <f ca="1">IFERROR(__xludf.DUMMYFUNCTION("""COMPUTED_VALUE"""),"8")</f>
        <v>8</v>
      </c>
      <c r="B43" s="66" t="str">
        <f ca="1">IFERROR(__xludf.DUMMYFUNCTION("""COMPUTED_VALUE"""),"Trần Quốc Toản")</f>
        <v>Trần Quốc Toản</v>
      </c>
      <c r="C43" s="66" t="str">
        <f ca="1">IFERROR(__xludf.DUMMYFUNCTION("""COMPUTED_VALUE"""),"TH")</f>
        <v>TH</v>
      </c>
      <c r="D43" s="66" t="str">
        <f ca="1">IFERROR(__xludf.DUMMYFUNCTION("""COMPUTED_VALUE"""),"Quận 5")</f>
        <v>Quận 5</v>
      </c>
      <c r="E43" s="67">
        <f ca="1">IFERROR(__xludf.DUMMYFUNCTION("""COMPUTED_VALUE"""),56)</f>
        <v>56</v>
      </c>
      <c r="F43" s="67">
        <f ca="1">IFERROR(__xludf.DUMMYFUNCTION("""COMPUTED_VALUE"""),56)</f>
        <v>56</v>
      </c>
      <c r="G43" s="51">
        <f t="shared" ca="1" si="0"/>
        <v>1</v>
      </c>
      <c r="H43" s="67">
        <f ca="1">IFERROR(__xludf.DUMMYFUNCTION("""COMPUTED_VALUE"""),56)</f>
        <v>56</v>
      </c>
      <c r="I43" s="51">
        <f t="shared" ca="1" si="1"/>
        <v>1</v>
      </c>
      <c r="J43" s="67">
        <f ca="1">IFERROR(__xludf.DUMMYFUNCTION("""COMPUTED_VALUE"""),56)</f>
        <v>56</v>
      </c>
      <c r="K43" s="51">
        <f t="shared" ca="1" si="2"/>
        <v>1</v>
      </c>
      <c r="L43" s="67">
        <f ca="1">IFERROR(__xludf.DUMMYFUNCTION("""COMPUTED_VALUE"""),44)</f>
        <v>44</v>
      </c>
      <c r="M43" s="51">
        <f t="shared" ca="1" si="3"/>
        <v>0.7857142857142857</v>
      </c>
      <c r="N43" s="67">
        <f ca="1">IFERROR(__xludf.DUMMYFUNCTION("""COMPUTED_VALUE"""),638)</f>
        <v>638</v>
      </c>
      <c r="O43" s="67">
        <f ca="1">IFERROR(__xludf.DUMMYFUNCTION("""COMPUTED_VALUE"""),360)</f>
        <v>360</v>
      </c>
      <c r="P43" s="51">
        <f t="shared" ca="1" si="4"/>
        <v>0.56426332288401249</v>
      </c>
      <c r="Q43" s="67">
        <f ca="1">IFERROR(__xludf.DUMMYFUNCTION("""COMPUTED_VALUE"""),199)</f>
        <v>199</v>
      </c>
      <c r="R43" s="51">
        <f t="shared" ca="1" si="5"/>
        <v>0.31191222570532917</v>
      </c>
      <c r="S43" s="66"/>
      <c r="T43" s="66"/>
      <c r="U43" s="51" t="str">
        <f t="shared" si="6"/>
        <v/>
      </c>
      <c r="V43" s="66"/>
      <c r="W43" s="51" t="str">
        <f t="shared" si="7"/>
        <v/>
      </c>
      <c r="X43" s="66"/>
      <c r="Y43" s="51" t="str">
        <f t="shared" si="8"/>
        <v/>
      </c>
      <c r="Z43" s="2"/>
      <c r="AA43" s="2"/>
      <c r="AB43" s="2"/>
      <c r="AC43" s="2"/>
      <c r="AD43" s="2"/>
      <c r="AE43" s="2"/>
    </row>
    <row r="44" spans="1:31" ht="12.75" x14ac:dyDescent="0.2">
      <c r="A44" s="53" t="str">
        <f ca="1">IFERROR(__xludf.DUMMYFUNCTION("""COMPUTED_VALUE"""),"9")</f>
        <v>9</v>
      </c>
      <c r="B44" s="66" t="str">
        <f ca="1">IFERROR(__xludf.DUMMYFUNCTION("""COMPUTED_VALUE"""),"Phạm Hồng Thái")</f>
        <v>Phạm Hồng Thái</v>
      </c>
      <c r="C44" s="66" t="str">
        <f ca="1">IFERROR(__xludf.DUMMYFUNCTION("""COMPUTED_VALUE"""),"TH")</f>
        <v>TH</v>
      </c>
      <c r="D44" s="66" t="str">
        <f ca="1">IFERROR(__xludf.DUMMYFUNCTION("""COMPUTED_VALUE"""),"Quận 5")</f>
        <v>Quận 5</v>
      </c>
      <c r="E44" s="67">
        <f ca="1">IFERROR(__xludf.DUMMYFUNCTION("""COMPUTED_VALUE"""),76)</f>
        <v>76</v>
      </c>
      <c r="F44" s="67">
        <f ca="1">IFERROR(__xludf.DUMMYFUNCTION("""COMPUTED_VALUE"""),76)</f>
        <v>76</v>
      </c>
      <c r="G44" s="51">
        <f t="shared" ca="1" si="0"/>
        <v>1</v>
      </c>
      <c r="H44" s="67">
        <f ca="1">IFERROR(__xludf.DUMMYFUNCTION("""COMPUTED_VALUE"""),76)</f>
        <v>76</v>
      </c>
      <c r="I44" s="51">
        <f t="shared" ca="1" si="1"/>
        <v>1</v>
      </c>
      <c r="J44" s="67">
        <f ca="1">IFERROR(__xludf.DUMMYFUNCTION("""COMPUTED_VALUE"""),76)</f>
        <v>76</v>
      </c>
      <c r="K44" s="51">
        <f t="shared" ca="1" si="2"/>
        <v>1</v>
      </c>
      <c r="L44" s="67">
        <f ca="1">IFERROR(__xludf.DUMMYFUNCTION("""COMPUTED_VALUE"""),76)</f>
        <v>76</v>
      </c>
      <c r="M44" s="51">
        <f t="shared" ca="1" si="3"/>
        <v>1</v>
      </c>
      <c r="N44" s="67">
        <f ca="1">IFERROR(__xludf.DUMMYFUNCTION("""COMPUTED_VALUE"""),909)</f>
        <v>909</v>
      </c>
      <c r="O44" s="67">
        <f ca="1">IFERROR(__xludf.DUMMYFUNCTION("""COMPUTED_VALUE"""),508)</f>
        <v>508</v>
      </c>
      <c r="P44" s="51">
        <f t="shared" ca="1" si="4"/>
        <v>0.55885588558855881</v>
      </c>
      <c r="Q44" s="67">
        <f ca="1">IFERROR(__xludf.DUMMYFUNCTION("""COMPUTED_VALUE"""),386)</f>
        <v>386</v>
      </c>
      <c r="R44" s="51">
        <f t="shared" ca="1" si="5"/>
        <v>0.42464246424642466</v>
      </c>
      <c r="S44" s="66"/>
      <c r="T44" s="66"/>
      <c r="U44" s="51" t="str">
        <f t="shared" si="6"/>
        <v/>
      </c>
      <c r="V44" s="66"/>
      <c r="W44" s="51" t="str">
        <f t="shared" si="7"/>
        <v/>
      </c>
      <c r="X44" s="66"/>
      <c r="Y44" s="51" t="str">
        <f t="shared" si="8"/>
        <v/>
      </c>
      <c r="Z44" s="2"/>
      <c r="AA44" s="2"/>
      <c r="AB44" s="2"/>
      <c r="AC44" s="2"/>
      <c r="AD44" s="2"/>
      <c r="AE44" s="2"/>
    </row>
    <row r="45" spans="1:31" ht="12.75" x14ac:dyDescent="0.2">
      <c r="A45" s="53" t="str">
        <f ca="1">IFERROR(__xludf.DUMMYFUNCTION("""COMPUTED_VALUE"""),"10")</f>
        <v>10</v>
      </c>
      <c r="B45" s="66" t="str">
        <f ca="1">IFERROR(__xludf.DUMMYFUNCTION("""COMPUTED_VALUE"""),"Lý Cành Hớn")</f>
        <v>Lý Cành Hớn</v>
      </c>
      <c r="C45" s="66" t="str">
        <f ca="1">IFERROR(__xludf.DUMMYFUNCTION("""COMPUTED_VALUE"""),"TH")</f>
        <v>TH</v>
      </c>
      <c r="D45" s="66" t="str">
        <f ca="1">IFERROR(__xludf.DUMMYFUNCTION("""COMPUTED_VALUE"""),"Quận 5")</f>
        <v>Quận 5</v>
      </c>
      <c r="E45" s="67">
        <f ca="1">IFERROR(__xludf.DUMMYFUNCTION("""COMPUTED_VALUE"""),45)</f>
        <v>45</v>
      </c>
      <c r="F45" s="67">
        <f ca="1">IFERROR(__xludf.DUMMYFUNCTION("""COMPUTED_VALUE"""),45)</f>
        <v>45</v>
      </c>
      <c r="G45" s="51">
        <f t="shared" ca="1" si="0"/>
        <v>1</v>
      </c>
      <c r="H45" s="67">
        <f ca="1">IFERROR(__xludf.DUMMYFUNCTION("""COMPUTED_VALUE"""),45)</f>
        <v>45</v>
      </c>
      <c r="I45" s="51">
        <f t="shared" ca="1" si="1"/>
        <v>1</v>
      </c>
      <c r="J45" s="67">
        <f ca="1">IFERROR(__xludf.DUMMYFUNCTION("""COMPUTED_VALUE"""),45)</f>
        <v>45</v>
      </c>
      <c r="K45" s="51">
        <f t="shared" ca="1" si="2"/>
        <v>1</v>
      </c>
      <c r="L45" s="67">
        <f ca="1">IFERROR(__xludf.DUMMYFUNCTION("""COMPUTED_VALUE"""),40)</f>
        <v>40</v>
      </c>
      <c r="M45" s="51">
        <f t="shared" ca="1" si="3"/>
        <v>0.88888888888888884</v>
      </c>
      <c r="N45" s="67">
        <f ca="1">IFERROR(__xludf.DUMMYFUNCTION("""COMPUTED_VALUE"""),615)</f>
        <v>615</v>
      </c>
      <c r="O45" s="67">
        <f ca="1">IFERROR(__xludf.DUMMYFUNCTION("""COMPUTED_VALUE"""),351)</f>
        <v>351</v>
      </c>
      <c r="P45" s="51">
        <f t="shared" ca="1" si="4"/>
        <v>0.57073170731707312</v>
      </c>
      <c r="Q45" s="67">
        <f ca="1">IFERROR(__xludf.DUMMYFUNCTION("""COMPUTED_VALUE"""),203)</f>
        <v>203</v>
      </c>
      <c r="R45" s="51">
        <f t="shared" ca="1" si="5"/>
        <v>0.33008130081300813</v>
      </c>
      <c r="S45" s="66"/>
      <c r="T45" s="66"/>
      <c r="U45" s="51" t="str">
        <f t="shared" si="6"/>
        <v/>
      </c>
      <c r="V45" s="66"/>
      <c r="W45" s="51" t="str">
        <f t="shared" si="7"/>
        <v/>
      </c>
      <c r="X45" s="66"/>
      <c r="Y45" s="51" t="str">
        <f t="shared" si="8"/>
        <v/>
      </c>
      <c r="Z45" s="2"/>
      <c r="AA45" s="2"/>
      <c r="AB45" s="2"/>
      <c r="AC45" s="2"/>
      <c r="AD45" s="2"/>
      <c r="AE45" s="2"/>
    </row>
    <row r="46" spans="1:31" ht="12.75" x14ac:dyDescent="0.2">
      <c r="A46" s="53" t="str">
        <f ca="1">IFERROR(__xludf.DUMMYFUNCTION("""COMPUTED_VALUE"""),"11")</f>
        <v>11</v>
      </c>
      <c r="B46" s="66" t="str">
        <f ca="1">IFERROR(__xludf.DUMMYFUNCTION("""COMPUTED_VALUE"""),"Minh Đạo")</f>
        <v>Minh Đạo</v>
      </c>
      <c r="C46" s="66" t="str">
        <f ca="1">IFERROR(__xludf.DUMMYFUNCTION("""COMPUTED_VALUE"""),"TH")</f>
        <v>TH</v>
      </c>
      <c r="D46" s="66" t="str">
        <f ca="1">IFERROR(__xludf.DUMMYFUNCTION("""COMPUTED_VALUE"""),"Quận 5")</f>
        <v>Quận 5</v>
      </c>
      <c r="E46" s="67">
        <f ca="1">IFERROR(__xludf.DUMMYFUNCTION("""COMPUTED_VALUE"""),137)</f>
        <v>137</v>
      </c>
      <c r="F46" s="67">
        <f ca="1">IFERROR(__xludf.DUMMYFUNCTION("""COMPUTED_VALUE"""),137)</f>
        <v>137</v>
      </c>
      <c r="G46" s="51">
        <f t="shared" ca="1" si="0"/>
        <v>1</v>
      </c>
      <c r="H46" s="67">
        <f ca="1">IFERROR(__xludf.DUMMYFUNCTION("""COMPUTED_VALUE"""),137)</f>
        <v>137</v>
      </c>
      <c r="I46" s="51">
        <f t="shared" ca="1" si="1"/>
        <v>1</v>
      </c>
      <c r="J46" s="67">
        <f ca="1">IFERROR(__xludf.DUMMYFUNCTION("""COMPUTED_VALUE"""),137)</f>
        <v>137</v>
      </c>
      <c r="K46" s="51">
        <f t="shared" ca="1" si="2"/>
        <v>1</v>
      </c>
      <c r="L46" s="67">
        <f ca="1">IFERROR(__xludf.DUMMYFUNCTION("""COMPUTED_VALUE"""),132)</f>
        <v>132</v>
      </c>
      <c r="M46" s="51">
        <f t="shared" ca="1" si="3"/>
        <v>0.96350364963503654</v>
      </c>
      <c r="N46" s="67">
        <f ca="1">IFERROR(__xludf.DUMMYFUNCTION("""COMPUTED_VALUE"""),1919)</f>
        <v>1919</v>
      </c>
      <c r="O46" s="67">
        <f ca="1">IFERROR(__xludf.DUMMYFUNCTION("""COMPUTED_VALUE"""),687)</f>
        <v>687</v>
      </c>
      <c r="P46" s="51">
        <f t="shared" ca="1" si="4"/>
        <v>0.35799895779051588</v>
      </c>
      <c r="Q46" s="67">
        <f ca="1">IFERROR(__xludf.DUMMYFUNCTION("""COMPUTED_VALUE"""),496)</f>
        <v>496</v>
      </c>
      <c r="R46" s="51">
        <f t="shared" ca="1" si="5"/>
        <v>0.2584679520583637</v>
      </c>
      <c r="S46" s="66"/>
      <c r="T46" s="66"/>
      <c r="U46" s="51" t="str">
        <f t="shared" si="6"/>
        <v/>
      </c>
      <c r="V46" s="66"/>
      <c r="W46" s="51" t="str">
        <f t="shared" si="7"/>
        <v/>
      </c>
      <c r="X46" s="66"/>
      <c r="Y46" s="51" t="str">
        <f t="shared" si="8"/>
        <v/>
      </c>
      <c r="Z46" s="2"/>
      <c r="AA46" s="2"/>
      <c r="AB46" s="2"/>
      <c r="AC46" s="2"/>
      <c r="AD46" s="2"/>
      <c r="AE46" s="2"/>
    </row>
    <row r="47" spans="1:31" ht="12.75" x14ac:dyDescent="0.2">
      <c r="A47" s="53" t="str">
        <f ca="1">IFERROR(__xludf.DUMMYFUNCTION("""COMPUTED_VALUE"""),"12")</f>
        <v>12</v>
      </c>
      <c r="B47" s="66" t="str">
        <f ca="1">IFERROR(__xludf.DUMMYFUNCTION("""COMPUTED_VALUE"""),"Chính Nghĩa")</f>
        <v>Chính Nghĩa</v>
      </c>
      <c r="C47" s="66" t="str">
        <f ca="1">IFERROR(__xludf.DUMMYFUNCTION("""COMPUTED_VALUE"""),"TH")</f>
        <v>TH</v>
      </c>
      <c r="D47" s="66" t="str">
        <f ca="1">IFERROR(__xludf.DUMMYFUNCTION("""COMPUTED_VALUE"""),"Quận 5")</f>
        <v>Quận 5</v>
      </c>
      <c r="E47" s="67">
        <f ca="1">IFERROR(__xludf.DUMMYFUNCTION("""COMPUTED_VALUE"""),105)</f>
        <v>105</v>
      </c>
      <c r="F47" s="67">
        <f ca="1">IFERROR(__xludf.DUMMYFUNCTION("""COMPUTED_VALUE"""),105)</f>
        <v>105</v>
      </c>
      <c r="G47" s="51">
        <f t="shared" ca="1" si="0"/>
        <v>1</v>
      </c>
      <c r="H47" s="67">
        <f ca="1">IFERROR(__xludf.DUMMYFUNCTION("""COMPUTED_VALUE"""),105)</f>
        <v>105</v>
      </c>
      <c r="I47" s="51">
        <f t="shared" ca="1" si="1"/>
        <v>1</v>
      </c>
      <c r="J47" s="67">
        <f ca="1">IFERROR(__xludf.DUMMYFUNCTION("""COMPUTED_VALUE"""),102)</f>
        <v>102</v>
      </c>
      <c r="K47" s="51">
        <f t="shared" ca="1" si="2"/>
        <v>0.97142857142857142</v>
      </c>
      <c r="L47" s="67">
        <f ca="1">IFERROR(__xludf.DUMMYFUNCTION("""COMPUTED_VALUE"""),74)</f>
        <v>74</v>
      </c>
      <c r="M47" s="51">
        <f t="shared" ca="1" si="3"/>
        <v>0.70476190476190481</v>
      </c>
      <c r="N47" s="67">
        <f ca="1">IFERROR(__xludf.DUMMYFUNCTION("""COMPUTED_VALUE"""),1620)</f>
        <v>1620</v>
      </c>
      <c r="O47" s="67">
        <f ca="1">IFERROR(__xludf.DUMMYFUNCTION("""COMPUTED_VALUE"""),720)</f>
        <v>720</v>
      </c>
      <c r="P47" s="51">
        <f t="shared" ca="1" si="4"/>
        <v>0.44444444444444442</v>
      </c>
      <c r="Q47" s="67">
        <f ca="1">IFERROR(__xludf.DUMMYFUNCTION("""COMPUTED_VALUE"""),395)</f>
        <v>395</v>
      </c>
      <c r="R47" s="51">
        <f t="shared" ca="1" si="5"/>
        <v>0.24382716049382716</v>
      </c>
      <c r="S47" s="66"/>
      <c r="T47" s="66"/>
      <c r="U47" s="51" t="str">
        <f t="shared" si="6"/>
        <v/>
      </c>
      <c r="V47" s="66"/>
      <c r="W47" s="51" t="str">
        <f t="shared" si="7"/>
        <v/>
      </c>
      <c r="X47" s="66"/>
      <c r="Y47" s="51" t="str">
        <f t="shared" si="8"/>
        <v/>
      </c>
      <c r="Z47" s="2"/>
      <c r="AA47" s="2"/>
      <c r="AB47" s="2"/>
      <c r="AC47" s="2"/>
      <c r="AD47" s="2"/>
      <c r="AE47" s="2"/>
    </row>
    <row r="48" spans="1:31" ht="12.75" x14ac:dyDescent="0.2">
      <c r="A48" s="53" t="str">
        <f ca="1">IFERROR(__xludf.DUMMYFUNCTION("""COMPUTED_VALUE"""),"13")</f>
        <v>13</v>
      </c>
      <c r="B48" s="66" t="str">
        <f ca="1">IFERROR(__xludf.DUMMYFUNCTION("""COMPUTED_VALUE"""),"Nguyễn Viết Xuân")</f>
        <v>Nguyễn Viết Xuân</v>
      </c>
      <c r="C48" s="66" t="str">
        <f ca="1">IFERROR(__xludf.DUMMYFUNCTION("""COMPUTED_VALUE"""),"TH")</f>
        <v>TH</v>
      </c>
      <c r="D48" s="66" t="str">
        <f ca="1">IFERROR(__xludf.DUMMYFUNCTION("""COMPUTED_VALUE"""),"Quận 5")</f>
        <v>Quận 5</v>
      </c>
      <c r="E48" s="67">
        <f ca="1">IFERROR(__xludf.DUMMYFUNCTION("""COMPUTED_VALUE"""),72)</f>
        <v>72</v>
      </c>
      <c r="F48" s="67">
        <f ca="1">IFERROR(__xludf.DUMMYFUNCTION("""COMPUTED_VALUE"""),72)</f>
        <v>72</v>
      </c>
      <c r="G48" s="51">
        <f t="shared" ca="1" si="0"/>
        <v>1</v>
      </c>
      <c r="H48" s="67">
        <f ca="1">IFERROR(__xludf.DUMMYFUNCTION("""COMPUTED_VALUE"""),72)</f>
        <v>72</v>
      </c>
      <c r="I48" s="51">
        <f t="shared" ca="1" si="1"/>
        <v>1</v>
      </c>
      <c r="J48" s="67">
        <f ca="1">IFERROR(__xludf.DUMMYFUNCTION("""COMPUTED_VALUE"""),72)</f>
        <v>72</v>
      </c>
      <c r="K48" s="51">
        <f t="shared" ca="1" si="2"/>
        <v>1</v>
      </c>
      <c r="L48" s="67">
        <f ca="1">IFERROR(__xludf.DUMMYFUNCTION("""COMPUTED_VALUE"""),71)</f>
        <v>71</v>
      </c>
      <c r="M48" s="51">
        <f t="shared" ca="1" si="3"/>
        <v>0.98611111111111116</v>
      </c>
      <c r="N48" s="67">
        <f ca="1">IFERROR(__xludf.DUMMYFUNCTION("""COMPUTED_VALUE"""),780)</f>
        <v>780</v>
      </c>
      <c r="O48" s="67">
        <f ca="1">IFERROR(__xludf.DUMMYFUNCTION("""COMPUTED_VALUE"""),471)</f>
        <v>471</v>
      </c>
      <c r="P48" s="51">
        <f t="shared" ca="1" si="4"/>
        <v>0.60384615384615381</v>
      </c>
      <c r="Q48" s="67">
        <f ca="1">IFERROR(__xludf.DUMMYFUNCTION("""COMPUTED_VALUE"""),289)</f>
        <v>289</v>
      </c>
      <c r="R48" s="51">
        <f t="shared" ca="1" si="5"/>
        <v>0.37051282051282053</v>
      </c>
      <c r="S48" s="66"/>
      <c r="T48" s="66"/>
      <c r="U48" s="51" t="str">
        <f t="shared" si="6"/>
        <v/>
      </c>
      <c r="V48" s="66"/>
      <c r="W48" s="51" t="str">
        <f t="shared" si="7"/>
        <v/>
      </c>
      <c r="X48" s="66"/>
      <c r="Y48" s="51" t="str">
        <f t="shared" si="8"/>
        <v/>
      </c>
      <c r="Z48" s="2"/>
      <c r="AA48" s="2"/>
      <c r="AB48" s="2"/>
      <c r="AC48" s="2"/>
      <c r="AD48" s="2"/>
      <c r="AE48" s="2"/>
    </row>
    <row r="49" spans="1:31" ht="12.75" x14ac:dyDescent="0.2">
      <c r="A49" s="53" t="str">
        <f ca="1">IFERROR(__xludf.DUMMYFUNCTION("""COMPUTED_VALUE"""),"14")</f>
        <v>14</v>
      </c>
      <c r="B49" s="66" t="str">
        <f ca="1">IFERROR(__xludf.DUMMYFUNCTION("""COMPUTED_VALUE"""),"Lê Đình Chinh")</f>
        <v>Lê Đình Chinh</v>
      </c>
      <c r="C49" s="66" t="str">
        <f ca="1">IFERROR(__xludf.DUMMYFUNCTION("""COMPUTED_VALUE"""),"TH")</f>
        <v>TH</v>
      </c>
      <c r="D49" s="66" t="str">
        <f ca="1">IFERROR(__xludf.DUMMYFUNCTION("""COMPUTED_VALUE"""),"Quận 5")</f>
        <v>Quận 5</v>
      </c>
      <c r="E49" s="67">
        <f ca="1">IFERROR(__xludf.DUMMYFUNCTION("""COMPUTED_VALUE"""),58)</f>
        <v>58</v>
      </c>
      <c r="F49" s="67">
        <f ca="1">IFERROR(__xludf.DUMMYFUNCTION("""COMPUTED_VALUE"""),57)</f>
        <v>57</v>
      </c>
      <c r="G49" s="51">
        <f t="shared" ca="1" si="0"/>
        <v>0.98275862068965514</v>
      </c>
      <c r="H49" s="67">
        <f ca="1">IFERROR(__xludf.DUMMYFUNCTION("""COMPUTED_VALUE"""),57)</f>
        <v>57</v>
      </c>
      <c r="I49" s="51">
        <f t="shared" ca="1" si="1"/>
        <v>0.98275862068965514</v>
      </c>
      <c r="J49" s="67">
        <f ca="1">IFERROR(__xludf.DUMMYFUNCTION("""COMPUTED_VALUE"""),57)</f>
        <v>57</v>
      </c>
      <c r="K49" s="51">
        <f t="shared" ca="1" si="2"/>
        <v>0.98275862068965514</v>
      </c>
      <c r="L49" s="67">
        <f ca="1">IFERROR(__xludf.DUMMYFUNCTION("""COMPUTED_VALUE"""),48)</f>
        <v>48</v>
      </c>
      <c r="M49" s="51">
        <f t="shared" ca="1" si="3"/>
        <v>0.82758620689655171</v>
      </c>
      <c r="N49" s="67">
        <f ca="1">IFERROR(__xludf.DUMMYFUNCTION("""COMPUTED_VALUE"""),788)</f>
        <v>788</v>
      </c>
      <c r="O49" s="67">
        <f ca="1">IFERROR(__xludf.DUMMYFUNCTION("""COMPUTED_VALUE"""),515)</f>
        <v>515</v>
      </c>
      <c r="P49" s="51">
        <f t="shared" ca="1" si="4"/>
        <v>0.65355329949238583</v>
      </c>
      <c r="Q49" s="67">
        <f ca="1">IFERROR(__xludf.DUMMYFUNCTION("""COMPUTED_VALUE"""),373)</f>
        <v>373</v>
      </c>
      <c r="R49" s="51">
        <f t="shared" ca="1" si="5"/>
        <v>0.4733502538071066</v>
      </c>
      <c r="S49" s="66"/>
      <c r="T49" s="66"/>
      <c r="U49" s="51" t="str">
        <f t="shared" si="6"/>
        <v/>
      </c>
      <c r="V49" s="66"/>
      <c r="W49" s="51" t="str">
        <f t="shared" si="7"/>
        <v/>
      </c>
      <c r="X49" s="66"/>
      <c r="Y49" s="51" t="str">
        <f t="shared" si="8"/>
        <v/>
      </c>
      <c r="Z49" s="2"/>
      <c r="AA49" s="2"/>
      <c r="AB49" s="2"/>
      <c r="AC49" s="2"/>
      <c r="AD49" s="2"/>
      <c r="AE49" s="2"/>
    </row>
    <row r="50" spans="1:31" ht="12.75" x14ac:dyDescent="0.2">
      <c r="A50" s="53" t="str">
        <f ca="1">IFERROR(__xludf.DUMMYFUNCTION("""COMPUTED_VALUE"""),"15")</f>
        <v>15</v>
      </c>
      <c r="B50" s="66" t="str">
        <f ca="1">IFERROR(__xludf.DUMMYFUNCTION("""COMPUTED_VALUE"""),"Nguyễn Đức Cảnh")</f>
        <v>Nguyễn Đức Cảnh</v>
      </c>
      <c r="C50" s="66" t="str">
        <f ca="1">IFERROR(__xludf.DUMMYFUNCTION("""COMPUTED_VALUE"""),"TH")</f>
        <v>TH</v>
      </c>
      <c r="D50" s="66" t="str">
        <f ca="1">IFERROR(__xludf.DUMMYFUNCTION("""COMPUTED_VALUE"""),"Quận 5")</f>
        <v>Quận 5</v>
      </c>
      <c r="E50" s="67">
        <f ca="1">IFERROR(__xludf.DUMMYFUNCTION("""COMPUTED_VALUE"""),63)</f>
        <v>63</v>
      </c>
      <c r="F50" s="67">
        <f ca="1">IFERROR(__xludf.DUMMYFUNCTION("""COMPUTED_VALUE"""),63)</f>
        <v>63</v>
      </c>
      <c r="G50" s="51">
        <f t="shared" ca="1" si="0"/>
        <v>1</v>
      </c>
      <c r="H50" s="67">
        <f ca="1">IFERROR(__xludf.DUMMYFUNCTION("""COMPUTED_VALUE"""),63)</f>
        <v>63</v>
      </c>
      <c r="I50" s="51">
        <f t="shared" ca="1" si="1"/>
        <v>1</v>
      </c>
      <c r="J50" s="67">
        <f ca="1">IFERROR(__xludf.DUMMYFUNCTION("""COMPUTED_VALUE"""),63)</f>
        <v>63</v>
      </c>
      <c r="K50" s="51">
        <f t="shared" ca="1" si="2"/>
        <v>1</v>
      </c>
      <c r="L50" s="67">
        <f ca="1">IFERROR(__xludf.DUMMYFUNCTION("""COMPUTED_VALUE"""),50)</f>
        <v>50</v>
      </c>
      <c r="M50" s="51">
        <f t="shared" ca="1" si="3"/>
        <v>0.79365079365079361</v>
      </c>
      <c r="N50" s="67">
        <f ca="1">IFERROR(__xludf.DUMMYFUNCTION("""COMPUTED_VALUE"""),929)</f>
        <v>929</v>
      </c>
      <c r="O50" s="67">
        <f ca="1">IFERROR(__xludf.DUMMYFUNCTION("""COMPUTED_VALUE"""),556)</f>
        <v>556</v>
      </c>
      <c r="P50" s="51">
        <f t="shared" ca="1" si="4"/>
        <v>0.59849300322927879</v>
      </c>
      <c r="Q50" s="67">
        <f ca="1">IFERROR(__xludf.DUMMYFUNCTION("""COMPUTED_VALUE"""),349)</f>
        <v>349</v>
      </c>
      <c r="R50" s="51">
        <f t="shared" ca="1" si="5"/>
        <v>0.37567276641550051</v>
      </c>
      <c r="S50" s="66"/>
      <c r="T50" s="66"/>
      <c r="U50" s="51" t="str">
        <f t="shared" si="6"/>
        <v/>
      </c>
      <c r="V50" s="66"/>
      <c r="W50" s="51" t="str">
        <f t="shared" si="7"/>
        <v/>
      </c>
      <c r="X50" s="66"/>
      <c r="Y50" s="51" t="str">
        <f t="shared" si="8"/>
        <v/>
      </c>
      <c r="Z50" s="2"/>
      <c r="AA50" s="2"/>
      <c r="AB50" s="2"/>
      <c r="AC50" s="2"/>
      <c r="AD50" s="2"/>
      <c r="AE50" s="2"/>
    </row>
    <row r="51" spans="1:31" ht="12.75" x14ac:dyDescent="0.2">
      <c r="A51" s="53" t="str">
        <f ca="1">IFERROR(__xludf.DUMMYFUNCTION("""COMPUTED_VALUE"""),"16")</f>
        <v>16</v>
      </c>
      <c r="B51" s="66" t="str">
        <f ca="1">IFERROR(__xludf.DUMMYFUNCTION("""COMPUTED_VALUE"""),"Hùng Vương")</f>
        <v>Hùng Vương</v>
      </c>
      <c r="C51" s="66" t="str">
        <f ca="1">IFERROR(__xludf.DUMMYFUNCTION("""COMPUTED_VALUE"""),"TH")</f>
        <v>TH</v>
      </c>
      <c r="D51" s="66" t="str">
        <f ca="1">IFERROR(__xludf.DUMMYFUNCTION("""COMPUTED_VALUE"""),"Quận 5")</f>
        <v>Quận 5</v>
      </c>
      <c r="E51" s="67">
        <f ca="1">IFERROR(__xludf.DUMMYFUNCTION("""COMPUTED_VALUE"""),71)</f>
        <v>71</v>
      </c>
      <c r="F51" s="67">
        <f ca="1">IFERROR(__xludf.DUMMYFUNCTION("""COMPUTED_VALUE"""),71)</f>
        <v>71</v>
      </c>
      <c r="G51" s="51">
        <f t="shared" ca="1" si="0"/>
        <v>1</v>
      </c>
      <c r="H51" s="67">
        <f ca="1">IFERROR(__xludf.DUMMYFUNCTION("""COMPUTED_VALUE"""),71)</f>
        <v>71</v>
      </c>
      <c r="I51" s="51">
        <f t="shared" ca="1" si="1"/>
        <v>1</v>
      </c>
      <c r="J51" s="67">
        <f ca="1">IFERROR(__xludf.DUMMYFUNCTION("""COMPUTED_VALUE"""),71)</f>
        <v>71</v>
      </c>
      <c r="K51" s="51">
        <f t="shared" ca="1" si="2"/>
        <v>1</v>
      </c>
      <c r="L51" s="67">
        <f ca="1">IFERROR(__xludf.DUMMYFUNCTION("""COMPUTED_VALUE"""),62)</f>
        <v>62</v>
      </c>
      <c r="M51" s="51">
        <f t="shared" ca="1" si="3"/>
        <v>0.87323943661971826</v>
      </c>
      <c r="N51" s="67">
        <f ca="1">IFERROR(__xludf.DUMMYFUNCTION("""COMPUTED_VALUE"""),837)</f>
        <v>837</v>
      </c>
      <c r="O51" s="67">
        <f ca="1">IFERROR(__xludf.DUMMYFUNCTION("""COMPUTED_VALUE"""),352)</f>
        <v>352</v>
      </c>
      <c r="P51" s="51">
        <f t="shared" ca="1" si="4"/>
        <v>0.42054958183990443</v>
      </c>
      <c r="Q51" s="67">
        <f ca="1">IFERROR(__xludf.DUMMYFUNCTION("""COMPUTED_VALUE"""),347)</f>
        <v>347</v>
      </c>
      <c r="R51" s="51">
        <f t="shared" ca="1" si="5"/>
        <v>0.4145758661887694</v>
      </c>
      <c r="S51" s="66"/>
      <c r="T51" s="66"/>
      <c r="U51" s="51" t="str">
        <f t="shared" si="6"/>
        <v/>
      </c>
      <c r="V51" s="66"/>
      <c r="W51" s="51" t="str">
        <f t="shared" si="7"/>
        <v/>
      </c>
      <c r="X51" s="66"/>
      <c r="Y51" s="51" t="str">
        <f t="shared" si="8"/>
        <v/>
      </c>
      <c r="Z51" s="2"/>
      <c r="AA51" s="2"/>
      <c r="AB51" s="2"/>
      <c r="AC51" s="2"/>
      <c r="AD51" s="2"/>
      <c r="AE51" s="2"/>
    </row>
    <row r="52" spans="1:31" ht="12.75" x14ac:dyDescent="0.2">
      <c r="A52" s="53" t="str">
        <f ca="1">IFERROR(__xludf.DUMMYFUNCTION("""COMPUTED_VALUE"""),"17")</f>
        <v>17</v>
      </c>
      <c r="B52" s="66" t="str">
        <f ca="1">IFERROR(__xludf.DUMMYFUNCTION("""COMPUTED_VALUE"""),"Văn Lang")</f>
        <v>Văn Lang</v>
      </c>
      <c r="C52" s="66" t="str">
        <f ca="1">IFERROR(__xludf.DUMMYFUNCTION("""COMPUTED_VALUE"""),"TH")</f>
        <v>TH</v>
      </c>
      <c r="D52" s="66" t="str">
        <f ca="1">IFERROR(__xludf.DUMMYFUNCTION("""COMPUTED_VALUE"""),"Quận 5")</f>
        <v>Quận 5</v>
      </c>
      <c r="E52" s="67">
        <f ca="1">IFERROR(__xludf.DUMMYFUNCTION("""COMPUTED_VALUE"""),52)</f>
        <v>52</v>
      </c>
      <c r="F52" s="67">
        <f ca="1">IFERROR(__xludf.DUMMYFUNCTION("""COMPUTED_VALUE"""),52)</f>
        <v>52</v>
      </c>
      <c r="G52" s="51">
        <f t="shared" ca="1" si="0"/>
        <v>1</v>
      </c>
      <c r="H52" s="67">
        <f ca="1">IFERROR(__xludf.DUMMYFUNCTION("""COMPUTED_VALUE"""),50)</f>
        <v>50</v>
      </c>
      <c r="I52" s="51">
        <f t="shared" ca="1" si="1"/>
        <v>0.96153846153846156</v>
      </c>
      <c r="J52" s="67">
        <f ca="1">IFERROR(__xludf.DUMMYFUNCTION("""COMPUTED_VALUE"""),50)</f>
        <v>50</v>
      </c>
      <c r="K52" s="51">
        <f t="shared" ca="1" si="2"/>
        <v>0.96153846153846156</v>
      </c>
      <c r="L52" s="67">
        <f ca="1">IFERROR(__xludf.DUMMYFUNCTION("""COMPUTED_VALUE"""),26)</f>
        <v>26</v>
      </c>
      <c r="M52" s="51">
        <f t="shared" ca="1" si="3"/>
        <v>0.5</v>
      </c>
      <c r="N52" s="67">
        <f ca="1">IFERROR(__xludf.DUMMYFUNCTION("""COMPUTED_VALUE"""),524)</f>
        <v>524</v>
      </c>
      <c r="O52" s="67">
        <f ca="1">IFERROR(__xludf.DUMMYFUNCTION("""COMPUTED_VALUE"""),282)</f>
        <v>282</v>
      </c>
      <c r="P52" s="51">
        <f t="shared" ca="1" si="4"/>
        <v>0.53816793893129766</v>
      </c>
      <c r="Q52" s="67">
        <f ca="1">IFERROR(__xludf.DUMMYFUNCTION("""COMPUTED_VALUE"""),150)</f>
        <v>150</v>
      </c>
      <c r="R52" s="51">
        <f t="shared" ca="1" si="5"/>
        <v>0.2862595419847328</v>
      </c>
      <c r="S52" s="66"/>
      <c r="T52" s="66"/>
      <c r="U52" s="51" t="str">
        <f t="shared" si="6"/>
        <v/>
      </c>
      <c r="V52" s="66"/>
      <c r="W52" s="51" t="str">
        <f t="shared" si="7"/>
        <v/>
      </c>
      <c r="X52" s="66"/>
      <c r="Y52" s="51" t="str">
        <f t="shared" si="8"/>
        <v/>
      </c>
      <c r="Z52" s="2"/>
      <c r="AA52" s="2"/>
      <c r="AB52" s="2"/>
      <c r="AC52" s="2"/>
      <c r="AD52" s="2"/>
      <c r="AE52" s="2"/>
    </row>
    <row r="53" spans="1:31" ht="12.75" x14ac:dyDescent="0.2">
      <c r="A53" s="55" t="str">
        <f ca="1">IFERROR(__xludf.DUMMYFUNCTION("""COMPUTED_VALUE"""),"THCS")</f>
        <v>THCS</v>
      </c>
      <c r="B53" s="66"/>
      <c r="C53" s="66"/>
      <c r="D53" s="66" t="str">
        <f ca="1">IFERROR(__xludf.DUMMYFUNCTION("""COMPUTED_VALUE"""),"Quận 5")</f>
        <v>Quận 5</v>
      </c>
      <c r="E53" s="67">
        <f ca="1">IFERROR(__xludf.DUMMYFUNCTION("""COMPUTED_VALUE"""),804)</f>
        <v>804</v>
      </c>
      <c r="F53" s="67">
        <f ca="1">IFERROR(__xludf.DUMMYFUNCTION("""COMPUTED_VALUE"""),804)</f>
        <v>804</v>
      </c>
      <c r="G53" s="51">
        <f t="shared" ca="1" si="0"/>
        <v>1</v>
      </c>
      <c r="H53" s="67">
        <f ca="1">IFERROR(__xludf.DUMMYFUNCTION("""COMPUTED_VALUE"""),802)</f>
        <v>802</v>
      </c>
      <c r="I53" s="51">
        <f t="shared" ca="1" si="1"/>
        <v>0.99751243781094523</v>
      </c>
      <c r="J53" s="67">
        <f ca="1">IFERROR(__xludf.DUMMYFUNCTION("""COMPUTED_VALUE"""),788)</f>
        <v>788</v>
      </c>
      <c r="K53" s="51">
        <f t="shared" ca="1" si="2"/>
        <v>0.98009950248756217</v>
      </c>
      <c r="L53" s="67">
        <f ca="1">IFERROR(__xludf.DUMMYFUNCTION("""COMPUTED_VALUE"""),493)</f>
        <v>493</v>
      </c>
      <c r="M53" s="51">
        <f t="shared" ca="1" si="3"/>
        <v>0.61318407960199006</v>
      </c>
      <c r="N53" s="67">
        <f ca="1">IFERROR(__xludf.DUMMYFUNCTION("""COMPUTED_VALUE"""),4216)</f>
        <v>4216</v>
      </c>
      <c r="O53" s="67">
        <f ca="1">IFERROR(__xludf.DUMMYFUNCTION("""COMPUTED_VALUE"""),2837)</f>
        <v>2837</v>
      </c>
      <c r="P53" s="51">
        <f t="shared" ca="1" si="4"/>
        <v>0.67291271347248582</v>
      </c>
      <c r="Q53" s="67">
        <f ca="1">IFERROR(__xludf.DUMMYFUNCTION("""COMPUTED_VALUE"""),1970)</f>
        <v>1970</v>
      </c>
      <c r="R53" s="51">
        <f t="shared" ca="1" si="5"/>
        <v>0.4672675521821632</v>
      </c>
      <c r="S53" s="67">
        <f ca="1">IFERROR(__xludf.DUMMYFUNCTION("""COMPUTED_VALUE"""),9866)</f>
        <v>9866</v>
      </c>
      <c r="T53" s="67">
        <f ca="1">IFERROR(__xludf.DUMMYFUNCTION("""COMPUTED_VALUE"""),9064)</f>
        <v>9064</v>
      </c>
      <c r="U53" s="51">
        <f t="shared" ca="1" si="6"/>
        <v>0.91871072369754714</v>
      </c>
      <c r="V53" s="67">
        <f ca="1">IFERROR(__xludf.DUMMYFUNCTION("""COMPUTED_VALUE"""),8753)</f>
        <v>8753</v>
      </c>
      <c r="W53" s="51">
        <f t="shared" ca="1" si="7"/>
        <v>0.88718832353537402</v>
      </c>
      <c r="X53" s="67">
        <f ca="1">IFERROR(__xludf.DUMMYFUNCTION("""COMPUTED_VALUE"""),2739)</f>
        <v>2739</v>
      </c>
      <c r="Y53" s="51">
        <f t="shared" ca="1" si="8"/>
        <v>0.27762010946685589</v>
      </c>
      <c r="Z53" s="2"/>
      <c r="AA53" s="2"/>
      <c r="AB53" s="2"/>
      <c r="AC53" s="2"/>
      <c r="AD53" s="2"/>
      <c r="AE53" s="2"/>
    </row>
    <row r="54" spans="1:31" ht="12.75" x14ac:dyDescent="0.2">
      <c r="A54" s="53" t="str">
        <f ca="1">IFERROR(__xludf.DUMMYFUNCTION("""COMPUTED_VALUE"""),"1")</f>
        <v>1</v>
      </c>
      <c r="B54" s="66"/>
      <c r="C54" s="66"/>
      <c r="D54" s="66" t="str">
        <f ca="1">IFERROR(__xludf.DUMMYFUNCTION("""COMPUTED_VALUE"""),"Quận 5")</f>
        <v>Quận 5</v>
      </c>
      <c r="E54" s="67">
        <f ca="1">IFERROR(__xludf.DUMMYFUNCTION("""COMPUTED_VALUE"""),86)</f>
        <v>86</v>
      </c>
      <c r="F54" s="67">
        <f ca="1">IFERROR(__xludf.DUMMYFUNCTION("""COMPUTED_VALUE"""),86)</f>
        <v>86</v>
      </c>
      <c r="G54" s="51">
        <f t="shared" ca="1" si="0"/>
        <v>1</v>
      </c>
      <c r="H54" s="67">
        <f ca="1">IFERROR(__xludf.DUMMYFUNCTION("""COMPUTED_VALUE"""),85)</f>
        <v>85</v>
      </c>
      <c r="I54" s="51">
        <f t="shared" ca="1" si="1"/>
        <v>0.98837209302325579</v>
      </c>
      <c r="J54" s="67">
        <f ca="1">IFERROR(__xludf.DUMMYFUNCTION("""COMPUTED_VALUE"""),85)</f>
        <v>85</v>
      </c>
      <c r="K54" s="51">
        <f t="shared" ca="1" si="2"/>
        <v>0.98837209302325579</v>
      </c>
      <c r="L54" s="67">
        <f ca="1">IFERROR(__xludf.DUMMYFUNCTION("""COMPUTED_VALUE"""),26)</f>
        <v>26</v>
      </c>
      <c r="M54" s="51">
        <f t="shared" ca="1" si="3"/>
        <v>0.30232558139534882</v>
      </c>
      <c r="N54" s="67">
        <f ca="1">IFERROR(__xludf.DUMMYFUNCTION("""COMPUTED_VALUE"""),420)</f>
        <v>420</v>
      </c>
      <c r="O54" s="67">
        <f ca="1">IFERROR(__xludf.DUMMYFUNCTION("""COMPUTED_VALUE"""),393)</f>
        <v>393</v>
      </c>
      <c r="P54" s="51">
        <f t="shared" ca="1" si="4"/>
        <v>0.93571428571428572</v>
      </c>
      <c r="Q54" s="67">
        <f ca="1">IFERROR(__xludf.DUMMYFUNCTION("""COMPUTED_VALUE"""),87)</f>
        <v>87</v>
      </c>
      <c r="R54" s="51">
        <f t="shared" ca="1" si="5"/>
        <v>0.20714285714285716</v>
      </c>
      <c r="S54" s="67">
        <f ca="1">IFERROR(__xludf.DUMMYFUNCTION("""COMPUTED_VALUE"""),1269)</f>
        <v>1269</v>
      </c>
      <c r="T54" s="66">
        <f ca="1">IFERROR(__xludf.DUMMYFUNCTION("""COMPUTED_VALUE"""),1048)</f>
        <v>1048</v>
      </c>
      <c r="U54" s="51">
        <f t="shared" ca="1" si="6"/>
        <v>0.82584712371946412</v>
      </c>
      <c r="V54" s="67">
        <f ca="1">IFERROR(__xludf.DUMMYFUNCTION("""COMPUTED_VALUE"""),963)</f>
        <v>963</v>
      </c>
      <c r="W54" s="51">
        <f t="shared" ca="1" si="7"/>
        <v>0.75886524822695034</v>
      </c>
      <c r="X54" s="67">
        <f ca="1">IFERROR(__xludf.DUMMYFUNCTION("""COMPUTED_VALUE"""),403)</f>
        <v>403</v>
      </c>
      <c r="Y54" s="51">
        <f t="shared" ca="1" si="8"/>
        <v>0.31757289204097716</v>
      </c>
      <c r="Z54" s="2"/>
      <c r="AA54" s="2"/>
      <c r="AB54" s="2"/>
      <c r="AC54" s="2"/>
      <c r="AD54" s="2"/>
      <c r="AE54" s="2"/>
    </row>
    <row r="55" spans="1:31" ht="12.75" x14ac:dyDescent="0.2">
      <c r="A55" s="53" t="str">
        <f ca="1">IFERROR(__xludf.DUMMYFUNCTION("""COMPUTED_VALUE"""),"2")</f>
        <v>2</v>
      </c>
      <c r="B55" s="66" t="str">
        <f ca="1">IFERROR(__xludf.DUMMYFUNCTION("""COMPUTED_VALUE"""),"Mạch Kiếm Hùng")</f>
        <v>Mạch Kiếm Hùng</v>
      </c>
      <c r="C55" s="66" t="str">
        <f ca="1">IFERROR(__xludf.DUMMYFUNCTION("""COMPUTED_VALUE"""),"THCS")</f>
        <v>THCS</v>
      </c>
      <c r="D55" s="66" t="str">
        <f ca="1">IFERROR(__xludf.DUMMYFUNCTION("""COMPUTED_VALUE"""),"Quận 5")</f>
        <v>Quận 5</v>
      </c>
      <c r="E55" s="67">
        <f ca="1">IFERROR(__xludf.DUMMYFUNCTION("""COMPUTED_VALUE"""),76)</f>
        <v>76</v>
      </c>
      <c r="F55" s="67">
        <f ca="1">IFERROR(__xludf.DUMMYFUNCTION("""COMPUTED_VALUE"""),76)</f>
        <v>76</v>
      </c>
      <c r="G55" s="51">
        <f t="shared" ca="1" si="0"/>
        <v>1</v>
      </c>
      <c r="H55" s="67">
        <f ca="1">IFERROR(__xludf.DUMMYFUNCTION("""COMPUTED_VALUE"""),76)</f>
        <v>76</v>
      </c>
      <c r="I55" s="51">
        <f t="shared" ca="1" si="1"/>
        <v>1</v>
      </c>
      <c r="J55" s="67">
        <f ca="1">IFERROR(__xludf.DUMMYFUNCTION("""COMPUTED_VALUE"""),74)</f>
        <v>74</v>
      </c>
      <c r="K55" s="51">
        <f t="shared" ca="1" si="2"/>
        <v>0.97368421052631582</v>
      </c>
      <c r="L55" s="67">
        <f ca="1">IFERROR(__xludf.DUMMYFUNCTION("""COMPUTED_VALUE"""),46)</f>
        <v>46</v>
      </c>
      <c r="M55" s="51">
        <f t="shared" ca="1" si="3"/>
        <v>0.60526315789473684</v>
      </c>
      <c r="N55" s="67">
        <f ca="1">IFERROR(__xludf.DUMMYFUNCTION("""COMPUTED_VALUE"""),512)</f>
        <v>512</v>
      </c>
      <c r="O55" s="67">
        <f ca="1">IFERROR(__xludf.DUMMYFUNCTION("""COMPUTED_VALUE"""),358)</f>
        <v>358</v>
      </c>
      <c r="P55" s="51">
        <f t="shared" ca="1" si="4"/>
        <v>0.69921875</v>
      </c>
      <c r="Q55" s="67">
        <f ca="1">IFERROR(__xludf.DUMMYFUNCTION("""COMPUTED_VALUE"""),253)</f>
        <v>253</v>
      </c>
      <c r="R55" s="51">
        <f t="shared" ca="1" si="5"/>
        <v>0.494140625</v>
      </c>
      <c r="S55" s="67">
        <f ca="1">IFERROR(__xludf.DUMMYFUNCTION("""COMPUTED_VALUE"""),962)</f>
        <v>962</v>
      </c>
      <c r="T55" s="66">
        <f ca="1">IFERROR(__xludf.DUMMYFUNCTION("""COMPUTED_VALUE"""),918)</f>
        <v>918</v>
      </c>
      <c r="U55" s="51">
        <f t="shared" ca="1" si="6"/>
        <v>0.95426195426195426</v>
      </c>
      <c r="V55" s="67">
        <f ca="1">IFERROR(__xludf.DUMMYFUNCTION("""COMPUTED_VALUE"""),873)</f>
        <v>873</v>
      </c>
      <c r="W55" s="51">
        <f t="shared" ca="1" si="7"/>
        <v>0.90748440748440751</v>
      </c>
      <c r="X55" s="67">
        <f ca="1">IFERROR(__xludf.DUMMYFUNCTION("""COMPUTED_VALUE"""),312)</f>
        <v>312</v>
      </c>
      <c r="Y55" s="51">
        <f t="shared" ca="1" si="8"/>
        <v>0.32432432432432434</v>
      </c>
      <c r="Z55" s="2"/>
      <c r="AA55" s="2"/>
      <c r="AB55" s="2"/>
      <c r="AC55" s="2"/>
      <c r="AD55" s="2"/>
      <c r="AE55" s="2"/>
    </row>
    <row r="56" spans="1:31" ht="12.75" x14ac:dyDescent="0.2">
      <c r="A56" s="53" t="str">
        <f ca="1">IFERROR(__xludf.DUMMYFUNCTION("""COMPUTED_VALUE"""),"3")</f>
        <v>3</v>
      </c>
      <c r="B56" s="66" t="str">
        <f ca="1">IFERROR(__xludf.DUMMYFUNCTION("""COMPUTED_VALUE"""),"Hồng Bàng")</f>
        <v>Hồng Bàng</v>
      </c>
      <c r="C56" s="66" t="str">
        <f ca="1">IFERROR(__xludf.DUMMYFUNCTION("""COMPUTED_VALUE"""),"THCS")</f>
        <v>THCS</v>
      </c>
      <c r="D56" s="66" t="str">
        <f ca="1">IFERROR(__xludf.DUMMYFUNCTION("""COMPUTED_VALUE"""),"Quận 5")</f>
        <v>Quận 5</v>
      </c>
      <c r="E56" s="67">
        <f ca="1">IFERROR(__xludf.DUMMYFUNCTION("""COMPUTED_VALUE"""),179)</f>
        <v>179</v>
      </c>
      <c r="F56" s="67">
        <f ca="1">IFERROR(__xludf.DUMMYFUNCTION("""COMPUTED_VALUE"""),179)</f>
        <v>179</v>
      </c>
      <c r="G56" s="51">
        <f t="shared" ca="1" si="0"/>
        <v>1</v>
      </c>
      <c r="H56" s="67">
        <f ca="1">IFERROR(__xludf.DUMMYFUNCTION("""COMPUTED_VALUE"""),178)</f>
        <v>178</v>
      </c>
      <c r="I56" s="51">
        <f t="shared" ca="1" si="1"/>
        <v>0.994413407821229</v>
      </c>
      <c r="J56" s="67">
        <f ca="1">IFERROR(__xludf.DUMMYFUNCTION("""COMPUTED_VALUE"""),174)</f>
        <v>174</v>
      </c>
      <c r="K56" s="51">
        <f t="shared" ca="1" si="2"/>
        <v>0.97206703910614523</v>
      </c>
      <c r="L56" s="67">
        <f ca="1">IFERROR(__xludf.DUMMYFUNCTION("""COMPUTED_VALUE"""),108)</f>
        <v>108</v>
      </c>
      <c r="M56" s="51">
        <f t="shared" ca="1" si="3"/>
        <v>0.6033519553072626</v>
      </c>
      <c r="N56" s="67">
        <f ca="1">IFERROR(__xludf.DUMMYFUNCTION("""COMPUTED_VALUE"""),890)</f>
        <v>890</v>
      </c>
      <c r="O56" s="67">
        <f ca="1">IFERROR(__xludf.DUMMYFUNCTION("""COMPUTED_VALUE"""),280)</f>
        <v>280</v>
      </c>
      <c r="P56" s="51">
        <f t="shared" ca="1" si="4"/>
        <v>0.3146067415730337</v>
      </c>
      <c r="Q56" s="67">
        <f ca="1">IFERROR(__xludf.DUMMYFUNCTION("""COMPUTED_VALUE"""),145)</f>
        <v>145</v>
      </c>
      <c r="R56" s="51">
        <f t="shared" ca="1" si="5"/>
        <v>0.16292134831460675</v>
      </c>
      <c r="S56" s="67">
        <f ca="1">IFERROR(__xludf.DUMMYFUNCTION("""COMPUTED_VALUE"""),1889)</f>
        <v>1889</v>
      </c>
      <c r="T56" s="66">
        <f ca="1">IFERROR(__xludf.DUMMYFUNCTION("""COMPUTED_VALUE"""),1529)</f>
        <v>1529</v>
      </c>
      <c r="U56" s="51">
        <f t="shared" ca="1" si="6"/>
        <v>0.80942297511911065</v>
      </c>
      <c r="V56" s="67">
        <f ca="1">IFERROR(__xludf.DUMMYFUNCTION("""COMPUTED_VALUE"""),1435)</f>
        <v>1435</v>
      </c>
      <c r="W56" s="51">
        <f t="shared" ca="1" si="7"/>
        <v>0.75966119640021179</v>
      </c>
      <c r="X56" s="67">
        <f ca="1">IFERROR(__xludf.DUMMYFUNCTION("""COMPUTED_VALUE"""),320)</f>
        <v>320</v>
      </c>
      <c r="Y56" s="51">
        <f t="shared" ca="1" si="8"/>
        <v>0.16940179989412388</v>
      </c>
      <c r="Z56" s="2"/>
      <c r="AA56" s="2"/>
      <c r="AB56" s="2"/>
      <c r="AC56" s="2"/>
      <c r="AD56" s="2"/>
      <c r="AE56" s="2"/>
    </row>
    <row r="57" spans="1:31" ht="12.75" x14ac:dyDescent="0.2">
      <c r="A57" s="53" t="str">
        <f ca="1">IFERROR(__xludf.DUMMYFUNCTION("""COMPUTED_VALUE"""),"4")</f>
        <v>4</v>
      </c>
      <c r="B57" s="66" t="str">
        <f ca="1">IFERROR(__xludf.DUMMYFUNCTION("""COMPUTED_VALUE"""),"Trấn Bội Cơ")</f>
        <v>Trấn Bội Cơ</v>
      </c>
      <c r="C57" s="66" t="str">
        <f ca="1">IFERROR(__xludf.DUMMYFUNCTION("""COMPUTED_VALUE"""),"THCS")</f>
        <v>THCS</v>
      </c>
      <c r="D57" s="66" t="str">
        <f ca="1">IFERROR(__xludf.DUMMYFUNCTION("""COMPUTED_VALUE"""),"Quận 5")</f>
        <v>Quận 5</v>
      </c>
      <c r="E57" s="67">
        <f ca="1">IFERROR(__xludf.DUMMYFUNCTION("""COMPUTED_VALUE"""),124)</f>
        <v>124</v>
      </c>
      <c r="F57" s="67">
        <f ca="1">IFERROR(__xludf.DUMMYFUNCTION("""COMPUTED_VALUE"""),124)</f>
        <v>124</v>
      </c>
      <c r="G57" s="51">
        <f t="shared" ca="1" si="0"/>
        <v>1</v>
      </c>
      <c r="H57" s="67">
        <f ca="1">IFERROR(__xludf.DUMMYFUNCTION("""COMPUTED_VALUE"""),124)</f>
        <v>124</v>
      </c>
      <c r="I57" s="51">
        <f t="shared" ca="1" si="1"/>
        <v>1</v>
      </c>
      <c r="J57" s="67">
        <f ca="1">IFERROR(__xludf.DUMMYFUNCTION("""COMPUTED_VALUE"""),118)</f>
        <v>118</v>
      </c>
      <c r="K57" s="51">
        <f t="shared" ca="1" si="2"/>
        <v>0.95161290322580649</v>
      </c>
      <c r="L57" s="67">
        <f ca="1">IFERROR(__xludf.DUMMYFUNCTION("""COMPUTED_VALUE"""),44)</f>
        <v>44</v>
      </c>
      <c r="M57" s="51">
        <f t="shared" ca="1" si="3"/>
        <v>0.35483870967741937</v>
      </c>
      <c r="N57" s="67">
        <f ca="1">IFERROR(__xludf.DUMMYFUNCTION("""COMPUTED_VALUE"""),763)</f>
        <v>763</v>
      </c>
      <c r="O57" s="67">
        <f ca="1">IFERROR(__xludf.DUMMYFUNCTION("""COMPUTED_VALUE"""),505)</f>
        <v>505</v>
      </c>
      <c r="P57" s="51">
        <f t="shared" ca="1" si="4"/>
        <v>0.66186107470511135</v>
      </c>
      <c r="Q57" s="67">
        <f ca="1">IFERROR(__xludf.DUMMYFUNCTION("""COMPUTED_VALUE"""),357)</f>
        <v>357</v>
      </c>
      <c r="R57" s="51">
        <f t="shared" ca="1" si="5"/>
        <v>0.46788990825688076</v>
      </c>
      <c r="S57" s="67">
        <f ca="1">IFERROR(__xludf.DUMMYFUNCTION("""COMPUTED_VALUE"""),1401)</f>
        <v>1401</v>
      </c>
      <c r="T57" s="67">
        <f ca="1">IFERROR(__xludf.DUMMYFUNCTION("""COMPUTED_VALUE"""),1299)</f>
        <v>1299</v>
      </c>
      <c r="U57" s="51">
        <f t="shared" ca="1" si="6"/>
        <v>0.9271948608137045</v>
      </c>
      <c r="V57" s="67">
        <f ca="1">IFERROR(__xludf.DUMMYFUNCTION("""COMPUTED_VALUE"""),1256)</f>
        <v>1256</v>
      </c>
      <c r="W57" s="51">
        <f t="shared" ca="1" si="7"/>
        <v>0.89650249821556027</v>
      </c>
      <c r="X57" s="67">
        <f ca="1">IFERROR(__xludf.DUMMYFUNCTION("""COMPUTED_VALUE"""),336)</f>
        <v>336</v>
      </c>
      <c r="Y57" s="51">
        <f t="shared" ca="1" si="8"/>
        <v>0.2398286937901499</v>
      </c>
      <c r="Z57" s="2"/>
      <c r="AA57" s="2"/>
      <c r="AB57" s="2"/>
      <c r="AC57" s="2"/>
      <c r="AD57" s="2"/>
      <c r="AE57" s="2"/>
    </row>
    <row r="58" spans="1:31" ht="12.75" x14ac:dyDescent="0.2">
      <c r="A58" s="53" t="str">
        <f ca="1">IFERROR(__xludf.DUMMYFUNCTION("""COMPUTED_VALUE"""),"5")</f>
        <v>5</v>
      </c>
      <c r="B58" s="66" t="str">
        <f ca="1">IFERROR(__xludf.DUMMYFUNCTION("""COMPUTED_VALUE"""),"Ba Đình")</f>
        <v>Ba Đình</v>
      </c>
      <c r="C58" s="66" t="str">
        <f ca="1">IFERROR(__xludf.DUMMYFUNCTION("""COMPUTED_VALUE"""),"THCS")</f>
        <v>THCS</v>
      </c>
      <c r="D58" s="66" t="str">
        <f ca="1">IFERROR(__xludf.DUMMYFUNCTION("""COMPUTED_VALUE"""),"Quận 5")</f>
        <v>Quận 5</v>
      </c>
      <c r="E58" s="67">
        <f ca="1">IFERROR(__xludf.DUMMYFUNCTION("""COMPUTED_VALUE"""),100)</f>
        <v>100</v>
      </c>
      <c r="F58" s="67">
        <f ca="1">IFERROR(__xludf.DUMMYFUNCTION("""COMPUTED_VALUE"""),100)</f>
        <v>100</v>
      </c>
      <c r="G58" s="51">
        <f t="shared" ca="1" si="0"/>
        <v>1</v>
      </c>
      <c r="H58" s="67">
        <f ca="1">IFERROR(__xludf.DUMMYFUNCTION("""COMPUTED_VALUE"""),100)</f>
        <v>100</v>
      </c>
      <c r="I58" s="51">
        <f t="shared" ca="1" si="1"/>
        <v>1</v>
      </c>
      <c r="J58" s="67">
        <f ca="1">IFERROR(__xludf.DUMMYFUNCTION("""COMPUTED_VALUE"""),99)</f>
        <v>99</v>
      </c>
      <c r="K58" s="51">
        <f t="shared" ca="1" si="2"/>
        <v>0.99</v>
      </c>
      <c r="L58" s="67">
        <f ca="1">IFERROR(__xludf.DUMMYFUNCTION("""COMPUTED_VALUE"""),86)</f>
        <v>86</v>
      </c>
      <c r="M58" s="51">
        <f t="shared" ca="1" si="3"/>
        <v>0.86</v>
      </c>
      <c r="N58" s="67">
        <f ca="1">IFERROR(__xludf.DUMMYFUNCTION("""COMPUTED_VALUE"""),568)</f>
        <v>568</v>
      </c>
      <c r="O58" s="67">
        <f ca="1">IFERROR(__xludf.DUMMYFUNCTION("""COMPUTED_VALUE"""),455)</f>
        <v>455</v>
      </c>
      <c r="P58" s="51">
        <f t="shared" ca="1" si="4"/>
        <v>0.801056338028169</v>
      </c>
      <c r="Q58" s="67">
        <f ca="1">IFERROR(__xludf.DUMMYFUNCTION("""COMPUTED_VALUE"""),315)</f>
        <v>315</v>
      </c>
      <c r="R58" s="51">
        <f t="shared" ca="1" si="5"/>
        <v>0.55457746478873238</v>
      </c>
      <c r="S58" s="67">
        <f ca="1">IFERROR(__xludf.DUMMYFUNCTION("""COMPUTED_VALUE"""),1165)</f>
        <v>1165</v>
      </c>
      <c r="T58" s="66">
        <f ca="1">IFERROR(__xludf.DUMMYFUNCTION("""COMPUTED_VALUE"""),1097)</f>
        <v>1097</v>
      </c>
      <c r="U58" s="51">
        <f t="shared" ca="1" si="6"/>
        <v>0.94163090128755367</v>
      </c>
      <c r="V58" s="67">
        <f ca="1">IFERROR(__xludf.DUMMYFUNCTION("""COMPUTED_VALUE"""),1053)</f>
        <v>1053</v>
      </c>
      <c r="W58" s="51">
        <f t="shared" ca="1" si="7"/>
        <v>0.90386266094420598</v>
      </c>
      <c r="X58" s="67">
        <f ca="1">IFERROR(__xludf.DUMMYFUNCTION("""COMPUTED_VALUE"""),394)</f>
        <v>394</v>
      </c>
      <c r="Y58" s="51">
        <f t="shared" ca="1" si="8"/>
        <v>0.33819742489270388</v>
      </c>
      <c r="Z58" s="2"/>
      <c r="AA58" s="2"/>
      <c r="AB58" s="2"/>
      <c r="AC58" s="2"/>
      <c r="AD58" s="2"/>
      <c r="AE58" s="2"/>
    </row>
    <row r="59" spans="1:31" ht="12.75" x14ac:dyDescent="0.2">
      <c r="A59" s="53" t="str">
        <f ca="1">IFERROR(__xludf.DUMMYFUNCTION("""COMPUTED_VALUE"""),"6")</f>
        <v>6</v>
      </c>
      <c r="B59" s="66" t="str">
        <f ca="1">IFERROR(__xludf.DUMMYFUNCTION("""COMPUTED_VALUE"""),"TH Sài Gòn")</f>
        <v>TH Sài Gòn</v>
      </c>
      <c r="C59" s="66" t="str">
        <f ca="1">IFERROR(__xludf.DUMMYFUNCTION("""COMPUTED_VALUE"""),"THCS")</f>
        <v>THCS</v>
      </c>
      <c r="D59" s="66" t="str">
        <f ca="1">IFERROR(__xludf.DUMMYFUNCTION("""COMPUTED_VALUE"""),"Quận 5")</f>
        <v>Quận 5</v>
      </c>
      <c r="E59" s="67">
        <f ca="1">IFERROR(__xludf.DUMMYFUNCTION("""COMPUTED_VALUE"""),116)</f>
        <v>116</v>
      </c>
      <c r="F59" s="67">
        <f ca="1">IFERROR(__xludf.DUMMYFUNCTION("""COMPUTED_VALUE"""),116)</f>
        <v>116</v>
      </c>
      <c r="G59" s="51">
        <f t="shared" ca="1" si="0"/>
        <v>1</v>
      </c>
      <c r="H59" s="67">
        <f ca="1">IFERROR(__xludf.DUMMYFUNCTION("""COMPUTED_VALUE"""),116)</f>
        <v>116</v>
      </c>
      <c r="I59" s="51">
        <f t="shared" ca="1" si="1"/>
        <v>1</v>
      </c>
      <c r="J59" s="67">
        <f ca="1">IFERROR(__xludf.DUMMYFUNCTION("""COMPUTED_VALUE"""),116)</f>
        <v>116</v>
      </c>
      <c r="K59" s="51">
        <f t="shared" ca="1" si="2"/>
        <v>1</v>
      </c>
      <c r="L59" s="67">
        <f ca="1">IFERROR(__xludf.DUMMYFUNCTION("""COMPUTED_VALUE"""),115)</f>
        <v>115</v>
      </c>
      <c r="M59" s="51">
        <f t="shared" ca="1" si="3"/>
        <v>0.99137931034482762</v>
      </c>
      <c r="N59" s="67">
        <f ca="1">IFERROR(__xludf.DUMMYFUNCTION("""COMPUTED_VALUE"""),379)</f>
        <v>379</v>
      </c>
      <c r="O59" s="67">
        <f ca="1">IFERROR(__xludf.DUMMYFUNCTION("""COMPUTED_VALUE"""),377)</f>
        <v>377</v>
      </c>
      <c r="P59" s="51">
        <f t="shared" ca="1" si="4"/>
        <v>0.99472295514511877</v>
      </c>
      <c r="Q59" s="67">
        <f ca="1">IFERROR(__xludf.DUMMYFUNCTION("""COMPUTED_VALUE"""),377)</f>
        <v>377</v>
      </c>
      <c r="R59" s="51">
        <f t="shared" ca="1" si="5"/>
        <v>0.99472295514511877</v>
      </c>
      <c r="S59" s="67">
        <f ca="1">IFERROR(__xludf.DUMMYFUNCTION("""COMPUTED_VALUE"""),1869)</f>
        <v>1869</v>
      </c>
      <c r="T59" s="67">
        <f ca="1">IFERROR(__xludf.DUMMYFUNCTION("""COMPUTED_VALUE"""),1867)</f>
        <v>1867</v>
      </c>
      <c r="U59" s="51">
        <f t="shared" ca="1" si="6"/>
        <v>0.99892990904226864</v>
      </c>
      <c r="V59" s="67">
        <f ca="1">IFERROR(__xludf.DUMMYFUNCTION("""COMPUTED_VALUE"""),1867)</f>
        <v>1867</v>
      </c>
      <c r="W59" s="51">
        <f t="shared" ca="1" si="7"/>
        <v>0.99892990904226864</v>
      </c>
      <c r="X59" s="67">
        <f ca="1">IFERROR(__xludf.DUMMYFUNCTION("""COMPUTED_VALUE"""),500)</f>
        <v>500</v>
      </c>
      <c r="Y59" s="51">
        <f t="shared" ca="1" si="8"/>
        <v>0.26752273943285182</v>
      </c>
      <c r="Z59" s="2"/>
      <c r="AA59" s="2"/>
      <c r="AB59" s="2"/>
      <c r="AC59" s="2"/>
      <c r="AD59" s="2"/>
      <c r="AE59" s="2"/>
    </row>
    <row r="60" spans="1:31" ht="12.75" x14ac:dyDescent="0.2">
      <c r="A60" s="53" t="str">
        <f ca="1">IFERROR(__xludf.DUMMYFUNCTION("""COMPUTED_VALUE"""),"7")</f>
        <v>7</v>
      </c>
      <c r="B60" s="66" t="str">
        <f ca="1">IFERROR(__xludf.DUMMYFUNCTION("""COMPUTED_VALUE"""),"Kim Đồng")</f>
        <v>Kim Đồng</v>
      </c>
      <c r="C60" s="66" t="str">
        <f ca="1">IFERROR(__xludf.DUMMYFUNCTION("""COMPUTED_VALUE"""),"THCS")</f>
        <v>THCS</v>
      </c>
      <c r="D60" s="66" t="str">
        <f ca="1">IFERROR(__xludf.DUMMYFUNCTION("""COMPUTED_VALUE"""),"Quận 5")</f>
        <v>Quận 5</v>
      </c>
      <c r="E60" s="67">
        <f ca="1">IFERROR(__xludf.DUMMYFUNCTION("""COMPUTED_VALUE"""),98)</f>
        <v>98</v>
      </c>
      <c r="F60" s="67">
        <f ca="1">IFERROR(__xludf.DUMMYFUNCTION("""COMPUTED_VALUE"""),98)</f>
        <v>98</v>
      </c>
      <c r="G60" s="51">
        <f t="shared" ca="1" si="0"/>
        <v>1</v>
      </c>
      <c r="H60" s="67">
        <f ca="1">IFERROR(__xludf.DUMMYFUNCTION("""COMPUTED_VALUE"""),98)</f>
        <v>98</v>
      </c>
      <c r="I60" s="51">
        <f t="shared" ca="1" si="1"/>
        <v>1</v>
      </c>
      <c r="J60" s="67">
        <f ca="1">IFERROR(__xludf.DUMMYFUNCTION("""COMPUTED_VALUE"""),97)</f>
        <v>97</v>
      </c>
      <c r="K60" s="51">
        <f t="shared" ca="1" si="2"/>
        <v>0.98979591836734693</v>
      </c>
      <c r="L60" s="67">
        <f ca="1">IFERROR(__xludf.DUMMYFUNCTION("""COMPUTED_VALUE"""),54)</f>
        <v>54</v>
      </c>
      <c r="M60" s="51">
        <f t="shared" ca="1" si="3"/>
        <v>0.55102040816326525</v>
      </c>
      <c r="N60" s="67">
        <f ca="1">IFERROR(__xludf.DUMMYFUNCTION("""COMPUTED_VALUE"""),414)</f>
        <v>414</v>
      </c>
      <c r="O60" s="67">
        <f ca="1">IFERROR(__xludf.DUMMYFUNCTION("""COMPUTED_VALUE"""),256)</f>
        <v>256</v>
      </c>
      <c r="P60" s="51">
        <f t="shared" ca="1" si="4"/>
        <v>0.61835748792270528</v>
      </c>
      <c r="Q60" s="67">
        <f ca="1">IFERROR(__xludf.DUMMYFUNCTION("""COMPUTED_VALUE"""),196)</f>
        <v>196</v>
      </c>
      <c r="R60" s="51">
        <f t="shared" ca="1" si="5"/>
        <v>0.47342995169082125</v>
      </c>
      <c r="S60" s="67">
        <f ca="1">IFERROR(__xludf.DUMMYFUNCTION("""COMPUTED_VALUE"""),1124)</f>
        <v>1124</v>
      </c>
      <c r="T60" s="67">
        <f ca="1">IFERROR(__xludf.DUMMYFUNCTION("""COMPUTED_VALUE"""),1120)</f>
        <v>1120</v>
      </c>
      <c r="U60" s="51">
        <f t="shared" ca="1" si="6"/>
        <v>0.99644128113879005</v>
      </c>
      <c r="V60" s="67">
        <f ca="1">IFERROR(__xludf.DUMMYFUNCTION("""COMPUTED_VALUE"""),1120)</f>
        <v>1120</v>
      </c>
      <c r="W60" s="51">
        <f t="shared" ca="1" si="7"/>
        <v>0.99644128113879005</v>
      </c>
      <c r="X60" s="67">
        <f ca="1">IFERROR(__xludf.DUMMYFUNCTION("""COMPUTED_VALUE"""),428)</f>
        <v>428</v>
      </c>
      <c r="Y60" s="51">
        <f t="shared" ca="1" si="8"/>
        <v>0.38078291814946619</v>
      </c>
      <c r="Z60" s="2"/>
      <c r="AA60" s="2"/>
      <c r="AB60" s="2"/>
      <c r="AC60" s="2"/>
      <c r="AD60" s="2"/>
      <c r="AE60" s="2"/>
    </row>
    <row r="61" spans="1:31" ht="12.75" x14ac:dyDescent="0.2">
      <c r="A61" s="53" t="str">
        <f ca="1">IFERROR(__xludf.DUMMYFUNCTION("""COMPUTED_VALUE"""),"8")</f>
        <v>8</v>
      </c>
      <c r="B61" s="66" t="str">
        <f ca="1">IFERROR(__xludf.DUMMYFUNCTION("""COMPUTED_VALUE"""),"Văn Lang")</f>
        <v>Văn Lang</v>
      </c>
      <c r="C61" s="66" t="str">
        <f ca="1">IFERROR(__xludf.DUMMYFUNCTION("""COMPUTED_VALUE"""),"THCS")</f>
        <v>THCS</v>
      </c>
      <c r="D61" s="66" t="str">
        <f ca="1">IFERROR(__xludf.DUMMYFUNCTION("""COMPUTED_VALUE"""),"Quận 5")</f>
        <v>Quận 5</v>
      </c>
      <c r="E61" s="67">
        <f ca="1">IFERROR(__xludf.DUMMYFUNCTION("""COMPUTED_VALUE"""),25)</f>
        <v>25</v>
      </c>
      <c r="F61" s="67">
        <f ca="1">IFERROR(__xludf.DUMMYFUNCTION("""COMPUTED_VALUE"""),25)</f>
        <v>25</v>
      </c>
      <c r="G61" s="51">
        <f t="shared" ca="1" si="0"/>
        <v>1</v>
      </c>
      <c r="H61" s="67">
        <f ca="1">IFERROR(__xludf.DUMMYFUNCTION("""COMPUTED_VALUE"""),25)</f>
        <v>25</v>
      </c>
      <c r="I61" s="51">
        <f t="shared" ca="1" si="1"/>
        <v>1</v>
      </c>
      <c r="J61" s="67">
        <f ca="1">IFERROR(__xludf.DUMMYFUNCTION("""COMPUTED_VALUE"""),25)</f>
        <v>25</v>
      </c>
      <c r="K61" s="51">
        <f t="shared" ca="1" si="2"/>
        <v>1</v>
      </c>
      <c r="L61" s="67">
        <f ca="1">IFERROR(__xludf.DUMMYFUNCTION("""COMPUTED_VALUE"""),14)</f>
        <v>14</v>
      </c>
      <c r="M61" s="51">
        <f t="shared" ca="1" si="3"/>
        <v>0.56000000000000005</v>
      </c>
      <c r="N61" s="67">
        <f ca="1">IFERROR(__xludf.DUMMYFUNCTION("""COMPUTED_VALUE"""),270)</f>
        <v>270</v>
      </c>
      <c r="O61" s="67">
        <f ca="1">IFERROR(__xludf.DUMMYFUNCTION("""COMPUTED_VALUE"""),213)</f>
        <v>213</v>
      </c>
      <c r="P61" s="51">
        <f t="shared" ca="1" si="4"/>
        <v>0.78888888888888886</v>
      </c>
      <c r="Q61" s="67">
        <f ca="1">IFERROR(__xludf.DUMMYFUNCTION("""COMPUTED_VALUE"""),240)</f>
        <v>240</v>
      </c>
      <c r="R61" s="51">
        <f t="shared" ca="1" si="5"/>
        <v>0.88888888888888884</v>
      </c>
      <c r="S61" s="67">
        <f ca="1">IFERROR(__xludf.DUMMYFUNCTION("""COMPUTED_VALUE"""),187)</f>
        <v>187</v>
      </c>
      <c r="T61" s="66">
        <f ca="1">IFERROR(__xludf.DUMMYFUNCTION("""COMPUTED_VALUE"""),186)</f>
        <v>186</v>
      </c>
      <c r="U61" s="51">
        <f t="shared" ca="1" si="6"/>
        <v>0.99465240641711228</v>
      </c>
      <c r="V61" s="67">
        <f ca="1">IFERROR(__xludf.DUMMYFUNCTION("""COMPUTED_VALUE"""),186)</f>
        <v>186</v>
      </c>
      <c r="W61" s="51">
        <f t="shared" ca="1" si="7"/>
        <v>0.99465240641711228</v>
      </c>
      <c r="X61" s="67">
        <f ca="1">IFERROR(__xludf.DUMMYFUNCTION("""COMPUTED_VALUE"""),46)</f>
        <v>46</v>
      </c>
      <c r="Y61" s="51">
        <f t="shared" ca="1" si="8"/>
        <v>0.24598930481283424</v>
      </c>
      <c r="Z61" s="2"/>
      <c r="AA61" s="2"/>
      <c r="AB61" s="2"/>
      <c r="AC61" s="2"/>
      <c r="AD61" s="2"/>
      <c r="AE61" s="2"/>
    </row>
    <row r="62" spans="1:31" ht="12.75" x14ac:dyDescent="0.2">
      <c r="A62" s="55" t="str">
        <f ca="1">IFERROR(__xludf.DUMMYFUNCTION("""COMPUTED_VALUE"""),"THPT")</f>
        <v>THPT</v>
      </c>
      <c r="B62" s="66"/>
      <c r="C62" s="66"/>
      <c r="D62" s="66" t="str">
        <f ca="1">IFERROR(__xludf.DUMMYFUNCTION("""COMPUTED_VALUE"""),"Quận 5")</f>
        <v>Quận 5</v>
      </c>
      <c r="E62" s="67">
        <f ca="1">IFERROR(__xludf.DUMMYFUNCTION("""COMPUTED_VALUE"""),783)</f>
        <v>783</v>
      </c>
      <c r="F62" s="67">
        <f ca="1">IFERROR(__xludf.DUMMYFUNCTION("""COMPUTED_VALUE"""),782)</f>
        <v>782</v>
      </c>
      <c r="G62" s="51">
        <f t="shared" ca="1" si="0"/>
        <v>0.99872286079182626</v>
      </c>
      <c r="H62" s="67">
        <f ca="1">IFERROR(__xludf.DUMMYFUNCTION("""COMPUTED_VALUE"""),776)</f>
        <v>776</v>
      </c>
      <c r="I62" s="51">
        <f t="shared" ca="1" si="1"/>
        <v>0.99106002554278416</v>
      </c>
      <c r="J62" s="67">
        <f ca="1">IFERROR(__xludf.DUMMYFUNCTION("""COMPUTED_VALUE"""),762)</f>
        <v>762</v>
      </c>
      <c r="K62" s="51">
        <f t="shared" ca="1" si="2"/>
        <v>0.97318007662835249</v>
      </c>
      <c r="L62" s="67">
        <f ca="1">IFERROR(__xludf.DUMMYFUNCTION("""COMPUTED_VALUE"""),352)</f>
        <v>352</v>
      </c>
      <c r="M62" s="51">
        <f t="shared" ca="1" si="3"/>
        <v>0.44955300127713921</v>
      </c>
      <c r="N62" s="67">
        <f ca="1">IFERROR(__xludf.DUMMYFUNCTION("""COMPUTED_VALUE"""),72)</f>
        <v>72</v>
      </c>
      <c r="O62" s="67">
        <f ca="1">IFERROR(__xludf.DUMMYFUNCTION("""COMPUTED_VALUE"""),56)</f>
        <v>56</v>
      </c>
      <c r="P62" s="51">
        <f t="shared" ca="1" si="4"/>
        <v>0.77777777777777779</v>
      </c>
      <c r="Q62" s="67">
        <f ca="1">IFERROR(__xludf.DUMMYFUNCTION("""COMPUTED_VALUE"""),47)</f>
        <v>47</v>
      </c>
      <c r="R62" s="51">
        <f t="shared" ca="1" si="5"/>
        <v>0.65277777777777779</v>
      </c>
      <c r="S62" s="67">
        <f ca="1">IFERROR(__xludf.DUMMYFUNCTION("""COMPUTED_VALUE"""),42)</f>
        <v>42</v>
      </c>
      <c r="T62" s="66">
        <f ca="1">IFERROR(__xludf.DUMMYFUNCTION("""COMPUTED_VALUE"""),42)</f>
        <v>42</v>
      </c>
      <c r="U62" s="51">
        <f t="shared" ca="1" si="6"/>
        <v>1</v>
      </c>
      <c r="V62" s="67">
        <f ca="1">IFERROR(__xludf.DUMMYFUNCTION("""COMPUTED_VALUE"""),42)</f>
        <v>42</v>
      </c>
      <c r="W62" s="51">
        <f t="shared" ca="1" si="7"/>
        <v>1</v>
      </c>
      <c r="X62" s="67">
        <f ca="1">IFERROR(__xludf.DUMMYFUNCTION("""COMPUTED_VALUE"""),22)</f>
        <v>22</v>
      </c>
      <c r="Y62" s="51">
        <f t="shared" ca="1" si="8"/>
        <v>0.52380952380952384</v>
      </c>
      <c r="Z62" s="2"/>
      <c r="AA62" s="2"/>
      <c r="AB62" s="2"/>
      <c r="AC62" s="2"/>
      <c r="AD62" s="2"/>
      <c r="AE62" s="2"/>
    </row>
    <row r="63" spans="1:31" ht="12.75" x14ac:dyDescent="0.2">
      <c r="A63" s="53">
        <f ca="1">IFERROR(__xludf.DUMMYFUNCTION("""COMPUTED_VALUE"""),1)</f>
        <v>1</v>
      </c>
      <c r="B63" s="66" t="str">
        <f ca="1">IFERROR(__xludf.DUMMYFUNCTION("""COMPUTED_VALUE"""),"chuyên Lê Hồng Phong")</f>
        <v>chuyên Lê Hồng Phong</v>
      </c>
      <c r="C63" s="66" t="str">
        <f ca="1">IFERROR(__xludf.DUMMYFUNCTION("""COMPUTED_VALUE"""),"THPT")</f>
        <v>THPT</v>
      </c>
      <c r="D63" s="66" t="str">
        <f ca="1">IFERROR(__xludf.DUMMYFUNCTION("""COMPUTED_VALUE"""),"Quận 5")</f>
        <v>Quận 5</v>
      </c>
      <c r="E63" s="67">
        <f ca="1">IFERROR(__xludf.DUMMYFUNCTION("""COMPUTED_VALUE"""),164)</f>
        <v>164</v>
      </c>
      <c r="F63" s="67">
        <f ca="1">IFERROR(__xludf.DUMMYFUNCTION("""COMPUTED_VALUE"""),164)</f>
        <v>164</v>
      </c>
      <c r="G63" s="51">
        <f t="shared" ca="1" si="0"/>
        <v>1</v>
      </c>
      <c r="H63" s="67">
        <f ca="1">IFERROR(__xludf.DUMMYFUNCTION("""COMPUTED_VALUE"""),161)</f>
        <v>161</v>
      </c>
      <c r="I63" s="51">
        <f t="shared" ca="1" si="1"/>
        <v>0.98170731707317072</v>
      </c>
      <c r="J63" s="67">
        <f ca="1">IFERROR(__xludf.DUMMYFUNCTION("""COMPUTED_VALUE"""),157)</f>
        <v>157</v>
      </c>
      <c r="K63" s="51">
        <f t="shared" ca="1" si="2"/>
        <v>0.95731707317073167</v>
      </c>
      <c r="L63" s="67">
        <f ca="1">IFERROR(__xludf.DUMMYFUNCTION("""COMPUTED_VALUE"""),74)</f>
        <v>74</v>
      </c>
      <c r="M63" s="51">
        <f t="shared" ca="1" si="3"/>
        <v>0.45121951219512196</v>
      </c>
      <c r="N63" s="66"/>
      <c r="O63" s="66"/>
      <c r="P63" s="51" t="str">
        <f t="shared" si="4"/>
        <v/>
      </c>
      <c r="Q63" s="66"/>
      <c r="R63" s="51" t="str">
        <f t="shared" si="5"/>
        <v/>
      </c>
      <c r="S63" s="67">
        <f ca="1">IFERROR(__xludf.DUMMYFUNCTION("""COMPUTED_VALUE"""),2317)</f>
        <v>2317</v>
      </c>
      <c r="T63" s="67">
        <f ca="1">IFERROR(__xludf.DUMMYFUNCTION("""COMPUTED_VALUE"""),2301)</f>
        <v>2301</v>
      </c>
      <c r="U63" s="51">
        <f t="shared" ca="1" si="6"/>
        <v>0.99309451877427712</v>
      </c>
      <c r="V63" s="67">
        <f ca="1">IFERROR(__xludf.DUMMYFUNCTION("""COMPUTED_VALUE"""),2290)</f>
        <v>2290</v>
      </c>
      <c r="W63" s="51">
        <f t="shared" ca="1" si="7"/>
        <v>0.98834700043159263</v>
      </c>
      <c r="X63" s="67">
        <f ca="1">IFERROR(__xludf.DUMMYFUNCTION("""COMPUTED_VALUE"""),836)</f>
        <v>836</v>
      </c>
      <c r="Y63" s="51">
        <f t="shared" ca="1" si="8"/>
        <v>0.36081139404402246</v>
      </c>
      <c r="Z63" s="2"/>
      <c r="AA63" s="2"/>
      <c r="AB63" s="2"/>
      <c r="AC63" s="2"/>
      <c r="AD63" s="2"/>
      <c r="AE63" s="2"/>
    </row>
    <row r="64" spans="1:31" ht="12.75" x14ac:dyDescent="0.2">
      <c r="A64" s="53">
        <f ca="1">IFERROR(__xludf.DUMMYFUNCTION("""COMPUTED_VALUE"""),2)</f>
        <v>2</v>
      </c>
      <c r="B64" s="66" t="str">
        <f ca="1">IFERROR(__xludf.DUMMYFUNCTION("""COMPUTED_VALUE"""),"Trần Khai Nguyên")</f>
        <v>Trần Khai Nguyên</v>
      </c>
      <c r="C64" s="66" t="str">
        <f ca="1">IFERROR(__xludf.DUMMYFUNCTION("""COMPUTED_VALUE"""),"THPT")</f>
        <v>THPT</v>
      </c>
      <c r="D64" s="66" t="str">
        <f ca="1">IFERROR(__xludf.DUMMYFUNCTION("""COMPUTED_VALUE"""),"Quận 5")</f>
        <v>Quận 5</v>
      </c>
      <c r="E64" s="67">
        <f ca="1">IFERROR(__xludf.DUMMYFUNCTION("""COMPUTED_VALUE"""),119)</f>
        <v>119</v>
      </c>
      <c r="F64" s="67">
        <f ca="1">IFERROR(__xludf.DUMMYFUNCTION("""COMPUTED_VALUE"""),119)</f>
        <v>119</v>
      </c>
      <c r="G64" s="51">
        <f t="shared" ca="1" si="0"/>
        <v>1</v>
      </c>
      <c r="H64" s="67">
        <f ca="1">IFERROR(__xludf.DUMMYFUNCTION("""COMPUTED_VALUE"""),119)</f>
        <v>119</v>
      </c>
      <c r="I64" s="51">
        <f t="shared" ca="1" si="1"/>
        <v>1</v>
      </c>
      <c r="J64" s="67">
        <f ca="1">IFERROR(__xludf.DUMMYFUNCTION("""COMPUTED_VALUE"""),119)</f>
        <v>119</v>
      </c>
      <c r="K64" s="51">
        <f t="shared" ca="1" si="2"/>
        <v>1</v>
      </c>
      <c r="L64" s="67">
        <f ca="1">IFERROR(__xludf.DUMMYFUNCTION("""COMPUTED_VALUE"""),85)</f>
        <v>85</v>
      </c>
      <c r="M64" s="51">
        <f t="shared" ca="1" si="3"/>
        <v>0.7142857142857143</v>
      </c>
      <c r="N64" s="66"/>
      <c r="O64" s="66"/>
      <c r="P64" s="51" t="str">
        <f t="shared" si="4"/>
        <v/>
      </c>
      <c r="Q64" s="66"/>
      <c r="R64" s="51" t="str">
        <f t="shared" si="5"/>
        <v/>
      </c>
      <c r="S64" s="67">
        <f ca="1">IFERROR(__xludf.DUMMYFUNCTION("""COMPUTED_VALUE"""),2273)</f>
        <v>2273</v>
      </c>
      <c r="T64" s="66">
        <f ca="1">IFERROR(__xludf.DUMMYFUNCTION("""COMPUTED_VALUE"""),2273)</f>
        <v>2273</v>
      </c>
      <c r="U64" s="51">
        <f t="shared" ca="1" si="6"/>
        <v>1</v>
      </c>
      <c r="V64" s="67">
        <f ca="1">IFERROR(__xludf.DUMMYFUNCTION("""COMPUTED_VALUE"""),2373)</f>
        <v>2373</v>
      </c>
      <c r="W64" s="51">
        <f t="shared" ca="1" si="7"/>
        <v>1.0439947206335241</v>
      </c>
      <c r="X64" s="67">
        <f ca="1">IFERROR(__xludf.DUMMYFUNCTION("""COMPUTED_VALUE"""),650)</f>
        <v>650</v>
      </c>
      <c r="Y64" s="51">
        <f t="shared" ca="1" si="8"/>
        <v>0.28596568411790585</v>
      </c>
      <c r="Z64" s="2"/>
      <c r="AA64" s="2"/>
      <c r="AB64" s="2"/>
      <c r="AC64" s="2"/>
      <c r="AD64" s="2"/>
      <c r="AE64" s="2"/>
    </row>
    <row r="65" spans="1:31" ht="12.75" x14ac:dyDescent="0.2">
      <c r="A65" s="53">
        <f ca="1">IFERROR(__xludf.DUMMYFUNCTION("""COMPUTED_VALUE"""),3)</f>
        <v>3</v>
      </c>
      <c r="B65" s="66" t="str">
        <f ca="1">IFERROR(__xludf.DUMMYFUNCTION("""COMPUTED_VALUE"""),"Hùng Vương")</f>
        <v>Hùng Vương</v>
      </c>
      <c r="C65" s="66" t="str">
        <f ca="1">IFERROR(__xludf.DUMMYFUNCTION("""COMPUTED_VALUE"""),"THPT")</f>
        <v>THPT</v>
      </c>
      <c r="D65" s="66" t="str">
        <f ca="1">IFERROR(__xludf.DUMMYFUNCTION("""COMPUTED_VALUE"""),"Quận 5")</f>
        <v>Quận 5</v>
      </c>
      <c r="E65" s="66">
        <f ca="1">IFERROR(__xludf.DUMMYFUNCTION("""COMPUTED_VALUE"""),167)</f>
        <v>167</v>
      </c>
      <c r="F65" s="66">
        <f ca="1">IFERROR(__xludf.DUMMYFUNCTION("""COMPUTED_VALUE"""),166)</f>
        <v>166</v>
      </c>
      <c r="G65" s="51">
        <f t="shared" ca="1" si="0"/>
        <v>0.99401197604790414</v>
      </c>
      <c r="H65" s="66">
        <f ca="1">IFERROR(__xludf.DUMMYFUNCTION("""COMPUTED_VALUE"""),164)</f>
        <v>164</v>
      </c>
      <c r="I65" s="51">
        <f t="shared" ca="1" si="1"/>
        <v>0.98203592814371254</v>
      </c>
      <c r="J65" s="66">
        <f ca="1">IFERROR(__xludf.DUMMYFUNCTION("""COMPUTED_VALUE"""),158)</f>
        <v>158</v>
      </c>
      <c r="K65" s="51">
        <f t="shared" ca="1" si="2"/>
        <v>0.94610778443113774</v>
      </c>
      <c r="L65" s="66">
        <f ca="1">IFERROR(__xludf.DUMMYFUNCTION("""COMPUTED_VALUE"""),35)</f>
        <v>35</v>
      </c>
      <c r="M65" s="51">
        <f t="shared" ca="1" si="3"/>
        <v>0.20958083832335328</v>
      </c>
      <c r="N65" s="66"/>
      <c r="O65" s="66"/>
      <c r="P65" s="51" t="str">
        <f t="shared" si="4"/>
        <v/>
      </c>
      <c r="Q65" s="66"/>
      <c r="R65" s="51" t="str">
        <f t="shared" si="5"/>
        <v/>
      </c>
      <c r="S65" s="67">
        <f ca="1">IFERROR(__xludf.DUMMYFUNCTION("""COMPUTED_VALUE"""),3084)</f>
        <v>3084</v>
      </c>
      <c r="T65" s="66">
        <f ca="1">IFERROR(__xludf.DUMMYFUNCTION("""COMPUTED_VALUE"""),3081)</f>
        <v>3081</v>
      </c>
      <c r="U65" s="51">
        <f t="shared" ca="1" si="6"/>
        <v>0.99902723735408561</v>
      </c>
      <c r="V65" s="67">
        <f ca="1">IFERROR(__xludf.DUMMYFUNCTION("""COMPUTED_VALUE"""),3070)</f>
        <v>3070</v>
      </c>
      <c r="W65" s="51">
        <f t="shared" ca="1" si="7"/>
        <v>0.99546044098573283</v>
      </c>
      <c r="X65" s="67">
        <f ca="1">IFERROR(__xludf.DUMMYFUNCTION("""COMPUTED_VALUE"""),705)</f>
        <v>705</v>
      </c>
      <c r="Y65" s="51">
        <f t="shared" ca="1" si="8"/>
        <v>0.22859922178988326</v>
      </c>
      <c r="Z65" s="2"/>
      <c r="AA65" s="2"/>
      <c r="AB65" s="2"/>
      <c r="AC65" s="2"/>
      <c r="AD65" s="2"/>
      <c r="AE65" s="2"/>
    </row>
    <row r="66" spans="1:31" ht="12.75" x14ac:dyDescent="0.2">
      <c r="A66" s="53">
        <f ca="1">IFERROR(__xludf.DUMMYFUNCTION("""COMPUTED_VALUE"""),4)</f>
        <v>4</v>
      </c>
      <c r="B66" s="66"/>
      <c r="C66" s="66"/>
      <c r="D66" s="66" t="str">
        <f ca="1">IFERROR(__xludf.DUMMYFUNCTION("""COMPUTED_VALUE"""),"Quận 5")</f>
        <v>Quận 5</v>
      </c>
      <c r="E66" s="67">
        <f ca="1">IFERROR(__xludf.DUMMYFUNCTION("""COMPUTED_VALUE"""),51)</f>
        <v>51</v>
      </c>
      <c r="F66" s="67">
        <f ca="1">IFERROR(__xludf.DUMMYFUNCTION("""COMPUTED_VALUE"""),51)</f>
        <v>51</v>
      </c>
      <c r="G66" s="51">
        <f t="shared" ca="1" si="0"/>
        <v>1</v>
      </c>
      <c r="H66" s="67">
        <f ca="1">IFERROR(__xludf.DUMMYFUNCTION("""COMPUTED_VALUE"""),50)</f>
        <v>50</v>
      </c>
      <c r="I66" s="51">
        <f t="shared" ca="1" si="1"/>
        <v>0.98039215686274506</v>
      </c>
      <c r="J66" s="67">
        <f ca="1">IFERROR(__xludf.DUMMYFUNCTION("""COMPUTED_VALUE"""),50)</f>
        <v>50</v>
      </c>
      <c r="K66" s="51">
        <f t="shared" ca="1" si="2"/>
        <v>0.98039215686274506</v>
      </c>
      <c r="L66" s="67">
        <f ca="1">IFERROR(__xludf.DUMMYFUNCTION("""COMPUTED_VALUE"""),30)</f>
        <v>30</v>
      </c>
      <c r="M66" s="51">
        <f t="shared" ca="1" si="3"/>
        <v>0.58823529411764708</v>
      </c>
      <c r="N66" s="66"/>
      <c r="O66" s="66"/>
      <c r="P66" s="51" t="str">
        <f t="shared" si="4"/>
        <v/>
      </c>
      <c r="Q66" s="66"/>
      <c r="R66" s="51" t="str">
        <f t="shared" si="5"/>
        <v/>
      </c>
      <c r="S66" s="67">
        <f ca="1">IFERROR(__xludf.DUMMYFUNCTION("""COMPUTED_VALUE"""),950)</f>
        <v>950</v>
      </c>
      <c r="T66" s="66">
        <f ca="1">IFERROR(__xludf.DUMMYFUNCTION("""COMPUTED_VALUE"""),948)</f>
        <v>948</v>
      </c>
      <c r="U66" s="51">
        <f t="shared" ca="1" si="6"/>
        <v>0.99789473684210528</v>
      </c>
      <c r="V66" s="67">
        <f ca="1">IFERROR(__xludf.DUMMYFUNCTION("""COMPUTED_VALUE"""),948)</f>
        <v>948</v>
      </c>
      <c r="W66" s="51">
        <f t="shared" ca="1" si="7"/>
        <v>0.99789473684210528</v>
      </c>
      <c r="X66" s="67">
        <f ca="1">IFERROR(__xludf.DUMMYFUNCTION("""COMPUTED_VALUE"""),420)</f>
        <v>420</v>
      </c>
      <c r="Y66" s="51">
        <f t="shared" ca="1" si="8"/>
        <v>0.44210526315789472</v>
      </c>
      <c r="Z66" s="2"/>
      <c r="AA66" s="2"/>
      <c r="AB66" s="2"/>
      <c r="AC66" s="2"/>
      <c r="AD66" s="2"/>
      <c r="AE66" s="2"/>
    </row>
    <row r="67" spans="1:31" ht="12.75" x14ac:dyDescent="0.2">
      <c r="A67" s="53">
        <f ca="1">IFERROR(__xludf.DUMMYFUNCTION("""COMPUTED_VALUE"""),5)</f>
        <v>5</v>
      </c>
      <c r="B67" s="66" t="str">
        <f ca="1">IFERROR(__xludf.DUMMYFUNCTION("""COMPUTED_VALUE"""),"Phổ thông Năng Khiếu")</f>
        <v>Phổ thông Năng Khiếu</v>
      </c>
      <c r="C67" s="66" t="str">
        <f ca="1">IFERROR(__xludf.DUMMYFUNCTION("""COMPUTED_VALUE"""),"THPT")</f>
        <v>THPT</v>
      </c>
      <c r="D67" s="66" t="str">
        <f ca="1">IFERROR(__xludf.DUMMYFUNCTION("""COMPUTED_VALUE"""),"Quận 5")</f>
        <v>Quận 5</v>
      </c>
      <c r="E67" s="67">
        <f ca="1">IFERROR(__xludf.DUMMYFUNCTION("""COMPUTED_VALUE"""),76)</f>
        <v>76</v>
      </c>
      <c r="F67" s="67">
        <f ca="1">IFERROR(__xludf.DUMMYFUNCTION("""COMPUTED_VALUE"""),76)</f>
        <v>76</v>
      </c>
      <c r="G67" s="51">
        <f t="shared" ca="1" si="0"/>
        <v>1</v>
      </c>
      <c r="H67" s="67">
        <f ca="1">IFERROR(__xludf.DUMMYFUNCTION("""COMPUTED_VALUE"""),76)</f>
        <v>76</v>
      </c>
      <c r="I67" s="51">
        <f t="shared" ca="1" si="1"/>
        <v>1</v>
      </c>
      <c r="J67" s="67">
        <f ca="1">IFERROR(__xludf.DUMMYFUNCTION("""COMPUTED_VALUE"""),76)</f>
        <v>76</v>
      </c>
      <c r="K67" s="51">
        <f t="shared" ca="1" si="2"/>
        <v>1</v>
      </c>
      <c r="L67" s="67">
        <f ca="1">IFERROR(__xludf.DUMMYFUNCTION("""COMPUTED_VALUE"""),46)</f>
        <v>46</v>
      </c>
      <c r="M67" s="51">
        <f t="shared" ca="1" si="3"/>
        <v>0.60526315789473684</v>
      </c>
      <c r="N67" s="66"/>
      <c r="O67" s="66"/>
      <c r="P67" s="51" t="str">
        <f t="shared" si="4"/>
        <v/>
      </c>
      <c r="Q67" s="66"/>
      <c r="R67" s="51" t="str">
        <f t="shared" si="5"/>
        <v/>
      </c>
      <c r="S67" s="67">
        <f ca="1">IFERROR(__xludf.DUMMYFUNCTION("""COMPUTED_VALUE"""),1755)</f>
        <v>1755</v>
      </c>
      <c r="T67" s="67">
        <f ca="1">IFERROR(__xludf.DUMMYFUNCTION("""COMPUTED_VALUE"""),1755)</f>
        <v>1755</v>
      </c>
      <c r="U67" s="51">
        <f t="shared" ca="1" si="6"/>
        <v>1</v>
      </c>
      <c r="V67" s="67">
        <f ca="1">IFERROR(__xludf.DUMMYFUNCTION("""COMPUTED_VALUE"""),1755)</f>
        <v>1755</v>
      </c>
      <c r="W67" s="51">
        <f t="shared" ca="1" si="7"/>
        <v>1</v>
      </c>
      <c r="X67" s="67">
        <f ca="1">IFERROR(__xludf.DUMMYFUNCTION("""COMPUTED_VALUE"""),723)</f>
        <v>723</v>
      </c>
      <c r="Y67" s="51">
        <f t="shared" ca="1" si="8"/>
        <v>0.41196581196581195</v>
      </c>
      <c r="Z67" s="2"/>
      <c r="AA67" s="2"/>
      <c r="AB67" s="2"/>
      <c r="AC67" s="2"/>
      <c r="AD67" s="2"/>
      <c r="AE67" s="2"/>
    </row>
    <row r="68" spans="1:31" ht="12.75" x14ac:dyDescent="0.2">
      <c r="A68" s="53">
        <f ca="1">IFERROR(__xludf.DUMMYFUNCTION("""COMPUTED_VALUE"""),6)</f>
        <v>6</v>
      </c>
      <c r="B68" s="66" t="str">
        <f ca="1">IFERROR(__xludf.DUMMYFUNCTION("""COMPUTED_VALUE"""),"THTH Đại học Sư Phạm")</f>
        <v>THTH Đại học Sư Phạm</v>
      </c>
      <c r="C68" s="66" t="str">
        <f ca="1">IFERROR(__xludf.DUMMYFUNCTION("""COMPUTED_VALUE"""),"THPT")</f>
        <v>THPT</v>
      </c>
      <c r="D68" s="66" t="str">
        <f ca="1">IFERROR(__xludf.DUMMYFUNCTION("""COMPUTED_VALUE"""),"Quận 5")</f>
        <v>Quận 5</v>
      </c>
      <c r="E68" s="67">
        <f ca="1">IFERROR(__xludf.DUMMYFUNCTION("""COMPUTED_VALUE"""),60)</f>
        <v>60</v>
      </c>
      <c r="F68" s="67">
        <f ca="1">IFERROR(__xludf.DUMMYFUNCTION("""COMPUTED_VALUE"""),60)</f>
        <v>60</v>
      </c>
      <c r="G68" s="51">
        <f t="shared" ca="1" si="0"/>
        <v>1</v>
      </c>
      <c r="H68" s="67">
        <f ca="1">IFERROR(__xludf.DUMMYFUNCTION("""COMPUTED_VALUE"""),60)</f>
        <v>60</v>
      </c>
      <c r="I68" s="51">
        <f t="shared" ca="1" si="1"/>
        <v>1</v>
      </c>
      <c r="J68" s="67">
        <f ca="1">IFERROR(__xludf.DUMMYFUNCTION("""COMPUTED_VALUE"""),60)</f>
        <v>60</v>
      </c>
      <c r="K68" s="51">
        <f t="shared" ca="1" si="2"/>
        <v>1</v>
      </c>
      <c r="L68" s="67">
        <f ca="1">IFERROR(__xludf.DUMMYFUNCTION("""COMPUTED_VALUE"""),3)</f>
        <v>3</v>
      </c>
      <c r="M68" s="51">
        <f t="shared" ca="1" si="3"/>
        <v>0.05</v>
      </c>
      <c r="N68" s="66"/>
      <c r="O68" s="66"/>
      <c r="P68" s="51" t="str">
        <f t="shared" si="4"/>
        <v/>
      </c>
      <c r="Q68" s="66"/>
      <c r="R68" s="51" t="str">
        <f t="shared" si="5"/>
        <v/>
      </c>
      <c r="S68" s="67">
        <f ca="1">IFERROR(__xludf.DUMMYFUNCTION("""COMPUTED_VALUE"""),867)</f>
        <v>867</v>
      </c>
      <c r="T68" s="66">
        <f ca="1">IFERROR(__xludf.DUMMYFUNCTION("""COMPUTED_VALUE"""),867)</f>
        <v>867</v>
      </c>
      <c r="U68" s="51">
        <f t="shared" ca="1" si="6"/>
        <v>1</v>
      </c>
      <c r="V68" s="67">
        <f ca="1">IFERROR(__xludf.DUMMYFUNCTION("""COMPUTED_VALUE"""),867)</f>
        <v>867</v>
      </c>
      <c r="W68" s="51">
        <f t="shared" ca="1" si="7"/>
        <v>1</v>
      </c>
      <c r="X68" s="67">
        <f ca="1">IFERROR(__xludf.DUMMYFUNCTION("""COMPUTED_VALUE"""),160)</f>
        <v>160</v>
      </c>
      <c r="Y68" s="51">
        <f t="shared" ca="1" si="8"/>
        <v>0.1845444059976932</v>
      </c>
      <c r="Z68" s="2"/>
      <c r="AA68" s="2"/>
      <c r="AB68" s="2"/>
      <c r="AC68" s="2"/>
      <c r="AD68" s="2"/>
      <c r="AE68" s="2"/>
    </row>
    <row r="69" spans="1:31" ht="12.75" x14ac:dyDescent="0.2">
      <c r="A69" s="53">
        <f ca="1">IFERROR(__xludf.DUMMYFUNCTION("""COMPUTED_VALUE"""),7)</f>
        <v>7</v>
      </c>
      <c r="B69" s="66" t="str">
        <f ca="1">IFERROR(__xludf.DUMMYFUNCTION("""COMPUTED_VALUE"""),"An Đông")</f>
        <v>An Đông</v>
      </c>
      <c r="C69" s="66" t="str">
        <f ca="1">IFERROR(__xludf.DUMMYFUNCTION("""COMPUTED_VALUE"""),"THPT")</f>
        <v>THPT</v>
      </c>
      <c r="D69" s="66" t="str">
        <f ca="1">IFERROR(__xludf.DUMMYFUNCTION("""COMPUTED_VALUE"""),"Quận 5")</f>
        <v>Quận 5</v>
      </c>
      <c r="E69" s="67">
        <f ca="1">IFERROR(__xludf.DUMMYFUNCTION("""COMPUTED_VALUE"""),16)</f>
        <v>16</v>
      </c>
      <c r="F69" s="67">
        <f ca="1">IFERROR(__xludf.DUMMYFUNCTION("""COMPUTED_VALUE"""),16)</f>
        <v>16</v>
      </c>
      <c r="G69" s="51">
        <f t="shared" ca="1" si="0"/>
        <v>1</v>
      </c>
      <c r="H69" s="67">
        <f ca="1">IFERROR(__xludf.DUMMYFUNCTION("""COMPUTED_VALUE"""),16)</f>
        <v>16</v>
      </c>
      <c r="I69" s="51">
        <f t="shared" ca="1" si="1"/>
        <v>1</v>
      </c>
      <c r="J69" s="67">
        <f ca="1">IFERROR(__xludf.DUMMYFUNCTION("""COMPUTED_VALUE"""),16)</f>
        <v>16</v>
      </c>
      <c r="K69" s="51">
        <f t="shared" ca="1" si="2"/>
        <v>1</v>
      </c>
      <c r="L69" s="67">
        <f ca="1">IFERROR(__xludf.DUMMYFUNCTION("""COMPUTED_VALUE"""),3)</f>
        <v>3</v>
      </c>
      <c r="M69" s="51">
        <f t="shared" ca="1" si="3"/>
        <v>0.1875</v>
      </c>
      <c r="N69" s="66"/>
      <c r="O69" s="66"/>
      <c r="P69" s="51" t="str">
        <f t="shared" si="4"/>
        <v/>
      </c>
      <c r="Q69" s="66"/>
      <c r="R69" s="51" t="str">
        <f t="shared" si="5"/>
        <v/>
      </c>
      <c r="S69" s="67">
        <f ca="1">IFERROR(__xludf.DUMMYFUNCTION("""COMPUTED_VALUE"""),419)</f>
        <v>419</v>
      </c>
      <c r="T69" s="67">
        <f ca="1">IFERROR(__xludf.DUMMYFUNCTION("""COMPUTED_VALUE"""),419)</f>
        <v>419</v>
      </c>
      <c r="U69" s="51">
        <f t="shared" ca="1" si="6"/>
        <v>1</v>
      </c>
      <c r="V69" s="67">
        <f ca="1">IFERROR(__xludf.DUMMYFUNCTION("""COMPUTED_VALUE"""),418)</f>
        <v>418</v>
      </c>
      <c r="W69" s="51">
        <f t="shared" ca="1" si="7"/>
        <v>0.99761336515513122</v>
      </c>
      <c r="X69" s="67">
        <f ca="1">IFERROR(__xludf.DUMMYFUNCTION("""COMPUTED_VALUE"""),144)</f>
        <v>144</v>
      </c>
      <c r="Y69" s="51">
        <f t="shared" ca="1" si="8"/>
        <v>0.34367541766109783</v>
      </c>
      <c r="Z69" s="2"/>
      <c r="AA69" s="2"/>
      <c r="AB69" s="2"/>
      <c r="AC69" s="2"/>
      <c r="AD69" s="2"/>
      <c r="AE69" s="2"/>
    </row>
    <row r="70" spans="1:31" ht="12.75" x14ac:dyDescent="0.2">
      <c r="A70" s="53">
        <f ca="1">IFERROR(__xludf.DUMMYFUNCTION("""COMPUTED_VALUE"""),8)</f>
        <v>8</v>
      </c>
      <c r="B70" s="66" t="str">
        <f ca="1">IFERROR(__xludf.DUMMYFUNCTION("""COMPUTED_VALUE"""),"Thăng Long")</f>
        <v>Thăng Long</v>
      </c>
      <c r="C70" s="66" t="str">
        <f ca="1">IFERROR(__xludf.DUMMYFUNCTION("""COMPUTED_VALUE"""),"THPT")</f>
        <v>THPT</v>
      </c>
      <c r="D70" s="66" t="str">
        <f ca="1">IFERROR(__xludf.DUMMYFUNCTION("""COMPUTED_VALUE"""),"Quận 5")</f>
        <v>Quận 5</v>
      </c>
      <c r="E70" s="67">
        <f ca="1">IFERROR(__xludf.DUMMYFUNCTION("""COMPUTED_VALUE"""),61)</f>
        <v>61</v>
      </c>
      <c r="F70" s="67">
        <f ca="1">IFERROR(__xludf.DUMMYFUNCTION("""COMPUTED_VALUE"""),61)</f>
        <v>61</v>
      </c>
      <c r="G70" s="51">
        <f t="shared" ref="G70:G78" ca="1" si="9">IFERROR(F70/E70,"")</f>
        <v>1</v>
      </c>
      <c r="H70" s="67">
        <f ca="1">IFERROR(__xludf.DUMMYFUNCTION("""COMPUTED_VALUE"""),61)</f>
        <v>61</v>
      </c>
      <c r="I70" s="51">
        <f t="shared" ref="I70:I78" ca="1" si="10">IFERROR(H70/E70,"")</f>
        <v>1</v>
      </c>
      <c r="J70" s="67">
        <f ca="1">IFERROR(__xludf.DUMMYFUNCTION("""COMPUTED_VALUE"""),57)</f>
        <v>57</v>
      </c>
      <c r="K70" s="51">
        <f t="shared" ref="K70:K78" ca="1" si="11">IFERROR(J70/E70,"")</f>
        <v>0.93442622950819676</v>
      </c>
      <c r="L70" s="67">
        <f ca="1">IFERROR(__xludf.DUMMYFUNCTION("""COMPUTED_VALUE"""),38)</f>
        <v>38</v>
      </c>
      <c r="M70" s="51">
        <f t="shared" ref="M70:M78" ca="1" si="12">IFERROR(L70/E70,"")</f>
        <v>0.62295081967213117</v>
      </c>
      <c r="N70" s="66"/>
      <c r="O70" s="66"/>
      <c r="P70" s="51" t="str">
        <f t="shared" ref="P70:P78" si="13">IFERROR(O70/N70,"")</f>
        <v/>
      </c>
      <c r="Q70" s="66"/>
      <c r="R70" s="51" t="str">
        <f t="shared" ref="R70:R78" si="14">IFERROR(Q70/N70,"")</f>
        <v/>
      </c>
      <c r="S70" s="66">
        <f ca="1">IFERROR(__xludf.DUMMYFUNCTION("""COMPUTED_VALUE"""),496)</f>
        <v>496</v>
      </c>
      <c r="T70" s="66">
        <f ca="1">IFERROR(__xludf.DUMMYFUNCTION("""COMPUTED_VALUE"""),492)</f>
        <v>492</v>
      </c>
      <c r="U70" s="51">
        <f t="shared" ref="U70:U78" ca="1" si="15">IFERROR(T70/S70,"")</f>
        <v>0.99193548387096775</v>
      </c>
      <c r="V70" s="66">
        <f ca="1">IFERROR(__xludf.DUMMYFUNCTION("""COMPUTED_VALUE"""),490)</f>
        <v>490</v>
      </c>
      <c r="W70" s="51">
        <f t="shared" ref="W70:W78" ca="1" si="16">IFERROR(V70/S70,"")</f>
        <v>0.98790322580645162</v>
      </c>
      <c r="X70" s="66">
        <f ca="1">IFERROR(__xludf.DUMMYFUNCTION("""COMPUTED_VALUE"""),279)</f>
        <v>279</v>
      </c>
      <c r="Y70" s="51">
        <f t="shared" ref="Y70:Y78" ca="1" si="17">IFERROR(X70/S70,"")</f>
        <v>0.5625</v>
      </c>
      <c r="Z70" s="2"/>
      <c r="AA70" s="2"/>
      <c r="AB70" s="2"/>
      <c r="AC70" s="2"/>
      <c r="AD70" s="2"/>
      <c r="AE70" s="2"/>
    </row>
    <row r="71" spans="1:31" ht="12.75" x14ac:dyDescent="0.2">
      <c r="A71" s="53">
        <f ca="1">IFERROR(__xludf.DUMMYFUNCTION("""COMPUTED_VALUE"""),9)</f>
        <v>9</v>
      </c>
      <c r="B71" s="66" t="str">
        <f ca="1">IFERROR(__xludf.DUMMYFUNCTION("""COMPUTED_VALUE"""),"Quang Trung Nguyễn Huệ")</f>
        <v>Quang Trung Nguyễn Huệ</v>
      </c>
      <c r="C71" s="66" t="str">
        <f ca="1">IFERROR(__xludf.DUMMYFUNCTION("""COMPUTED_VALUE"""),"THPT")</f>
        <v>THPT</v>
      </c>
      <c r="D71" s="66" t="str">
        <f ca="1">IFERROR(__xludf.DUMMYFUNCTION("""COMPUTED_VALUE"""),"Quận 5")</f>
        <v>Quận 5</v>
      </c>
      <c r="E71" s="67">
        <f ca="1">IFERROR(__xludf.DUMMYFUNCTION("""COMPUTED_VALUE"""),32)</f>
        <v>32</v>
      </c>
      <c r="F71" s="67">
        <f ca="1">IFERROR(__xludf.DUMMYFUNCTION("""COMPUTED_VALUE"""),32)</f>
        <v>32</v>
      </c>
      <c r="G71" s="51">
        <f t="shared" ca="1" si="9"/>
        <v>1</v>
      </c>
      <c r="H71" s="67">
        <f ca="1">IFERROR(__xludf.DUMMYFUNCTION("""COMPUTED_VALUE"""),32)</f>
        <v>32</v>
      </c>
      <c r="I71" s="51">
        <f t="shared" ca="1" si="10"/>
        <v>1</v>
      </c>
      <c r="J71" s="67">
        <f ca="1">IFERROR(__xludf.DUMMYFUNCTION("""COMPUTED_VALUE"""),32)</f>
        <v>32</v>
      </c>
      <c r="K71" s="51">
        <f t="shared" ca="1" si="11"/>
        <v>1</v>
      </c>
      <c r="L71" s="67">
        <f ca="1">IFERROR(__xludf.DUMMYFUNCTION("""COMPUTED_VALUE"""),12)</f>
        <v>12</v>
      </c>
      <c r="M71" s="51">
        <f t="shared" ca="1" si="12"/>
        <v>0.375</v>
      </c>
      <c r="N71" s="66"/>
      <c r="O71" s="66"/>
      <c r="P71" s="51" t="str">
        <f t="shared" si="13"/>
        <v/>
      </c>
      <c r="Q71" s="66"/>
      <c r="R71" s="51" t="str">
        <f t="shared" si="14"/>
        <v/>
      </c>
      <c r="S71" s="67">
        <f ca="1">IFERROR(__xludf.DUMMYFUNCTION("""COMPUTED_VALUE"""),322)</f>
        <v>322</v>
      </c>
      <c r="T71" s="66">
        <f ca="1">IFERROR(__xludf.DUMMYFUNCTION("""COMPUTED_VALUE"""),322)</f>
        <v>322</v>
      </c>
      <c r="U71" s="51">
        <f t="shared" ca="1" si="15"/>
        <v>1</v>
      </c>
      <c r="V71" s="67">
        <f ca="1">IFERROR(__xludf.DUMMYFUNCTION("""COMPUTED_VALUE"""),322)</f>
        <v>322</v>
      </c>
      <c r="W71" s="51">
        <f t="shared" ca="1" si="16"/>
        <v>1</v>
      </c>
      <c r="X71" s="67">
        <f ca="1">IFERROR(__xludf.DUMMYFUNCTION("""COMPUTED_VALUE"""),144)</f>
        <v>144</v>
      </c>
      <c r="Y71" s="51">
        <f t="shared" ca="1" si="17"/>
        <v>0.44720496894409939</v>
      </c>
      <c r="Z71" s="2"/>
      <c r="AA71" s="2"/>
      <c r="AB71" s="2"/>
      <c r="AC71" s="2"/>
      <c r="AD71" s="2"/>
      <c r="AE71" s="2"/>
    </row>
    <row r="72" spans="1:31" ht="12.75" x14ac:dyDescent="0.2">
      <c r="A72" s="53">
        <f ca="1">IFERROR(__xludf.DUMMYFUNCTION("""COMPUTED_VALUE"""),10)</f>
        <v>10</v>
      </c>
      <c r="B72" s="66" t="str">
        <f ca="1">IFERROR(__xludf.DUMMYFUNCTION("""COMPUTED_VALUE"""),"Nguyễn Bỉnh Khiêm")</f>
        <v>Nguyễn Bỉnh Khiêm</v>
      </c>
      <c r="C72" s="66" t="str">
        <f ca="1">IFERROR(__xludf.DUMMYFUNCTION("""COMPUTED_VALUE"""),"THPT")</f>
        <v>THPT</v>
      </c>
      <c r="D72" s="66" t="str">
        <f ca="1">IFERROR(__xludf.DUMMYFUNCTION("""COMPUTED_VALUE"""),"Quận 5")</f>
        <v>Quận 5</v>
      </c>
      <c r="E72" s="67">
        <f ca="1">IFERROR(__xludf.DUMMYFUNCTION("""COMPUTED_VALUE"""),13)</f>
        <v>13</v>
      </c>
      <c r="F72" s="67">
        <f ca="1">IFERROR(__xludf.DUMMYFUNCTION("""COMPUTED_VALUE"""),13)</f>
        <v>13</v>
      </c>
      <c r="G72" s="51">
        <f t="shared" ca="1" si="9"/>
        <v>1</v>
      </c>
      <c r="H72" s="67">
        <f ca="1">IFERROR(__xludf.DUMMYFUNCTION("""COMPUTED_VALUE"""),13)</f>
        <v>13</v>
      </c>
      <c r="I72" s="51">
        <f t="shared" ca="1" si="10"/>
        <v>1</v>
      </c>
      <c r="J72" s="67">
        <f ca="1">IFERROR(__xludf.DUMMYFUNCTION("""COMPUTED_VALUE"""),13)</f>
        <v>13</v>
      </c>
      <c r="K72" s="51">
        <f t="shared" ca="1" si="11"/>
        <v>1</v>
      </c>
      <c r="L72" s="67">
        <f ca="1">IFERROR(__xludf.DUMMYFUNCTION("""COMPUTED_VALUE"""),11)</f>
        <v>11</v>
      </c>
      <c r="M72" s="51">
        <f t="shared" ca="1" si="12"/>
        <v>0.84615384615384615</v>
      </c>
      <c r="N72" s="66"/>
      <c r="O72" s="66"/>
      <c r="P72" s="51" t="str">
        <f t="shared" si="13"/>
        <v/>
      </c>
      <c r="Q72" s="66"/>
      <c r="R72" s="51" t="str">
        <f t="shared" si="14"/>
        <v/>
      </c>
      <c r="S72" s="67">
        <f ca="1">IFERROR(__xludf.DUMMYFUNCTION("""COMPUTED_VALUE"""),187)</f>
        <v>187</v>
      </c>
      <c r="T72" s="66">
        <f ca="1">IFERROR(__xludf.DUMMYFUNCTION("""COMPUTED_VALUE"""),185)</f>
        <v>185</v>
      </c>
      <c r="U72" s="51">
        <f t="shared" ca="1" si="15"/>
        <v>0.98930481283422456</v>
      </c>
      <c r="V72" s="67">
        <f ca="1">IFERROR(__xludf.DUMMYFUNCTION("""COMPUTED_VALUE"""),183)</f>
        <v>183</v>
      </c>
      <c r="W72" s="51">
        <f t="shared" ca="1" si="16"/>
        <v>0.97860962566844922</v>
      </c>
      <c r="X72" s="67">
        <f ca="1">IFERROR(__xludf.DUMMYFUNCTION("""COMPUTED_VALUE"""),63)</f>
        <v>63</v>
      </c>
      <c r="Y72" s="51">
        <f t="shared" ca="1" si="17"/>
        <v>0.33689839572192515</v>
      </c>
      <c r="Z72" s="2"/>
      <c r="AA72" s="2"/>
      <c r="AB72" s="2"/>
      <c r="AC72" s="2"/>
      <c r="AD72" s="2"/>
      <c r="AE72" s="2"/>
    </row>
    <row r="73" spans="1:31" ht="12.75" x14ac:dyDescent="0.2">
      <c r="A73" s="53">
        <f ca="1">IFERROR(__xludf.DUMMYFUNCTION("""COMPUTED_VALUE"""),11)</f>
        <v>11</v>
      </c>
      <c r="B73" s="66" t="str">
        <f ca="1">IFERROR(__xludf.DUMMYFUNCTION("""COMPUTED_VALUE"""),"Văn Lang")</f>
        <v>Văn Lang</v>
      </c>
      <c r="C73" s="66" t="str">
        <f ca="1">IFERROR(__xludf.DUMMYFUNCTION("""COMPUTED_VALUE"""),"THPT")</f>
        <v>THPT</v>
      </c>
      <c r="D73" s="66" t="str">
        <f ca="1">IFERROR(__xludf.DUMMYFUNCTION("""COMPUTED_VALUE"""),"Quận 5")</f>
        <v>Quận 5</v>
      </c>
      <c r="E73" s="67">
        <f ca="1">IFERROR(__xludf.DUMMYFUNCTION("""COMPUTED_VALUE"""),24)</f>
        <v>24</v>
      </c>
      <c r="F73" s="67">
        <f ca="1">IFERROR(__xludf.DUMMYFUNCTION("""COMPUTED_VALUE"""),24)</f>
        <v>24</v>
      </c>
      <c r="G73" s="51">
        <f t="shared" ca="1" si="9"/>
        <v>1</v>
      </c>
      <c r="H73" s="67">
        <f ca="1">IFERROR(__xludf.DUMMYFUNCTION("""COMPUTED_VALUE"""),24)</f>
        <v>24</v>
      </c>
      <c r="I73" s="51">
        <f t="shared" ca="1" si="10"/>
        <v>1</v>
      </c>
      <c r="J73" s="67">
        <f ca="1">IFERROR(__xludf.DUMMYFUNCTION("""COMPUTED_VALUE"""),24)</f>
        <v>24</v>
      </c>
      <c r="K73" s="51">
        <f t="shared" ca="1" si="11"/>
        <v>1</v>
      </c>
      <c r="L73" s="67">
        <f ca="1">IFERROR(__xludf.DUMMYFUNCTION("""COMPUTED_VALUE"""),15)</f>
        <v>15</v>
      </c>
      <c r="M73" s="51">
        <f t="shared" ca="1" si="12"/>
        <v>0.625</v>
      </c>
      <c r="N73" s="66"/>
      <c r="O73" s="66"/>
      <c r="P73" s="51" t="str">
        <f t="shared" si="13"/>
        <v/>
      </c>
      <c r="Q73" s="66"/>
      <c r="R73" s="51" t="str">
        <f t="shared" si="14"/>
        <v/>
      </c>
      <c r="S73" s="67">
        <f ca="1">IFERROR(__xludf.DUMMYFUNCTION("""COMPUTED_VALUE"""),187)</f>
        <v>187</v>
      </c>
      <c r="T73" s="66">
        <f ca="1">IFERROR(__xludf.DUMMYFUNCTION("""COMPUTED_VALUE"""),178)</f>
        <v>178</v>
      </c>
      <c r="U73" s="51">
        <f t="shared" ca="1" si="15"/>
        <v>0.95187165775401072</v>
      </c>
      <c r="V73" s="67">
        <f ca="1">IFERROR(__xludf.DUMMYFUNCTION("""COMPUTED_VALUE"""),178)</f>
        <v>178</v>
      </c>
      <c r="W73" s="51">
        <f t="shared" ca="1" si="16"/>
        <v>0.95187165775401072</v>
      </c>
      <c r="X73" s="67">
        <f ca="1">IFERROR(__xludf.DUMMYFUNCTION("""COMPUTED_VALUE"""),52)</f>
        <v>52</v>
      </c>
      <c r="Y73" s="51">
        <f t="shared" ca="1" si="17"/>
        <v>0.27807486631016043</v>
      </c>
      <c r="Z73" s="2"/>
      <c r="AA73" s="2"/>
      <c r="AB73" s="2"/>
      <c r="AC73" s="2"/>
      <c r="AD73" s="2"/>
      <c r="AE73" s="2"/>
    </row>
    <row r="74" spans="1:31" ht="12.75" x14ac:dyDescent="0.2">
      <c r="A74" s="55" t="str">
        <f ca="1">IFERROR(__xludf.DUMMYFUNCTION("""COMPUTED_VALUE"""),"Chuyên biệt (Nếu có)")</f>
        <v>Chuyên biệt (Nếu có)</v>
      </c>
      <c r="B74" s="66"/>
      <c r="C74" s="66"/>
      <c r="D74" s="66" t="str">
        <f ca="1">IFERROR(__xludf.DUMMYFUNCTION("""COMPUTED_VALUE"""),"Quận 5")</f>
        <v>Quận 5</v>
      </c>
      <c r="E74" s="67">
        <f ca="1">IFERROR(__xludf.DUMMYFUNCTION("""COMPUTED_VALUE"""),26)</f>
        <v>26</v>
      </c>
      <c r="F74" s="67">
        <f ca="1">IFERROR(__xludf.DUMMYFUNCTION("""COMPUTED_VALUE"""),26)</f>
        <v>26</v>
      </c>
      <c r="G74" s="51">
        <f t="shared" ca="1" si="9"/>
        <v>1</v>
      </c>
      <c r="H74" s="67">
        <f ca="1">IFERROR(__xludf.DUMMYFUNCTION("""COMPUTED_VALUE"""),26)</f>
        <v>26</v>
      </c>
      <c r="I74" s="51">
        <f t="shared" ca="1" si="10"/>
        <v>1</v>
      </c>
      <c r="J74" s="67">
        <f ca="1">IFERROR(__xludf.DUMMYFUNCTION("""COMPUTED_VALUE"""),26)</f>
        <v>26</v>
      </c>
      <c r="K74" s="51">
        <f t="shared" ca="1" si="11"/>
        <v>1</v>
      </c>
      <c r="L74" s="67">
        <f ca="1">IFERROR(__xludf.DUMMYFUNCTION("""COMPUTED_VALUE"""),24)</f>
        <v>24</v>
      </c>
      <c r="M74" s="51">
        <f t="shared" ca="1" si="12"/>
        <v>0.92307692307692313</v>
      </c>
      <c r="N74" s="67">
        <f ca="1">IFERROR(__xludf.DUMMYFUNCTION("""COMPUTED_VALUE"""),72)</f>
        <v>72</v>
      </c>
      <c r="O74" s="67">
        <f ca="1">IFERROR(__xludf.DUMMYFUNCTION("""COMPUTED_VALUE"""),53)</f>
        <v>53</v>
      </c>
      <c r="P74" s="51">
        <f t="shared" ca="1" si="13"/>
        <v>0.73611111111111116</v>
      </c>
      <c r="Q74" s="67">
        <f ca="1">IFERROR(__xludf.DUMMYFUNCTION("""COMPUTED_VALUE"""),34)</f>
        <v>34</v>
      </c>
      <c r="R74" s="51">
        <f t="shared" ca="1" si="14"/>
        <v>0.47222222222222221</v>
      </c>
      <c r="S74" s="67">
        <f ca="1">IFERROR(__xludf.DUMMYFUNCTION("""COMPUTED_VALUE"""),39)</f>
        <v>39</v>
      </c>
      <c r="T74" s="66">
        <f ca="1">IFERROR(__xludf.DUMMYFUNCTION("""COMPUTED_VALUE"""),39)</f>
        <v>39</v>
      </c>
      <c r="U74" s="51">
        <f t="shared" ca="1" si="15"/>
        <v>1</v>
      </c>
      <c r="V74" s="67">
        <f ca="1">IFERROR(__xludf.DUMMYFUNCTION("""COMPUTED_VALUE"""),38)</f>
        <v>38</v>
      </c>
      <c r="W74" s="51">
        <f t="shared" ca="1" si="16"/>
        <v>0.97435897435897434</v>
      </c>
      <c r="X74" s="67">
        <f ca="1">IFERROR(__xludf.DUMMYFUNCTION("""COMPUTED_VALUE"""),22)</f>
        <v>22</v>
      </c>
      <c r="Y74" s="51">
        <f t="shared" ca="1" si="17"/>
        <v>0.5641025641025641</v>
      </c>
      <c r="Z74" s="2"/>
      <c r="AA74" s="2"/>
      <c r="AB74" s="2"/>
      <c r="AC74" s="2"/>
      <c r="AD74" s="2"/>
      <c r="AE74" s="2"/>
    </row>
    <row r="75" spans="1:31" ht="12.75" x14ac:dyDescent="0.2">
      <c r="A75" s="53">
        <f ca="1">IFERROR(__xludf.DUMMYFUNCTION("""COMPUTED_VALUE"""),1)</f>
        <v>1</v>
      </c>
      <c r="B75" s="66" t="str">
        <f ca="1">IFERROR(__xludf.DUMMYFUNCTION("""COMPUTED_VALUE"""),"CB Tương Lai")</f>
        <v>CB Tương Lai</v>
      </c>
      <c r="C75" s="66"/>
      <c r="D75" s="66" t="str">
        <f ca="1">IFERROR(__xludf.DUMMYFUNCTION("""COMPUTED_VALUE"""),"Quận 5")</f>
        <v>Quận 5</v>
      </c>
      <c r="E75" s="67">
        <f ca="1">IFERROR(__xludf.DUMMYFUNCTION("""COMPUTED_VALUE"""),26)</f>
        <v>26</v>
      </c>
      <c r="F75" s="67">
        <f ca="1">IFERROR(__xludf.DUMMYFUNCTION("""COMPUTED_VALUE"""),26)</f>
        <v>26</v>
      </c>
      <c r="G75" s="51">
        <f t="shared" ca="1" si="9"/>
        <v>1</v>
      </c>
      <c r="H75" s="67">
        <f ca="1">IFERROR(__xludf.DUMMYFUNCTION("""COMPUTED_VALUE"""),26)</f>
        <v>26</v>
      </c>
      <c r="I75" s="51">
        <f t="shared" ca="1" si="10"/>
        <v>1</v>
      </c>
      <c r="J75" s="67">
        <f ca="1">IFERROR(__xludf.DUMMYFUNCTION("""COMPUTED_VALUE"""),26)</f>
        <v>26</v>
      </c>
      <c r="K75" s="51">
        <f t="shared" ca="1" si="11"/>
        <v>1</v>
      </c>
      <c r="L75" s="67">
        <f ca="1">IFERROR(__xludf.DUMMYFUNCTION("""COMPUTED_VALUE"""),24)</f>
        <v>24</v>
      </c>
      <c r="M75" s="51">
        <f t="shared" ca="1" si="12"/>
        <v>0.92307692307692313</v>
      </c>
      <c r="N75" s="67">
        <f ca="1">IFERROR(__xludf.DUMMYFUNCTION("""COMPUTED_VALUE"""),72)</f>
        <v>72</v>
      </c>
      <c r="O75" s="67">
        <f ca="1">IFERROR(__xludf.DUMMYFUNCTION("""COMPUTED_VALUE"""),53)</f>
        <v>53</v>
      </c>
      <c r="P75" s="51">
        <f t="shared" ca="1" si="13"/>
        <v>0.73611111111111116</v>
      </c>
      <c r="Q75" s="67">
        <f ca="1">IFERROR(__xludf.DUMMYFUNCTION("""COMPUTED_VALUE"""),34)</f>
        <v>34</v>
      </c>
      <c r="R75" s="51">
        <f t="shared" ca="1" si="14"/>
        <v>0.47222222222222221</v>
      </c>
      <c r="S75" s="67">
        <f ca="1">IFERROR(__xludf.DUMMYFUNCTION("""COMPUTED_VALUE"""),39)</f>
        <v>39</v>
      </c>
      <c r="T75" s="66">
        <f ca="1">IFERROR(__xludf.DUMMYFUNCTION("""COMPUTED_VALUE"""),39)</f>
        <v>39</v>
      </c>
      <c r="U75" s="51">
        <f t="shared" ca="1" si="15"/>
        <v>1</v>
      </c>
      <c r="V75" s="67">
        <f ca="1">IFERROR(__xludf.DUMMYFUNCTION("""COMPUTED_VALUE"""),38)</f>
        <v>38</v>
      </c>
      <c r="W75" s="51">
        <f t="shared" ca="1" si="16"/>
        <v>0.97435897435897434</v>
      </c>
      <c r="X75" s="67">
        <f ca="1">IFERROR(__xludf.DUMMYFUNCTION("""COMPUTED_VALUE"""),22)</f>
        <v>22</v>
      </c>
      <c r="Y75" s="51">
        <f t="shared" ca="1" si="17"/>
        <v>0.5641025641025641</v>
      </c>
      <c r="Z75" s="2"/>
      <c r="AA75" s="2"/>
      <c r="AB75" s="2"/>
      <c r="AC75" s="2"/>
      <c r="AD75" s="2"/>
      <c r="AE75" s="2"/>
    </row>
    <row r="76" spans="1:31" ht="12.75" x14ac:dyDescent="0.2">
      <c r="A76" s="55" t="str">
        <f ca="1">IFERROR(__xludf.DUMMYFUNCTION("""COMPUTED_VALUE"""),"GDTX")</f>
        <v>GDTX</v>
      </c>
      <c r="B76" s="66"/>
      <c r="C76" s="66"/>
      <c r="D76" s="66" t="str">
        <f ca="1">IFERROR(__xludf.DUMMYFUNCTION("""COMPUTED_VALUE"""),"Quận 5")</f>
        <v>Quận 5</v>
      </c>
      <c r="E76" s="67">
        <f ca="1">IFERROR(__xludf.DUMMYFUNCTION("""COMPUTED_VALUE"""),79)</f>
        <v>79</v>
      </c>
      <c r="F76" s="67">
        <f ca="1">IFERROR(__xludf.DUMMYFUNCTION("""COMPUTED_VALUE"""),78)</f>
        <v>78</v>
      </c>
      <c r="G76" s="51">
        <f t="shared" ca="1" si="9"/>
        <v>0.98734177215189878</v>
      </c>
      <c r="H76" s="67">
        <f ca="1">IFERROR(__xludf.DUMMYFUNCTION("""COMPUTED_VALUE"""),78)</f>
        <v>78</v>
      </c>
      <c r="I76" s="51">
        <f t="shared" ca="1" si="10"/>
        <v>0.98734177215189878</v>
      </c>
      <c r="J76" s="67">
        <f ca="1">IFERROR(__xludf.DUMMYFUNCTION("""COMPUTED_VALUE"""),60)</f>
        <v>60</v>
      </c>
      <c r="K76" s="51">
        <f t="shared" ca="1" si="11"/>
        <v>0.759493670886076</v>
      </c>
      <c r="L76" s="67">
        <f ca="1">IFERROR(__xludf.DUMMYFUNCTION("""COMPUTED_VALUE"""),37)</f>
        <v>37</v>
      </c>
      <c r="M76" s="51">
        <f t="shared" ca="1" si="12"/>
        <v>0.46835443037974683</v>
      </c>
      <c r="N76" s="67">
        <f ca="1">IFERROR(__xludf.DUMMYFUNCTION("""COMPUTED_VALUE"""),0)</f>
        <v>0</v>
      </c>
      <c r="O76" s="67">
        <f ca="1">IFERROR(__xludf.DUMMYFUNCTION("""COMPUTED_VALUE"""),0)</f>
        <v>0</v>
      </c>
      <c r="P76" s="51" t="str">
        <f t="shared" ca="1" si="13"/>
        <v/>
      </c>
      <c r="Q76" s="67">
        <f ca="1">IFERROR(__xludf.DUMMYFUNCTION("""COMPUTED_VALUE"""),0)</f>
        <v>0</v>
      </c>
      <c r="R76" s="51" t="str">
        <f t="shared" ca="1" si="14"/>
        <v/>
      </c>
      <c r="S76" s="67">
        <f ca="1">IFERROR(__xludf.DUMMYFUNCTION("""COMPUTED_VALUE"""),374)</f>
        <v>374</v>
      </c>
      <c r="T76" s="66">
        <f ca="1">IFERROR(__xludf.DUMMYFUNCTION("""COMPUTED_VALUE"""),908)</f>
        <v>908</v>
      </c>
      <c r="U76" s="51">
        <f t="shared" ca="1" si="15"/>
        <v>2.427807486631016</v>
      </c>
      <c r="V76" s="67">
        <f ca="1">IFERROR(__xludf.DUMMYFUNCTION("""COMPUTED_VALUE"""),908)</f>
        <v>908</v>
      </c>
      <c r="W76" s="51">
        <f t="shared" ca="1" si="16"/>
        <v>2.427807486631016</v>
      </c>
      <c r="X76" s="67">
        <f ca="1">IFERROR(__xludf.DUMMYFUNCTION("""COMPUTED_VALUE"""),94)</f>
        <v>94</v>
      </c>
      <c r="Y76" s="51">
        <f t="shared" ca="1" si="17"/>
        <v>0.25133689839572193</v>
      </c>
      <c r="Z76" s="2"/>
      <c r="AA76" s="2"/>
      <c r="AB76" s="2"/>
      <c r="AC76" s="2"/>
      <c r="AD76" s="2"/>
      <c r="AE76" s="2"/>
    </row>
    <row r="77" spans="1:31" ht="12.75" x14ac:dyDescent="0.2">
      <c r="A77" s="53">
        <f ca="1">IFERROR(__xludf.DUMMYFUNCTION("""COMPUTED_VALUE"""),1)</f>
        <v>1</v>
      </c>
      <c r="B77" s="66" t="str">
        <f ca="1">IFERROR(__xludf.DUMMYFUNCTION("""COMPUTED_VALUE"""),"TT GDNN - GDTX")</f>
        <v>TT GDNN - GDTX</v>
      </c>
      <c r="C77" s="66" t="str">
        <f ca="1">IFERROR(__xludf.DUMMYFUNCTION("""COMPUTED_VALUE"""),"GDNN - GDTX")</f>
        <v>GDNN - GDTX</v>
      </c>
      <c r="D77" s="66" t="str">
        <f ca="1">IFERROR(__xludf.DUMMYFUNCTION("""COMPUTED_VALUE"""),"Quận 5")</f>
        <v>Quận 5</v>
      </c>
      <c r="E77" s="67">
        <f ca="1">IFERROR(__xludf.DUMMYFUNCTION("""COMPUTED_VALUE"""),24)</f>
        <v>24</v>
      </c>
      <c r="F77" s="67">
        <f ca="1">IFERROR(__xludf.DUMMYFUNCTION("""COMPUTED_VALUE"""),24)</f>
        <v>24</v>
      </c>
      <c r="G77" s="51">
        <f t="shared" ca="1" si="9"/>
        <v>1</v>
      </c>
      <c r="H77" s="67">
        <f ca="1">IFERROR(__xludf.DUMMYFUNCTION("""COMPUTED_VALUE"""),24)</f>
        <v>24</v>
      </c>
      <c r="I77" s="51">
        <f t="shared" ca="1" si="10"/>
        <v>1</v>
      </c>
      <c r="J77" s="67">
        <f ca="1">IFERROR(__xludf.DUMMYFUNCTION("""COMPUTED_VALUE"""),20)</f>
        <v>20</v>
      </c>
      <c r="K77" s="51">
        <f t="shared" ca="1" si="11"/>
        <v>0.83333333333333337</v>
      </c>
      <c r="L77" s="67">
        <f ca="1">IFERROR(__xludf.DUMMYFUNCTION("""COMPUTED_VALUE"""),8)</f>
        <v>8</v>
      </c>
      <c r="M77" s="51">
        <f t="shared" ca="1" si="12"/>
        <v>0.33333333333333331</v>
      </c>
      <c r="N77" s="66"/>
      <c r="O77" s="66"/>
      <c r="P77" s="51" t="str">
        <f t="shared" si="13"/>
        <v/>
      </c>
      <c r="Q77" s="66"/>
      <c r="R77" s="51" t="str">
        <f t="shared" si="14"/>
        <v/>
      </c>
      <c r="S77" s="67">
        <f ca="1">IFERROR(__xludf.DUMMYFUNCTION("""COMPUTED_VALUE"""),187)</f>
        <v>187</v>
      </c>
      <c r="T77" s="66">
        <f ca="1">IFERROR(__xludf.DUMMYFUNCTION("""COMPUTED_VALUE"""),12)</f>
        <v>12</v>
      </c>
      <c r="U77" s="51">
        <f t="shared" ca="1" si="15"/>
        <v>6.4171122994652413E-2</v>
      </c>
      <c r="V77" s="67">
        <f ca="1">IFERROR(__xludf.DUMMYFUNCTION("""COMPUTED_VALUE"""),12)</f>
        <v>12</v>
      </c>
      <c r="W77" s="51">
        <f t="shared" ca="1" si="16"/>
        <v>6.4171122994652413E-2</v>
      </c>
      <c r="X77" s="67">
        <f ca="1">IFERROR(__xludf.DUMMYFUNCTION("""COMPUTED_VALUE"""),4)</f>
        <v>4</v>
      </c>
      <c r="Y77" s="51">
        <f t="shared" ca="1" si="17"/>
        <v>2.1390374331550801E-2</v>
      </c>
      <c r="Z77" s="2"/>
      <c r="AA77" s="2"/>
      <c r="AB77" s="2"/>
      <c r="AC77" s="2"/>
      <c r="AD77" s="2"/>
      <c r="AE77" s="2"/>
    </row>
    <row r="78" spans="1:31" ht="12.75" x14ac:dyDescent="0.2">
      <c r="A78" s="53">
        <f ca="1">IFERROR(__xludf.DUMMYFUNCTION("""COMPUTED_VALUE"""),2)</f>
        <v>2</v>
      </c>
      <c r="B78" s="66" t="str">
        <f ca="1">IFERROR(__xludf.DUMMYFUNCTION("""COMPUTED_VALUE"""),"TT GDTX Chu Văn An")</f>
        <v>TT GDTX Chu Văn An</v>
      </c>
      <c r="C78" s="66" t="str">
        <f ca="1">IFERROR(__xludf.DUMMYFUNCTION("""COMPUTED_VALUE"""),"GDTX Chu Văn An")</f>
        <v>GDTX Chu Văn An</v>
      </c>
      <c r="D78" s="66" t="str">
        <f ca="1">IFERROR(__xludf.DUMMYFUNCTION("""COMPUTED_VALUE"""),"Quận 5")</f>
        <v>Quận 5</v>
      </c>
      <c r="E78" s="67">
        <f ca="1">IFERROR(__xludf.DUMMYFUNCTION("""COMPUTED_VALUE"""),55)</f>
        <v>55</v>
      </c>
      <c r="F78" s="67">
        <f ca="1">IFERROR(__xludf.DUMMYFUNCTION("""COMPUTED_VALUE"""),54)</f>
        <v>54</v>
      </c>
      <c r="G78" s="51">
        <f t="shared" ca="1" si="9"/>
        <v>0.98181818181818181</v>
      </c>
      <c r="H78" s="67">
        <f ca="1">IFERROR(__xludf.DUMMYFUNCTION("""COMPUTED_VALUE"""),54)</f>
        <v>54</v>
      </c>
      <c r="I78" s="51">
        <f t="shared" ca="1" si="10"/>
        <v>0.98181818181818181</v>
      </c>
      <c r="J78" s="67">
        <f ca="1">IFERROR(__xludf.DUMMYFUNCTION("""COMPUTED_VALUE"""),40)</f>
        <v>40</v>
      </c>
      <c r="K78" s="51">
        <f t="shared" ca="1" si="11"/>
        <v>0.72727272727272729</v>
      </c>
      <c r="L78" s="67">
        <f ca="1">IFERROR(__xludf.DUMMYFUNCTION("""COMPUTED_VALUE"""),29)</f>
        <v>29</v>
      </c>
      <c r="M78" s="51">
        <f t="shared" ca="1" si="12"/>
        <v>0.52727272727272723</v>
      </c>
      <c r="N78" s="66"/>
      <c r="O78" s="66"/>
      <c r="P78" s="51" t="str">
        <f t="shared" si="13"/>
        <v/>
      </c>
      <c r="Q78" s="66"/>
      <c r="R78" s="51" t="str">
        <f t="shared" si="14"/>
        <v/>
      </c>
      <c r="S78" s="67">
        <f ca="1">IFERROR(__xludf.DUMMYFUNCTION("""COMPUTED_VALUE"""),187)</f>
        <v>187</v>
      </c>
      <c r="T78" s="66">
        <f ca="1">IFERROR(__xludf.DUMMYFUNCTION("""COMPUTED_VALUE"""),896)</f>
        <v>896</v>
      </c>
      <c r="U78" s="51">
        <f t="shared" ca="1" si="15"/>
        <v>4.7914438502673793</v>
      </c>
      <c r="V78" s="67">
        <f ca="1">IFERROR(__xludf.DUMMYFUNCTION("""COMPUTED_VALUE"""),896)</f>
        <v>896</v>
      </c>
      <c r="W78" s="51">
        <f t="shared" ca="1" si="16"/>
        <v>4.7914438502673793</v>
      </c>
      <c r="X78" s="67">
        <f ca="1">IFERROR(__xludf.DUMMYFUNCTION("""COMPUTED_VALUE"""),90)</f>
        <v>90</v>
      </c>
      <c r="Y78" s="51">
        <f t="shared" ca="1" si="17"/>
        <v>0.48128342245989303</v>
      </c>
      <c r="Z78" s="2"/>
      <c r="AA78" s="2"/>
      <c r="AB78" s="2"/>
      <c r="AC78" s="2"/>
      <c r="AD78" s="2"/>
      <c r="AE78" s="2"/>
    </row>
    <row r="79" spans="1:31" ht="12.75" x14ac:dyDescent="0.2">
      <c r="A79" s="53">
        <f ca="1">IFERROR(__xludf.DUMMYFUNCTION("""COMPUTED_VALUE"""),3)</f>
        <v>3</v>
      </c>
      <c r="B79" s="66" t="str">
        <f ca="1">IFERROR(__xludf.DUMMYFUNCTION("""COMPUTED_VALUE"""),"TT Tiếng Hoa")</f>
        <v>TT Tiếng Hoa</v>
      </c>
      <c r="C79" s="66" t="str">
        <f ca="1">IFERROR(__xludf.DUMMYFUNCTION("""COMPUTED_VALUE"""),"TT Tiếng Hoa")</f>
        <v>TT Tiếng Hoa</v>
      </c>
      <c r="D79" s="66" t="str">
        <f ca="1">IFERROR(__xludf.DUMMYFUNCTION("""COMPUTED_VALUE"""),"Quận 5")</f>
        <v>Quận 5</v>
      </c>
      <c r="E79" s="67">
        <f ca="1">IFERROR(__xludf.DUMMYFUNCTION("""COMPUTED_VALUE"""),22)</f>
        <v>22</v>
      </c>
      <c r="F79" s="67">
        <f ca="1">IFERROR(__xludf.DUMMYFUNCTION("""COMPUTED_VALUE"""),22)</f>
        <v>22</v>
      </c>
      <c r="G79" s="67"/>
      <c r="H79" s="67">
        <f ca="1">IFERROR(__xludf.DUMMYFUNCTION("""COMPUTED_VALUE"""),21)</f>
        <v>21</v>
      </c>
      <c r="I79" s="67"/>
      <c r="J79" s="67">
        <f ca="1">IFERROR(__xludf.DUMMYFUNCTION("""COMPUTED_VALUE"""),20)</f>
        <v>20</v>
      </c>
      <c r="K79" s="67"/>
      <c r="L79" s="67">
        <f ca="1">IFERROR(__xludf.DUMMYFUNCTION("""COMPUTED_VALUE"""),10)</f>
        <v>10</v>
      </c>
      <c r="M79" s="67"/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66"/>
      <c r="Z79" s="2"/>
      <c r="AA79" s="2"/>
      <c r="AB79" s="2"/>
      <c r="AC79" s="2"/>
      <c r="AD79" s="2"/>
      <c r="AE79" s="2"/>
    </row>
    <row r="80" spans="1:31" ht="12.75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</row>
    <row r="81" spans="1:31" ht="12.75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</row>
    <row r="82" spans="1:31" ht="12.75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</row>
    <row r="83" spans="1:31" ht="12.75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</row>
    <row r="84" spans="1:31" ht="12.75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</row>
    <row r="85" spans="1:31" ht="12.75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</row>
    <row r="86" spans="1:31" ht="12.75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</row>
    <row r="87" spans="1:31" ht="12.75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</row>
    <row r="88" spans="1:31" ht="12.75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</row>
    <row r="89" spans="1:31" ht="12.75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</row>
    <row r="90" spans="1:31" ht="12.75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ht="12.75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92" spans="1:31" ht="12.75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</row>
    <row r="93" spans="1:31" ht="12.75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</row>
    <row r="94" spans="1:31" ht="12.75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</row>
    <row r="95" spans="1:31" ht="12.75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</row>
    <row r="96" spans="1:31" ht="12.75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</row>
    <row r="97" spans="1:31" ht="12.75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</row>
    <row r="98" spans="1:31" ht="12.75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</row>
    <row r="99" spans="1:31" ht="12.75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</row>
    <row r="100" spans="1:31" ht="12.75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</row>
    <row r="101" spans="1:31" ht="12.75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</row>
    <row r="102" spans="1:31" ht="12.75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1:31" ht="12.75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1:31" ht="12.75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1:31" ht="12.75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1:31" ht="12.75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1:31" ht="12.75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</row>
    <row r="108" spans="1:31" ht="12.75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1:31" ht="12.75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 spans="1:31" ht="12.75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1:31" ht="12.75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1:31" ht="12.75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:31" ht="12.75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 ht="12.75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 ht="12.75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 ht="12.75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 ht="12.75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 ht="12.75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 ht="12.75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 ht="12.75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 ht="12.75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 ht="12.75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 ht="12.75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 ht="12.75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 ht="12.75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ht="12.75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ht="12.75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ht="12.75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ht="12.75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ht="12.75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ht="12.75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ht="12.75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ht="12.75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ht="12.75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ht="12.75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ht="12.75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ht="12.75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ht="12.75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ht="12.75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ht="12.75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2.75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2.75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2.75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2.75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2.75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2.75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2.75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2.75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2.75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2.75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2.75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2.75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2.75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2.75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2.75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2.75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2.75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2.75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2.75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2.75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2.75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2.75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2.75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2.75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2.75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2.75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2.75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2.75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2.75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2.75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2.75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2.75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2.75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2.75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2.75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2.75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2.75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2.75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2.75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2.75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2.75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2.75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2.75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2.75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2.75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2.75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2.75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2.75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2.75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2.75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2.75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2.75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2.75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2.75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2.75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2.75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2.75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2.75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2.75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2.75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2.75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2.75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2.75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2.75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2.75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2.75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2.75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2.75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2.75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2.75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2.75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2.75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2.75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2.75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2.75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2.75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2.75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2.75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2.75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2.75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2.75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2.75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2.75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2.75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2.75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2.75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2.75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2.75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2.75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2.75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2.75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2.75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2.75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2.75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2.75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2.75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2.75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2.75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2.75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2.75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2.75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2.75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2.75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2.75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2.75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2.75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2.75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2.75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2.75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2.75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2.75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2.75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2.75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2.75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2.75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2.75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2.75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2.75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2.75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2.75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2.75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2.75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2.75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2.75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2.75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2.75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2.75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2.75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2.75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2.75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2.75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2.75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2.75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2.75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2.75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2.75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2.75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2.75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2.75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2.75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2.75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2.75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2.75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2.75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2.75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2.75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2.75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2.75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2.75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2.75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2.75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2.75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2.75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2.75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2.75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2.75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2.75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2.75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2.75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2.75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2.75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2.75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2.75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2.75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2.75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2.75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2.75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2.75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2.75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2.75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2.75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2.75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2.75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2.75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2.75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2.75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2.75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2.75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2.75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2.75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2.75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2.75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2.75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2.75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2.75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2.75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2.75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2.75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2.75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2.75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2.75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2.75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2.75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2.75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2.75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2.75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2.75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2.75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2.75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2.75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2.75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2.75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2.75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2.75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2.75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2.75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2.75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2.75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2.75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2.75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2.75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2.75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2.75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2.75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2.75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2.75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2.75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2.75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2.75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2.75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2.75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2.75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2.75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2.75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2.75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2.75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2.75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2.75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2.75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2.75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2.75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2.75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2.75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2.75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2.75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2.75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2.75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2.75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2.75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2.75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2.75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2.75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2.75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2.75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2.75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2.75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2.75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2.75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2.75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2.75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2.75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2.75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2.75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2.75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2.75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2.75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2.75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2.75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2.75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2.75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2.75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2.75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2.75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2.75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2.75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2.75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2.75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2.75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2.75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2.75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2.75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2.75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2.75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2.75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2.75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2.75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2.75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2.75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2.75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2.75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2.75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2.75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2.75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2.75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2.75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2.75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2.75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2.75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2.75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2.75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2.75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2.75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2.75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2.75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2.75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2.75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2.75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2.75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2.75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2.75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2.75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2.75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2.75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2.75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2.75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2.75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2.75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2.75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2.75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2.75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2.75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2.75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2.75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2.75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2.75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2.75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2.75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2.75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2.75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2.75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2.75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2.75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2.75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2.75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2.75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2.75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2.75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2.75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2.75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2.75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2.75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2.75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2.75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2.75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2.75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2.75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2.75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2.75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2.75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2.75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2.75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2.75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2.75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2.75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2.75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2.75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2.75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2.75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2.75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2.75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2.75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2.75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2.75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2.75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2.75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2.75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2.75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2.75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2.75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2.75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2.75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2.75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2.75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2.75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2.75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2.75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2.75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2.75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2.75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2.75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2.75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2.75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2.75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2.75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2.75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2.75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2.75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2.75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2.75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2.75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2.75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2.75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2.75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2.75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2.75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2.75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2.75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2.75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2.75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2.75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2.75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2.75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2.75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2.75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2.75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2.75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2.75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2.75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2.75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2.75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2.75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2.75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2.75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2.75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2.75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2.75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2.75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2.75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2.75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2.75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2.75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2.75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2.75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2.75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2.75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2.75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2.75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2.75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2.75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2.75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2.75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2.75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2.75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2.75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2.75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2.75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2.75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2.75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2.75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2.75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2.75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2.75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2.75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2.75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2.75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2.75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2.75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2.75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2.75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2.75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2.75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2.75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2.75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2.75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2.75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2.75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2.75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2.75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2.75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2.75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2.75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2.75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2.75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2.75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2.75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2.75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2.75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2.75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2.75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2.75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2.75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2.75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2.75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2.75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2.75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2.75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2.75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2.75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2.75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2.75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2.75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2.75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2.75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2.75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2.75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2.75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2.75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2.75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2.75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2.75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2.75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2.75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2.75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2.75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2.75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2.75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2.75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2.75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2.75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2.75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2.75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2.75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2.75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2.75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2.75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2.75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2.75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2.75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2.75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2.75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2.75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2.75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2.75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2.75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2.75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2.75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2.75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2.75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2.75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2.75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2.75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2.75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2.75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2.75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2.75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2.75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2.75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2.75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2.75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2.75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2.75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2.75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2.75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2.75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2.75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2.75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2.75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2.75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2.75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2.75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2.75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2.75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2.75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2.75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2.75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2.75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2.75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2.75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2.75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2.75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2.75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2.75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2.75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2.75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2.75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2.75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2.75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2.75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2.75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2.75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2.75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2.75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2.75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2.75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2.75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2.75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2.75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2.75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2.75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2.75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2.75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2.75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2.75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2.75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2.75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2.75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2.75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2.75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2.75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2.75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2.75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2.75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2.75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2.75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2.75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2.75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2.75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2.75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2.75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2.75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2.75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2.75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2.75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2.75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2.75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2.75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2.75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2.75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2.75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2.75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2.75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2.75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2.75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2.75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2.75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2.75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2.75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2.75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2.75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2.75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2.75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2.75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2.75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2.75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2.75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2.75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2.75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2.75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2.75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2.75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2.75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2.75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2.75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2.75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2.75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2.75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2.75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2.75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2.75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2.75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2.75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2.75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2.75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2.75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2.75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2.75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2.75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2.75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2.75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2.75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2.75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2.75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2.75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2.75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2.75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2.75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2.75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2.75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2.75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2.75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2.75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2.75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2.75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2.75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2.75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2.75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2.75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2.75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2.75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2.75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2.75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2.75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2.75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2.75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2.75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2.75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2.75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2.75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2.75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2.75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2.75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2.75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2.75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2.75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2.75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2.75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2.75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2.75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2.75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2.75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2.75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2.75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2.75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2.75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2.75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2.75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2.75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2.75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2.75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2.75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2.75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2.75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2.75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2.75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2.75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2.75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2.75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2.75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2.75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2.75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2.75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2.75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2.75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2.75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2.75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2.75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2.75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2.75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2.75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2.75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2.75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2.75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2.75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2.75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2.75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2.75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2.75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2.75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2.75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2.75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2.75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2.75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2.75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2.75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2.75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2.75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2.75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2.75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2.75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2.75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2.75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2.75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2.75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2.75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2.75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2.75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2.75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2.75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2.75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2.75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2.75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2.75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2.75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2.75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2.75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2.75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2.75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2.75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2.75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2.75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2.75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2.75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2.75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2.75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2.75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2.75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2.75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2.75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2.75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2.75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2.75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2.75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2.75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2.75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2.75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2.75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2.75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2.75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2.75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2.75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2.75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2.75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2.75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2.75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2.75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2.75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2.75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2.75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2.75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2.75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2.75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2.75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2.75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2.75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2.75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2.75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2.75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2.75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2.75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2.75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2.75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2.75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2.75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2.75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2.75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2.75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2.75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2.75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2.75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2.75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2.75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2.75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2.75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2.75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2.75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2.75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2.75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2.75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2.75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2.75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2.75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2.75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2.75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2.75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2.75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2.75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2.75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2.75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2.75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2.75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2.75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2.75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2.75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2.75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2.75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2.75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2.75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2.75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2.75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2.75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2.75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2.75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2.75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2.75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2.75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2.75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2.75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2.75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2.75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2.75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2.75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2.75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2.75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2.75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2.75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2.75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2.75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2.75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2.75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2.75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2.75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2.75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2.75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2.75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2.75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2.75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2.75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2.75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2.75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2.75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2.75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2.75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2.75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2.75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2.75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2.75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2.75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 ht="12.75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 ht="12.75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  <row r="1000" spans="1:31" ht="12.75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</row>
  </sheetData>
  <mergeCells count="16">
    <mergeCell ref="N3:R3"/>
    <mergeCell ref="S3:Y3"/>
    <mergeCell ref="F4:G4"/>
    <mergeCell ref="H4:I4"/>
    <mergeCell ref="J4:K4"/>
    <mergeCell ref="L4:M4"/>
    <mergeCell ref="O4:P4"/>
    <mergeCell ref="Q4:R4"/>
    <mergeCell ref="T4:U4"/>
    <mergeCell ref="V4:W4"/>
    <mergeCell ref="X4:Y4"/>
    <mergeCell ref="A3:A4"/>
    <mergeCell ref="B3:B4"/>
    <mergeCell ref="C3:C4"/>
    <mergeCell ref="D3:D4"/>
    <mergeCell ref="E3:M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E1000"/>
  <sheetViews>
    <sheetView zoomScale="85" zoomScaleNormal="85" workbookViewId="0">
      <selection activeCell="B21" sqref="B21"/>
    </sheetView>
  </sheetViews>
  <sheetFormatPr defaultColWidth="12.5703125" defaultRowHeight="15.75" customHeight="1" x14ac:dyDescent="0.2"/>
  <cols>
    <col min="1" max="1" width="9.140625" style="3" customWidth="1"/>
    <col min="2" max="2" width="45" style="3" customWidth="1"/>
    <col min="3" max="4" width="12.5703125" style="3"/>
    <col min="5" max="5" width="10.42578125" style="3" customWidth="1"/>
    <col min="6" max="13" width="8.85546875" style="3" customWidth="1"/>
    <col min="14" max="14" width="10.42578125" style="3" customWidth="1"/>
    <col min="15" max="18" width="8.85546875" style="3" customWidth="1"/>
    <col min="19" max="19" width="10.42578125" style="3" customWidth="1"/>
    <col min="20" max="25" width="8.85546875" style="3" customWidth="1"/>
    <col min="26" max="16384" width="12.5703125" style="3"/>
  </cols>
  <sheetData>
    <row r="1" spans="1:31" ht="26.25" customHeight="1" x14ac:dyDescent="0.2">
      <c r="A1" s="49" t="s">
        <v>4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ht="35.25" customHeight="1" x14ac:dyDescent="0.2">
      <c r="A2" s="4" t="s">
        <v>26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</row>
    <row r="3" spans="1:31" ht="30.75" customHeight="1" x14ac:dyDescent="0.2">
      <c r="A3" s="89" t="str">
        <f ca="1">IFERROR(__xludf.DUMMYFUNCTION("IMPORTRANGE(""https://docs.google.com/spreadsheets/d/1giFCfPZvq6d2WPbrXwJ7ksTcnSjmuNbU5G4IRrh5hOk/edit#gid=0"",""Q6!A14:T300"")"),"STT")</f>
        <v>STT</v>
      </c>
      <c r="B3" s="101" t="str">
        <f ca="1">IFERROR(__xludf.DUMMYFUNCTION("""COMPUTED_VALUE"""),"TRƯỜNG")</f>
        <v>TRƯỜNG</v>
      </c>
      <c r="C3" s="101" t="str">
        <f ca="1">IFERROR(__xludf.DUMMYFUNCTION("""COMPUTED_VALUE"""),"BẬC HỌC (MN, TH, THCS, THPT, CB, GDTX)")</f>
        <v>BẬC HỌC (MN, TH, THCS, THPT, CB, GDTX)</v>
      </c>
      <c r="D3" s="101" t="str">
        <f ca="1">IFERROR(__xludf.DUMMYFUNCTION("""COMPUTED_VALUE"""),"THÀNH PHỐ, QUẬN, HUYỆN")</f>
        <v>THÀNH PHỐ, QUẬN, HUYỆN</v>
      </c>
      <c r="E3" s="91" t="str">
        <f ca="1">IFERROR(__xludf.DUMMYFUNCTION("""COMPUTED_VALUE"""),"Cán bộ - Giáo viên - Nhân viên")</f>
        <v>Cán bộ - Giáo viên - Nhân viên</v>
      </c>
      <c r="F3" s="92"/>
      <c r="G3" s="92"/>
      <c r="H3" s="92"/>
      <c r="I3" s="92"/>
      <c r="J3" s="92"/>
      <c r="K3" s="92"/>
      <c r="L3" s="92"/>
      <c r="M3" s="92"/>
      <c r="N3" s="93" t="str">
        <f ca="1">IFERROR(__xludf.DUMMYFUNCTION("""COMPUTED_VALUE"""),"Học sinh từ 5 đến dưới 12 tuổi")</f>
        <v>Học sinh từ 5 đến dưới 12 tuổi</v>
      </c>
      <c r="O3" s="92"/>
      <c r="P3" s="92"/>
      <c r="Q3" s="92"/>
      <c r="R3" s="92"/>
      <c r="S3" s="94" t="str">
        <f ca="1">IFERROR(__xludf.DUMMYFUNCTION("""COMPUTED_VALUE"""),"Học sinh từ 12 đến dưới 18 tuổi")</f>
        <v>Học sinh từ 12 đến dưới 18 tuổi</v>
      </c>
      <c r="T3" s="95"/>
      <c r="U3" s="95"/>
      <c r="V3" s="95"/>
      <c r="W3" s="95"/>
      <c r="X3" s="95"/>
      <c r="Y3" s="95"/>
      <c r="Z3" s="2"/>
      <c r="AA3" s="2"/>
      <c r="AB3" s="2"/>
      <c r="AC3" s="2"/>
      <c r="AD3" s="2"/>
      <c r="AE3" s="2"/>
    </row>
    <row r="4" spans="1:31" ht="27" customHeight="1" x14ac:dyDescent="0.2">
      <c r="A4" s="90"/>
      <c r="B4" s="88"/>
      <c r="C4" s="88"/>
      <c r="D4" s="88"/>
      <c r="E4" s="58" t="str">
        <f ca="1">IFERROR(__xludf.DUMMYFUNCTION("""COMPUTED_VALUE"""),"Tổng CB-GV-NV")</f>
        <v>Tổng CB-GV-NV</v>
      </c>
      <c r="F4" s="96" t="s">
        <v>22</v>
      </c>
      <c r="G4" s="97"/>
      <c r="H4" s="96" t="s">
        <v>23</v>
      </c>
      <c r="I4" s="97"/>
      <c r="J4" s="96" t="s">
        <v>24</v>
      </c>
      <c r="K4" s="97"/>
      <c r="L4" s="96" t="s">
        <v>25</v>
      </c>
      <c r="M4" s="97"/>
      <c r="N4" s="58" t="str">
        <f ca="1">IFERROR(__xludf.DUMMYFUNCTION("""COMPUTED_VALUE"""),"Tổng học sinh")</f>
        <v>Tổng học sinh</v>
      </c>
      <c r="O4" s="96" t="s">
        <v>22</v>
      </c>
      <c r="P4" s="97"/>
      <c r="Q4" s="96" t="s">
        <v>23</v>
      </c>
      <c r="R4" s="97"/>
      <c r="S4" s="58" t="str">
        <f ca="1">IFERROR(__xludf.DUMMYFUNCTION("""COMPUTED_VALUE"""),"Tổng học sinh")</f>
        <v>Tổng học sinh</v>
      </c>
      <c r="T4" s="98" t="s">
        <v>22</v>
      </c>
      <c r="U4" s="99"/>
      <c r="V4" s="98" t="s">
        <v>23</v>
      </c>
      <c r="W4" s="99"/>
      <c r="X4" s="98" t="s">
        <v>24</v>
      </c>
      <c r="Y4" s="99"/>
      <c r="Z4" s="2"/>
      <c r="AA4" s="2"/>
      <c r="AB4" s="2"/>
      <c r="AC4" s="2"/>
      <c r="AD4" s="2"/>
      <c r="AE4" s="2"/>
    </row>
    <row r="5" spans="1:31" ht="12.75" x14ac:dyDescent="0.2">
      <c r="A5" s="59" t="str">
        <f ca="1">IFERROR(__xludf.DUMMYFUNCTION("""COMPUTED_VALUE"""),"TỔNG TOÀN QUẬN/HUYỆN/TP")</f>
        <v>TỔNG TOÀN QUẬN/HUYỆN/TP</v>
      </c>
      <c r="B5" s="60"/>
      <c r="C5" s="61"/>
      <c r="D5" s="61" t="str">
        <f ca="1">IFERROR(__xludf.DUMMYFUNCTION("""COMPUTED_VALUE"""),"QUẬN 6")</f>
        <v>QUẬN 6</v>
      </c>
      <c r="E5" s="15">
        <f ca="1">IFERROR(__xludf.DUMMYFUNCTION("""COMPUTED_VALUE"""),4211)</f>
        <v>4211</v>
      </c>
      <c r="F5" s="15">
        <f ca="1">IFERROR(__xludf.DUMMYFUNCTION("""COMPUTED_VALUE"""),4210)</f>
        <v>4210</v>
      </c>
      <c r="G5" s="51">
        <f ca="1">IFERROR(F5/E5,"")</f>
        <v>0.9997625267157445</v>
      </c>
      <c r="H5" s="15">
        <f ca="1">IFERROR(__xludf.DUMMYFUNCTION("""COMPUTED_VALUE"""),4208)</f>
        <v>4208</v>
      </c>
      <c r="I5" s="51">
        <f ca="1">IFERROR(H5/E5,"")</f>
        <v>0.9992875801472334</v>
      </c>
      <c r="J5" s="15">
        <f ca="1">IFERROR(__xludf.DUMMYFUNCTION("""COMPUTED_VALUE"""),4151)</f>
        <v>4151</v>
      </c>
      <c r="K5" s="51">
        <f ca="1">IFERROR(J5/E5,"")</f>
        <v>0.98575160294466868</v>
      </c>
      <c r="L5" s="15">
        <f ca="1">IFERROR(__xludf.DUMMYFUNCTION("""COMPUTED_VALUE"""),3465)</f>
        <v>3465</v>
      </c>
      <c r="M5" s="51">
        <f ca="1">IFERROR(L5/E5,"")</f>
        <v>0.82284492994538116</v>
      </c>
      <c r="N5" s="15">
        <f ca="1">IFERROR(__xludf.DUMMYFUNCTION("""COMPUTED_VALUE"""),25735)</f>
        <v>25735</v>
      </c>
      <c r="O5" s="15">
        <f ca="1">IFERROR(__xludf.DUMMYFUNCTION("""COMPUTED_VALUE"""),15308)</f>
        <v>15308</v>
      </c>
      <c r="P5" s="51">
        <f ca="1">IFERROR(O5/N5,"")</f>
        <v>0.59483194093646785</v>
      </c>
      <c r="Q5" s="15">
        <f ca="1">IFERROR(__xludf.DUMMYFUNCTION("""COMPUTED_VALUE"""),9763)</f>
        <v>9763</v>
      </c>
      <c r="R5" s="51">
        <f ca="1">IFERROR(Q5/N5,"")</f>
        <v>0.37936662133281523</v>
      </c>
      <c r="S5" s="15">
        <f ca="1">IFERROR(__xludf.DUMMYFUNCTION("""COMPUTED_VALUE"""),21247)</f>
        <v>21247</v>
      </c>
      <c r="T5" s="15">
        <f ca="1">IFERROR(__xludf.DUMMYFUNCTION("""COMPUTED_VALUE"""),20571)</f>
        <v>20571</v>
      </c>
      <c r="U5" s="51">
        <f ca="1">IFERROR(T5/S5,"")</f>
        <v>0.96818374358732995</v>
      </c>
      <c r="V5" s="15">
        <f ca="1">IFERROR(__xludf.DUMMYFUNCTION("""COMPUTED_VALUE"""),20092)</f>
        <v>20092</v>
      </c>
      <c r="W5" s="51">
        <f ca="1">IFERROR(V5/S5,"")</f>
        <v>0.94563938438367767</v>
      </c>
      <c r="X5" s="15">
        <f ca="1">IFERROR(__xludf.DUMMYFUNCTION("""COMPUTED_VALUE"""),11291)</f>
        <v>11291</v>
      </c>
      <c r="Y5" s="51">
        <f ca="1">IFERROR(X5/S5,"")</f>
        <v>0.53141619993410838</v>
      </c>
      <c r="Z5" s="2"/>
      <c r="AA5" s="2"/>
      <c r="AB5" s="2"/>
      <c r="AC5" s="2"/>
      <c r="AD5" s="2"/>
      <c r="AE5" s="2"/>
    </row>
    <row r="6" spans="1:31" ht="12.75" x14ac:dyDescent="0.2">
      <c r="A6" s="66" t="str">
        <f ca="1">IFERROR(__xludf.DUMMYFUNCTION("""COMPUTED_VALUE"""),"Mầm non")</f>
        <v>Mầm non</v>
      </c>
      <c r="B6" s="66"/>
      <c r="C6" s="66"/>
      <c r="D6" s="66"/>
      <c r="E6" s="66"/>
      <c r="F6" s="66"/>
      <c r="G6" s="51" t="str">
        <f t="shared" ref="G6:G69" si="0">IFERROR(F6/E6,"")</f>
        <v/>
      </c>
      <c r="H6" s="66"/>
      <c r="I6" s="51" t="str">
        <f t="shared" ref="I6:I69" si="1">IFERROR(H6/E6,"")</f>
        <v/>
      </c>
      <c r="J6" s="66"/>
      <c r="K6" s="51" t="str">
        <f t="shared" ref="K6:K69" si="2">IFERROR(J6/E6,"")</f>
        <v/>
      </c>
      <c r="L6" s="66"/>
      <c r="M6" s="51" t="str">
        <f t="shared" ref="M6:M69" si="3">IFERROR(L6/E6,"")</f>
        <v/>
      </c>
      <c r="N6" s="66"/>
      <c r="O6" s="66"/>
      <c r="P6" s="51" t="str">
        <f t="shared" ref="P6:P69" si="4">IFERROR(O6/N6,"")</f>
        <v/>
      </c>
      <c r="Q6" s="66"/>
      <c r="R6" s="51" t="str">
        <f t="shared" ref="R6:R69" si="5">IFERROR(Q6/N6,"")</f>
        <v/>
      </c>
      <c r="S6" s="66"/>
      <c r="T6" s="66"/>
      <c r="U6" s="51" t="str">
        <f t="shared" ref="U6:U69" si="6">IFERROR(T6/S6,"")</f>
        <v/>
      </c>
      <c r="V6" s="66"/>
      <c r="W6" s="51" t="str">
        <f t="shared" ref="W6:W69" si="7">IFERROR(V6/S6,"")</f>
        <v/>
      </c>
      <c r="X6" s="66"/>
      <c r="Y6" s="51" t="str">
        <f t="shared" ref="Y6:Y69" si="8">IFERROR(X6/S6,"")</f>
        <v/>
      </c>
      <c r="Z6" s="2"/>
      <c r="AA6" s="2"/>
      <c r="AB6" s="2"/>
      <c r="AC6" s="2"/>
      <c r="AD6" s="2"/>
      <c r="AE6" s="2"/>
    </row>
    <row r="7" spans="1:31" ht="12.75" x14ac:dyDescent="0.2">
      <c r="A7" s="53">
        <f ca="1">IFERROR(__xludf.DUMMYFUNCTION("""COMPUTED_VALUE"""),1)</f>
        <v>1</v>
      </c>
      <c r="B7" s="66" t="str">
        <f ca="1">IFERROR(__xludf.DUMMYFUNCTION("""COMPUTED_VALUE"""),"MN Rạng Đông 1")</f>
        <v>MN Rạng Đông 1</v>
      </c>
      <c r="C7" s="66" t="str">
        <f ca="1">IFERROR(__xludf.DUMMYFUNCTION("""COMPUTED_VALUE"""),"MN")</f>
        <v>MN</v>
      </c>
      <c r="D7" s="66">
        <f ca="1">IFERROR(__xludf.DUMMYFUNCTION("""COMPUTED_VALUE"""),6)</f>
        <v>6</v>
      </c>
      <c r="E7" s="67">
        <f ca="1">IFERROR(__xludf.DUMMYFUNCTION("""COMPUTED_VALUE"""),34)</f>
        <v>34</v>
      </c>
      <c r="F7" s="67">
        <f ca="1">IFERROR(__xludf.DUMMYFUNCTION("""COMPUTED_VALUE"""),34)</f>
        <v>34</v>
      </c>
      <c r="G7" s="51">
        <f t="shared" ca="1" si="0"/>
        <v>1</v>
      </c>
      <c r="H7" s="67">
        <f ca="1">IFERROR(__xludf.DUMMYFUNCTION("""COMPUTED_VALUE"""),34)</f>
        <v>34</v>
      </c>
      <c r="I7" s="51">
        <f t="shared" ca="1" si="1"/>
        <v>1</v>
      </c>
      <c r="J7" s="67">
        <f ca="1">IFERROR(__xludf.DUMMYFUNCTION("""COMPUTED_VALUE"""),34)</f>
        <v>34</v>
      </c>
      <c r="K7" s="51">
        <f t="shared" ca="1" si="2"/>
        <v>1</v>
      </c>
      <c r="L7" s="67">
        <f ca="1">IFERROR(__xludf.DUMMYFUNCTION("""COMPUTED_VALUE"""),33)</f>
        <v>33</v>
      </c>
      <c r="M7" s="51">
        <f t="shared" ca="1" si="3"/>
        <v>0.97058823529411764</v>
      </c>
      <c r="N7" s="67">
        <f ca="1">IFERROR(__xludf.DUMMYFUNCTION("""COMPUTED_VALUE"""),69)</f>
        <v>69</v>
      </c>
      <c r="O7" s="67">
        <f ca="1">IFERROR(__xludf.DUMMYFUNCTION("""COMPUTED_VALUE"""),27)</f>
        <v>27</v>
      </c>
      <c r="P7" s="51">
        <f t="shared" ca="1" si="4"/>
        <v>0.39130434782608697</v>
      </c>
      <c r="Q7" s="67">
        <f ca="1">IFERROR(__xludf.DUMMYFUNCTION("""COMPUTED_VALUE"""),7)</f>
        <v>7</v>
      </c>
      <c r="R7" s="51">
        <f t="shared" ca="1" si="5"/>
        <v>0.10144927536231885</v>
      </c>
      <c r="S7" s="66"/>
      <c r="T7" s="66"/>
      <c r="U7" s="51" t="str">
        <f t="shared" si="6"/>
        <v/>
      </c>
      <c r="V7" s="66"/>
      <c r="W7" s="51" t="str">
        <f t="shared" si="7"/>
        <v/>
      </c>
      <c r="X7" s="66"/>
      <c r="Y7" s="51" t="str">
        <f t="shared" si="8"/>
        <v/>
      </c>
      <c r="Z7" s="2"/>
      <c r="AA7" s="2"/>
      <c r="AB7" s="2"/>
      <c r="AC7" s="2"/>
      <c r="AD7" s="2"/>
      <c r="AE7" s="2"/>
    </row>
    <row r="8" spans="1:31" ht="12.75" x14ac:dyDescent="0.2">
      <c r="A8" s="53">
        <f ca="1">IFERROR(__xludf.DUMMYFUNCTION("""COMPUTED_VALUE"""),2)</f>
        <v>2</v>
      </c>
      <c r="B8" s="66" t="str">
        <f ca="1">IFERROR(__xludf.DUMMYFUNCTION("""COMPUTED_VALUE"""),"MN Rạng Đông 2")</f>
        <v>MN Rạng Đông 2</v>
      </c>
      <c r="C8" s="66" t="str">
        <f ca="1">IFERROR(__xludf.DUMMYFUNCTION("""COMPUTED_VALUE"""),"MN")</f>
        <v>MN</v>
      </c>
      <c r="D8" s="66">
        <f ca="1">IFERROR(__xludf.DUMMYFUNCTION("""COMPUTED_VALUE"""),6)</f>
        <v>6</v>
      </c>
      <c r="E8" s="67">
        <f ca="1">IFERROR(__xludf.DUMMYFUNCTION("""COMPUTED_VALUE"""),27)</f>
        <v>27</v>
      </c>
      <c r="F8" s="67">
        <f ca="1">IFERROR(__xludf.DUMMYFUNCTION("""COMPUTED_VALUE"""),27)</f>
        <v>27</v>
      </c>
      <c r="G8" s="51">
        <f t="shared" ca="1" si="0"/>
        <v>1</v>
      </c>
      <c r="H8" s="66">
        <f ca="1">IFERROR(__xludf.DUMMYFUNCTION("""COMPUTED_VALUE"""),27)</f>
        <v>27</v>
      </c>
      <c r="I8" s="51">
        <f t="shared" ca="1" si="1"/>
        <v>1</v>
      </c>
      <c r="J8" s="67">
        <f ca="1">IFERROR(__xludf.DUMMYFUNCTION("""COMPUTED_VALUE"""),27)</f>
        <v>27</v>
      </c>
      <c r="K8" s="51">
        <f t="shared" ca="1" si="2"/>
        <v>1</v>
      </c>
      <c r="L8" s="67">
        <f ca="1">IFERROR(__xludf.DUMMYFUNCTION("""COMPUTED_VALUE"""),27)</f>
        <v>27</v>
      </c>
      <c r="M8" s="51">
        <f t="shared" ca="1" si="3"/>
        <v>1</v>
      </c>
      <c r="N8" s="67">
        <f ca="1">IFERROR(__xludf.DUMMYFUNCTION("""COMPUTED_VALUE"""),55)</f>
        <v>55</v>
      </c>
      <c r="O8" s="67">
        <f ca="1">IFERROR(__xludf.DUMMYFUNCTION("""COMPUTED_VALUE"""),13)</f>
        <v>13</v>
      </c>
      <c r="P8" s="51">
        <f t="shared" ca="1" si="4"/>
        <v>0.23636363636363636</v>
      </c>
      <c r="Q8" s="67">
        <f ca="1">IFERROR(__xludf.DUMMYFUNCTION("""COMPUTED_VALUE"""),5)</f>
        <v>5</v>
      </c>
      <c r="R8" s="51">
        <f t="shared" ca="1" si="5"/>
        <v>9.0909090909090912E-2</v>
      </c>
      <c r="S8" s="66"/>
      <c r="T8" s="66"/>
      <c r="U8" s="51" t="str">
        <f t="shared" si="6"/>
        <v/>
      </c>
      <c r="V8" s="66"/>
      <c r="W8" s="51" t="str">
        <f t="shared" si="7"/>
        <v/>
      </c>
      <c r="X8" s="66"/>
      <c r="Y8" s="51" t="str">
        <f t="shared" si="8"/>
        <v/>
      </c>
      <c r="Z8" s="2"/>
      <c r="AA8" s="2"/>
      <c r="AB8" s="2"/>
      <c r="AC8" s="2"/>
      <c r="AD8" s="2"/>
      <c r="AE8" s="2"/>
    </row>
    <row r="9" spans="1:31" ht="12.75" x14ac:dyDescent="0.2">
      <c r="A9" s="53">
        <f ca="1">IFERROR(__xludf.DUMMYFUNCTION("""COMPUTED_VALUE"""),3)</f>
        <v>3</v>
      </c>
      <c r="B9" s="66" t="str">
        <f ca="1">IFERROR(__xludf.DUMMYFUNCTION("""COMPUTED_VALUE"""),"MN Rạng Đông 3")</f>
        <v>MN Rạng Đông 3</v>
      </c>
      <c r="C9" s="66" t="str">
        <f ca="1">IFERROR(__xludf.DUMMYFUNCTION("""COMPUTED_VALUE"""),"MN")</f>
        <v>MN</v>
      </c>
      <c r="D9" s="66">
        <f ca="1">IFERROR(__xludf.DUMMYFUNCTION("""COMPUTED_VALUE"""),6)</f>
        <v>6</v>
      </c>
      <c r="E9" s="67">
        <f ca="1">IFERROR(__xludf.DUMMYFUNCTION("""COMPUTED_VALUE"""),29)</f>
        <v>29</v>
      </c>
      <c r="F9" s="67">
        <f ca="1">IFERROR(__xludf.DUMMYFUNCTION("""COMPUTED_VALUE"""),29)</f>
        <v>29</v>
      </c>
      <c r="G9" s="51">
        <f t="shared" ca="1" si="0"/>
        <v>1</v>
      </c>
      <c r="H9" s="67">
        <f ca="1">IFERROR(__xludf.DUMMYFUNCTION("""COMPUTED_VALUE"""),29)</f>
        <v>29</v>
      </c>
      <c r="I9" s="51">
        <f t="shared" ca="1" si="1"/>
        <v>1</v>
      </c>
      <c r="J9" s="67">
        <f ca="1">IFERROR(__xludf.DUMMYFUNCTION("""COMPUTED_VALUE"""),28)</f>
        <v>28</v>
      </c>
      <c r="K9" s="51">
        <f t="shared" ca="1" si="2"/>
        <v>0.96551724137931039</v>
      </c>
      <c r="L9" s="67">
        <f ca="1">IFERROR(__xludf.DUMMYFUNCTION("""COMPUTED_VALUE"""),26)</f>
        <v>26</v>
      </c>
      <c r="M9" s="51">
        <f t="shared" ca="1" si="3"/>
        <v>0.89655172413793105</v>
      </c>
      <c r="N9" s="67">
        <f ca="1">IFERROR(__xludf.DUMMYFUNCTION("""COMPUTED_VALUE"""),61)</f>
        <v>61</v>
      </c>
      <c r="O9" s="67">
        <f ca="1">IFERROR(__xludf.DUMMYFUNCTION("""COMPUTED_VALUE"""),14)</f>
        <v>14</v>
      </c>
      <c r="P9" s="51">
        <f t="shared" ca="1" si="4"/>
        <v>0.22950819672131148</v>
      </c>
      <c r="Q9" s="67">
        <f ca="1">IFERROR(__xludf.DUMMYFUNCTION("""COMPUTED_VALUE"""),9)</f>
        <v>9</v>
      </c>
      <c r="R9" s="51">
        <f t="shared" ca="1" si="5"/>
        <v>0.14754098360655737</v>
      </c>
      <c r="S9" s="66"/>
      <c r="T9" s="66"/>
      <c r="U9" s="51" t="str">
        <f t="shared" si="6"/>
        <v/>
      </c>
      <c r="V9" s="66"/>
      <c r="W9" s="51" t="str">
        <f t="shared" si="7"/>
        <v/>
      </c>
      <c r="X9" s="66"/>
      <c r="Y9" s="51" t="str">
        <f t="shared" si="8"/>
        <v/>
      </c>
      <c r="Z9" s="2"/>
      <c r="AA9" s="2"/>
      <c r="AB9" s="2"/>
      <c r="AC9" s="2"/>
      <c r="AD9" s="2"/>
      <c r="AE9" s="2"/>
    </row>
    <row r="10" spans="1:31" ht="12.75" x14ac:dyDescent="0.2">
      <c r="A10" s="53">
        <f ca="1">IFERROR(__xludf.DUMMYFUNCTION("""COMPUTED_VALUE"""),4)</f>
        <v>4</v>
      </c>
      <c r="B10" s="66" t="str">
        <f ca="1">IFERROR(__xludf.DUMMYFUNCTION("""COMPUTED_VALUE"""),"MN Rạng Đông 4")</f>
        <v>MN Rạng Đông 4</v>
      </c>
      <c r="C10" s="66" t="str">
        <f ca="1">IFERROR(__xludf.DUMMYFUNCTION("""COMPUTED_VALUE"""),"MN")</f>
        <v>MN</v>
      </c>
      <c r="D10" s="66">
        <f ca="1">IFERROR(__xludf.DUMMYFUNCTION("""COMPUTED_VALUE"""),6)</f>
        <v>6</v>
      </c>
      <c r="E10" s="67">
        <f ca="1">IFERROR(__xludf.DUMMYFUNCTION("""COMPUTED_VALUE"""),44)</f>
        <v>44</v>
      </c>
      <c r="F10" s="67">
        <f ca="1">IFERROR(__xludf.DUMMYFUNCTION("""COMPUTED_VALUE"""),44)</f>
        <v>44</v>
      </c>
      <c r="G10" s="51">
        <f t="shared" ca="1" si="0"/>
        <v>1</v>
      </c>
      <c r="H10" s="67">
        <f ca="1">IFERROR(__xludf.DUMMYFUNCTION("""COMPUTED_VALUE"""),44)</f>
        <v>44</v>
      </c>
      <c r="I10" s="51">
        <f t="shared" ca="1" si="1"/>
        <v>1</v>
      </c>
      <c r="J10" s="67">
        <f ca="1">IFERROR(__xludf.DUMMYFUNCTION("""COMPUTED_VALUE"""),44)</f>
        <v>44</v>
      </c>
      <c r="K10" s="51">
        <f t="shared" ca="1" si="2"/>
        <v>1</v>
      </c>
      <c r="L10" s="67">
        <f ca="1">IFERROR(__xludf.DUMMYFUNCTION("""COMPUTED_VALUE"""),44)</f>
        <v>44</v>
      </c>
      <c r="M10" s="51">
        <f t="shared" ca="1" si="3"/>
        <v>1</v>
      </c>
      <c r="N10" s="67">
        <f ca="1">IFERROR(__xludf.DUMMYFUNCTION("""COMPUTED_VALUE"""),89)</f>
        <v>89</v>
      </c>
      <c r="O10" s="67">
        <f ca="1">IFERROR(__xludf.DUMMYFUNCTION("""COMPUTED_VALUE"""),20)</f>
        <v>20</v>
      </c>
      <c r="P10" s="51">
        <f t="shared" ca="1" si="4"/>
        <v>0.2247191011235955</v>
      </c>
      <c r="Q10" s="67">
        <f ca="1">IFERROR(__xludf.DUMMYFUNCTION("""COMPUTED_VALUE"""),8)</f>
        <v>8</v>
      </c>
      <c r="R10" s="51">
        <f t="shared" ca="1" si="5"/>
        <v>8.98876404494382E-2</v>
      </c>
      <c r="S10" s="66"/>
      <c r="T10" s="66"/>
      <c r="U10" s="51" t="str">
        <f t="shared" si="6"/>
        <v/>
      </c>
      <c r="V10" s="66"/>
      <c r="W10" s="51" t="str">
        <f t="shared" si="7"/>
        <v/>
      </c>
      <c r="X10" s="66"/>
      <c r="Y10" s="51" t="str">
        <f t="shared" si="8"/>
        <v/>
      </c>
      <c r="Z10" s="2"/>
      <c r="AA10" s="2"/>
      <c r="AB10" s="2"/>
      <c r="AC10" s="2"/>
      <c r="AD10" s="2"/>
      <c r="AE10" s="2"/>
    </row>
    <row r="11" spans="1:31" ht="12.75" x14ac:dyDescent="0.2">
      <c r="A11" s="53">
        <f ca="1">IFERROR(__xludf.DUMMYFUNCTION("""COMPUTED_VALUE"""),5)</f>
        <v>5</v>
      </c>
      <c r="B11" s="66" t="str">
        <f ca="1">IFERROR(__xludf.DUMMYFUNCTION("""COMPUTED_VALUE"""),"MN Rạng Đông 5")</f>
        <v>MN Rạng Đông 5</v>
      </c>
      <c r="C11" s="66" t="str">
        <f ca="1">IFERROR(__xludf.DUMMYFUNCTION("""COMPUTED_VALUE"""),"MN")</f>
        <v>MN</v>
      </c>
      <c r="D11" s="66">
        <f ca="1">IFERROR(__xludf.DUMMYFUNCTION("""COMPUTED_VALUE"""),6)</f>
        <v>6</v>
      </c>
      <c r="E11" s="67">
        <f ca="1">IFERROR(__xludf.DUMMYFUNCTION("""COMPUTED_VALUE"""),31)</f>
        <v>31</v>
      </c>
      <c r="F11" s="67">
        <f ca="1">IFERROR(__xludf.DUMMYFUNCTION("""COMPUTED_VALUE"""),31)</f>
        <v>31</v>
      </c>
      <c r="G11" s="51">
        <f t="shared" ca="1" si="0"/>
        <v>1</v>
      </c>
      <c r="H11" s="67">
        <f ca="1">IFERROR(__xludf.DUMMYFUNCTION("""COMPUTED_VALUE"""),30)</f>
        <v>30</v>
      </c>
      <c r="I11" s="51">
        <f t="shared" ca="1" si="1"/>
        <v>0.967741935483871</v>
      </c>
      <c r="J11" s="67">
        <f ca="1">IFERROR(__xludf.DUMMYFUNCTION("""COMPUTED_VALUE"""),29)</f>
        <v>29</v>
      </c>
      <c r="K11" s="51">
        <f t="shared" ca="1" si="2"/>
        <v>0.93548387096774188</v>
      </c>
      <c r="L11" s="67">
        <f ca="1">IFERROR(__xludf.DUMMYFUNCTION("""COMPUTED_VALUE"""),29)</f>
        <v>29</v>
      </c>
      <c r="M11" s="51">
        <f t="shared" ca="1" si="3"/>
        <v>0.93548387096774188</v>
      </c>
      <c r="N11" s="67">
        <f ca="1">IFERROR(__xludf.DUMMYFUNCTION("""COMPUTED_VALUE"""),68)</f>
        <v>68</v>
      </c>
      <c r="O11" s="67">
        <f ca="1">IFERROR(__xludf.DUMMYFUNCTION("""COMPUTED_VALUE"""),9)</f>
        <v>9</v>
      </c>
      <c r="P11" s="51">
        <f t="shared" ca="1" si="4"/>
        <v>0.13235294117647059</v>
      </c>
      <c r="Q11" s="67">
        <f ca="1">IFERROR(__xludf.DUMMYFUNCTION("""COMPUTED_VALUE"""),6)</f>
        <v>6</v>
      </c>
      <c r="R11" s="51">
        <f t="shared" ca="1" si="5"/>
        <v>8.8235294117647065E-2</v>
      </c>
      <c r="S11" s="66"/>
      <c r="T11" s="66"/>
      <c r="U11" s="51" t="str">
        <f t="shared" si="6"/>
        <v/>
      </c>
      <c r="V11" s="66"/>
      <c r="W11" s="51" t="str">
        <f t="shared" si="7"/>
        <v/>
      </c>
      <c r="X11" s="66"/>
      <c r="Y11" s="51" t="str">
        <f t="shared" si="8"/>
        <v/>
      </c>
      <c r="Z11" s="2"/>
      <c r="AA11" s="2"/>
      <c r="AB11" s="2"/>
      <c r="AC11" s="2"/>
      <c r="AD11" s="2"/>
      <c r="AE11" s="2"/>
    </row>
    <row r="12" spans="1:31" ht="12.75" x14ac:dyDescent="0.2">
      <c r="A12" s="53">
        <f ca="1">IFERROR(__xludf.DUMMYFUNCTION("""COMPUTED_VALUE"""),6)</f>
        <v>6</v>
      </c>
      <c r="B12" s="66" t="str">
        <f ca="1">IFERROR(__xludf.DUMMYFUNCTION("""COMPUTED_VALUE"""),"MN Rạng Đông 5A")</f>
        <v>MN Rạng Đông 5A</v>
      </c>
      <c r="C12" s="66" t="str">
        <f ca="1">IFERROR(__xludf.DUMMYFUNCTION("""COMPUTED_VALUE"""),"MN")</f>
        <v>MN</v>
      </c>
      <c r="D12" s="66">
        <f ca="1">IFERROR(__xludf.DUMMYFUNCTION("""COMPUTED_VALUE"""),6)</f>
        <v>6</v>
      </c>
      <c r="E12" s="67">
        <f ca="1">IFERROR(__xludf.DUMMYFUNCTION("""COMPUTED_VALUE"""),31)</f>
        <v>31</v>
      </c>
      <c r="F12" s="67">
        <f ca="1">IFERROR(__xludf.DUMMYFUNCTION("""COMPUTED_VALUE"""),31)</f>
        <v>31</v>
      </c>
      <c r="G12" s="51">
        <f t="shared" ca="1" si="0"/>
        <v>1</v>
      </c>
      <c r="H12" s="67">
        <f ca="1">IFERROR(__xludf.DUMMYFUNCTION("""COMPUTED_VALUE"""),31)</f>
        <v>31</v>
      </c>
      <c r="I12" s="51">
        <f t="shared" ca="1" si="1"/>
        <v>1</v>
      </c>
      <c r="J12" s="67">
        <f ca="1">IFERROR(__xludf.DUMMYFUNCTION("""COMPUTED_VALUE"""),31)</f>
        <v>31</v>
      </c>
      <c r="K12" s="51">
        <f t="shared" ca="1" si="2"/>
        <v>1</v>
      </c>
      <c r="L12" s="67">
        <f ca="1">IFERROR(__xludf.DUMMYFUNCTION("""COMPUTED_VALUE"""),29)</f>
        <v>29</v>
      </c>
      <c r="M12" s="51">
        <f t="shared" ca="1" si="3"/>
        <v>0.93548387096774188</v>
      </c>
      <c r="N12" s="67">
        <f ca="1">IFERROR(__xludf.DUMMYFUNCTION("""COMPUTED_VALUE"""),94)</f>
        <v>94</v>
      </c>
      <c r="O12" s="67">
        <f ca="1">IFERROR(__xludf.DUMMYFUNCTION("""COMPUTED_VALUE"""),8)</f>
        <v>8</v>
      </c>
      <c r="P12" s="51">
        <f t="shared" ca="1" si="4"/>
        <v>8.5106382978723402E-2</v>
      </c>
      <c r="Q12" s="67">
        <f ca="1">IFERROR(__xludf.DUMMYFUNCTION("""COMPUTED_VALUE"""),2)</f>
        <v>2</v>
      </c>
      <c r="R12" s="51">
        <f t="shared" ca="1" si="5"/>
        <v>2.1276595744680851E-2</v>
      </c>
      <c r="S12" s="66"/>
      <c r="T12" s="66"/>
      <c r="U12" s="51" t="str">
        <f t="shared" si="6"/>
        <v/>
      </c>
      <c r="V12" s="66"/>
      <c r="W12" s="51" t="str">
        <f t="shared" si="7"/>
        <v/>
      </c>
      <c r="X12" s="66"/>
      <c r="Y12" s="51" t="str">
        <f t="shared" si="8"/>
        <v/>
      </c>
      <c r="Z12" s="2"/>
      <c r="AA12" s="2"/>
      <c r="AB12" s="2"/>
      <c r="AC12" s="2"/>
      <c r="AD12" s="2"/>
      <c r="AE12" s="2"/>
    </row>
    <row r="13" spans="1:31" ht="12.75" x14ac:dyDescent="0.2">
      <c r="A13" s="53">
        <f ca="1">IFERROR(__xludf.DUMMYFUNCTION("""COMPUTED_VALUE"""),7)</f>
        <v>7</v>
      </c>
      <c r="B13" s="66" t="str">
        <f ca="1">IFERROR(__xludf.DUMMYFUNCTION("""COMPUTED_VALUE"""),"MN Rạng Đông 6")</f>
        <v>MN Rạng Đông 6</v>
      </c>
      <c r="C13" s="66" t="str">
        <f ca="1">IFERROR(__xludf.DUMMYFUNCTION("""COMPUTED_VALUE"""),"MN")</f>
        <v>MN</v>
      </c>
      <c r="D13" s="66">
        <f ca="1">IFERROR(__xludf.DUMMYFUNCTION("""COMPUTED_VALUE"""),6)</f>
        <v>6</v>
      </c>
      <c r="E13" s="67">
        <f ca="1">IFERROR(__xludf.DUMMYFUNCTION("""COMPUTED_VALUE"""),29)</f>
        <v>29</v>
      </c>
      <c r="F13" s="67">
        <f ca="1">IFERROR(__xludf.DUMMYFUNCTION("""COMPUTED_VALUE"""),29)</f>
        <v>29</v>
      </c>
      <c r="G13" s="51">
        <f t="shared" ca="1" si="0"/>
        <v>1</v>
      </c>
      <c r="H13" s="67">
        <f ca="1">IFERROR(__xludf.DUMMYFUNCTION("""COMPUTED_VALUE"""),29)</f>
        <v>29</v>
      </c>
      <c r="I13" s="51">
        <f t="shared" ca="1" si="1"/>
        <v>1</v>
      </c>
      <c r="J13" s="67">
        <f ca="1">IFERROR(__xludf.DUMMYFUNCTION("""COMPUTED_VALUE"""),29)</f>
        <v>29</v>
      </c>
      <c r="K13" s="51">
        <f t="shared" ca="1" si="2"/>
        <v>1</v>
      </c>
      <c r="L13" s="67">
        <f ca="1">IFERROR(__xludf.DUMMYFUNCTION("""COMPUTED_VALUE"""),28)</f>
        <v>28</v>
      </c>
      <c r="M13" s="51">
        <f t="shared" ca="1" si="3"/>
        <v>0.96551724137931039</v>
      </c>
      <c r="N13" s="67">
        <f ca="1">IFERROR(__xludf.DUMMYFUNCTION("""COMPUTED_VALUE"""),48)</f>
        <v>48</v>
      </c>
      <c r="O13" s="67">
        <f ca="1">IFERROR(__xludf.DUMMYFUNCTION("""COMPUTED_VALUE"""),5)</f>
        <v>5</v>
      </c>
      <c r="P13" s="51">
        <f t="shared" ca="1" si="4"/>
        <v>0.10416666666666667</v>
      </c>
      <c r="Q13" s="67">
        <f ca="1">IFERROR(__xludf.DUMMYFUNCTION("""COMPUTED_VALUE"""),5)</f>
        <v>5</v>
      </c>
      <c r="R13" s="51">
        <f t="shared" ca="1" si="5"/>
        <v>0.10416666666666667</v>
      </c>
      <c r="S13" s="66"/>
      <c r="T13" s="66"/>
      <c r="U13" s="51" t="str">
        <f t="shared" si="6"/>
        <v/>
      </c>
      <c r="V13" s="66"/>
      <c r="W13" s="51" t="str">
        <f t="shared" si="7"/>
        <v/>
      </c>
      <c r="X13" s="66"/>
      <c r="Y13" s="51" t="str">
        <f t="shared" si="8"/>
        <v/>
      </c>
      <c r="Z13" s="2"/>
      <c r="AA13" s="2"/>
      <c r="AB13" s="2"/>
      <c r="AC13" s="2"/>
      <c r="AD13" s="2"/>
      <c r="AE13" s="2"/>
    </row>
    <row r="14" spans="1:31" ht="12.75" x14ac:dyDescent="0.2">
      <c r="A14" s="53">
        <f ca="1">IFERROR(__xludf.DUMMYFUNCTION("""COMPUTED_VALUE"""),8)</f>
        <v>8</v>
      </c>
      <c r="B14" s="66" t="str">
        <f ca="1">IFERROR(__xludf.DUMMYFUNCTION("""COMPUTED_VALUE"""),"MN Rạng Đông 6A")</f>
        <v>MN Rạng Đông 6A</v>
      </c>
      <c r="C14" s="66" t="str">
        <f ca="1">IFERROR(__xludf.DUMMYFUNCTION("""COMPUTED_VALUE"""),"MN")</f>
        <v>MN</v>
      </c>
      <c r="D14" s="66">
        <f ca="1">IFERROR(__xludf.DUMMYFUNCTION("""COMPUTED_VALUE"""),6)</f>
        <v>6</v>
      </c>
      <c r="E14" s="67">
        <f ca="1">IFERROR(__xludf.DUMMYFUNCTION("""COMPUTED_VALUE"""),26)</f>
        <v>26</v>
      </c>
      <c r="F14" s="67">
        <f ca="1">IFERROR(__xludf.DUMMYFUNCTION("""COMPUTED_VALUE"""),26)</f>
        <v>26</v>
      </c>
      <c r="G14" s="51">
        <f t="shared" ca="1" si="0"/>
        <v>1</v>
      </c>
      <c r="H14" s="67">
        <f ca="1">IFERROR(__xludf.DUMMYFUNCTION("""COMPUTED_VALUE"""),26)</f>
        <v>26</v>
      </c>
      <c r="I14" s="51">
        <f t="shared" ca="1" si="1"/>
        <v>1</v>
      </c>
      <c r="J14" s="67">
        <f ca="1">IFERROR(__xludf.DUMMYFUNCTION("""COMPUTED_VALUE"""),26)</f>
        <v>26</v>
      </c>
      <c r="K14" s="51">
        <f t="shared" ca="1" si="2"/>
        <v>1</v>
      </c>
      <c r="L14" s="67">
        <f ca="1">IFERROR(__xludf.DUMMYFUNCTION("""COMPUTED_VALUE"""),25)</f>
        <v>25</v>
      </c>
      <c r="M14" s="51">
        <f t="shared" ca="1" si="3"/>
        <v>0.96153846153846156</v>
      </c>
      <c r="N14" s="67">
        <f ca="1">IFERROR(__xludf.DUMMYFUNCTION("""COMPUTED_VALUE"""),55)</f>
        <v>55</v>
      </c>
      <c r="O14" s="67">
        <f ca="1">IFERROR(__xludf.DUMMYFUNCTION("""COMPUTED_VALUE"""),15)</f>
        <v>15</v>
      </c>
      <c r="P14" s="51">
        <f t="shared" ca="1" si="4"/>
        <v>0.27272727272727271</v>
      </c>
      <c r="Q14" s="67">
        <f ca="1">IFERROR(__xludf.DUMMYFUNCTION("""COMPUTED_VALUE"""),5)</f>
        <v>5</v>
      </c>
      <c r="R14" s="51">
        <f t="shared" ca="1" si="5"/>
        <v>9.0909090909090912E-2</v>
      </c>
      <c r="S14" s="66"/>
      <c r="T14" s="66"/>
      <c r="U14" s="51" t="str">
        <f t="shared" si="6"/>
        <v/>
      </c>
      <c r="V14" s="66"/>
      <c r="W14" s="51" t="str">
        <f t="shared" si="7"/>
        <v/>
      </c>
      <c r="X14" s="66"/>
      <c r="Y14" s="51" t="str">
        <f t="shared" si="8"/>
        <v/>
      </c>
      <c r="Z14" s="2"/>
      <c r="AA14" s="2"/>
      <c r="AB14" s="2"/>
      <c r="AC14" s="2"/>
      <c r="AD14" s="2"/>
      <c r="AE14" s="2"/>
    </row>
    <row r="15" spans="1:31" ht="12.75" x14ac:dyDescent="0.2">
      <c r="A15" s="53">
        <f ca="1">IFERROR(__xludf.DUMMYFUNCTION("""COMPUTED_VALUE"""),9)</f>
        <v>9</v>
      </c>
      <c r="B15" s="66" t="str">
        <f ca="1">IFERROR(__xludf.DUMMYFUNCTION("""COMPUTED_VALUE"""),"MN Rạng Đông 7")</f>
        <v>MN Rạng Đông 7</v>
      </c>
      <c r="C15" s="66" t="str">
        <f ca="1">IFERROR(__xludf.DUMMYFUNCTION("""COMPUTED_VALUE"""),"MN")</f>
        <v>MN</v>
      </c>
      <c r="D15" s="66">
        <f ca="1">IFERROR(__xludf.DUMMYFUNCTION("""COMPUTED_VALUE"""),6)</f>
        <v>6</v>
      </c>
      <c r="E15" s="67">
        <f ca="1">IFERROR(__xludf.DUMMYFUNCTION("""COMPUTED_VALUE"""),33)</f>
        <v>33</v>
      </c>
      <c r="F15" s="67">
        <f ca="1">IFERROR(__xludf.DUMMYFUNCTION("""COMPUTED_VALUE"""),33)</f>
        <v>33</v>
      </c>
      <c r="G15" s="51">
        <f t="shared" ca="1" si="0"/>
        <v>1</v>
      </c>
      <c r="H15" s="67">
        <f ca="1">IFERROR(__xludf.DUMMYFUNCTION("""COMPUTED_VALUE"""),33)</f>
        <v>33</v>
      </c>
      <c r="I15" s="51">
        <f t="shared" ca="1" si="1"/>
        <v>1</v>
      </c>
      <c r="J15" s="67">
        <f ca="1">IFERROR(__xludf.DUMMYFUNCTION("""COMPUTED_VALUE"""),33)</f>
        <v>33</v>
      </c>
      <c r="K15" s="51">
        <f t="shared" ca="1" si="2"/>
        <v>1</v>
      </c>
      <c r="L15" s="67">
        <f ca="1">IFERROR(__xludf.DUMMYFUNCTION("""COMPUTED_VALUE"""),31)</f>
        <v>31</v>
      </c>
      <c r="M15" s="51">
        <f t="shared" ca="1" si="3"/>
        <v>0.93939393939393945</v>
      </c>
      <c r="N15" s="67">
        <f ca="1">IFERROR(__xludf.DUMMYFUNCTION("""COMPUTED_VALUE"""),79)</f>
        <v>79</v>
      </c>
      <c r="O15" s="67">
        <f ca="1">IFERROR(__xludf.DUMMYFUNCTION("""COMPUTED_VALUE"""),12)</f>
        <v>12</v>
      </c>
      <c r="P15" s="51">
        <f t="shared" ca="1" si="4"/>
        <v>0.15189873417721519</v>
      </c>
      <c r="Q15" s="67">
        <f ca="1">IFERROR(__xludf.DUMMYFUNCTION("""COMPUTED_VALUE"""),6)</f>
        <v>6</v>
      </c>
      <c r="R15" s="51">
        <f t="shared" ca="1" si="5"/>
        <v>7.5949367088607597E-2</v>
      </c>
      <c r="S15" s="66"/>
      <c r="T15" s="66"/>
      <c r="U15" s="51" t="str">
        <f t="shared" si="6"/>
        <v/>
      </c>
      <c r="V15" s="66"/>
      <c r="W15" s="51" t="str">
        <f t="shared" si="7"/>
        <v/>
      </c>
      <c r="X15" s="66"/>
      <c r="Y15" s="51" t="str">
        <f t="shared" si="8"/>
        <v/>
      </c>
      <c r="Z15" s="2"/>
      <c r="AA15" s="2"/>
      <c r="AB15" s="2"/>
      <c r="AC15" s="2"/>
      <c r="AD15" s="2"/>
      <c r="AE15" s="2"/>
    </row>
    <row r="16" spans="1:31" ht="12.75" x14ac:dyDescent="0.2">
      <c r="A16" s="53">
        <f ca="1">IFERROR(__xludf.DUMMYFUNCTION("""COMPUTED_VALUE"""),10)</f>
        <v>10</v>
      </c>
      <c r="B16" s="66" t="str">
        <f ca="1">IFERROR(__xludf.DUMMYFUNCTION("""COMPUTED_VALUE"""),"MN Rạng Đông 8")</f>
        <v>MN Rạng Đông 8</v>
      </c>
      <c r="C16" s="66" t="str">
        <f ca="1">IFERROR(__xludf.DUMMYFUNCTION("""COMPUTED_VALUE"""),"MN")</f>
        <v>MN</v>
      </c>
      <c r="D16" s="66">
        <f ca="1">IFERROR(__xludf.DUMMYFUNCTION("""COMPUTED_VALUE"""),6)</f>
        <v>6</v>
      </c>
      <c r="E16" s="67">
        <f ca="1">IFERROR(__xludf.DUMMYFUNCTION("""COMPUTED_VALUE"""),31)</f>
        <v>31</v>
      </c>
      <c r="F16" s="67">
        <f ca="1">IFERROR(__xludf.DUMMYFUNCTION("""COMPUTED_VALUE"""),31)</f>
        <v>31</v>
      </c>
      <c r="G16" s="51">
        <f t="shared" ca="1" si="0"/>
        <v>1</v>
      </c>
      <c r="H16" s="67">
        <f ca="1">IFERROR(__xludf.DUMMYFUNCTION("""COMPUTED_VALUE"""),31)</f>
        <v>31</v>
      </c>
      <c r="I16" s="51">
        <f t="shared" ca="1" si="1"/>
        <v>1</v>
      </c>
      <c r="J16" s="67">
        <f ca="1">IFERROR(__xludf.DUMMYFUNCTION("""COMPUTED_VALUE"""),31)</f>
        <v>31</v>
      </c>
      <c r="K16" s="51">
        <f t="shared" ca="1" si="2"/>
        <v>1</v>
      </c>
      <c r="L16" s="67">
        <f ca="1">IFERROR(__xludf.DUMMYFUNCTION("""COMPUTED_VALUE"""),25)</f>
        <v>25</v>
      </c>
      <c r="M16" s="51">
        <f t="shared" ca="1" si="3"/>
        <v>0.80645161290322576</v>
      </c>
      <c r="N16" s="67">
        <f ca="1">IFERROR(__xludf.DUMMYFUNCTION("""COMPUTED_VALUE"""),55)</f>
        <v>55</v>
      </c>
      <c r="O16" s="67">
        <f ca="1">IFERROR(__xludf.DUMMYFUNCTION("""COMPUTED_VALUE"""),10)</f>
        <v>10</v>
      </c>
      <c r="P16" s="51">
        <f t="shared" ca="1" si="4"/>
        <v>0.18181818181818182</v>
      </c>
      <c r="Q16" s="67">
        <f ca="1">IFERROR(__xludf.DUMMYFUNCTION("""COMPUTED_VALUE"""),7)</f>
        <v>7</v>
      </c>
      <c r="R16" s="51">
        <f t="shared" ca="1" si="5"/>
        <v>0.12727272727272726</v>
      </c>
      <c r="S16" s="66"/>
      <c r="T16" s="66"/>
      <c r="U16" s="51" t="str">
        <f t="shared" si="6"/>
        <v/>
      </c>
      <c r="V16" s="66"/>
      <c r="W16" s="51" t="str">
        <f t="shared" si="7"/>
        <v/>
      </c>
      <c r="X16" s="66"/>
      <c r="Y16" s="51" t="str">
        <f t="shared" si="8"/>
        <v/>
      </c>
      <c r="Z16" s="2"/>
      <c r="AA16" s="2"/>
      <c r="AB16" s="2"/>
      <c r="AC16" s="2"/>
      <c r="AD16" s="2"/>
      <c r="AE16" s="2"/>
    </row>
    <row r="17" spans="1:31" ht="12.75" x14ac:dyDescent="0.2">
      <c r="A17" s="53">
        <f ca="1">IFERROR(__xludf.DUMMYFUNCTION("""COMPUTED_VALUE"""),11)</f>
        <v>11</v>
      </c>
      <c r="B17" s="66" t="str">
        <f ca="1">IFERROR(__xludf.DUMMYFUNCTION("""COMPUTED_VALUE"""),"MN Rạng Đông 9")</f>
        <v>MN Rạng Đông 9</v>
      </c>
      <c r="C17" s="66" t="str">
        <f ca="1">IFERROR(__xludf.DUMMYFUNCTION("""COMPUTED_VALUE"""),"MN")</f>
        <v>MN</v>
      </c>
      <c r="D17" s="66">
        <f ca="1">IFERROR(__xludf.DUMMYFUNCTION("""COMPUTED_VALUE"""),6)</f>
        <v>6</v>
      </c>
      <c r="E17" s="67">
        <f ca="1">IFERROR(__xludf.DUMMYFUNCTION("""COMPUTED_VALUE"""),47)</f>
        <v>47</v>
      </c>
      <c r="F17" s="67">
        <f ca="1">IFERROR(__xludf.DUMMYFUNCTION("""COMPUTED_VALUE"""),47)</f>
        <v>47</v>
      </c>
      <c r="G17" s="51">
        <f t="shared" ca="1" si="0"/>
        <v>1</v>
      </c>
      <c r="H17" s="67">
        <f ca="1">IFERROR(__xludf.DUMMYFUNCTION("""COMPUTED_VALUE"""),47)</f>
        <v>47</v>
      </c>
      <c r="I17" s="51">
        <f t="shared" ca="1" si="1"/>
        <v>1</v>
      </c>
      <c r="J17" s="67">
        <f ca="1">IFERROR(__xludf.DUMMYFUNCTION("""COMPUTED_VALUE"""),47)</f>
        <v>47</v>
      </c>
      <c r="K17" s="51">
        <f t="shared" ca="1" si="2"/>
        <v>1</v>
      </c>
      <c r="L17" s="67">
        <f ca="1">IFERROR(__xludf.DUMMYFUNCTION("""COMPUTED_VALUE"""),47)</f>
        <v>47</v>
      </c>
      <c r="M17" s="51">
        <f t="shared" ca="1" si="3"/>
        <v>1</v>
      </c>
      <c r="N17" s="67">
        <f ca="1">IFERROR(__xludf.DUMMYFUNCTION("""COMPUTED_VALUE"""),81)</f>
        <v>81</v>
      </c>
      <c r="O17" s="67">
        <f ca="1">IFERROR(__xludf.DUMMYFUNCTION("""COMPUTED_VALUE"""),13)</f>
        <v>13</v>
      </c>
      <c r="P17" s="51">
        <f t="shared" ca="1" si="4"/>
        <v>0.16049382716049382</v>
      </c>
      <c r="Q17" s="67">
        <f ca="1">IFERROR(__xludf.DUMMYFUNCTION("""COMPUTED_VALUE"""),12)</f>
        <v>12</v>
      </c>
      <c r="R17" s="51">
        <f t="shared" ca="1" si="5"/>
        <v>0.14814814814814814</v>
      </c>
      <c r="S17" s="66"/>
      <c r="T17" s="66"/>
      <c r="U17" s="51" t="str">
        <f t="shared" si="6"/>
        <v/>
      </c>
      <c r="V17" s="66"/>
      <c r="W17" s="51" t="str">
        <f t="shared" si="7"/>
        <v/>
      </c>
      <c r="X17" s="66"/>
      <c r="Y17" s="51" t="str">
        <f t="shared" si="8"/>
        <v/>
      </c>
      <c r="Z17" s="2"/>
      <c r="AA17" s="2"/>
      <c r="AB17" s="2"/>
      <c r="AC17" s="2"/>
      <c r="AD17" s="2"/>
      <c r="AE17" s="2"/>
    </row>
    <row r="18" spans="1:31" ht="12.75" x14ac:dyDescent="0.2">
      <c r="A18" s="53">
        <f ca="1">IFERROR(__xludf.DUMMYFUNCTION("""COMPUTED_VALUE"""),12)</f>
        <v>12</v>
      </c>
      <c r="B18" s="66" t="str">
        <f ca="1">IFERROR(__xludf.DUMMYFUNCTION("""COMPUTED_VALUE"""),"MN Rạng Đông 10")</f>
        <v>MN Rạng Đông 10</v>
      </c>
      <c r="C18" s="66" t="str">
        <f ca="1">IFERROR(__xludf.DUMMYFUNCTION("""COMPUTED_VALUE"""),"MN")</f>
        <v>MN</v>
      </c>
      <c r="D18" s="66">
        <f ca="1">IFERROR(__xludf.DUMMYFUNCTION("""COMPUTED_VALUE"""),6)</f>
        <v>6</v>
      </c>
      <c r="E18" s="67">
        <f ca="1">IFERROR(__xludf.DUMMYFUNCTION("""COMPUTED_VALUE"""),47)</f>
        <v>47</v>
      </c>
      <c r="F18" s="67">
        <f ca="1">IFERROR(__xludf.DUMMYFUNCTION("""COMPUTED_VALUE"""),47)</f>
        <v>47</v>
      </c>
      <c r="G18" s="51">
        <f t="shared" ca="1" si="0"/>
        <v>1</v>
      </c>
      <c r="H18" s="67">
        <f ca="1">IFERROR(__xludf.DUMMYFUNCTION("""COMPUTED_VALUE"""),47)</f>
        <v>47</v>
      </c>
      <c r="I18" s="51">
        <f t="shared" ca="1" si="1"/>
        <v>1</v>
      </c>
      <c r="J18" s="67">
        <f ca="1">IFERROR(__xludf.DUMMYFUNCTION("""COMPUTED_VALUE"""),47)</f>
        <v>47</v>
      </c>
      <c r="K18" s="51">
        <f t="shared" ca="1" si="2"/>
        <v>1</v>
      </c>
      <c r="L18" s="67">
        <f ca="1">IFERROR(__xludf.DUMMYFUNCTION("""COMPUTED_VALUE"""),44)</f>
        <v>44</v>
      </c>
      <c r="M18" s="51">
        <f t="shared" ca="1" si="3"/>
        <v>0.93617021276595747</v>
      </c>
      <c r="N18" s="67">
        <f ca="1">IFERROR(__xludf.DUMMYFUNCTION("""COMPUTED_VALUE"""),139)</f>
        <v>139</v>
      </c>
      <c r="O18" s="67">
        <f ca="1">IFERROR(__xludf.DUMMYFUNCTION("""COMPUTED_VALUE"""),8)</f>
        <v>8</v>
      </c>
      <c r="P18" s="51">
        <f t="shared" ca="1" si="4"/>
        <v>5.7553956834532377E-2</v>
      </c>
      <c r="Q18" s="67">
        <f ca="1">IFERROR(__xludf.DUMMYFUNCTION("""COMPUTED_VALUE"""),0)</f>
        <v>0</v>
      </c>
      <c r="R18" s="51">
        <f t="shared" ca="1" si="5"/>
        <v>0</v>
      </c>
      <c r="S18" s="66"/>
      <c r="T18" s="66"/>
      <c r="U18" s="51" t="str">
        <f t="shared" si="6"/>
        <v/>
      </c>
      <c r="V18" s="66"/>
      <c r="W18" s="51" t="str">
        <f t="shared" si="7"/>
        <v/>
      </c>
      <c r="X18" s="66"/>
      <c r="Y18" s="51" t="str">
        <f t="shared" si="8"/>
        <v/>
      </c>
      <c r="Z18" s="2"/>
      <c r="AA18" s="2"/>
      <c r="AB18" s="2"/>
      <c r="AC18" s="2"/>
      <c r="AD18" s="2"/>
      <c r="AE18" s="2"/>
    </row>
    <row r="19" spans="1:31" ht="12.75" x14ac:dyDescent="0.2">
      <c r="A19" s="53">
        <f ca="1">IFERROR(__xludf.DUMMYFUNCTION("""COMPUTED_VALUE"""),13)</f>
        <v>13</v>
      </c>
      <c r="B19" s="66" t="str">
        <f ca="1">IFERROR(__xludf.DUMMYFUNCTION("""COMPUTED_VALUE"""),"MN Rạng Đông 11")</f>
        <v>MN Rạng Đông 11</v>
      </c>
      <c r="C19" s="66" t="str">
        <f ca="1">IFERROR(__xludf.DUMMYFUNCTION("""COMPUTED_VALUE"""),"MN")</f>
        <v>MN</v>
      </c>
      <c r="D19" s="66">
        <f ca="1">IFERROR(__xludf.DUMMYFUNCTION("""COMPUTED_VALUE"""),6)</f>
        <v>6</v>
      </c>
      <c r="E19" s="67">
        <f ca="1">IFERROR(__xludf.DUMMYFUNCTION("""COMPUTED_VALUE"""),49)</f>
        <v>49</v>
      </c>
      <c r="F19" s="67">
        <f ca="1">IFERROR(__xludf.DUMMYFUNCTION("""COMPUTED_VALUE"""),49)</f>
        <v>49</v>
      </c>
      <c r="G19" s="51">
        <f t="shared" ca="1" si="0"/>
        <v>1</v>
      </c>
      <c r="H19" s="67">
        <f ca="1">IFERROR(__xludf.DUMMYFUNCTION("""COMPUTED_VALUE"""),49)</f>
        <v>49</v>
      </c>
      <c r="I19" s="51">
        <f t="shared" ca="1" si="1"/>
        <v>1</v>
      </c>
      <c r="J19" s="67">
        <f ca="1">IFERROR(__xludf.DUMMYFUNCTION("""COMPUTED_VALUE"""),49)</f>
        <v>49</v>
      </c>
      <c r="K19" s="51">
        <f t="shared" ca="1" si="2"/>
        <v>1</v>
      </c>
      <c r="L19" s="67">
        <f ca="1">IFERROR(__xludf.DUMMYFUNCTION("""COMPUTED_VALUE"""),47)</f>
        <v>47</v>
      </c>
      <c r="M19" s="51">
        <f t="shared" ca="1" si="3"/>
        <v>0.95918367346938771</v>
      </c>
      <c r="N19" s="67">
        <f ca="1">IFERROR(__xludf.DUMMYFUNCTION("""COMPUTED_VALUE"""),120)</f>
        <v>120</v>
      </c>
      <c r="O19" s="67">
        <f ca="1">IFERROR(__xludf.DUMMYFUNCTION("""COMPUTED_VALUE"""),19)</f>
        <v>19</v>
      </c>
      <c r="P19" s="51">
        <f t="shared" ca="1" si="4"/>
        <v>0.15833333333333333</v>
      </c>
      <c r="Q19" s="67">
        <f ca="1">IFERROR(__xludf.DUMMYFUNCTION("""COMPUTED_VALUE"""),8)</f>
        <v>8</v>
      </c>
      <c r="R19" s="51">
        <f t="shared" ca="1" si="5"/>
        <v>6.6666666666666666E-2</v>
      </c>
      <c r="S19" s="66"/>
      <c r="T19" s="66"/>
      <c r="U19" s="51" t="str">
        <f t="shared" si="6"/>
        <v/>
      </c>
      <c r="V19" s="66"/>
      <c r="W19" s="51" t="str">
        <f t="shared" si="7"/>
        <v/>
      </c>
      <c r="X19" s="66"/>
      <c r="Y19" s="51" t="str">
        <f t="shared" si="8"/>
        <v/>
      </c>
      <c r="Z19" s="2"/>
      <c r="AA19" s="2"/>
      <c r="AB19" s="2"/>
      <c r="AC19" s="2"/>
      <c r="AD19" s="2"/>
      <c r="AE19" s="2"/>
    </row>
    <row r="20" spans="1:31" ht="12.75" x14ac:dyDescent="0.2">
      <c r="A20" s="53">
        <f ca="1">IFERROR(__xludf.DUMMYFUNCTION("""COMPUTED_VALUE"""),14)</f>
        <v>14</v>
      </c>
      <c r="B20" s="66" t="str">
        <f ca="1">IFERROR(__xludf.DUMMYFUNCTION("""COMPUTED_VALUE"""),"MN Rạng Đông 11A")</f>
        <v>MN Rạng Đông 11A</v>
      </c>
      <c r="C20" s="66" t="str">
        <f ca="1">IFERROR(__xludf.DUMMYFUNCTION("""COMPUTED_VALUE"""),"MN")</f>
        <v>MN</v>
      </c>
      <c r="D20" s="66">
        <f ca="1">IFERROR(__xludf.DUMMYFUNCTION("""COMPUTED_VALUE"""),6)</f>
        <v>6</v>
      </c>
      <c r="E20" s="67">
        <f ca="1">IFERROR(__xludf.DUMMYFUNCTION("""COMPUTED_VALUE"""),49)</f>
        <v>49</v>
      </c>
      <c r="F20" s="67">
        <f ca="1">IFERROR(__xludf.DUMMYFUNCTION("""COMPUTED_VALUE"""),49)</f>
        <v>49</v>
      </c>
      <c r="G20" s="51">
        <f t="shared" ca="1" si="0"/>
        <v>1</v>
      </c>
      <c r="H20" s="67">
        <f ca="1">IFERROR(__xludf.DUMMYFUNCTION("""COMPUTED_VALUE"""),49)</f>
        <v>49</v>
      </c>
      <c r="I20" s="51">
        <f t="shared" ca="1" si="1"/>
        <v>1</v>
      </c>
      <c r="J20" s="67">
        <f ca="1">IFERROR(__xludf.DUMMYFUNCTION("""COMPUTED_VALUE"""),49)</f>
        <v>49</v>
      </c>
      <c r="K20" s="51">
        <f t="shared" ca="1" si="2"/>
        <v>1</v>
      </c>
      <c r="L20" s="67">
        <f ca="1">IFERROR(__xludf.DUMMYFUNCTION("""COMPUTED_VALUE"""),44)</f>
        <v>44</v>
      </c>
      <c r="M20" s="51">
        <f t="shared" ca="1" si="3"/>
        <v>0.89795918367346939</v>
      </c>
      <c r="N20" s="67">
        <f ca="1">IFERROR(__xludf.DUMMYFUNCTION("""COMPUTED_VALUE"""),158)</f>
        <v>158</v>
      </c>
      <c r="O20" s="67">
        <f ca="1">IFERROR(__xludf.DUMMYFUNCTION("""COMPUTED_VALUE"""),15)</f>
        <v>15</v>
      </c>
      <c r="P20" s="51">
        <f t="shared" ca="1" si="4"/>
        <v>9.49367088607595E-2</v>
      </c>
      <c r="Q20" s="67">
        <f ca="1">IFERROR(__xludf.DUMMYFUNCTION("""COMPUTED_VALUE"""),12)</f>
        <v>12</v>
      </c>
      <c r="R20" s="51">
        <f t="shared" ca="1" si="5"/>
        <v>7.5949367088607597E-2</v>
      </c>
      <c r="S20" s="66"/>
      <c r="T20" s="66"/>
      <c r="U20" s="51" t="str">
        <f t="shared" si="6"/>
        <v/>
      </c>
      <c r="V20" s="66"/>
      <c r="W20" s="51" t="str">
        <f t="shared" si="7"/>
        <v/>
      </c>
      <c r="X20" s="66"/>
      <c r="Y20" s="51" t="str">
        <f t="shared" si="8"/>
        <v/>
      </c>
      <c r="Z20" s="2"/>
      <c r="AA20" s="2"/>
      <c r="AB20" s="2"/>
      <c r="AC20" s="2"/>
      <c r="AD20" s="2"/>
      <c r="AE20" s="2"/>
    </row>
    <row r="21" spans="1:31" ht="12.75" x14ac:dyDescent="0.2">
      <c r="A21" s="53">
        <f ca="1">IFERROR(__xludf.DUMMYFUNCTION("""COMPUTED_VALUE"""),15)</f>
        <v>15</v>
      </c>
      <c r="B21" s="66" t="str">
        <f ca="1">IFERROR(__xludf.DUMMYFUNCTION("""COMPUTED_VALUE"""),"MN Rạng Đông 12")</f>
        <v>MN Rạng Đông 12</v>
      </c>
      <c r="C21" s="66" t="str">
        <f ca="1">IFERROR(__xludf.DUMMYFUNCTION("""COMPUTED_VALUE"""),"MN")</f>
        <v>MN</v>
      </c>
      <c r="D21" s="66">
        <f ca="1">IFERROR(__xludf.DUMMYFUNCTION("""COMPUTED_VALUE"""),6)</f>
        <v>6</v>
      </c>
      <c r="E21" s="67">
        <f ca="1">IFERROR(__xludf.DUMMYFUNCTION("""COMPUTED_VALUE"""),34)</f>
        <v>34</v>
      </c>
      <c r="F21" s="67">
        <f ca="1">IFERROR(__xludf.DUMMYFUNCTION("""COMPUTED_VALUE"""),34)</f>
        <v>34</v>
      </c>
      <c r="G21" s="51">
        <f t="shared" ca="1" si="0"/>
        <v>1</v>
      </c>
      <c r="H21" s="67">
        <f ca="1">IFERROR(__xludf.DUMMYFUNCTION("""COMPUTED_VALUE"""),34)</f>
        <v>34</v>
      </c>
      <c r="I21" s="51">
        <f t="shared" ca="1" si="1"/>
        <v>1</v>
      </c>
      <c r="J21" s="67">
        <f ca="1">IFERROR(__xludf.DUMMYFUNCTION("""COMPUTED_VALUE"""),34)</f>
        <v>34</v>
      </c>
      <c r="K21" s="51">
        <f t="shared" ca="1" si="2"/>
        <v>1</v>
      </c>
      <c r="L21" s="67">
        <f ca="1">IFERROR(__xludf.DUMMYFUNCTION("""COMPUTED_VALUE"""),34)</f>
        <v>34</v>
      </c>
      <c r="M21" s="51">
        <f t="shared" ca="1" si="3"/>
        <v>1</v>
      </c>
      <c r="N21" s="67">
        <f ca="1">IFERROR(__xludf.DUMMYFUNCTION("""COMPUTED_VALUE"""),92)</f>
        <v>92</v>
      </c>
      <c r="O21" s="67">
        <f ca="1">IFERROR(__xludf.DUMMYFUNCTION("""COMPUTED_VALUE"""),23)</f>
        <v>23</v>
      </c>
      <c r="P21" s="51">
        <f t="shared" ca="1" si="4"/>
        <v>0.25</v>
      </c>
      <c r="Q21" s="67">
        <f ca="1">IFERROR(__xludf.DUMMYFUNCTION("""COMPUTED_VALUE"""),7)</f>
        <v>7</v>
      </c>
      <c r="R21" s="51">
        <f t="shared" ca="1" si="5"/>
        <v>7.6086956521739135E-2</v>
      </c>
      <c r="S21" s="66"/>
      <c r="T21" s="66"/>
      <c r="U21" s="51" t="str">
        <f t="shared" si="6"/>
        <v/>
      </c>
      <c r="V21" s="66"/>
      <c r="W21" s="51" t="str">
        <f t="shared" si="7"/>
        <v/>
      </c>
      <c r="X21" s="66"/>
      <c r="Y21" s="51" t="str">
        <f t="shared" si="8"/>
        <v/>
      </c>
      <c r="Z21" s="2"/>
      <c r="AA21" s="2"/>
      <c r="AB21" s="2"/>
      <c r="AC21" s="2"/>
      <c r="AD21" s="2"/>
      <c r="AE21" s="2"/>
    </row>
    <row r="22" spans="1:31" ht="12.75" x14ac:dyDescent="0.2">
      <c r="A22" s="53">
        <f ca="1">IFERROR(__xludf.DUMMYFUNCTION("""COMPUTED_VALUE"""),16)</f>
        <v>16</v>
      </c>
      <c r="B22" s="66" t="str">
        <f ca="1">IFERROR(__xludf.DUMMYFUNCTION("""COMPUTED_VALUE"""),"MN Rạng Đông 13")</f>
        <v>MN Rạng Đông 13</v>
      </c>
      <c r="C22" s="66" t="str">
        <f ca="1">IFERROR(__xludf.DUMMYFUNCTION("""COMPUTED_VALUE"""),"MN")</f>
        <v>MN</v>
      </c>
      <c r="D22" s="66">
        <f ca="1">IFERROR(__xludf.DUMMYFUNCTION("""COMPUTED_VALUE"""),6)</f>
        <v>6</v>
      </c>
      <c r="E22" s="67">
        <f ca="1">IFERROR(__xludf.DUMMYFUNCTION("""COMPUTED_VALUE"""),34)</f>
        <v>34</v>
      </c>
      <c r="F22" s="67">
        <f ca="1">IFERROR(__xludf.DUMMYFUNCTION("""COMPUTED_VALUE"""),34)</f>
        <v>34</v>
      </c>
      <c r="G22" s="51">
        <f t="shared" ca="1" si="0"/>
        <v>1</v>
      </c>
      <c r="H22" s="67">
        <f ca="1">IFERROR(__xludf.DUMMYFUNCTION("""COMPUTED_VALUE"""),34)</f>
        <v>34</v>
      </c>
      <c r="I22" s="51">
        <f t="shared" ca="1" si="1"/>
        <v>1</v>
      </c>
      <c r="J22" s="67">
        <f ca="1">IFERROR(__xludf.DUMMYFUNCTION("""COMPUTED_VALUE"""),33)</f>
        <v>33</v>
      </c>
      <c r="K22" s="51">
        <f t="shared" ca="1" si="2"/>
        <v>0.97058823529411764</v>
      </c>
      <c r="L22" s="67">
        <f ca="1">IFERROR(__xludf.DUMMYFUNCTION("""COMPUTED_VALUE"""),29)</f>
        <v>29</v>
      </c>
      <c r="M22" s="51">
        <f t="shared" ca="1" si="3"/>
        <v>0.8529411764705882</v>
      </c>
      <c r="N22" s="67">
        <f ca="1">IFERROR(__xludf.DUMMYFUNCTION("""COMPUTED_VALUE"""),77)</f>
        <v>77</v>
      </c>
      <c r="O22" s="67">
        <f ca="1">IFERROR(__xludf.DUMMYFUNCTION("""COMPUTED_VALUE"""),21)</f>
        <v>21</v>
      </c>
      <c r="P22" s="51">
        <f t="shared" ca="1" si="4"/>
        <v>0.27272727272727271</v>
      </c>
      <c r="Q22" s="67">
        <f ca="1">IFERROR(__xludf.DUMMYFUNCTION("""COMPUTED_VALUE"""),14)</f>
        <v>14</v>
      </c>
      <c r="R22" s="51">
        <f t="shared" ca="1" si="5"/>
        <v>0.18181818181818182</v>
      </c>
      <c r="S22" s="66"/>
      <c r="T22" s="66"/>
      <c r="U22" s="51" t="str">
        <f t="shared" si="6"/>
        <v/>
      </c>
      <c r="V22" s="66"/>
      <c r="W22" s="51" t="str">
        <f t="shared" si="7"/>
        <v/>
      </c>
      <c r="X22" s="66"/>
      <c r="Y22" s="51" t="str">
        <f t="shared" si="8"/>
        <v/>
      </c>
      <c r="Z22" s="2"/>
      <c r="AA22" s="2"/>
      <c r="AB22" s="2"/>
      <c r="AC22" s="2"/>
      <c r="AD22" s="2"/>
      <c r="AE22" s="2"/>
    </row>
    <row r="23" spans="1:31" ht="12.75" x14ac:dyDescent="0.2">
      <c r="A23" s="53">
        <f ca="1">IFERROR(__xludf.DUMMYFUNCTION("""COMPUTED_VALUE"""),17)</f>
        <v>17</v>
      </c>
      <c r="B23" s="66" t="str">
        <f ca="1">IFERROR(__xludf.DUMMYFUNCTION("""COMPUTED_VALUE"""),"MN Rạng Đông 14")</f>
        <v>MN Rạng Đông 14</v>
      </c>
      <c r="C23" s="66" t="str">
        <f ca="1">IFERROR(__xludf.DUMMYFUNCTION("""COMPUTED_VALUE"""),"MN")</f>
        <v>MN</v>
      </c>
      <c r="D23" s="66">
        <f ca="1">IFERROR(__xludf.DUMMYFUNCTION("""COMPUTED_VALUE"""),6)</f>
        <v>6</v>
      </c>
      <c r="E23" s="67">
        <f ca="1">IFERROR(__xludf.DUMMYFUNCTION("""COMPUTED_VALUE"""),37)</f>
        <v>37</v>
      </c>
      <c r="F23" s="67">
        <f ca="1">IFERROR(__xludf.DUMMYFUNCTION("""COMPUTED_VALUE"""),37)</f>
        <v>37</v>
      </c>
      <c r="G23" s="51">
        <f t="shared" ca="1" si="0"/>
        <v>1</v>
      </c>
      <c r="H23" s="67">
        <f ca="1">IFERROR(__xludf.DUMMYFUNCTION("""COMPUTED_VALUE"""),37)</f>
        <v>37</v>
      </c>
      <c r="I23" s="51">
        <f t="shared" ca="1" si="1"/>
        <v>1</v>
      </c>
      <c r="J23" s="67">
        <f ca="1">IFERROR(__xludf.DUMMYFUNCTION("""COMPUTED_VALUE"""),37)</f>
        <v>37</v>
      </c>
      <c r="K23" s="51">
        <f t="shared" ca="1" si="2"/>
        <v>1</v>
      </c>
      <c r="L23" s="67">
        <f ca="1">IFERROR(__xludf.DUMMYFUNCTION("""COMPUTED_VALUE"""),37)</f>
        <v>37</v>
      </c>
      <c r="M23" s="51">
        <f t="shared" ca="1" si="3"/>
        <v>1</v>
      </c>
      <c r="N23" s="67">
        <f ca="1">IFERROR(__xludf.DUMMYFUNCTION("""COMPUTED_VALUE"""),90)</f>
        <v>90</v>
      </c>
      <c r="O23" s="67">
        <f ca="1">IFERROR(__xludf.DUMMYFUNCTION("""COMPUTED_VALUE"""),17)</f>
        <v>17</v>
      </c>
      <c r="P23" s="51">
        <f t="shared" ca="1" si="4"/>
        <v>0.18888888888888888</v>
      </c>
      <c r="Q23" s="67">
        <f ca="1">IFERROR(__xludf.DUMMYFUNCTION("""COMPUTED_VALUE"""),8)</f>
        <v>8</v>
      </c>
      <c r="R23" s="51">
        <f t="shared" ca="1" si="5"/>
        <v>8.8888888888888892E-2</v>
      </c>
      <c r="S23" s="66"/>
      <c r="T23" s="66"/>
      <c r="U23" s="51" t="str">
        <f t="shared" si="6"/>
        <v/>
      </c>
      <c r="V23" s="66"/>
      <c r="W23" s="51" t="str">
        <f t="shared" si="7"/>
        <v/>
      </c>
      <c r="X23" s="66"/>
      <c r="Y23" s="51" t="str">
        <f t="shared" si="8"/>
        <v/>
      </c>
      <c r="Z23" s="2"/>
      <c r="AA23" s="2"/>
      <c r="AB23" s="2"/>
      <c r="AC23" s="2"/>
      <c r="AD23" s="2"/>
      <c r="AE23" s="2"/>
    </row>
    <row r="24" spans="1:31" ht="12.75" x14ac:dyDescent="0.2">
      <c r="A24" s="53">
        <f ca="1">IFERROR(__xludf.DUMMYFUNCTION("""COMPUTED_VALUE"""),18)</f>
        <v>18</v>
      </c>
      <c r="B24" s="66" t="str">
        <f ca="1">IFERROR(__xludf.DUMMYFUNCTION("""COMPUTED_VALUE"""),"MN Rạng Đông Quận 6")</f>
        <v>MN Rạng Đông Quận 6</v>
      </c>
      <c r="C24" s="66" t="str">
        <f ca="1">IFERROR(__xludf.DUMMYFUNCTION("""COMPUTED_VALUE"""),"MN")</f>
        <v>MN</v>
      </c>
      <c r="D24" s="66">
        <f ca="1">IFERROR(__xludf.DUMMYFUNCTION("""COMPUTED_VALUE"""),6)</f>
        <v>6</v>
      </c>
      <c r="E24" s="67">
        <f ca="1">IFERROR(__xludf.DUMMYFUNCTION("""COMPUTED_VALUE"""),70)</f>
        <v>70</v>
      </c>
      <c r="F24" s="67">
        <f ca="1">IFERROR(__xludf.DUMMYFUNCTION("""COMPUTED_VALUE"""),70)</f>
        <v>70</v>
      </c>
      <c r="G24" s="51">
        <f t="shared" ca="1" si="0"/>
        <v>1</v>
      </c>
      <c r="H24" s="67">
        <f ca="1">IFERROR(__xludf.DUMMYFUNCTION("""COMPUTED_VALUE"""),70)</f>
        <v>70</v>
      </c>
      <c r="I24" s="51">
        <f t="shared" ca="1" si="1"/>
        <v>1</v>
      </c>
      <c r="J24" s="67">
        <f ca="1">IFERROR(__xludf.DUMMYFUNCTION("""COMPUTED_VALUE"""),70)</f>
        <v>70</v>
      </c>
      <c r="K24" s="51">
        <f t="shared" ca="1" si="2"/>
        <v>1</v>
      </c>
      <c r="L24" s="67">
        <f ca="1">IFERROR(__xludf.DUMMYFUNCTION("""COMPUTED_VALUE"""),66)</f>
        <v>66</v>
      </c>
      <c r="M24" s="51">
        <f t="shared" ca="1" si="3"/>
        <v>0.94285714285714284</v>
      </c>
      <c r="N24" s="67">
        <f ca="1">IFERROR(__xludf.DUMMYFUNCTION("""COMPUTED_VALUE"""),100)</f>
        <v>100</v>
      </c>
      <c r="O24" s="67">
        <f ca="1">IFERROR(__xludf.DUMMYFUNCTION("""COMPUTED_VALUE"""),11)</f>
        <v>11</v>
      </c>
      <c r="P24" s="51">
        <f t="shared" ca="1" si="4"/>
        <v>0.11</v>
      </c>
      <c r="Q24" s="67">
        <f ca="1">IFERROR(__xludf.DUMMYFUNCTION("""COMPUTED_VALUE"""),5)</f>
        <v>5</v>
      </c>
      <c r="R24" s="51">
        <f t="shared" ca="1" si="5"/>
        <v>0.05</v>
      </c>
      <c r="S24" s="66"/>
      <c r="T24" s="66"/>
      <c r="U24" s="51" t="str">
        <f t="shared" si="6"/>
        <v/>
      </c>
      <c r="V24" s="66"/>
      <c r="W24" s="51" t="str">
        <f t="shared" si="7"/>
        <v/>
      </c>
      <c r="X24" s="66"/>
      <c r="Y24" s="51" t="str">
        <f t="shared" si="8"/>
        <v/>
      </c>
      <c r="Z24" s="2"/>
      <c r="AA24" s="2"/>
      <c r="AB24" s="2"/>
      <c r="AC24" s="2"/>
      <c r="AD24" s="2"/>
      <c r="AE24" s="2"/>
    </row>
    <row r="25" spans="1:31" ht="12.75" x14ac:dyDescent="0.2">
      <c r="A25" s="53">
        <f ca="1">IFERROR(__xludf.DUMMYFUNCTION("""COMPUTED_VALUE"""),19)</f>
        <v>19</v>
      </c>
      <c r="B25" s="66" t="str">
        <f ca="1">IFERROR(__xludf.DUMMYFUNCTION("""COMPUTED_VALUE"""),"MN Chìa KhóaVàng")</f>
        <v>MN Chìa KhóaVàng</v>
      </c>
      <c r="C25" s="66" t="str">
        <f ca="1">IFERROR(__xludf.DUMMYFUNCTION("""COMPUTED_VALUE"""),"MN")</f>
        <v>MN</v>
      </c>
      <c r="D25" s="66">
        <f ca="1">IFERROR(__xludf.DUMMYFUNCTION("""COMPUTED_VALUE"""),6)</f>
        <v>6</v>
      </c>
      <c r="E25" s="67">
        <f ca="1">IFERROR(__xludf.DUMMYFUNCTION("""COMPUTED_VALUE"""),20)</f>
        <v>20</v>
      </c>
      <c r="F25" s="67">
        <f ca="1">IFERROR(__xludf.DUMMYFUNCTION("""COMPUTED_VALUE"""),20)</f>
        <v>20</v>
      </c>
      <c r="G25" s="51">
        <f t="shared" ca="1" si="0"/>
        <v>1</v>
      </c>
      <c r="H25" s="67">
        <f ca="1">IFERROR(__xludf.DUMMYFUNCTION("""COMPUTED_VALUE"""),20)</f>
        <v>20</v>
      </c>
      <c r="I25" s="51">
        <f t="shared" ca="1" si="1"/>
        <v>1</v>
      </c>
      <c r="J25" s="67">
        <f ca="1">IFERROR(__xludf.DUMMYFUNCTION("""COMPUTED_VALUE"""),20)</f>
        <v>20</v>
      </c>
      <c r="K25" s="51">
        <f t="shared" ca="1" si="2"/>
        <v>1</v>
      </c>
      <c r="L25" s="67">
        <f ca="1">IFERROR(__xludf.DUMMYFUNCTION("""COMPUTED_VALUE"""),9)</f>
        <v>9</v>
      </c>
      <c r="M25" s="51">
        <f t="shared" ca="1" si="3"/>
        <v>0.45</v>
      </c>
      <c r="N25" s="67">
        <f ca="1">IFERROR(__xludf.DUMMYFUNCTION("""COMPUTED_VALUE"""),17)</f>
        <v>17</v>
      </c>
      <c r="O25" s="67">
        <f ca="1">IFERROR(__xludf.DUMMYFUNCTION("""COMPUTED_VALUE"""),0)</f>
        <v>0</v>
      </c>
      <c r="P25" s="51">
        <f t="shared" ca="1" si="4"/>
        <v>0</v>
      </c>
      <c r="Q25" s="67">
        <f ca="1">IFERROR(__xludf.DUMMYFUNCTION("""COMPUTED_VALUE"""),0)</f>
        <v>0</v>
      </c>
      <c r="R25" s="51">
        <f t="shared" ca="1" si="5"/>
        <v>0</v>
      </c>
      <c r="S25" s="66"/>
      <c r="T25" s="66"/>
      <c r="U25" s="51" t="str">
        <f t="shared" si="6"/>
        <v/>
      </c>
      <c r="V25" s="66"/>
      <c r="W25" s="51" t="str">
        <f t="shared" si="7"/>
        <v/>
      </c>
      <c r="X25" s="66"/>
      <c r="Y25" s="51" t="str">
        <f t="shared" si="8"/>
        <v/>
      </c>
      <c r="Z25" s="2"/>
      <c r="AA25" s="2"/>
      <c r="AB25" s="2"/>
      <c r="AC25" s="2"/>
      <c r="AD25" s="2"/>
      <c r="AE25" s="2"/>
    </row>
    <row r="26" spans="1:31" ht="12.75" x14ac:dyDescent="0.2">
      <c r="A26" s="53">
        <f ca="1">IFERROR(__xludf.DUMMYFUNCTION("""COMPUTED_VALUE"""),20)</f>
        <v>20</v>
      </c>
      <c r="B26" s="66" t="str">
        <f ca="1">IFERROR(__xludf.DUMMYFUNCTION("""COMPUTED_VALUE"""),"MN Hươu Cao Cổ")</f>
        <v>MN Hươu Cao Cổ</v>
      </c>
      <c r="C26" s="66" t="str">
        <f ca="1">IFERROR(__xludf.DUMMYFUNCTION("""COMPUTED_VALUE"""),"MN")</f>
        <v>MN</v>
      </c>
      <c r="D26" s="66">
        <f ca="1">IFERROR(__xludf.DUMMYFUNCTION("""COMPUTED_VALUE"""),6)</f>
        <v>6</v>
      </c>
      <c r="E26" s="67">
        <f ca="1">IFERROR(__xludf.DUMMYFUNCTION("""COMPUTED_VALUE"""),6)</f>
        <v>6</v>
      </c>
      <c r="F26" s="67">
        <f ca="1">IFERROR(__xludf.DUMMYFUNCTION("""COMPUTED_VALUE"""),6)</f>
        <v>6</v>
      </c>
      <c r="G26" s="51">
        <f t="shared" ca="1" si="0"/>
        <v>1</v>
      </c>
      <c r="H26" s="67">
        <f ca="1">IFERROR(__xludf.DUMMYFUNCTION("""COMPUTED_VALUE"""),6)</f>
        <v>6</v>
      </c>
      <c r="I26" s="51">
        <f t="shared" ca="1" si="1"/>
        <v>1</v>
      </c>
      <c r="J26" s="67">
        <f ca="1">IFERROR(__xludf.DUMMYFUNCTION("""COMPUTED_VALUE"""),6)</f>
        <v>6</v>
      </c>
      <c r="K26" s="51">
        <f t="shared" ca="1" si="2"/>
        <v>1</v>
      </c>
      <c r="L26" s="67">
        <f ca="1">IFERROR(__xludf.DUMMYFUNCTION("""COMPUTED_VALUE"""),6)</f>
        <v>6</v>
      </c>
      <c r="M26" s="51">
        <f t="shared" ca="1" si="3"/>
        <v>1</v>
      </c>
      <c r="N26" s="67">
        <f ca="1">IFERROR(__xludf.DUMMYFUNCTION("""COMPUTED_VALUE"""),5)</f>
        <v>5</v>
      </c>
      <c r="O26" s="67">
        <f ca="1">IFERROR(__xludf.DUMMYFUNCTION("""COMPUTED_VALUE"""),5)</f>
        <v>5</v>
      </c>
      <c r="P26" s="51">
        <f t="shared" ca="1" si="4"/>
        <v>1</v>
      </c>
      <c r="Q26" s="67">
        <f ca="1">IFERROR(__xludf.DUMMYFUNCTION("""COMPUTED_VALUE"""),0)</f>
        <v>0</v>
      </c>
      <c r="R26" s="51">
        <f t="shared" ca="1" si="5"/>
        <v>0</v>
      </c>
      <c r="S26" s="66"/>
      <c r="T26" s="66"/>
      <c r="U26" s="51" t="str">
        <f t="shared" si="6"/>
        <v/>
      </c>
      <c r="V26" s="66"/>
      <c r="W26" s="51" t="str">
        <f t="shared" si="7"/>
        <v/>
      </c>
      <c r="X26" s="66"/>
      <c r="Y26" s="51" t="str">
        <f t="shared" si="8"/>
        <v/>
      </c>
      <c r="Z26" s="2"/>
      <c r="AA26" s="2"/>
      <c r="AB26" s="2"/>
      <c r="AC26" s="2"/>
      <c r="AD26" s="2"/>
      <c r="AE26" s="2"/>
    </row>
    <row r="27" spans="1:31" ht="12.75" x14ac:dyDescent="0.2">
      <c r="A27" s="53">
        <f ca="1">IFERROR(__xludf.DUMMYFUNCTION("""COMPUTED_VALUE"""),21)</f>
        <v>21</v>
      </c>
      <c r="B27" s="66" t="str">
        <f ca="1">IFERROR(__xludf.DUMMYFUNCTION("""COMPUTED_VALUE"""),"MN Cầu Vồng")</f>
        <v>MN Cầu Vồng</v>
      </c>
      <c r="C27" s="66" t="str">
        <f ca="1">IFERROR(__xludf.DUMMYFUNCTION("""COMPUTED_VALUE"""),"MN")</f>
        <v>MN</v>
      </c>
      <c r="D27" s="66">
        <f ca="1">IFERROR(__xludf.DUMMYFUNCTION("""COMPUTED_VALUE"""),6)</f>
        <v>6</v>
      </c>
      <c r="E27" s="67">
        <f ca="1">IFERROR(__xludf.DUMMYFUNCTION("""COMPUTED_VALUE"""),11)</f>
        <v>11</v>
      </c>
      <c r="F27" s="67">
        <f ca="1">IFERROR(__xludf.DUMMYFUNCTION("""COMPUTED_VALUE"""),11)</f>
        <v>11</v>
      </c>
      <c r="G27" s="51">
        <f t="shared" ca="1" si="0"/>
        <v>1</v>
      </c>
      <c r="H27" s="67">
        <f ca="1">IFERROR(__xludf.DUMMYFUNCTION("""COMPUTED_VALUE"""),11)</f>
        <v>11</v>
      </c>
      <c r="I27" s="51">
        <f t="shared" ca="1" si="1"/>
        <v>1</v>
      </c>
      <c r="J27" s="67">
        <f ca="1">IFERROR(__xludf.DUMMYFUNCTION("""COMPUTED_VALUE"""),11)</f>
        <v>11</v>
      </c>
      <c r="K27" s="51">
        <f t="shared" ca="1" si="2"/>
        <v>1</v>
      </c>
      <c r="L27" s="67">
        <f ca="1">IFERROR(__xludf.DUMMYFUNCTION("""COMPUTED_VALUE"""),5)</f>
        <v>5</v>
      </c>
      <c r="M27" s="51">
        <f t="shared" ca="1" si="3"/>
        <v>0.45454545454545453</v>
      </c>
      <c r="N27" s="67">
        <f ca="1">IFERROR(__xludf.DUMMYFUNCTION("""COMPUTED_VALUE"""),15)</f>
        <v>15</v>
      </c>
      <c r="O27" s="67">
        <f ca="1">IFERROR(__xludf.DUMMYFUNCTION("""COMPUTED_VALUE"""),2)</f>
        <v>2</v>
      </c>
      <c r="P27" s="51">
        <f t="shared" ca="1" si="4"/>
        <v>0.13333333333333333</v>
      </c>
      <c r="Q27" s="67">
        <f ca="1">IFERROR(__xludf.DUMMYFUNCTION("""COMPUTED_VALUE"""),1)</f>
        <v>1</v>
      </c>
      <c r="R27" s="51">
        <f t="shared" ca="1" si="5"/>
        <v>6.6666666666666666E-2</v>
      </c>
      <c r="S27" s="66"/>
      <c r="T27" s="66"/>
      <c r="U27" s="51" t="str">
        <f t="shared" si="6"/>
        <v/>
      </c>
      <c r="V27" s="66"/>
      <c r="W27" s="51" t="str">
        <f t="shared" si="7"/>
        <v/>
      </c>
      <c r="X27" s="66"/>
      <c r="Y27" s="51" t="str">
        <f t="shared" si="8"/>
        <v/>
      </c>
      <c r="Z27" s="2"/>
      <c r="AA27" s="2"/>
      <c r="AB27" s="2"/>
      <c r="AC27" s="2"/>
      <c r="AD27" s="2"/>
      <c r="AE27" s="2"/>
    </row>
    <row r="28" spans="1:31" ht="12.75" x14ac:dyDescent="0.2">
      <c r="A28" s="53">
        <f ca="1">IFERROR(__xludf.DUMMYFUNCTION("""COMPUTED_VALUE"""),22)</f>
        <v>22</v>
      </c>
      <c r="B28" s="66" t="str">
        <f ca="1">IFERROR(__xludf.DUMMYFUNCTION("""COMPUTED_VALUE"""),"MN Hoa Mặt Trời")</f>
        <v>MN Hoa Mặt Trời</v>
      </c>
      <c r="C28" s="66" t="str">
        <f ca="1">IFERROR(__xludf.DUMMYFUNCTION("""COMPUTED_VALUE"""),"MN")</f>
        <v>MN</v>
      </c>
      <c r="D28" s="66">
        <f ca="1">IFERROR(__xludf.DUMMYFUNCTION("""COMPUTED_VALUE"""),6)</f>
        <v>6</v>
      </c>
      <c r="E28" s="67">
        <f ca="1">IFERROR(__xludf.DUMMYFUNCTION("""COMPUTED_VALUE"""),14)</f>
        <v>14</v>
      </c>
      <c r="F28" s="67">
        <f ca="1">IFERROR(__xludf.DUMMYFUNCTION("""COMPUTED_VALUE"""),14)</f>
        <v>14</v>
      </c>
      <c r="G28" s="51">
        <f t="shared" ca="1" si="0"/>
        <v>1</v>
      </c>
      <c r="H28" s="67">
        <f ca="1">IFERROR(__xludf.DUMMYFUNCTION("""COMPUTED_VALUE"""),14)</f>
        <v>14</v>
      </c>
      <c r="I28" s="51">
        <f t="shared" ca="1" si="1"/>
        <v>1</v>
      </c>
      <c r="J28" s="67">
        <f ca="1">IFERROR(__xludf.DUMMYFUNCTION("""COMPUTED_VALUE"""),13)</f>
        <v>13</v>
      </c>
      <c r="K28" s="51">
        <f t="shared" ca="1" si="2"/>
        <v>0.9285714285714286</v>
      </c>
      <c r="L28" s="67">
        <f ca="1">IFERROR(__xludf.DUMMYFUNCTION("""COMPUTED_VALUE"""),12)</f>
        <v>12</v>
      </c>
      <c r="M28" s="51">
        <f t="shared" ca="1" si="3"/>
        <v>0.8571428571428571</v>
      </c>
      <c r="N28" s="67">
        <f ca="1">IFERROR(__xludf.DUMMYFUNCTION("""COMPUTED_VALUE"""),18)</f>
        <v>18</v>
      </c>
      <c r="O28" s="67">
        <f ca="1">IFERROR(__xludf.DUMMYFUNCTION("""COMPUTED_VALUE"""),2)</f>
        <v>2</v>
      </c>
      <c r="P28" s="51">
        <f t="shared" ca="1" si="4"/>
        <v>0.1111111111111111</v>
      </c>
      <c r="Q28" s="67">
        <f ca="1">IFERROR(__xludf.DUMMYFUNCTION("""COMPUTED_VALUE"""),0)</f>
        <v>0</v>
      </c>
      <c r="R28" s="51">
        <f t="shared" ca="1" si="5"/>
        <v>0</v>
      </c>
      <c r="S28" s="66"/>
      <c r="T28" s="66"/>
      <c r="U28" s="51" t="str">
        <f t="shared" si="6"/>
        <v/>
      </c>
      <c r="V28" s="66"/>
      <c r="W28" s="51" t="str">
        <f t="shared" si="7"/>
        <v/>
      </c>
      <c r="X28" s="66"/>
      <c r="Y28" s="51" t="str">
        <f t="shared" si="8"/>
        <v/>
      </c>
      <c r="Z28" s="2"/>
      <c r="AA28" s="2"/>
      <c r="AB28" s="2"/>
      <c r="AC28" s="2"/>
      <c r="AD28" s="2"/>
      <c r="AE28" s="2"/>
    </row>
    <row r="29" spans="1:31" ht="12.75" x14ac:dyDescent="0.2">
      <c r="A29" s="53">
        <f ca="1">IFERROR(__xludf.DUMMYFUNCTION("""COMPUTED_VALUE"""),23)</f>
        <v>23</v>
      </c>
      <c r="B29" s="66" t="str">
        <f ca="1">IFERROR(__xludf.DUMMYFUNCTION("""COMPUTED_VALUE"""),"MN Ngôi Sao ")</f>
        <v xml:space="preserve">MN Ngôi Sao </v>
      </c>
      <c r="C29" s="66" t="str">
        <f ca="1">IFERROR(__xludf.DUMMYFUNCTION("""COMPUTED_VALUE"""),"MN")</f>
        <v>MN</v>
      </c>
      <c r="D29" s="66">
        <f ca="1">IFERROR(__xludf.DUMMYFUNCTION("""COMPUTED_VALUE"""),6)</f>
        <v>6</v>
      </c>
      <c r="E29" s="67">
        <f ca="1">IFERROR(__xludf.DUMMYFUNCTION("""COMPUTED_VALUE"""),21)</f>
        <v>21</v>
      </c>
      <c r="F29" s="67">
        <f ca="1">IFERROR(__xludf.DUMMYFUNCTION("""COMPUTED_VALUE"""),21)</f>
        <v>21</v>
      </c>
      <c r="G29" s="51">
        <f t="shared" ca="1" si="0"/>
        <v>1</v>
      </c>
      <c r="H29" s="67">
        <f ca="1">IFERROR(__xludf.DUMMYFUNCTION("""COMPUTED_VALUE"""),21)</f>
        <v>21</v>
      </c>
      <c r="I29" s="51">
        <f t="shared" ca="1" si="1"/>
        <v>1</v>
      </c>
      <c r="J29" s="67">
        <f ca="1">IFERROR(__xludf.DUMMYFUNCTION("""COMPUTED_VALUE"""),21)</f>
        <v>21</v>
      </c>
      <c r="K29" s="51">
        <f t="shared" ca="1" si="2"/>
        <v>1</v>
      </c>
      <c r="L29" s="67">
        <f ca="1">IFERROR(__xludf.DUMMYFUNCTION("""COMPUTED_VALUE"""),7)</f>
        <v>7</v>
      </c>
      <c r="M29" s="51">
        <f t="shared" ca="1" si="3"/>
        <v>0.33333333333333331</v>
      </c>
      <c r="N29" s="67">
        <f ca="1">IFERROR(__xludf.DUMMYFUNCTION("""COMPUTED_VALUE"""),19)</f>
        <v>19</v>
      </c>
      <c r="O29" s="67">
        <f ca="1">IFERROR(__xludf.DUMMYFUNCTION("""COMPUTED_VALUE"""),0)</f>
        <v>0</v>
      </c>
      <c r="P29" s="51">
        <f t="shared" ca="1" si="4"/>
        <v>0</v>
      </c>
      <c r="Q29" s="67">
        <f ca="1">IFERROR(__xludf.DUMMYFUNCTION("""COMPUTED_VALUE"""),0)</f>
        <v>0</v>
      </c>
      <c r="R29" s="51">
        <f t="shared" ca="1" si="5"/>
        <v>0</v>
      </c>
      <c r="S29" s="66"/>
      <c r="T29" s="66"/>
      <c r="U29" s="51" t="str">
        <f t="shared" si="6"/>
        <v/>
      </c>
      <c r="V29" s="66"/>
      <c r="W29" s="51" t="str">
        <f t="shared" si="7"/>
        <v/>
      </c>
      <c r="X29" s="66"/>
      <c r="Y29" s="51" t="str">
        <f t="shared" si="8"/>
        <v/>
      </c>
      <c r="Z29" s="2"/>
      <c r="AA29" s="2"/>
      <c r="AB29" s="2"/>
      <c r="AC29" s="2"/>
      <c r="AD29" s="2"/>
      <c r="AE29" s="2"/>
    </row>
    <row r="30" spans="1:31" ht="12.75" x14ac:dyDescent="0.2">
      <c r="A30" s="53">
        <f ca="1">IFERROR(__xludf.DUMMYFUNCTION("""COMPUTED_VALUE"""),24)</f>
        <v>24</v>
      </c>
      <c r="B30" s="66" t="str">
        <f ca="1">IFERROR(__xludf.DUMMYFUNCTION("""COMPUTED_VALUE"""),"MN Táo Hồng")</f>
        <v>MN Táo Hồng</v>
      </c>
      <c r="C30" s="66" t="str">
        <f ca="1">IFERROR(__xludf.DUMMYFUNCTION("""COMPUTED_VALUE"""),"MN")</f>
        <v>MN</v>
      </c>
      <c r="D30" s="66">
        <f ca="1">IFERROR(__xludf.DUMMYFUNCTION("""COMPUTED_VALUE"""),6)</f>
        <v>6</v>
      </c>
      <c r="E30" s="67">
        <f ca="1">IFERROR(__xludf.DUMMYFUNCTION("""COMPUTED_VALUE"""),5)</f>
        <v>5</v>
      </c>
      <c r="F30" s="67">
        <f ca="1">IFERROR(__xludf.DUMMYFUNCTION("""COMPUTED_VALUE"""),5)</f>
        <v>5</v>
      </c>
      <c r="G30" s="51">
        <f t="shared" ca="1" si="0"/>
        <v>1</v>
      </c>
      <c r="H30" s="67">
        <f ca="1">IFERROR(__xludf.DUMMYFUNCTION("""COMPUTED_VALUE"""),5)</f>
        <v>5</v>
      </c>
      <c r="I30" s="51">
        <f t="shared" ca="1" si="1"/>
        <v>1</v>
      </c>
      <c r="J30" s="67">
        <f ca="1">IFERROR(__xludf.DUMMYFUNCTION("""COMPUTED_VALUE"""),5)</f>
        <v>5</v>
      </c>
      <c r="K30" s="51">
        <f t="shared" ca="1" si="2"/>
        <v>1</v>
      </c>
      <c r="L30" s="67">
        <f ca="1">IFERROR(__xludf.DUMMYFUNCTION("""COMPUTED_VALUE"""),5)</f>
        <v>5</v>
      </c>
      <c r="M30" s="51">
        <f t="shared" ca="1" si="3"/>
        <v>1</v>
      </c>
      <c r="N30" s="67">
        <f ca="1">IFERROR(__xludf.DUMMYFUNCTION("""COMPUTED_VALUE"""),18)</f>
        <v>18</v>
      </c>
      <c r="O30" s="67">
        <f ca="1">IFERROR(__xludf.DUMMYFUNCTION("""COMPUTED_VALUE"""),3)</f>
        <v>3</v>
      </c>
      <c r="P30" s="51">
        <f t="shared" ca="1" si="4"/>
        <v>0.16666666666666666</v>
      </c>
      <c r="Q30" s="67">
        <f ca="1">IFERROR(__xludf.DUMMYFUNCTION("""COMPUTED_VALUE"""),0)</f>
        <v>0</v>
      </c>
      <c r="R30" s="51">
        <f t="shared" ca="1" si="5"/>
        <v>0</v>
      </c>
      <c r="S30" s="66"/>
      <c r="T30" s="66"/>
      <c r="U30" s="51" t="str">
        <f t="shared" si="6"/>
        <v/>
      </c>
      <c r="V30" s="66"/>
      <c r="W30" s="51" t="str">
        <f t="shared" si="7"/>
        <v/>
      </c>
      <c r="X30" s="66"/>
      <c r="Y30" s="51" t="str">
        <f t="shared" si="8"/>
        <v/>
      </c>
      <c r="Z30" s="2"/>
      <c r="AA30" s="2"/>
      <c r="AB30" s="2"/>
      <c r="AC30" s="2"/>
      <c r="AD30" s="2"/>
      <c r="AE30" s="2"/>
    </row>
    <row r="31" spans="1:31" ht="12.75" x14ac:dyDescent="0.2">
      <c r="A31" s="53">
        <f ca="1">IFERROR(__xludf.DUMMYFUNCTION("""COMPUTED_VALUE"""),25)</f>
        <v>25</v>
      </c>
      <c r="B31" s="66" t="str">
        <f ca="1">IFERROR(__xludf.DUMMYFUNCTION("""COMPUTED_VALUE"""),"MN Mỹ Cát")</f>
        <v>MN Mỹ Cát</v>
      </c>
      <c r="C31" s="66" t="str">
        <f ca="1">IFERROR(__xludf.DUMMYFUNCTION("""COMPUTED_VALUE"""),"MN")</f>
        <v>MN</v>
      </c>
      <c r="D31" s="66">
        <f ca="1">IFERROR(__xludf.DUMMYFUNCTION("""COMPUTED_VALUE"""),6)</f>
        <v>6</v>
      </c>
      <c r="E31" s="67">
        <f ca="1">IFERROR(__xludf.DUMMYFUNCTION("""COMPUTED_VALUE"""),25)</f>
        <v>25</v>
      </c>
      <c r="F31" s="67">
        <f ca="1">IFERROR(__xludf.DUMMYFUNCTION("""COMPUTED_VALUE"""),25)</f>
        <v>25</v>
      </c>
      <c r="G31" s="51">
        <f t="shared" ca="1" si="0"/>
        <v>1</v>
      </c>
      <c r="H31" s="67">
        <f ca="1">IFERROR(__xludf.DUMMYFUNCTION("""COMPUTED_VALUE"""),25)</f>
        <v>25</v>
      </c>
      <c r="I31" s="51">
        <f t="shared" ca="1" si="1"/>
        <v>1</v>
      </c>
      <c r="J31" s="67">
        <f ca="1">IFERROR(__xludf.DUMMYFUNCTION("""COMPUTED_VALUE"""),25)</f>
        <v>25</v>
      </c>
      <c r="K31" s="51">
        <f t="shared" ca="1" si="2"/>
        <v>1</v>
      </c>
      <c r="L31" s="67">
        <f ca="1">IFERROR(__xludf.DUMMYFUNCTION("""COMPUTED_VALUE"""),16)</f>
        <v>16</v>
      </c>
      <c r="M31" s="51">
        <f t="shared" ca="1" si="3"/>
        <v>0.64</v>
      </c>
      <c r="N31" s="67">
        <f ca="1">IFERROR(__xludf.DUMMYFUNCTION("""COMPUTED_VALUE"""),22)</f>
        <v>22</v>
      </c>
      <c r="O31" s="67">
        <f ca="1">IFERROR(__xludf.DUMMYFUNCTION("""COMPUTED_VALUE"""),1)</f>
        <v>1</v>
      </c>
      <c r="P31" s="51">
        <f t="shared" ca="1" si="4"/>
        <v>4.5454545454545456E-2</v>
      </c>
      <c r="Q31" s="67">
        <f ca="1">IFERROR(__xludf.DUMMYFUNCTION("""COMPUTED_VALUE"""),1)</f>
        <v>1</v>
      </c>
      <c r="R31" s="51">
        <f t="shared" ca="1" si="5"/>
        <v>4.5454545454545456E-2</v>
      </c>
      <c r="S31" s="66"/>
      <c r="T31" s="66"/>
      <c r="U31" s="51" t="str">
        <f t="shared" si="6"/>
        <v/>
      </c>
      <c r="V31" s="66"/>
      <c r="W31" s="51" t="str">
        <f t="shared" si="7"/>
        <v/>
      </c>
      <c r="X31" s="66"/>
      <c r="Y31" s="51" t="str">
        <f t="shared" si="8"/>
        <v/>
      </c>
      <c r="Z31" s="2"/>
      <c r="AA31" s="2"/>
      <c r="AB31" s="2"/>
      <c r="AC31" s="2"/>
      <c r="AD31" s="2"/>
      <c r="AE31" s="2"/>
    </row>
    <row r="32" spans="1:31" ht="12.75" x14ac:dyDescent="0.2">
      <c r="A32" s="53">
        <f ca="1">IFERROR(__xludf.DUMMYFUNCTION("""COMPUTED_VALUE"""),26)</f>
        <v>26</v>
      </c>
      <c r="B32" s="66" t="str">
        <f ca="1">IFERROR(__xludf.DUMMYFUNCTION("""COMPUTED_VALUE"""),"MN Thiên Anh")</f>
        <v>MN Thiên Anh</v>
      </c>
      <c r="C32" s="66" t="str">
        <f ca="1">IFERROR(__xludf.DUMMYFUNCTION("""COMPUTED_VALUE"""),"MN")</f>
        <v>MN</v>
      </c>
      <c r="D32" s="66">
        <f ca="1">IFERROR(__xludf.DUMMYFUNCTION("""COMPUTED_VALUE"""),6)</f>
        <v>6</v>
      </c>
      <c r="E32" s="67">
        <f ca="1">IFERROR(__xludf.DUMMYFUNCTION("""COMPUTED_VALUE"""),20)</f>
        <v>20</v>
      </c>
      <c r="F32" s="67">
        <f ca="1">IFERROR(__xludf.DUMMYFUNCTION("""COMPUTED_VALUE"""),20)</f>
        <v>20</v>
      </c>
      <c r="G32" s="51">
        <f t="shared" ca="1" si="0"/>
        <v>1</v>
      </c>
      <c r="H32" s="67">
        <f ca="1">IFERROR(__xludf.DUMMYFUNCTION("""COMPUTED_VALUE"""),20)</f>
        <v>20</v>
      </c>
      <c r="I32" s="51">
        <f t="shared" ca="1" si="1"/>
        <v>1</v>
      </c>
      <c r="J32" s="67">
        <f ca="1">IFERROR(__xludf.DUMMYFUNCTION("""COMPUTED_VALUE"""),19)</f>
        <v>19</v>
      </c>
      <c r="K32" s="51">
        <f t="shared" ca="1" si="2"/>
        <v>0.95</v>
      </c>
      <c r="L32" s="67">
        <f ca="1">IFERROR(__xludf.DUMMYFUNCTION("""COMPUTED_VALUE"""),7)</f>
        <v>7</v>
      </c>
      <c r="M32" s="51">
        <f t="shared" ca="1" si="3"/>
        <v>0.35</v>
      </c>
      <c r="N32" s="67">
        <f ca="1">IFERROR(__xludf.DUMMYFUNCTION("""COMPUTED_VALUE"""),14)</f>
        <v>14</v>
      </c>
      <c r="O32" s="67">
        <f ca="1">IFERROR(__xludf.DUMMYFUNCTION("""COMPUTED_VALUE"""),0)</f>
        <v>0</v>
      </c>
      <c r="P32" s="51">
        <f t="shared" ca="1" si="4"/>
        <v>0</v>
      </c>
      <c r="Q32" s="67">
        <f ca="1">IFERROR(__xludf.DUMMYFUNCTION("""COMPUTED_VALUE"""),0)</f>
        <v>0</v>
      </c>
      <c r="R32" s="51">
        <f t="shared" ca="1" si="5"/>
        <v>0</v>
      </c>
      <c r="S32" s="66"/>
      <c r="T32" s="66"/>
      <c r="U32" s="51" t="str">
        <f t="shared" si="6"/>
        <v/>
      </c>
      <c r="V32" s="66"/>
      <c r="W32" s="51" t="str">
        <f t="shared" si="7"/>
        <v/>
      </c>
      <c r="X32" s="66"/>
      <c r="Y32" s="51" t="str">
        <f t="shared" si="8"/>
        <v/>
      </c>
      <c r="Z32" s="2"/>
      <c r="AA32" s="2"/>
      <c r="AB32" s="2"/>
      <c r="AC32" s="2"/>
      <c r="AD32" s="2"/>
      <c r="AE32" s="2"/>
    </row>
    <row r="33" spans="1:31" ht="12.75" x14ac:dyDescent="0.2">
      <c r="A33" s="53">
        <f ca="1">IFERROR(__xludf.DUMMYFUNCTION("""COMPUTED_VALUE"""),27)</f>
        <v>27</v>
      </c>
      <c r="B33" s="66" t="str">
        <f ca="1">IFERROR(__xludf.DUMMYFUNCTION("""COMPUTED_VALUE"""),"MN Cỏ Bốn Lá")</f>
        <v>MN Cỏ Bốn Lá</v>
      </c>
      <c r="C33" s="66" t="str">
        <f ca="1">IFERROR(__xludf.DUMMYFUNCTION("""COMPUTED_VALUE"""),"MN")</f>
        <v>MN</v>
      </c>
      <c r="D33" s="66">
        <f ca="1">IFERROR(__xludf.DUMMYFUNCTION("""COMPUTED_VALUE"""),6)</f>
        <v>6</v>
      </c>
      <c r="E33" s="67">
        <f ca="1">IFERROR(__xludf.DUMMYFUNCTION("""COMPUTED_VALUE"""),11)</f>
        <v>11</v>
      </c>
      <c r="F33" s="67">
        <f ca="1">IFERROR(__xludf.DUMMYFUNCTION("""COMPUTED_VALUE"""),11)</f>
        <v>11</v>
      </c>
      <c r="G33" s="51">
        <f t="shared" ca="1" si="0"/>
        <v>1</v>
      </c>
      <c r="H33" s="67">
        <f ca="1">IFERROR(__xludf.DUMMYFUNCTION("""COMPUTED_VALUE"""),11)</f>
        <v>11</v>
      </c>
      <c r="I33" s="51">
        <f t="shared" ca="1" si="1"/>
        <v>1</v>
      </c>
      <c r="J33" s="67">
        <f ca="1">IFERROR(__xludf.DUMMYFUNCTION("""COMPUTED_VALUE"""),11)</f>
        <v>11</v>
      </c>
      <c r="K33" s="51">
        <f t="shared" ca="1" si="2"/>
        <v>1</v>
      </c>
      <c r="L33" s="67">
        <f ca="1">IFERROR(__xludf.DUMMYFUNCTION("""COMPUTED_VALUE"""),10)</f>
        <v>10</v>
      </c>
      <c r="M33" s="51">
        <f t="shared" ca="1" si="3"/>
        <v>0.90909090909090906</v>
      </c>
      <c r="N33" s="67">
        <f ca="1">IFERROR(__xludf.DUMMYFUNCTION("""COMPUTED_VALUE"""),13)</f>
        <v>13</v>
      </c>
      <c r="O33" s="67">
        <f ca="1">IFERROR(__xludf.DUMMYFUNCTION("""COMPUTED_VALUE"""),1)</f>
        <v>1</v>
      </c>
      <c r="P33" s="51">
        <f t="shared" ca="1" si="4"/>
        <v>7.6923076923076927E-2</v>
      </c>
      <c r="Q33" s="67">
        <f ca="1">IFERROR(__xludf.DUMMYFUNCTION("""COMPUTED_VALUE"""),0)</f>
        <v>0</v>
      </c>
      <c r="R33" s="51">
        <f t="shared" ca="1" si="5"/>
        <v>0</v>
      </c>
      <c r="S33" s="66"/>
      <c r="T33" s="66"/>
      <c r="U33" s="51" t="str">
        <f t="shared" si="6"/>
        <v/>
      </c>
      <c r="V33" s="66"/>
      <c r="W33" s="51" t="str">
        <f t="shared" si="7"/>
        <v/>
      </c>
      <c r="X33" s="66"/>
      <c r="Y33" s="51" t="str">
        <f t="shared" si="8"/>
        <v/>
      </c>
      <c r="Z33" s="2"/>
      <c r="AA33" s="2"/>
      <c r="AB33" s="2"/>
      <c r="AC33" s="2"/>
      <c r="AD33" s="2"/>
      <c r="AE33" s="2"/>
    </row>
    <row r="34" spans="1:31" ht="12.75" x14ac:dyDescent="0.2">
      <c r="A34" s="53">
        <f ca="1">IFERROR(__xludf.DUMMYFUNCTION("""COMPUTED_VALUE"""),28)</f>
        <v>28</v>
      </c>
      <c r="B34" s="66" t="str">
        <f ca="1">IFERROR(__xludf.DUMMYFUNCTION("""COMPUTED_VALUE"""),"MN Việt ")</f>
        <v xml:space="preserve">MN Việt </v>
      </c>
      <c r="C34" s="66" t="str">
        <f ca="1">IFERROR(__xludf.DUMMYFUNCTION("""COMPUTED_VALUE"""),"MN")</f>
        <v>MN</v>
      </c>
      <c r="D34" s="66">
        <f ca="1">IFERROR(__xludf.DUMMYFUNCTION("""COMPUTED_VALUE"""),6)</f>
        <v>6</v>
      </c>
      <c r="E34" s="67">
        <f ca="1">IFERROR(__xludf.DUMMYFUNCTION("""COMPUTED_VALUE"""),54)</f>
        <v>54</v>
      </c>
      <c r="F34" s="67">
        <f ca="1">IFERROR(__xludf.DUMMYFUNCTION("""COMPUTED_VALUE"""),54)</f>
        <v>54</v>
      </c>
      <c r="G34" s="51">
        <f t="shared" ca="1" si="0"/>
        <v>1</v>
      </c>
      <c r="H34" s="67">
        <f ca="1">IFERROR(__xludf.DUMMYFUNCTION("""COMPUTED_VALUE"""),54)</f>
        <v>54</v>
      </c>
      <c r="I34" s="51">
        <f t="shared" ca="1" si="1"/>
        <v>1</v>
      </c>
      <c r="J34" s="67">
        <f ca="1">IFERROR(__xludf.DUMMYFUNCTION("""COMPUTED_VALUE"""),53)</f>
        <v>53</v>
      </c>
      <c r="K34" s="51">
        <f t="shared" ca="1" si="2"/>
        <v>0.98148148148148151</v>
      </c>
      <c r="L34" s="67">
        <f ca="1">IFERROR(__xludf.DUMMYFUNCTION("""COMPUTED_VALUE"""),44)</f>
        <v>44</v>
      </c>
      <c r="M34" s="51">
        <f t="shared" ca="1" si="3"/>
        <v>0.81481481481481477</v>
      </c>
      <c r="N34" s="67">
        <f ca="1">IFERROR(__xludf.DUMMYFUNCTION("""COMPUTED_VALUE"""),31)</f>
        <v>31</v>
      </c>
      <c r="O34" s="67">
        <f ca="1">IFERROR(__xludf.DUMMYFUNCTION("""COMPUTED_VALUE"""),2)</f>
        <v>2</v>
      </c>
      <c r="P34" s="51">
        <f t="shared" ca="1" si="4"/>
        <v>6.4516129032258063E-2</v>
      </c>
      <c r="Q34" s="67">
        <f ca="1">IFERROR(__xludf.DUMMYFUNCTION("""COMPUTED_VALUE"""),1)</f>
        <v>1</v>
      </c>
      <c r="R34" s="51">
        <f t="shared" ca="1" si="5"/>
        <v>3.2258064516129031E-2</v>
      </c>
      <c r="S34" s="66"/>
      <c r="T34" s="66"/>
      <c r="U34" s="51" t="str">
        <f t="shared" si="6"/>
        <v/>
      </c>
      <c r="V34" s="66"/>
      <c r="W34" s="51" t="str">
        <f t="shared" si="7"/>
        <v/>
      </c>
      <c r="X34" s="66"/>
      <c r="Y34" s="51" t="str">
        <f t="shared" si="8"/>
        <v/>
      </c>
      <c r="Z34" s="2"/>
      <c r="AA34" s="2"/>
      <c r="AB34" s="2"/>
      <c r="AC34" s="2"/>
      <c r="AD34" s="2"/>
      <c r="AE34" s="2"/>
    </row>
    <row r="35" spans="1:31" ht="12.75" x14ac:dyDescent="0.2">
      <c r="A35" s="53">
        <f ca="1">IFERROR(__xludf.DUMMYFUNCTION("""COMPUTED_VALUE"""),29)</f>
        <v>29</v>
      </c>
      <c r="B35" s="66" t="str">
        <f ca="1">IFERROR(__xludf.DUMMYFUNCTION("""COMPUTED_VALUE"""),"MN Việt Hoa")</f>
        <v>MN Việt Hoa</v>
      </c>
      <c r="C35" s="66" t="str">
        <f ca="1">IFERROR(__xludf.DUMMYFUNCTION("""COMPUTED_VALUE"""),"MN")</f>
        <v>MN</v>
      </c>
      <c r="D35" s="66">
        <f ca="1">IFERROR(__xludf.DUMMYFUNCTION("""COMPUTED_VALUE"""),6)</f>
        <v>6</v>
      </c>
      <c r="E35" s="67">
        <f ca="1">IFERROR(__xludf.DUMMYFUNCTION("""COMPUTED_VALUE"""),19)</f>
        <v>19</v>
      </c>
      <c r="F35" s="67">
        <f ca="1">IFERROR(__xludf.DUMMYFUNCTION("""COMPUTED_VALUE"""),19)</f>
        <v>19</v>
      </c>
      <c r="G35" s="51">
        <f t="shared" ca="1" si="0"/>
        <v>1</v>
      </c>
      <c r="H35" s="67">
        <f ca="1">IFERROR(__xludf.DUMMYFUNCTION("""COMPUTED_VALUE"""),19)</f>
        <v>19</v>
      </c>
      <c r="I35" s="51">
        <f t="shared" ca="1" si="1"/>
        <v>1</v>
      </c>
      <c r="J35" s="67">
        <f ca="1">IFERROR(__xludf.DUMMYFUNCTION("""COMPUTED_VALUE"""),19)</f>
        <v>19</v>
      </c>
      <c r="K35" s="51">
        <f t="shared" ca="1" si="2"/>
        <v>1</v>
      </c>
      <c r="L35" s="67">
        <f ca="1">IFERROR(__xludf.DUMMYFUNCTION("""COMPUTED_VALUE"""),18)</f>
        <v>18</v>
      </c>
      <c r="M35" s="51">
        <f t="shared" ca="1" si="3"/>
        <v>0.94736842105263153</v>
      </c>
      <c r="N35" s="67">
        <f ca="1">IFERROR(__xludf.DUMMYFUNCTION("""COMPUTED_VALUE"""),20)</f>
        <v>20</v>
      </c>
      <c r="O35" s="67">
        <f ca="1">IFERROR(__xludf.DUMMYFUNCTION("""COMPUTED_VALUE"""),2)</f>
        <v>2</v>
      </c>
      <c r="P35" s="51">
        <f t="shared" ca="1" si="4"/>
        <v>0.1</v>
      </c>
      <c r="Q35" s="67">
        <f ca="1">IFERROR(__xludf.DUMMYFUNCTION("""COMPUTED_VALUE"""),1)</f>
        <v>1</v>
      </c>
      <c r="R35" s="51">
        <f t="shared" ca="1" si="5"/>
        <v>0.05</v>
      </c>
      <c r="S35" s="66"/>
      <c r="T35" s="66"/>
      <c r="U35" s="51" t="str">
        <f t="shared" si="6"/>
        <v/>
      </c>
      <c r="V35" s="66"/>
      <c r="W35" s="51" t="str">
        <f t="shared" si="7"/>
        <v/>
      </c>
      <c r="X35" s="66"/>
      <c r="Y35" s="51" t="str">
        <f t="shared" si="8"/>
        <v/>
      </c>
      <c r="Z35" s="2"/>
      <c r="AA35" s="2"/>
      <c r="AB35" s="2"/>
      <c r="AC35" s="2"/>
      <c r="AD35" s="2"/>
      <c r="AE35" s="2"/>
    </row>
    <row r="36" spans="1:31" ht="12.75" x14ac:dyDescent="0.2">
      <c r="A36" s="53">
        <f ca="1">IFERROR(__xludf.DUMMYFUNCTION("""COMPUTED_VALUE"""),30)</f>
        <v>30</v>
      </c>
      <c r="B36" s="66"/>
      <c r="C36" s="66"/>
      <c r="D36" s="66">
        <f ca="1">IFERROR(__xludf.DUMMYFUNCTION("""COMPUTED_VALUE"""),6)</f>
        <v>6</v>
      </c>
      <c r="E36" s="67">
        <f ca="1">IFERROR(__xludf.DUMMYFUNCTION("""COMPUTED_VALUE"""),13)</f>
        <v>13</v>
      </c>
      <c r="F36" s="67">
        <f ca="1">IFERROR(__xludf.DUMMYFUNCTION("""COMPUTED_VALUE"""),13)</f>
        <v>13</v>
      </c>
      <c r="G36" s="51">
        <f t="shared" ca="1" si="0"/>
        <v>1</v>
      </c>
      <c r="H36" s="67">
        <f ca="1">IFERROR(__xludf.DUMMYFUNCTION("""COMPUTED_VALUE"""),13)</f>
        <v>13</v>
      </c>
      <c r="I36" s="51">
        <f t="shared" ca="1" si="1"/>
        <v>1</v>
      </c>
      <c r="J36" s="67">
        <f ca="1">IFERROR(__xludf.DUMMYFUNCTION("""COMPUTED_VALUE"""),9)</f>
        <v>9</v>
      </c>
      <c r="K36" s="51">
        <f t="shared" ca="1" si="2"/>
        <v>0.69230769230769229</v>
      </c>
      <c r="L36" s="67">
        <f ca="1">IFERROR(__xludf.DUMMYFUNCTION("""COMPUTED_VALUE"""),1)</f>
        <v>1</v>
      </c>
      <c r="M36" s="51">
        <f t="shared" ca="1" si="3"/>
        <v>7.6923076923076927E-2</v>
      </c>
      <c r="N36" s="67">
        <f ca="1">IFERROR(__xludf.DUMMYFUNCTION("""COMPUTED_VALUE"""),0)</f>
        <v>0</v>
      </c>
      <c r="O36" s="67">
        <f ca="1">IFERROR(__xludf.DUMMYFUNCTION("""COMPUTED_VALUE"""),0)</f>
        <v>0</v>
      </c>
      <c r="P36" s="51" t="str">
        <f t="shared" ca="1" si="4"/>
        <v/>
      </c>
      <c r="Q36" s="67">
        <f ca="1">IFERROR(__xludf.DUMMYFUNCTION("""COMPUTED_VALUE"""),0)</f>
        <v>0</v>
      </c>
      <c r="R36" s="51" t="str">
        <f t="shared" ca="1" si="5"/>
        <v/>
      </c>
      <c r="S36" s="66"/>
      <c r="T36" s="66"/>
      <c r="U36" s="51" t="str">
        <f t="shared" si="6"/>
        <v/>
      </c>
      <c r="V36" s="66"/>
      <c r="W36" s="51" t="str">
        <f t="shared" si="7"/>
        <v/>
      </c>
      <c r="X36" s="66"/>
      <c r="Y36" s="51" t="str">
        <f t="shared" si="8"/>
        <v/>
      </c>
      <c r="Z36" s="2"/>
      <c r="AA36" s="2"/>
      <c r="AB36" s="2"/>
      <c r="AC36" s="2"/>
      <c r="AD36" s="2"/>
      <c r="AE36" s="2"/>
    </row>
    <row r="37" spans="1:31" ht="12.75" x14ac:dyDescent="0.2">
      <c r="A37" s="53">
        <f ca="1">IFERROR(__xludf.DUMMYFUNCTION("""COMPUTED_VALUE"""),31)</f>
        <v>31</v>
      </c>
      <c r="B37" s="66" t="str">
        <f ca="1">IFERROR(__xludf.DUMMYFUNCTION("""COMPUTED_VALUE"""),"MN Kỹ Năng Sống")</f>
        <v>MN Kỹ Năng Sống</v>
      </c>
      <c r="C37" s="66" t="str">
        <f ca="1">IFERROR(__xludf.DUMMYFUNCTION("""COMPUTED_VALUE"""),"MN")</f>
        <v>MN</v>
      </c>
      <c r="D37" s="66">
        <f ca="1">IFERROR(__xludf.DUMMYFUNCTION("""COMPUTED_VALUE"""),6)</f>
        <v>6</v>
      </c>
      <c r="E37" s="67">
        <f ca="1">IFERROR(__xludf.DUMMYFUNCTION("""COMPUTED_VALUE"""),41)</f>
        <v>41</v>
      </c>
      <c r="F37" s="67">
        <f ca="1">IFERROR(__xludf.DUMMYFUNCTION("""COMPUTED_VALUE"""),41)</f>
        <v>41</v>
      </c>
      <c r="G37" s="51">
        <f t="shared" ca="1" si="0"/>
        <v>1</v>
      </c>
      <c r="H37" s="67">
        <f ca="1">IFERROR(__xludf.DUMMYFUNCTION("""COMPUTED_VALUE"""),41)</f>
        <v>41</v>
      </c>
      <c r="I37" s="51">
        <f t="shared" ca="1" si="1"/>
        <v>1</v>
      </c>
      <c r="J37" s="67">
        <f ca="1">IFERROR(__xludf.DUMMYFUNCTION("""COMPUTED_VALUE"""),41)</f>
        <v>41</v>
      </c>
      <c r="K37" s="51">
        <f t="shared" ca="1" si="2"/>
        <v>1</v>
      </c>
      <c r="L37" s="67">
        <f ca="1">IFERROR(__xludf.DUMMYFUNCTION("""COMPUTED_VALUE"""),20)</f>
        <v>20</v>
      </c>
      <c r="M37" s="51">
        <f t="shared" ca="1" si="3"/>
        <v>0.48780487804878048</v>
      </c>
      <c r="N37" s="67">
        <f ca="1">IFERROR(__xludf.DUMMYFUNCTION("""COMPUTED_VALUE"""),40)</f>
        <v>40</v>
      </c>
      <c r="O37" s="67">
        <f ca="1">IFERROR(__xludf.DUMMYFUNCTION("""COMPUTED_VALUE"""),0)</f>
        <v>0</v>
      </c>
      <c r="P37" s="51">
        <f t="shared" ca="1" si="4"/>
        <v>0</v>
      </c>
      <c r="Q37" s="67">
        <f ca="1">IFERROR(__xludf.DUMMYFUNCTION("""COMPUTED_VALUE"""),0)</f>
        <v>0</v>
      </c>
      <c r="R37" s="51">
        <f t="shared" ca="1" si="5"/>
        <v>0</v>
      </c>
      <c r="S37" s="66"/>
      <c r="T37" s="66"/>
      <c r="U37" s="51" t="str">
        <f t="shared" si="6"/>
        <v/>
      </c>
      <c r="V37" s="66"/>
      <c r="W37" s="51" t="str">
        <f t="shared" si="7"/>
        <v/>
      </c>
      <c r="X37" s="66"/>
      <c r="Y37" s="51" t="str">
        <f t="shared" si="8"/>
        <v/>
      </c>
      <c r="Z37" s="2"/>
      <c r="AA37" s="2"/>
      <c r="AB37" s="2"/>
      <c r="AC37" s="2"/>
      <c r="AD37" s="2"/>
      <c r="AE37" s="2"/>
    </row>
    <row r="38" spans="1:31" ht="12.75" x14ac:dyDescent="0.2">
      <c r="A38" s="53">
        <f ca="1">IFERROR(__xludf.DUMMYFUNCTION("""COMPUTED_VALUE"""),32)</f>
        <v>32</v>
      </c>
      <c r="B38" s="66" t="str">
        <f ca="1">IFERROR(__xludf.DUMMYFUNCTION("""COMPUTED_VALUE"""),"MN Khôi Việt")</f>
        <v>MN Khôi Việt</v>
      </c>
      <c r="C38" s="66" t="str">
        <f ca="1">IFERROR(__xludf.DUMMYFUNCTION("""COMPUTED_VALUE"""),"MN")</f>
        <v>MN</v>
      </c>
      <c r="D38" s="66">
        <f ca="1">IFERROR(__xludf.DUMMYFUNCTION("""COMPUTED_VALUE"""),6)</f>
        <v>6</v>
      </c>
      <c r="E38" s="67">
        <f ca="1">IFERROR(__xludf.DUMMYFUNCTION("""COMPUTED_VALUE"""),15)</f>
        <v>15</v>
      </c>
      <c r="F38" s="67">
        <f ca="1">IFERROR(__xludf.DUMMYFUNCTION("""COMPUTED_VALUE"""),15)</f>
        <v>15</v>
      </c>
      <c r="G38" s="51">
        <f t="shared" ca="1" si="0"/>
        <v>1</v>
      </c>
      <c r="H38" s="67">
        <f ca="1">IFERROR(__xludf.DUMMYFUNCTION("""COMPUTED_VALUE"""),15)</f>
        <v>15</v>
      </c>
      <c r="I38" s="51">
        <f t="shared" ca="1" si="1"/>
        <v>1</v>
      </c>
      <c r="J38" s="67">
        <f ca="1">IFERROR(__xludf.DUMMYFUNCTION("""COMPUTED_VALUE"""),15)</f>
        <v>15</v>
      </c>
      <c r="K38" s="51">
        <f t="shared" ca="1" si="2"/>
        <v>1</v>
      </c>
      <c r="L38" s="67">
        <f ca="1">IFERROR(__xludf.DUMMYFUNCTION("""COMPUTED_VALUE"""),5)</f>
        <v>5</v>
      </c>
      <c r="M38" s="51">
        <f t="shared" ca="1" si="3"/>
        <v>0.33333333333333331</v>
      </c>
      <c r="N38" s="67">
        <f ca="1">IFERROR(__xludf.DUMMYFUNCTION("""COMPUTED_VALUE"""),5)</f>
        <v>5</v>
      </c>
      <c r="O38" s="67">
        <f ca="1">IFERROR(__xludf.DUMMYFUNCTION("""COMPUTED_VALUE"""),0)</f>
        <v>0</v>
      </c>
      <c r="P38" s="51">
        <f t="shared" ca="1" si="4"/>
        <v>0</v>
      </c>
      <c r="Q38" s="67">
        <f ca="1">IFERROR(__xludf.DUMMYFUNCTION("""COMPUTED_VALUE"""),0)</f>
        <v>0</v>
      </c>
      <c r="R38" s="51">
        <f t="shared" ca="1" si="5"/>
        <v>0</v>
      </c>
      <c r="S38" s="66"/>
      <c r="T38" s="66"/>
      <c r="U38" s="51" t="str">
        <f t="shared" si="6"/>
        <v/>
      </c>
      <c r="V38" s="66"/>
      <c r="W38" s="51" t="str">
        <f t="shared" si="7"/>
        <v/>
      </c>
      <c r="X38" s="66"/>
      <c r="Y38" s="51" t="str">
        <f t="shared" si="8"/>
        <v/>
      </c>
      <c r="Z38" s="2"/>
      <c r="AA38" s="2"/>
      <c r="AB38" s="2"/>
      <c r="AC38" s="2"/>
      <c r="AD38" s="2"/>
      <c r="AE38" s="2"/>
    </row>
    <row r="39" spans="1:31" ht="12.75" x14ac:dyDescent="0.2">
      <c r="A39" s="53">
        <f ca="1">IFERROR(__xludf.DUMMYFUNCTION("""COMPUTED_VALUE"""),33)</f>
        <v>33</v>
      </c>
      <c r="B39" s="66" t="str">
        <f ca="1">IFERROR(__xludf.DUMMYFUNCTION("""COMPUTED_VALUE"""),"MN Dân Kiệt")</f>
        <v>MN Dân Kiệt</v>
      </c>
      <c r="C39" s="66" t="str">
        <f ca="1">IFERROR(__xludf.DUMMYFUNCTION("""COMPUTED_VALUE"""),"MN")</f>
        <v>MN</v>
      </c>
      <c r="D39" s="66">
        <f ca="1">IFERROR(__xludf.DUMMYFUNCTION("""COMPUTED_VALUE"""),6)</f>
        <v>6</v>
      </c>
      <c r="E39" s="67">
        <f ca="1">IFERROR(__xludf.DUMMYFUNCTION("""COMPUTED_VALUE"""),21)</f>
        <v>21</v>
      </c>
      <c r="F39" s="67">
        <f ca="1">IFERROR(__xludf.DUMMYFUNCTION("""COMPUTED_VALUE"""),21)</f>
        <v>21</v>
      </c>
      <c r="G39" s="51">
        <f t="shared" ca="1" si="0"/>
        <v>1</v>
      </c>
      <c r="H39" s="67">
        <f ca="1">IFERROR(__xludf.DUMMYFUNCTION("""COMPUTED_VALUE"""),21)</f>
        <v>21</v>
      </c>
      <c r="I39" s="51">
        <f t="shared" ca="1" si="1"/>
        <v>1</v>
      </c>
      <c r="J39" s="67">
        <f ca="1">IFERROR(__xludf.DUMMYFUNCTION("""COMPUTED_VALUE"""),21)</f>
        <v>21</v>
      </c>
      <c r="K39" s="51">
        <f t="shared" ca="1" si="2"/>
        <v>1</v>
      </c>
      <c r="L39" s="67">
        <f ca="1">IFERROR(__xludf.DUMMYFUNCTION("""COMPUTED_VALUE"""),20)</f>
        <v>20</v>
      </c>
      <c r="M39" s="51">
        <f t="shared" ca="1" si="3"/>
        <v>0.95238095238095233</v>
      </c>
      <c r="N39" s="67">
        <f ca="1">IFERROR(__xludf.DUMMYFUNCTION("""COMPUTED_VALUE"""),17)</f>
        <v>17</v>
      </c>
      <c r="O39" s="67">
        <f ca="1">IFERROR(__xludf.DUMMYFUNCTION("""COMPUTED_VALUE"""),2)</f>
        <v>2</v>
      </c>
      <c r="P39" s="51">
        <f t="shared" ca="1" si="4"/>
        <v>0.11764705882352941</v>
      </c>
      <c r="Q39" s="67">
        <f ca="1">IFERROR(__xludf.DUMMYFUNCTION("""COMPUTED_VALUE"""),1)</f>
        <v>1</v>
      </c>
      <c r="R39" s="51">
        <f t="shared" ca="1" si="5"/>
        <v>5.8823529411764705E-2</v>
      </c>
      <c r="S39" s="66"/>
      <c r="T39" s="66"/>
      <c r="U39" s="51" t="str">
        <f t="shared" si="6"/>
        <v/>
      </c>
      <c r="V39" s="66"/>
      <c r="W39" s="51" t="str">
        <f t="shared" si="7"/>
        <v/>
      </c>
      <c r="X39" s="66"/>
      <c r="Y39" s="51" t="str">
        <f t="shared" si="8"/>
        <v/>
      </c>
      <c r="Z39" s="2"/>
      <c r="AA39" s="2"/>
      <c r="AB39" s="2"/>
      <c r="AC39" s="2"/>
      <c r="AD39" s="2"/>
      <c r="AE39" s="2"/>
    </row>
    <row r="40" spans="1:31" ht="12.75" x14ac:dyDescent="0.2">
      <c r="A40" s="53">
        <f ca="1">IFERROR(__xludf.DUMMYFUNCTION("""COMPUTED_VALUE"""),34)</f>
        <v>34</v>
      </c>
      <c r="B40" s="66" t="str">
        <f ca="1">IFERROR(__xludf.DUMMYFUNCTION("""COMPUTED_VALUE"""),"MN Vườn Khám Phá")</f>
        <v>MN Vườn Khám Phá</v>
      </c>
      <c r="C40" s="66" t="str">
        <f ca="1">IFERROR(__xludf.DUMMYFUNCTION("""COMPUTED_VALUE"""),"MN")</f>
        <v>MN</v>
      </c>
      <c r="D40" s="66">
        <f ca="1">IFERROR(__xludf.DUMMYFUNCTION("""COMPUTED_VALUE"""),6)</f>
        <v>6</v>
      </c>
      <c r="E40" s="67">
        <f ca="1">IFERROR(__xludf.DUMMYFUNCTION("""COMPUTED_VALUE"""),22)</f>
        <v>22</v>
      </c>
      <c r="F40" s="67">
        <f ca="1">IFERROR(__xludf.DUMMYFUNCTION("""COMPUTED_VALUE"""),22)</f>
        <v>22</v>
      </c>
      <c r="G40" s="51">
        <f t="shared" ca="1" si="0"/>
        <v>1</v>
      </c>
      <c r="H40" s="67">
        <f ca="1">IFERROR(__xludf.DUMMYFUNCTION("""COMPUTED_VALUE"""),22)</f>
        <v>22</v>
      </c>
      <c r="I40" s="51">
        <f t="shared" ca="1" si="1"/>
        <v>1</v>
      </c>
      <c r="J40" s="67">
        <f ca="1">IFERROR(__xludf.DUMMYFUNCTION("""COMPUTED_VALUE"""),22)</f>
        <v>22</v>
      </c>
      <c r="K40" s="51">
        <f t="shared" ca="1" si="2"/>
        <v>1</v>
      </c>
      <c r="L40" s="67">
        <f ca="1">IFERROR(__xludf.DUMMYFUNCTION("""COMPUTED_VALUE"""),4)</f>
        <v>4</v>
      </c>
      <c r="M40" s="51">
        <f t="shared" ca="1" si="3"/>
        <v>0.18181818181818182</v>
      </c>
      <c r="N40" s="67">
        <f ca="1">IFERROR(__xludf.DUMMYFUNCTION("""COMPUTED_VALUE"""),15)</f>
        <v>15</v>
      </c>
      <c r="O40" s="67">
        <f ca="1">IFERROR(__xludf.DUMMYFUNCTION("""COMPUTED_VALUE"""),0)</f>
        <v>0</v>
      </c>
      <c r="P40" s="51">
        <f t="shared" ca="1" si="4"/>
        <v>0</v>
      </c>
      <c r="Q40" s="67">
        <f ca="1">IFERROR(__xludf.DUMMYFUNCTION("""COMPUTED_VALUE"""),0)</f>
        <v>0</v>
      </c>
      <c r="R40" s="51">
        <f t="shared" ca="1" si="5"/>
        <v>0</v>
      </c>
      <c r="S40" s="66"/>
      <c r="T40" s="66"/>
      <c r="U40" s="51" t="str">
        <f t="shared" si="6"/>
        <v/>
      </c>
      <c r="V40" s="66"/>
      <c r="W40" s="51" t="str">
        <f t="shared" si="7"/>
        <v/>
      </c>
      <c r="X40" s="66"/>
      <c r="Y40" s="51" t="str">
        <f t="shared" si="8"/>
        <v/>
      </c>
      <c r="Z40" s="2"/>
      <c r="AA40" s="2"/>
      <c r="AB40" s="2"/>
      <c r="AC40" s="2"/>
      <c r="AD40" s="2"/>
      <c r="AE40" s="2"/>
    </row>
    <row r="41" spans="1:31" ht="12.75" x14ac:dyDescent="0.2">
      <c r="A41" s="53">
        <f ca="1">IFERROR(__xludf.DUMMYFUNCTION("""COMPUTED_VALUE"""),35)</f>
        <v>35</v>
      </c>
      <c r="B41" s="66" t="str">
        <f ca="1">IFERROR(__xludf.DUMMYFUNCTION("""COMPUTED_VALUE"""),"MN Vườn Thiên Thần")</f>
        <v>MN Vườn Thiên Thần</v>
      </c>
      <c r="C41" s="66" t="str">
        <f ca="1">IFERROR(__xludf.DUMMYFUNCTION("""COMPUTED_VALUE"""),"MN")</f>
        <v>MN</v>
      </c>
      <c r="D41" s="66">
        <f ca="1">IFERROR(__xludf.DUMMYFUNCTION("""COMPUTED_VALUE"""),6)</f>
        <v>6</v>
      </c>
      <c r="E41" s="67">
        <f ca="1">IFERROR(__xludf.DUMMYFUNCTION("""COMPUTED_VALUE"""),19)</f>
        <v>19</v>
      </c>
      <c r="F41" s="67">
        <f ca="1">IFERROR(__xludf.DUMMYFUNCTION("""COMPUTED_VALUE"""),19)</f>
        <v>19</v>
      </c>
      <c r="G41" s="51">
        <f t="shared" ca="1" si="0"/>
        <v>1</v>
      </c>
      <c r="H41" s="67">
        <f ca="1">IFERROR(__xludf.DUMMYFUNCTION("""COMPUTED_VALUE"""),19)</f>
        <v>19</v>
      </c>
      <c r="I41" s="51">
        <f t="shared" ca="1" si="1"/>
        <v>1</v>
      </c>
      <c r="J41" s="67">
        <f ca="1">IFERROR(__xludf.DUMMYFUNCTION("""COMPUTED_VALUE"""),17)</f>
        <v>17</v>
      </c>
      <c r="K41" s="51">
        <f t="shared" ca="1" si="2"/>
        <v>0.89473684210526316</v>
      </c>
      <c r="L41" s="67">
        <f ca="1">IFERROR(__xludf.DUMMYFUNCTION("""COMPUTED_VALUE"""),15)</f>
        <v>15</v>
      </c>
      <c r="M41" s="51">
        <f t="shared" ca="1" si="3"/>
        <v>0.78947368421052633</v>
      </c>
      <c r="N41" s="67">
        <f ca="1">IFERROR(__xludf.DUMMYFUNCTION("""COMPUTED_VALUE"""),6)</f>
        <v>6</v>
      </c>
      <c r="O41" s="67">
        <f ca="1">IFERROR(__xludf.DUMMYFUNCTION("""COMPUTED_VALUE"""),0)</f>
        <v>0</v>
      </c>
      <c r="P41" s="51">
        <f t="shared" ca="1" si="4"/>
        <v>0</v>
      </c>
      <c r="Q41" s="67">
        <f ca="1">IFERROR(__xludf.DUMMYFUNCTION("""COMPUTED_VALUE"""),0)</f>
        <v>0</v>
      </c>
      <c r="R41" s="51">
        <f t="shared" ca="1" si="5"/>
        <v>0</v>
      </c>
      <c r="S41" s="66"/>
      <c r="T41" s="66"/>
      <c r="U41" s="51" t="str">
        <f t="shared" si="6"/>
        <v/>
      </c>
      <c r="V41" s="66"/>
      <c r="W41" s="51" t="str">
        <f t="shared" si="7"/>
        <v/>
      </c>
      <c r="X41" s="66"/>
      <c r="Y41" s="51" t="str">
        <f t="shared" si="8"/>
        <v/>
      </c>
      <c r="Z41" s="2"/>
      <c r="AA41" s="2"/>
      <c r="AB41" s="2"/>
      <c r="AC41" s="2"/>
      <c r="AD41" s="2"/>
      <c r="AE41" s="2"/>
    </row>
    <row r="42" spans="1:31" ht="12.75" x14ac:dyDescent="0.2">
      <c r="A42" s="53">
        <f ca="1">IFERROR(__xludf.DUMMYFUNCTION("""COMPUTED_VALUE"""),36)</f>
        <v>36</v>
      </c>
      <c r="B42" s="66" t="str">
        <f ca="1">IFERROR(__xludf.DUMMYFUNCTION("""COMPUTED_VALUE"""),"MN Misa")</f>
        <v>MN Misa</v>
      </c>
      <c r="C42" s="66" t="str">
        <f ca="1">IFERROR(__xludf.DUMMYFUNCTION("""COMPUTED_VALUE"""),"MN")</f>
        <v>MN</v>
      </c>
      <c r="D42" s="66">
        <f ca="1">IFERROR(__xludf.DUMMYFUNCTION("""COMPUTED_VALUE"""),6)</f>
        <v>6</v>
      </c>
      <c r="E42" s="67">
        <f ca="1">IFERROR(__xludf.DUMMYFUNCTION("""COMPUTED_VALUE"""),13)</f>
        <v>13</v>
      </c>
      <c r="F42" s="67">
        <f ca="1">IFERROR(__xludf.DUMMYFUNCTION("""COMPUTED_VALUE"""),13)</f>
        <v>13</v>
      </c>
      <c r="G42" s="51">
        <f t="shared" ca="1" si="0"/>
        <v>1</v>
      </c>
      <c r="H42" s="67">
        <f ca="1">IFERROR(__xludf.DUMMYFUNCTION("""COMPUTED_VALUE"""),13)</f>
        <v>13</v>
      </c>
      <c r="I42" s="51">
        <f t="shared" ca="1" si="1"/>
        <v>1</v>
      </c>
      <c r="J42" s="67">
        <f ca="1">IFERROR(__xludf.DUMMYFUNCTION("""COMPUTED_VALUE"""),13)</f>
        <v>13</v>
      </c>
      <c r="K42" s="51">
        <f t="shared" ca="1" si="2"/>
        <v>1</v>
      </c>
      <c r="L42" s="67">
        <f ca="1">IFERROR(__xludf.DUMMYFUNCTION("""COMPUTED_VALUE"""),11)</f>
        <v>11</v>
      </c>
      <c r="M42" s="51">
        <f t="shared" ca="1" si="3"/>
        <v>0.84615384615384615</v>
      </c>
      <c r="N42" s="67">
        <f ca="1">IFERROR(__xludf.DUMMYFUNCTION("""COMPUTED_VALUE"""),12)</f>
        <v>12</v>
      </c>
      <c r="O42" s="67">
        <f ca="1">IFERROR(__xludf.DUMMYFUNCTION("""COMPUTED_VALUE"""),0)</f>
        <v>0</v>
      </c>
      <c r="P42" s="51">
        <f t="shared" ca="1" si="4"/>
        <v>0</v>
      </c>
      <c r="Q42" s="67">
        <f ca="1">IFERROR(__xludf.DUMMYFUNCTION("""COMPUTED_VALUE"""),0)</f>
        <v>0</v>
      </c>
      <c r="R42" s="51">
        <f t="shared" ca="1" si="5"/>
        <v>0</v>
      </c>
      <c r="S42" s="66"/>
      <c r="T42" s="66"/>
      <c r="U42" s="51" t="str">
        <f t="shared" si="6"/>
        <v/>
      </c>
      <c r="V42" s="66"/>
      <c r="W42" s="51" t="str">
        <f t="shared" si="7"/>
        <v/>
      </c>
      <c r="X42" s="66"/>
      <c r="Y42" s="51" t="str">
        <f t="shared" si="8"/>
        <v/>
      </c>
      <c r="Z42" s="2"/>
      <c r="AA42" s="2"/>
      <c r="AB42" s="2"/>
      <c r="AC42" s="2"/>
      <c r="AD42" s="2"/>
      <c r="AE42" s="2"/>
    </row>
    <row r="43" spans="1:31" ht="12.75" x14ac:dyDescent="0.2">
      <c r="A43" s="53">
        <f ca="1">IFERROR(__xludf.DUMMYFUNCTION("""COMPUTED_VALUE"""),37)</f>
        <v>37</v>
      </c>
      <c r="B43" s="66" t="str">
        <f ca="1">IFERROR(__xludf.DUMMYFUNCTION("""COMPUTED_VALUE"""),"MN Cánh Én Tuổi Thơ")</f>
        <v>MN Cánh Én Tuổi Thơ</v>
      </c>
      <c r="C43" s="66" t="str">
        <f ca="1">IFERROR(__xludf.DUMMYFUNCTION("""COMPUTED_VALUE"""),"MN")</f>
        <v>MN</v>
      </c>
      <c r="D43" s="66">
        <f ca="1">IFERROR(__xludf.DUMMYFUNCTION("""COMPUTED_VALUE"""),6)</f>
        <v>6</v>
      </c>
      <c r="E43" s="67">
        <f ca="1">IFERROR(__xludf.DUMMYFUNCTION("""COMPUTED_VALUE"""),18)</f>
        <v>18</v>
      </c>
      <c r="F43" s="67">
        <f ca="1">IFERROR(__xludf.DUMMYFUNCTION("""COMPUTED_VALUE"""),18)</f>
        <v>18</v>
      </c>
      <c r="G43" s="51">
        <f t="shared" ca="1" si="0"/>
        <v>1</v>
      </c>
      <c r="H43" s="67">
        <f ca="1">IFERROR(__xludf.DUMMYFUNCTION("""COMPUTED_VALUE"""),18)</f>
        <v>18</v>
      </c>
      <c r="I43" s="51">
        <f t="shared" ca="1" si="1"/>
        <v>1</v>
      </c>
      <c r="J43" s="67">
        <f ca="1">IFERROR(__xludf.DUMMYFUNCTION("""COMPUTED_VALUE"""),18)</f>
        <v>18</v>
      </c>
      <c r="K43" s="51">
        <f t="shared" ca="1" si="2"/>
        <v>1</v>
      </c>
      <c r="L43" s="67">
        <f ca="1">IFERROR(__xludf.DUMMYFUNCTION("""COMPUTED_VALUE"""),18)</f>
        <v>18</v>
      </c>
      <c r="M43" s="51">
        <f t="shared" ca="1" si="3"/>
        <v>1</v>
      </c>
      <c r="N43" s="67">
        <f ca="1">IFERROR(__xludf.DUMMYFUNCTION("""COMPUTED_VALUE"""),25)</f>
        <v>25</v>
      </c>
      <c r="O43" s="67">
        <f ca="1">IFERROR(__xludf.DUMMYFUNCTION("""COMPUTED_VALUE"""),5)</f>
        <v>5</v>
      </c>
      <c r="P43" s="51">
        <f t="shared" ca="1" si="4"/>
        <v>0.2</v>
      </c>
      <c r="Q43" s="67">
        <f ca="1">IFERROR(__xludf.DUMMYFUNCTION("""COMPUTED_VALUE"""),2)</f>
        <v>2</v>
      </c>
      <c r="R43" s="51">
        <f t="shared" ca="1" si="5"/>
        <v>0.08</v>
      </c>
      <c r="S43" s="66"/>
      <c r="T43" s="66"/>
      <c r="U43" s="51" t="str">
        <f t="shared" si="6"/>
        <v/>
      </c>
      <c r="V43" s="66"/>
      <c r="W43" s="51" t="str">
        <f t="shared" si="7"/>
        <v/>
      </c>
      <c r="X43" s="66"/>
      <c r="Y43" s="51" t="str">
        <f t="shared" si="8"/>
        <v/>
      </c>
      <c r="Z43" s="2"/>
      <c r="AA43" s="2"/>
      <c r="AB43" s="2"/>
      <c r="AC43" s="2"/>
      <c r="AD43" s="2"/>
      <c r="AE43" s="2"/>
    </row>
    <row r="44" spans="1:31" ht="12.75" x14ac:dyDescent="0.2">
      <c r="A44" s="53">
        <f ca="1">IFERROR(__xludf.DUMMYFUNCTION("""COMPUTED_VALUE"""),38)</f>
        <v>38</v>
      </c>
      <c r="B44" s="66" t="str">
        <f ca="1">IFERROR(__xludf.DUMMYFUNCTION("""COMPUTED_VALUE"""),"MN Họa Mi")</f>
        <v>MN Họa Mi</v>
      </c>
      <c r="C44" s="66" t="str">
        <f ca="1">IFERROR(__xludf.DUMMYFUNCTION("""COMPUTED_VALUE"""),"MN")</f>
        <v>MN</v>
      </c>
      <c r="D44" s="66">
        <f ca="1">IFERROR(__xludf.DUMMYFUNCTION("""COMPUTED_VALUE"""),6)</f>
        <v>6</v>
      </c>
      <c r="E44" s="67">
        <f ca="1">IFERROR(__xludf.DUMMYFUNCTION("""COMPUTED_VALUE"""),14)</f>
        <v>14</v>
      </c>
      <c r="F44" s="67">
        <f ca="1">IFERROR(__xludf.DUMMYFUNCTION("""COMPUTED_VALUE"""),14)</f>
        <v>14</v>
      </c>
      <c r="G44" s="51">
        <f t="shared" ca="1" si="0"/>
        <v>1</v>
      </c>
      <c r="H44" s="67">
        <f ca="1">IFERROR(__xludf.DUMMYFUNCTION("""COMPUTED_VALUE"""),14)</f>
        <v>14</v>
      </c>
      <c r="I44" s="51">
        <f t="shared" ca="1" si="1"/>
        <v>1</v>
      </c>
      <c r="J44" s="67">
        <f ca="1">IFERROR(__xludf.DUMMYFUNCTION("""COMPUTED_VALUE"""),14)</f>
        <v>14</v>
      </c>
      <c r="K44" s="51">
        <f t="shared" ca="1" si="2"/>
        <v>1</v>
      </c>
      <c r="L44" s="67">
        <f ca="1">IFERROR(__xludf.DUMMYFUNCTION("""COMPUTED_VALUE"""),14)</f>
        <v>14</v>
      </c>
      <c r="M44" s="51">
        <f t="shared" ca="1" si="3"/>
        <v>1</v>
      </c>
      <c r="N44" s="67">
        <f ca="1">IFERROR(__xludf.DUMMYFUNCTION("""COMPUTED_VALUE"""),25)</f>
        <v>25</v>
      </c>
      <c r="O44" s="67">
        <f ca="1">IFERROR(__xludf.DUMMYFUNCTION("""COMPUTED_VALUE"""),4)</f>
        <v>4</v>
      </c>
      <c r="P44" s="51">
        <f t="shared" ca="1" si="4"/>
        <v>0.16</v>
      </c>
      <c r="Q44" s="67">
        <f ca="1">IFERROR(__xludf.DUMMYFUNCTION("""COMPUTED_VALUE"""),1)</f>
        <v>1</v>
      </c>
      <c r="R44" s="51">
        <f t="shared" ca="1" si="5"/>
        <v>0.04</v>
      </c>
      <c r="S44" s="66"/>
      <c r="T44" s="66"/>
      <c r="U44" s="51" t="str">
        <f t="shared" si="6"/>
        <v/>
      </c>
      <c r="V44" s="66"/>
      <c r="W44" s="51" t="str">
        <f t="shared" si="7"/>
        <v/>
      </c>
      <c r="X44" s="66"/>
      <c r="Y44" s="51" t="str">
        <f t="shared" si="8"/>
        <v/>
      </c>
      <c r="Z44" s="2"/>
      <c r="AA44" s="2"/>
      <c r="AB44" s="2"/>
      <c r="AC44" s="2"/>
      <c r="AD44" s="2"/>
      <c r="AE44" s="2"/>
    </row>
    <row r="45" spans="1:31" ht="12.75" x14ac:dyDescent="0.2">
      <c r="A45" s="53">
        <f ca="1">IFERROR(__xludf.DUMMYFUNCTION("""COMPUTED_VALUE"""),39)</f>
        <v>39</v>
      </c>
      <c r="B45" s="66" t="str">
        <f ca="1">IFERROR(__xludf.DUMMYFUNCTION("""COMPUTED_VALUE"""),"MN Hoàng Mai 2")</f>
        <v>MN Hoàng Mai 2</v>
      </c>
      <c r="C45" s="66" t="str">
        <f ca="1">IFERROR(__xludf.DUMMYFUNCTION("""COMPUTED_VALUE"""),"MN")</f>
        <v>MN</v>
      </c>
      <c r="D45" s="66">
        <f ca="1">IFERROR(__xludf.DUMMYFUNCTION("""COMPUTED_VALUE"""),6)</f>
        <v>6</v>
      </c>
      <c r="E45" s="67">
        <f ca="1">IFERROR(__xludf.DUMMYFUNCTION("""COMPUTED_VALUE"""),21)</f>
        <v>21</v>
      </c>
      <c r="F45" s="67">
        <f ca="1">IFERROR(__xludf.DUMMYFUNCTION("""COMPUTED_VALUE"""),21)</f>
        <v>21</v>
      </c>
      <c r="G45" s="51">
        <f t="shared" ca="1" si="0"/>
        <v>1</v>
      </c>
      <c r="H45" s="67">
        <f ca="1">IFERROR(__xludf.DUMMYFUNCTION("""COMPUTED_VALUE"""),21)</f>
        <v>21</v>
      </c>
      <c r="I45" s="51">
        <f t="shared" ca="1" si="1"/>
        <v>1</v>
      </c>
      <c r="J45" s="67">
        <f ca="1">IFERROR(__xludf.DUMMYFUNCTION("""COMPUTED_VALUE"""),21)</f>
        <v>21</v>
      </c>
      <c r="K45" s="51">
        <f t="shared" ca="1" si="2"/>
        <v>1</v>
      </c>
      <c r="L45" s="67">
        <f ca="1">IFERROR(__xludf.DUMMYFUNCTION("""COMPUTED_VALUE"""),19)</f>
        <v>19</v>
      </c>
      <c r="M45" s="51">
        <f t="shared" ca="1" si="3"/>
        <v>0.90476190476190477</v>
      </c>
      <c r="N45" s="67">
        <f ca="1">IFERROR(__xludf.DUMMYFUNCTION("""COMPUTED_VALUE"""),41)</f>
        <v>41</v>
      </c>
      <c r="O45" s="67">
        <f ca="1">IFERROR(__xludf.DUMMYFUNCTION("""COMPUTED_VALUE"""),0)</f>
        <v>0</v>
      </c>
      <c r="P45" s="51">
        <f t="shared" ca="1" si="4"/>
        <v>0</v>
      </c>
      <c r="Q45" s="67">
        <f ca="1">IFERROR(__xludf.DUMMYFUNCTION("""COMPUTED_VALUE"""),0)</f>
        <v>0</v>
      </c>
      <c r="R45" s="51">
        <f t="shared" ca="1" si="5"/>
        <v>0</v>
      </c>
      <c r="S45" s="66"/>
      <c r="T45" s="66"/>
      <c r="U45" s="51" t="str">
        <f t="shared" si="6"/>
        <v/>
      </c>
      <c r="V45" s="66"/>
      <c r="W45" s="51" t="str">
        <f t="shared" si="7"/>
        <v/>
      </c>
      <c r="X45" s="66"/>
      <c r="Y45" s="51" t="str">
        <f t="shared" si="8"/>
        <v/>
      </c>
      <c r="Z45" s="2"/>
      <c r="AA45" s="2"/>
      <c r="AB45" s="2"/>
      <c r="AC45" s="2"/>
      <c r="AD45" s="2"/>
      <c r="AE45" s="2"/>
    </row>
    <row r="46" spans="1:31" ht="12.75" x14ac:dyDescent="0.2">
      <c r="A46" s="53">
        <f ca="1">IFERROR(__xludf.DUMMYFUNCTION("""COMPUTED_VALUE"""),40)</f>
        <v>40</v>
      </c>
      <c r="B46" s="66" t="str">
        <f ca="1">IFERROR(__xludf.DUMMYFUNCTION("""COMPUTED_VALUE"""),"MN Tuổi Hồng")</f>
        <v>MN Tuổi Hồng</v>
      </c>
      <c r="C46" s="66" t="str">
        <f ca="1">IFERROR(__xludf.DUMMYFUNCTION("""COMPUTED_VALUE"""),"MN")</f>
        <v>MN</v>
      </c>
      <c r="D46" s="66">
        <f ca="1">IFERROR(__xludf.DUMMYFUNCTION("""COMPUTED_VALUE"""),6)</f>
        <v>6</v>
      </c>
      <c r="E46" s="67">
        <f ca="1">IFERROR(__xludf.DUMMYFUNCTION("""COMPUTED_VALUE"""),13)</f>
        <v>13</v>
      </c>
      <c r="F46" s="67">
        <f ca="1">IFERROR(__xludf.DUMMYFUNCTION("""COMPUTED_VALUE"""),13)</f>
        <v>13</v>
      </c>
      <c r="G46" s="51">
        <f t="shared" ca="1" si="0"/>
        <v>1</v>
      </c>
      <c r="H46" s="67">
        <f ca="1">IFERROR(__xludf.DUMMYFUNCTION("""COMPUTED_VALUE"""),13)</f>
        <v>13</v>
      </c>
      <c r="I46" s="51">
        <f t="shared" ca="1" si="1"/>
        <v>1</v>
      </c>
      <c r="J46" s="67">
        <f ca="1">IFERROR(__xludf.DUMMYFUNCTION("""COMPUTED_VALUE"""),12)</f>
        <v>12</v>
      </c>
      <c r="K46" s="51">
        <f t="shared" ca="1" si="2"/>
        <v>0.92307692307692313</v>
      </c>
      <c r="L46" s="67">
        <f ca="1">IFERROR(__xludf.DUMMYFUNCTION("""COMPUTED_VALUE"""),10)</f>
        <v>10</v>
      </c>
      <c r="M46" s="51">
        <f t="shared" ca="1" si="3"/>
        <v>0.76923076923076927</v>
      </c>
      <c r="N46" s="67">
        <f ca="1">IFERROR(__xludf.DUMMYFUNCTION("""COMPUTED_VALUE"""),5)</f>
        <v>5</v>
      </c>
      <c r="O46" s="67">
        <f ca="1">IFERROR(__xludf.DUMMYFUNCTION("""COMPUTED_VALUE"""),1)</f>
        <v>1</v>
      </c>
      <c r="P46" s="51">
        <f t="shared" ca="1" si="4"/>
        <v>0.2</v>
      </c>
      <c r="Q46" s="67">
        <f ca="1">IFERROR(__xludf.DUMMYFUNCTION("""COMPUTED_VALUE"""),1)</f>
        <v>1</v>
      </c>
      <c r="R46" s="51">
        <f t="shared" ca="1" si="5"/>
        <v>0.2</v>
      </c>
      <c r="S46" s="66"/>
      <c r="T46" s="66"/>
      <c r="U46" s="51" t="str">
        <f t="shared" si="6"/>
        <v/>
      </c>
      <c r="V46" s="66"/>
      <c r="W46" s="51" t="str">
        <f t="shared" si="7"/>
        <v/>
      </c>
      <c r="X46" s="66"/>
      <c r="Y46" s="51" t="str">
        <f t="shared" si="8"/>
        <v/>
      </c>
      <c r="Z46" s="2"/>
      <c r="AA46" s="2"/>
      <c r="AB46" s="2"/>
      <c r="AC46" s="2"/>
      <c r="AD46" s="2"/>
      <c r="AE46" s="2"/>
    </row>
    <row r="47" spans="1:31" ht="12.75" x14ac:dyDescent="0.2">
      <c r="A47" s="53">
        <f ca="1">IFERROR(__xludf.DUMMYFUNCTION("""COMPUTED_VALUE"""),41)</f>
        <v>41</v>
      </c>
      <c r="B47" s="66" t="str">
        <f ca="1">IFERROR(__xludf.DUMMYFUNCTION("""COMPUTED_VALUE"""),"MN Tuyết Sao")</f>
        <v>MN Tuyết Sao</v>
      </c>
      <c r="C47" s="66" t="str">
        <f ca="1">IFERROR(__xludf.DUMMYFUNCTION("""COMPUTED_VALUE"""),"MN")</f>
        <v>MN</v>
      </c>
      <c r="D47" s="66">
        <f ca="1">IFERROR(__xludf.DUMMYFUNCTION("""COMPUTED_VALUE"""),6)</f>
        <v>6</v>
      </c>
      <c r="E47" s="67">
        <f ca="1">IFERROR(__xludf.DUMMYFUNCTION("""COMPUTED_VALUE"""),14)</f>
        <v>14</v>
      </c>
      <c r="F47" s="67">
        <f ca="1">IFERROR(__xludf.DUMMYFUNCTION("""COMPUTED_VALUE"""),14)</f>
        <v>14</v>
      </c>
      <c r="G47" s="51">
        <f t="shared" ca="1" si="0"/>
        <v>1</v>
      </c>
      <c r="H47" s="67">
        <f ca="1">IFERROR(__xludf.DUMMYFUNCTION("""COMPUTED_VALUE"""),14)</f>
        <v>14</v>
      </c>
      <c r="I47" s="51">
        <f t="shared" ca="1" si="1"/>
        <v>1</v>
      </c>
      <c r="J47" s="67">
        <f ca="1">IFERROR(__xludf.DUMMYFUNCTION("""COMPUTED_VALUE"""),14)</f>
        <v>14</v>
      </c>
      <c r="K47" s="51">
        <f t="shared" ca="1" si="2"/>
        <v>1</v>
      </c>
      <c r="L47" s="67">
        <f ca="1">IFERROR(__xludf.DUMMYFUNCTION("""COMPUTED_VALUE"""),14)</f>
        <v>14</v>
      </c>
      <c r="M47" s="51">
        <f t="shared" ca="1" si="3"/>
        <v>1</v>
      </c>
      <c r="N47" s="67">
        <f ca="1">IFERROR(__xludf.DUMMYFUNCTION("""COMPUTED_VALUE"""),34)</f>
        <v>34</v>
      </c>
      <c r="O47" s="67">
        <f ca="1">IFERROR(__xludf.DUMMYFUNCTION("""COMPUTED_VALUE"""),4)</f>
        <v>4</v>
      </c>
      <c r="P47" s="51">
        <f t="shared" ca="1" si="4"/>
        <v>0.11764705882352941</v>
      </c>
      <c r="Q47" s="67">
        <f ca="1">IFERROR(__xludf.DUMMYFUNCTION("""COMPUTED_VALUE"""),3)</f>
        <v>3</v>
      </c>
      <c r="R47" s="51">
        <f t="shared" ca="1" si="5"/>
        <v>8.8235294117647065E-2</v>
      </c>
      <c r="S47" s="66"/>
      <c r="T47" s="66"/>
      <c r="U47" s="51" t="str">
        <f t="shared" si="6"/>
        <v/>
      </c>
      <c r="V47" s="66"/>
      <c r="W47" s="51" t="str">
        <f t="shared" si="7"/>
        <v/>
      </c>
      <c r="X47" s="66"/>
      <c r="Y47" s="51" t="str">
        <f t="shared" si="8"/>
        <v/>
      </c>
      <c r="Z47" s="2"/>
      <c r="AA47" s="2"/>
      <c r="AB47" s="2"/>
      <c r="AC47" s="2"/>
      <c r="AD47" s="2"/>
      <c r="AE47" s="2"/>
    </row>
    <row r="48" spans="1:31" ht="12.75" x14ac:dyDescent="0.2">
      <c r="A48" s="53">
        <f ca="1">IFERROR(__xludf.DUMMYFUNCTION("""COMPUTED_VALUE"""),42)</f>
        <v>42</v>
      </c>
      <c r="B48" s="66" t="str">
        <f ca="1">IFERROR(__xludf.DUMMYFUNCTION("""COMPUTED_VALUE"""),"MN Hồng Phúc")</f>
        <v>MN Hồng Phúc</v>
      </c>
      <c r="C48" s="66" t="str">
        <f ca="1">IFERROR(__xludf.DUMMYFUNCTION("""COMPUTED_VALUE"""),"MN")</f>
        <v>MN</v>
      </c>
      <c r="D48" s="66">
        <f ca="1">IFERROR(__xludf.DUMMYFUNCTION("""COMPUTED_VALUE"""),6)</f>
        <v>6</v>
      </c>
      <c r="E48" s="67">
        <f ca="1">IFERROR(__xludf.DUMMYFUNCTION("""COMPUTED_VALUE"""),21)</f>
        <v>21</v>
      </c>
      <c r="F48" s="67">
        <f ca="1">IFERROR(__xludf.DUMMYFUNCTION("""COMPUTED_VALUE"""),21)</f>
        <v>21</v>
      </c>
      <c r="G48" s="51">
        <f t="shared" ca="1" si="0"/>
        <v>1</v>
      </c>
      <c r="H48" s="67">
        <f ca="1">IFERROR(__xludf.DUMMYFUNCTION("""COMPUTED_VALUE"""),21)</f>
        <v>21</v>
      </c>
      <c r="I48" s="51">
        <f t="shared" ca="1" si="1"/>
        <v>1</v>
      </c>
      <c r="J48" s="67">
        <f ca="1">IFERROR(__xludf.DUMMYFUNCTION("""COMPUTED_VALUE"""),21)</f>
        <v>21</v>
      </c>
      <c r="K48" s="51">
        <f t="shared" ca="1" si="2"/>
        <v>1</v>
      </c>
      <c r="L48" s="67">
        <f ca="1">IFERROR(__xludf.DUMMYFUNCTION("""COMPUTED_VALUE"""),14)</f>
        <v>14</v>
      </c>
      <c r="M48" s="51">
        <f t="shared" ca="1" si="3"/>
        <v>0.66666666666666663</v>
      </c>
      <c r="N48" s="67">
        <f ca="1">IFERROR(__xludf.DUMMYFUNCTION("""COMPUTED_VALUE"""),29)</f>
        <v>29</v>
      </c>
      <c r="O48" s="67">
        <f ca="1">IFERROR(__xludf.DUMMYFUNCTION("""COMPUTED_VALUE"""),0)</f>
        <v>0</v>
      </c>
      <c r="P48" s="51">
        <f t="shared" ca="1" si="4"/>
        <v>0</v>
      </c>
      <c r="Q48" s="67">
        <f ca="1">IFERROR(__xludf.DUMMYFUNCTION("""COMPUTED_VALUE"""),0)</f>
        <v>0</v>
      </c>
      <c r="R48" s="51">
        <f t="shared" ca="1" si="5"/>
        <v>0</v>
      </c>
      <c r="S48" s="66"/>
      <c r="T48" s="66"/>
      <c r="U48" s="51" t="str">
        <f t="shared" si="6"/>
        <v/>
      </c>
      <c r="V48" s="66"/>
      <c r="W48" s="51" t="str">
        <f t="shared" si="7"/>
        <v/>
      </c>
      <c r="X48" s="66"/>
      <c r="Y48" s="51" t="str">
        <f t="shared" si="8"/>
        <v/>
      </c>
      <c r="Z48" s="2"/>
      <c r="AA48" s="2"/>
      <c r="AB48" s="2"/>
      <c r="AC48" s="2"/>
      <c r="AD48" s="2"/>
      <c r="AE48" s="2"/>
    </row>
    <row r="49" spans="1:31" ht="12.75" x14ac:dyDescent="0.2">
      <c r="A49" s="53">
        <f ca="1">IFERROR(__xludf.DUMMYFUNCTION("""COMPUTED_VALUE"""),43)</f>
        <v>43</v>
      </c>
      <c r="B49" s="66" t="str">
        <f ca="1">IFERROR(__xludf.DUMMYFUNCTION("""COMPUTED_VALUE"""),"MN Nai Vàng")</f>
        <v>MN Nai Vàng</v>
      </c>
      <c r="C49" s="66" t="str">
        <f ca="1">IFERROR(__xludf.DUMMYFUNCTION("""COMPUTED_VALUE"""),"MN")</f>
        <v>MN</v>
      </c>
      <c r="D49" s="66">
        <f ca="1">IFERROR(__xludf.DUMMYFUNCTION("""COMPUTED_VALUE"""),6)</f>
        <v>6</v>
      </c>
      <c r="E49" s="67">
        <f ca="1">IFERROR(__xludf.DUMMYFUNCTION("""COMPUTED_VALUE"""),8)</f>
        <v>8</v>
      </c>
      <c r="F49" s="67">
        <f ca="1">IFERROR(__xludf.DUMMYFUNCTION("""COMPUTED_VALUE"""),8)</f>
        <v>8</v>
      </c>
      <c r="G49" s="51">
        <f t="shared" ca="1" si="0"/>
        <v>1</v>
      </c>
      <c r="H49" s="67">
        <f ca="1">IFERROR(__xludf.DUMMYFUNCTION("""COMPUTED_VALUE"""),8)</f>
        <v>8</v>
      </c>
      <c r="I49" s="51">
        <f t="shared" ca="1" si="1"/>
        <v>1</v>
      </c>
      <c r="J49" s="67">
        <f ca="1">IFERROR(__xludf.DUMMYFUNCTION("""COMPUTED_VALUE"""),8)</f>
        <v>8</v>
      </c>
      <c r="K49" s="51">
        <f t="shared" ca="1" si="2"/>
        <v>1</v>
      </c>
      <c r="L49" s="67">
        <f ca="1">IFERROR(__xludf.DUMMYFUNCTION("""COMPUTED_VALUE"""),8)</f>
        <v>8</v>
      </c>
      <c r="M49" s="51">
        <f t="shared" ca="1" si="3"/>
        <v>1</v>
      </c>
      <c r="N49" s="67">
        <f ca="1">IFERROR(__xludf.DUMMYFUNCTION("""COMPUTED_VALUE"""),10)</f>
        <v>10</v>
      </c>
      <c r="O49" s="67">
        <f ca="1">IFERROR(__xludf.DUMMYFUNCTION("""COMPUTED_VALUE"""),6)</f>
        <v>6</v>
      </c>
      <c r="P49" s="51">
        <f t="shared" ca="1" si="4"/>
        <v>0.6</v>
      </c>
      <c r="Q49" s="67">
        <f ca="1">IFERROR(__xludf.DUMMYFUNCTION("""COMPUTED_VALUE"""),2)</f>
        <v>2</v>
      </c>
      <c r="R49" s="51">
        <f t="shared" ca="1" si="5"/>
        <v>0.2</v>
      </c>
      <c r="S49" s="66"/>
      <c r="T49" s="66"/>
      <c r="U49" s="51" t="str">
        <f t="shared" si="6"/>
        <v/>
      </c>
      <c r="V49" s="66"/>
      <c r="W49" s="51" t="str">
        <f t="shared" si="7"/>
        <v/>
      </c>
      <c r="X49" s="66"/>
      <c r="Y49" s="51" t="str">
        <f t="shared" si="8"/>
        <v/>
      </c>
      <c r="Z49" s="2"/>
      <c r="AA49" s="2"/>
      <c r="AB49" s="2"/>
      <c r="AC49" s="2"/>
      <c r="AD49" s="2"/>
      <c r="AE49" s="2"/>
    </row>
    <row r="50" spans="1:31" ht="12.75" x14ac:dyDescent="0.2">
      <c r="A50" s="53">
        <f ca="1">IFERROR(__xludf.DUMMYFUNCTION("""COMPUTED_VALUE"""),44)</f>
        <v>44</v>
      </c>
      <c r="B50" s="66" t="str">
        <f ca="1">IFERROR(__xludf.DUMMYFUNCTION("""COMPUTED_VALUE"""),"MN Sóc Nâu")</f>
        <v>MN Sóc Nâu</v>
      </c>
      <c r="C50" s="66" t="str">
        <f ca="1">IFERROR(__xludf.DUMMYFUNCTION("""COMPUTED_VALUE"""),"MN")</f>
        <v>MN</v>
      </c>
      <c r="D50" s="66">
        <f ca="1">IFERROR(__xludf.DUMMYFUNCTION("""COMPUTED_VALUE"""),6)</f>
        <v>6</v>
      </c>
      <c r="E50" s="67">
        <f ca="1">IFERROR(__xludf.DUMMYFUNCTION("""COMPUTED_VALUE"""),10)</f>
        <v>10</v>
      </c>
      <c r="F50" s="67">
        <f ca="1">IFERROR(__xludf.DUMMYFUNCTION("""COMPUTED_VALUE"""),10)</f>
        <v>10</v>
      </c>
      <c r="G50" s="51">
        <f t="shared" ca="1" si="0"/>
        <v>1</v>
      </c>
      <c r="H50" s="67">
        <f ca="1">IFERROR(__xludf.DUMMYFUNCTION("""COMPUTED_VALUE"""),10)</f>
        <v>10</v>
      </c>
      <c r="I50" s="51">
        <f t="shared" ca="1" si="1"/>
        <v>1</v>
      </c>
      <c r="J50" s="67">
        <f ca="1">IFERROR(__xludf.DUMMYFUNCTION("""COMPUTED_VALUE"""),10)</f>
        <v>10</v>
      </c>
      <c r="K50" s="51">
        <f t="shared" ca="1" si="2"/>
        <v>1</v>
      </c>
      <c r="L50" s="67">
        <f ca="1">IFERROR(__xludf.DUMMYFUNCTION("""COMPUTED_VALUE"""),1)</f>
        <v>1</v>
      </c>
      <c r="M50" s="51">
        <f t="shared" ca="1" si="3"/>
        <v>0.1</v>
      </c>
      <c r="N50" s="67">
        <f ca="1">IFERROR(__xludf.DUMMYFUNCTION("""COMPUTED_VALUE"""),10)</f>
        <v>10</v>
      </c>
      <c r="O50" s="67">
        <f ca="1">IFERROR(__xludf.DUMMYFUNCTION("""COMPUTED_VALUE"""),0)</f>
        <v>0</v>
      </c>
      <c r="P50" s="51">
        <f t="shared" ca="1" si="4"/>
        <v>0</v>
      </c>
      <c r="Q50" s="67">
        <f ca="1">IFERROR(__xludf.DUMMYFUNCTION("""COMPUTED_VALUE"""),0)</f>
        <v>0</v>
      </c>
      <c r="R50" s="51">
        <f t="shared" ca="1" si="5"/>
        <v>0</v>
      </c>
      <c r="S50" s="66"/>
      <c r="T50" s="66"/>
      <c r="U50" s="51" t="str">
        <f t="shared" si="6"/>
        <v/>
      </c>
      <c r="V50" s="66"/>
      <c r="W50" s="51" t="str">
        <f t="shared" si="7"/>
        <v/>
      </c>
      <c r="X50" s="66"/>
      <c r="Y50" s="51" t="str">
        <f t="shared" si="8"/>
        <v/>
      </c>
      <c r="Z50" s="2"/>
      <c r="AA50" s="2"/>
      <c r="AB50" s="2"/>
      <c r="AC50" s="2"/>
      <c r="AD50" s="2"/>
      <c r="AE50" s="2"/>
    </row>
    <row r="51" spans="1:31" ht="12.75" x14ac:dyDescent="0.2">
      <c r="A51" s="53">
        <f ca="1">IFERROR(__xludf.DUMMYFUNCTION("""COMPUTED_VALUE"""),45)</f>
        <v>45</v>
      </c>
      <c r="B51" s="66" t="str">
        <f ca="1">IFERROR(__xludf.DUMMYFUNCTION("""COMPUTED_VALUE"""),"MN Bình Minh")</f>
        <v>MN Bình Minh</v>
      </c>
      <c r="C51" s="66" t="str">
        <f ca="1">IFERROR(__xludf.DUMMYFUNCTION("""COMPUTED_VALUE"""),"MN")</f>
        <v>MN</v>
      </c>
      <c r="D51" s="66">
        <f ca="1">IFERROR(__xludf.DUMMYFUNCTION("""COMPUTED_VALUE"""),6)</f>
        <v>6</v>
      </c>
      <c r="E51" s="67">
        <f ca="1">IFERROR(__xludf.DUMMYFUNCTION("""COMPUTED_VALUE"""),7)</f>
        <v>7</v>
      </c>
      <c r="F51" s="67">
        <f ca="1">IFERROR(__xludf.DUMMYFUNCTION("""COMPUTED_VALUE"""),7)</f>
        <v>7</v>
      </c>
      <c r="G51" s="51">
        <f t="shared" ca="1" si="0"/>
        <v>1</v>
      </c>
      <c r="H51" s="67">
        <f ca="1">IFERROR(__xludf.DUMMYFUNCTION("""COMPUTED_VALUE"""),7)</f>
        <v>7</v>
      </c>
      <c r="I51" s="51">
        <f t="shared" ca="1" si="1"/>
        <v>1</v>
      </c>
      <c r="J51" s="67">
        <f ca="1">IFERROR(__xludf.DUMMYFUNCTION("""COMPUTED_VALUE"""),6)</f>
        <v>6</v>
      </c>
      <c r="K51" s="51">
        <f t="shared" ca="1" si="2"/>
        <v>0.8571428571428571</v>
      </c>
      <c r="L51" s="67">
        <f ca="1">IFERROR(__xludf.DUMMYFUNCTION("""COMPUTED_VALUE"""),4)</f>
        <v>4</v>
      </c>
      <c r="M51" s="51">
        <f t="shared" ca="1" si="3"/>
        <v>0.5714285714285714</v>
      </c>
      <c r="N51" s="67">
        <f ca="1">IFERROR(__xludf.DUMMYFUNCTION("""COMPUTED_VALUE"""),2)</f>
        <v>2</v>
      </c>
      <c r="O51" s="67">
        <f ca="1">IFERROR(__xludf.DUMMYFUNCTION("""COMPUTED_VALUE"""),1)</f>
        <v>1</v>
      </c>
      <c r="P51" s="51">
        <f t="shared" ca="1" si="4"/>
        <v>0.5</v>
      </c>
      <c r="Q51" s="67">
        <f ca="1">IFERROR(__xludf.DUMMYFUNCTION("""COMPUTED_VALUE"""),1)</f>
        <v>1</v>
      </c>
      <c r="R51" s="51">
        <f t="shared" ca="1" si="5"/>
        <v>0.5</v>
      </c>
      <c r="S51" s="66"/>
      <c r="T51" s="66"/>
      <c r="U51" s="51" t="str">
        <f t="shared" si="6"/>
        <v/>
      </c>
      <c r="V51" s="66"/>
      <c r="W51" s="51" t="str">
        <f t="shared" si="7"/>
        <v/>
      </c>
      <c r="X51" s="66"/>
      <c r="Y51" s="51" t="str">
        <f t="shared" si="8"/>
        <v/>
      </c>
      <c r="Z51" s="2"/>
      <c r="AA51" s="2"/>
      <c r="AB51" s="2"/>
      <c r="AC51" s="2"/>
      <c r="AD51" s="2"/>
      <c r="AE51" s="2"/>
    </row>
    <row r="52" spans="1:31" ht="12.75" x14ac:dyDescent="0.2">
      <c r="A52" s="53">
        <f ca="1">IFERROR(__xludf.DUMMYFUNCTION("""COMPUTED_VALUE"""),46)</f>
        <v>46</v>
      </c>
      <c r="B52" s="66" t="str">
        <f ca="1">IFERROR(__xludf.DUMMYFUNCTION("""COMPUTED_VALUE"""),"MN Sao Vàng")</f>
        <v>MN Sao Vàng</v>
      </c>
      <c r="C52" s="66" t="str">
        <f ca="1">IFERROR(__xludf.DUMMYFUNCTION("""COMPUTED_VALUE"""),"MN")</f>
        <v>MN</v>
      </c>
      <c r="D52" s="66">
        <f ca="1">IFERROR(__xludf.DUMMYFUNCTION("""COMPUTED_VALUE"""),6)</f>
        <v>6</v>
      </c>
      <c r="E52" s="67">
        <f ca="1">IFERROR(__xludf.DUMMYFUNCTION("""COMPUTED_VALUE"""),11)</f>
        <v>11</v>
      </c>
      <c r="F52" s="67">
        <f ca="1">IFERROR(__xludf.DUMMYFUNCTION("""COMPUTED_VALUE"""),11)</f>
        <v>11</v>
      </c>
      <c r="G52" s="51">
        <f t="shared" ca="1" si="0"/>
        <v>1</v>
      </c>
      <c r="H52" s="67">
        <f ca="1">IFERROR(__xludf.DUMMYFUNCTION("""COMPUTED_VALUE"""),11)</f>
        <v>11</v>
      </c>
      <c r="I52" s="51">
        <f t="shared" ca="1" si="1"/>
        <v>1</v>
      </c>
      <c r="J52" s="67">
        <f ca="1">IFERROR(__xludf.DUMMYFUNCTION("""COMPUTED_VALUE"""),11)</f>
        <v>11</v>
      </c>
      <c r="K52" s="51">
        <f t="shared" ca="1" si="2"/>
        <v>1</v>
      </c>
      <c r="L52" s="67">
        <f ca="1">IFERROR(__xludf.DUMMYFUNCTION("""COMPUTED_VALUE"""),4)</f>
        <v>4</v>
      </c>
      <c r="M52" s="51">
        <f t="shared" ca="1" si="3"/>
        <v>0.36363636363636365</v>
      </c>
      <c r="N52" s="67">
        <f ca="1">IFERROR(__xludf.DUMMYFUNCTION("""COMPUTED_VALUE"""),0)</f>
        <v>0</v>
      </c>
      <c r="O52" s="67">
        <f ca="1">IFERROR(__xludf.DUMMYFUNCTION("""COMPUTED_VALUE"""),0)</f>
        <v>0</v>
      </c>
      <c r="P52" s="51" t="str">
        <f t="shared" ca="1" si="4"/>
        <v/>
      </c>
      <c r="Q52" s="67">
        <f ca="1">IFERROR(__xludf.DUMMYFUNCTION("""COMPUTED_VALUE"""),0)</f>
        <v>0</v>
      </c>
      <c r="R52" s="51" t="str">
        <f t="shared" ca="1" si="5"/>
        <v/>
      </c>
      <c r="S52" s="66"/>
      <c r="T52" s="66"/>
      <c r="U52" s="51" t="str">
        <f t="shared" si="6"/>
        <v/>
      </c>
      <c r="V52" s="66"/>
      <c r="W52" s="51" t="str">
        <f t="shared" si="7"/>
        <v/>
      </c>
      <c r="X52" s="66"/>
      <c r="Y52" s="51" t="str">
        <f t="shared" si="8"/>
        <v/>
      </c>
      <c r="Z52" s="2"/>
      <c r="AA52" s="2"/>
      <c r="AB52" s="2"/>
      <c r="AC52" s="2"/>
      <c r="AD52" s="2"/>
      <c r="AE52" s="2"/>
    </row>
    <row r="53" spans="1:31" ht="12.75" x14ac:dyDescent="0.2">
      <c r="A53" s="66" t="str">
        <f ca="1">IFERROR(__xludf.DUMMYFUNCTION("""COMPUTED_VALUE"""),"Tiểu học")</f>
        <v>Tiểu học</v>
      </c>
      <c r="B53" s="66"/>
      <c r="C53" s="66"/>
      <c r="D53" s="66"/>
      <c r="E53" s="66"/>
      <c r="F53" s="66"/>
      <c r="G53" s="51" t="str">
        <f t="shared" si="0"/>
        <v/>
      </c>
      <c r="H53" s="66"/>
      <c r="I53" s="51" t="str">
        <f t="shared" si="1"/>
        <v/>
      </c>
      <c r="J53" s="66"/>
      <c r="K53" s="51" t="str">
        <f t="shared" si="2"/>
        <v/>
      </c>
      <c r="L53" s="66"/>
      <c r="M53" s="51" t="str">
        <f t="shared" si="3"/>
        <v/>
      </c>
      <c r="N53" s="66"/>
      <c r="O53" s="66"/>
      <c r="P53" s="51" t="str">
        <f t="shared" si="4"/>
        <v/>
      </c>
      <c r="Q53" s="66"/>
      <c r="R53" s="51" t="str">
        <f t="shared" si="5"/>
        <v/>
      </c>
      <c r="S53" s="66"/>
      <c r="T53" s="66"/>
      <c r="U53" s="51" t="str">
        <f t="shared" si="6"/>
        <v/>
      </c>
      <c r="V53" s="66"/>
      <c r="W53" s="51" t="str">
        <f t="shared" si="7"/>
        <v/>
      </c>
      <c r="X53" s="66"/>
      <c r="Y53" s="51" t="str">
        <f t="shared" si="8"/>
        <v/>
      </c>
      <c r="Z53" s="2"/>
      <c r="AA53" s="2"/>
      <c r="AB53" s="2"/>
      <c r="AC53" s="2"/>
      <c r="AD53" s="2"/>
      <c r="AE53" s="2"/>
    </row>
    <row r="54" spans="1:31" ht="12.75" x14ac:dyDescent="0.2">
      <c r="A54" s="53">
        <f ca="1">IFERROR(__xludf.DUMMYFUNCTION("""COMPUTED_VALUE"""),1)</f>
        <v>1</v>
      </c>
      <c r="B54" s="66"/>
      <c r="C54" s="66"/>
      <c r="D54" s="66">
        <f ca="1">IFERROR(__xludf.DUMMYFUNCTION("""COMPUTED_VALUE"""),6)</f>
        <v>6</v>
      </c>
      <c r="E54" s="67">
        <f ca="1">IFERROR(__xludf.DUMMYFUNCTION("""COMPUTED_VALUE"""),104)</f>
        <v>104</v>
      </c>
      <c r="F54" s="67">
        <f ca="1">IFERROR(__xludf.DUMMYFUNCTION("""COMPUTED_VALUE"""),104)</f>
        <v>104</v>
      </c>
      <c r="G54" s="51">
        <f t="shared" ca="1" si="0"/>
        <v>1</v>
      </c>
      <c r="H54" s="67">
        <f ca="1">IFERROR(__xludf.DUMMYFUNCTION("""COMPUTED_VALUE"""),104)</f>
        <v>104</v>
      </c>
      <c r="I54" s="51">
        <f t="shared" ca="1" si="1"/>
        <v>1</v>
      </c>
      <c r="J54" s="67">
        <f ca="1">IFERROR(__xludf.DUMMYFUNCTION("""COMPUTED_VALUE"""),104)</f>
        <v>104</v>
      </c>
      <c r="K54" s="51">
        <f t="shared" ca="1" si="2"/>
        <v>1</v>
      </c>
      <c r="L54" s="67">
        <f ca="1">IFERROR(__xludf.DUMMYFUNCTION("""COMPUTED_VALUE"""),98)</f>
        <v>98</v>
      </c>
      <c r="M54" s="51">
        <f t="shared" ca="1" si="3"/>
        <v>0.94230769230769229</v>
      </c>
      <c r="N54" s="67">
        <f ca="1">IFERROR(__xludf.DUMMYFUNCTION("""COMPUTED_VALUE"""),1256)</f>
        <v>1256</v>
      </c>
      <c r="O54" s="67">
        <f ca="1">IFERROR(__xludf.DUMMYFUNCTION("""COMPUTED_VALUE"""),845)</f>
        <v>845</v>
      </c>
      <c r="P54" s="51">
        <f t="shared" ca="1" si="4"/>
        <v>0.67277070063694266</v>
      </c>
      <c r="Q54" s="67">
        <f ca="1">IFERROR(__xludf.DUMMYFUNCTION("""COMPUTED_VALUE"""),553)</f>
        <v>553</v>
      </c>
      <c r="R54" s="51">
        <f t="shared" ca="1" si="5"/>
        <v>0.44028662420382164</v>
      </c>
      <c r="S54" s="67">
        <f ca="1">IFERROR(__xludf.DUMMYFUNCTION("""COMPUTED_VALUE"""),1)</f>
        <v>1</v>
      </c>
      <c r="T54" s="66">
        <f ca="1">IFERROR(__xludf.DUMMYFUNCTION("""COMPUTED_VALUE"""),1)</f>
        <v>1</v>
      </c>
      <c r="U54" s="51">
        <f t="shared" ca="1" si="6"/>
        <v>1</v>
      </c>
      <c r="V54" s="67">
        <f ca="1">IFERROR(__xludf.DUMMYFUNCTION("""COMPUTED_VALUE"""),1)</f>
        <v>1</v>
      </c>
      <c r="W54" s="51">
        <f t="shared" ca="1" si="7"/>
        <v>1</v>
      </c>
      <c r="X54" s="66"/>
      <c r="Y54" s="51">
        <f t="shared" ca="1" si="8"/>
        <v>0</v>
      </c>
      <c r="Z54" s="2"/>
      <c r="AA54" s="2"/>
      <c r="AB54" s="2"/>
      <c r="AC54" s="2"/>
      <c r="AD54" s="2"/>
      <c r="AE54" s="2"/>
    </row>
    <row r="55" spans="1:31" ht="12.75" x14ac:dyDescent="0.2">
      <c r="A55" s="53">
        <f ca="1">IFERROR(__xludf.DUMMYFUNCTION("""COMPUTED_VALUE"""),2)</f>
        <v>2</v>
      </c>
      <c r="B55" s="66" t="str">
        <f ca="1">IFERROR(__xludf.DUMMYFUNCTION("""COMPUTED_VALUE"""),"TH Nguyễn Thiện Thuật")</f>
        <v>TH Nguyễn Thiện Thuật</v>
      </c>
      <c r="C55" s="66" t="str">
        <f ca="1">IFERROR(__xludf.DUMMYFUNCTION("""COMPUTED_VALUE"""),"TH")</f>
        <v>TH</v>
      </c>
      <c r="D55" s="66">
        <f ca="1">IFERROR(__xludf.DUMMYFUNCTION("""COMPUTED_VALUE"""),6)</f>
        <v>6</v>
      </c>
      <c r="E55" s="67">
        <f ca="1">IFERROR(__xludf.DUMMYFUNCTION("""COMPUTED_VALUE"""),34)</f>
        <v>34</v>
      </c>
      <c r="F55" s="67">
        <f ca="1">IFERROR(__xludf.DUMMYFUNCTION("""COMPUTED_VALUE"""),34)</f>
        <v>34</v>
      </c>
      <c r="G55" s="51">
        <f t="shared" ca="1" si="0"/>
        <v>1</v>
      </c>
      <c r="H55" s="67">
        <f ca="1">IFERROR(__xludf.DUMMYFUNCTION("""COMPUTED_VALUE"""),34)</f>
        <v>34</v>
      </c>
      <c r="I55" s="51">
        <f t="shared" ca="1" si="1"/>
        <v>1</v>
      </c>
      <c r="J55" s="67">
        <f ca="1">IFERROR(__xludf.DUMMYFUNCTION("""COMPUTED_VALUE"""),34)</f>
        <v>34</v>
      </c>
      <c r="K55" s="51">
        <f t="shared" ca="1" si="2"/>
        <v>1</v>
      </c>
      <c r="L55" s="67">
        <f ca="1">IFERROR(__xludf.DUMMYFUNCTION("""COMPUTED_VALUE"""),31)</f>
        <v>31</v>
      </c>
      <c r="M55" s="51">
        <f t="shared" ca="1" si="3"/>
        <v>0.91176470588235292</v>
      </c>
      <c r="N55" s="67">
        <f ca="1">IFERROR(__xludf.DUMMYFUNCTION("""COMPUTED_VALUE"""),534)</f>
        <v>534</v>
      </c>
      <c r="O55" s="67">
        <f ca="1">IFERROR(__xludf.DUMMYFUNCTION("""COMPUTED_VALUE"""),408)</f>
        <v>408</v>
      </c>
      <c r="P55" s="51">
        <f t="shared" ca="1" si="4"/>
        <v>0.7640449438202247</v>
      </c>
      <c r="Q55" s="67">
        <f ca="1">IFERROR(__xludf.DUMMYFUNCTION("""COMPUTED_VALUE"""),209)</f>
        <v>209</v>
      </c>
      <c r="R55" s="51">
        <f t="shared" ca="1" si="5"/>
        <v>0.39138576779026218</v>
      </c>
      <c r="S55" s="67">
        <f ca="1">IFERROR(__xludf.DUMMYFUNCTION("""COMPUTED_VALUE"""),1)</f>
        <v>1</v>
      </c>
      <c r="T55" s="66">
        <f ca="1">IFERROR(__xludf.DUMMYFUNCTION("""COMPUTED_VALUE"""),1)</f>
        <v>1</v>
      </c>
      <c r="U55" s="51">
        <f t="shared" ca="1" si="6"/>
        <v>1</v>
      </c>
      <c r="V55" s="67">
        <f ca="1">IFERROR(__xludf.DUMMYFUNCTION("""COMPUTED_VALUE"""),1)</f>
        <v>1</v>
      </c>
      <c r="W55" s="51">
        <f t="shared" ca="1" si="7"/>
        <v>1</v>
      </c>
      <c r="X55" s="66"/>
      <c r="Y55" s="51">
        <f t="shared" ca="1" si="8"/>
        <v>0</v>
      </c>
      <c r="Z55" s="2"/>
      <c r="AA55" s="2"/>
      <c r="AB55" s="2"/>
      <c r="AC55" s="2"/>
      <c r="AD55" s="2"/>
      <c r="AE55" s="2"/>
    </row>
    <row r="56" spans="1:31" ht="12.75" x14ac:dyDescent="0.2">
      <c r="A56" s="53">
        <f ca="1">IFERROR(__xludf.DUMMYFUNCTION("""COMPUTED_VALUE"""),3)</f>
        <v>3</v>
      </c>
      <c r="B56" s="66" t="str">
        <f ca="1">IFERROR(__xludf.DUMMYFUNCTION("""COMPUTED_VALUE"""),"TH Kim Đồng")</f>
        <v>TH Kim Đồng</v>
      </c>
      <c r="C56" s="66" t="str">
        <f ca="1">IFERROR(__xludf.DUMMYFUNCTION("""COMPUTED_VALUE"""),"TH")</f>
        <v>TH</v>
      </c>
      <c r="D56" s="66">
        <f ca="1">IFERROR(__xludf.DUMMYFUNCTION("""COMPUTED_VALUE"""),6)</f>
        <v>6</v>
      </c>
      <c r="E56" s="67">
        <f ca="1">IFERROR(__xludf.DUMMYFUNCTION("""COMPUTED_VALUE"""),56)</f>
        <v>56</v>
      </c>
      <c r="F56" s="67">
        <f ca="1">IFERROR(__xludf.DUMMYFUNCTION("""COMPUTED_VALUE"""),56)</f>
        <v>56</v>
      </c>
      <c r="G56" s="51">
        <f t="shared" ca="1" si="0"/>
        <v>1</v>
      </c>
      <c r="H56" s="67">
        <f ca="1">IFERROR(__xludf.DUMMYFUNCTION("""COMPUTED_VALUE"""),56)</f>
        <v>56</v>
      </c>
      <c r="I56" s="51">
        <f t="shared" ca="1" si="1"/>
        <v>1</v>
      </c>
      <c r="J56" s="67">
        <f ca="1">IFERROR(__xludf.DUMMYFUNCTION("""COMPUTED_VALUE"""),56)</f>
        <v>56</v>
      </c>
      <c r="K56" s="51">
        <f t="shared" ca="1" si="2"/>
        <v>1</v>
      </c>
      <c r="L56" s="67">
        <f ca="1">IFERROR(__xludf.DUMMYFUNCTION("""COMPUTED_VALUE"""),54)</f>
        <v>54</v>
      </c>
      <c r="M56" s="51">
        <f t="shared" ca="1" si="3"/>
        <v>0.9642857142857143</v>
      </c>
      <c r="N56" s="67">
        <f ca="1">IFERROR(__xludf.DUMMYFUNCTION("""COMPUTED_VALUE"""),858)</f>
        <v>858</v>
      </c>
      <c r="O56" s="67">
        <f ca="1">IFERROR(__xludf.DUMMYFUNCTION("""COMPUTED_VALUE"""),510)</f>
        <v>510</v>
      </c>
      <c r="P56" s="51">
        <f t="shared" ca="1" si="4"/>
        <v>0.59440559440559437</v>
      </c>
      <c r="Q56" s="67">
        <f ca="1">IFERROR(__xludf.DUMMYFUNCTION("""COMPUTED_VALUE"""),308)</f>
        <v>308</v>
      </c>
      <c r="R56" s="51">
        <f t="shared" ca="1" si="5"/>
        <v>0.35897435897435898</v>
      </c>
      <c r="S56" s="67">
        <f ca="1">IFERROR(__xludf.DUMMYFUNCTION("""COMPUTED_VALUE"""),0)</f>
        <v>0</v>
      </c>
      <c r="T56" s="66">
        <f ca="1">IFERROR(__xludf.DUMMYFUNCTION("""COMPUTED_VALUE"""),0)</f>
        <v>0</v>
      </c>
      <c r="U56" s="51" t="str">
        <f t="shared" ca="1" si="6"/>
        <v/>
      </c>
      <c r="V56" s="67">
        <f ca="1">IFERROR(__xludf.DUMMYFUNCTION("""COMPUTED_VALUE"""),0)</f>
        <v>0</v>
      </c>
      <c r="W56" s="51" t="str">
        <f t="shared" ca="1" si="7"/>
        <v/>
      </c>
      <c r="X56" s="66"/>
      <c r="Y56" s="51" t="str">
        <f t="shared" ca="1" si="8"/>
        <v/>
      </c>
      <c r="Z56" s="2"/>
      <c r="AA56" s="2"/>
      <c r="AB56" s="2"/>
      <c r="AC56" s="2"/>
      <c r="AD56" s="2"/>
      <c r="AE56" s="2"/>
    </row>
    <row r="57" spans="1:31" ht="12.75" x14ac:dyDescent="0.2">
      <c r="A57" s="53">
        <f ca="1">IFERROR(__xludf.DUMMYFUNCTION("""COMPUTED_VALUE"""),4)</f>
        <v>4</v>
      </c>
      <c r="B57" s="66" t="str">
        <f ca="1">IFERROR(__xludf.DUMMYFUNCTION("""COMPUTED_VALUE"""),"TH Nhật Tảo")</f>
        <v>TH Nhật Tảo</v>
      </c>
      <c r="C57" s="66" t="str">
        <f ca="1">IFERROR(__xludf.DUMMYFUNCTION("""COMPUTED_VALUE"""),"TH")</f>
        <v>TH</v>
      </c>
      <c r="D57" s="66">
        <f ca="1">IFERROR(__xludf.DUMMYFUNCTION("""COMPUTED_VALUE"""),6)</f>
        <v>6</v>
      </c>
      <c r="E57" s="67">
        <f ca="1">IFERROR(__xludf.DUMMYFUNCTION("""COMPUTED_VALUE"""),31)</f>
        <v>31</v>
      </c>
      <c r="F57" s="67">
        <f ca="1">IFERROR(__xludf.DUMMYFUNCTION("""COMPUTED_VALUE"""),31)</f>
        <v>31</v>
      </c>
      <c r="G57" s="51">
        <f t="shared" ca="1" si="0"/>
        <v>1</v>
      </c>
      <c r="H57" s="67">
        <f ca="1">IFERROR(__xludf.DUMMYFUNCTION("""COMPUTED_VALUE"""),31)</f>
        <v>31</v>
      </c>
      <c r="I57" s="51">
        <f t="shared" ca="1" si="1"/>
        <v>1</v>
      </c>
      <c r="J57" s="67">
        <f ca="1">IFERROR(__xludf.DUMMYFUNCTION("""COMPUTED_VALUE"""),30)</f>
        <v>30</v>
      </c>
      <c r="K57" s="51">
        <f t="shared" ca="1" si="2"/>
        <v>0.967741935483871</v>
      </c>
      <c r="L57" s="67">
        <f ca="1">IFERROR(__xludf.DUMMYFUNCTION("""COMPUTED_VALUE"""),25)</f>
        <v>25</v>
      </c>
      <c r="M57" s="51">
        <f t="shared" ca="1" si="3"/>
        <v>0.80645161290322576</v>
      </c>
      <c r="N57" s="67">
        <f ca="1">IFERROR(__xludf.DUMMYFUNCTION("""COMPUTED_VALUE"""),415)</f>
        <v>415</v>
      </c>
      <c r="O57" s="67">
        <f ca="1">IFERROR(__xludf.DUMMYFUNCTION("""COMPUTED_VALUE"""),316)</f>
        <v>316</v>
      </c>
      <c r="P57" s="51">
        <f t="shared" ca="1" si="4"/>
        <v>0.76144578313253009</v>
      </c>
      <c r="Q57" s="67">
        <f ca="1">IFERROR(__xludf.DUMMYFUNCTION("""COMPUTED_VALUE"""),240)</f>
        <v>240</v>
      </c>
      <c r="R57" s="51">
        <f t="shared" ca="1" si="5"/>
        <v>0.57831325301204817</v>
      </c>
      <c r="S57" s="67">
        <f ca="1">IFERROR(__xludf.DUMMYFUNCTION("""COMPUTED_VALUE"""),0)</f>
        <v>0</v>
      </c>
      <c r="T57" s="67">
        <f ca="1">IFERROR(__xludf.DUMMYFUNCTION("""COMPUTED_VALUE"""),0)</f>
        <v>0</v>
      </c>
      <c r="U57" s="51" t="str">
        <f t="shared" ca="1" si="6"/>
        <v/>
      </c>
      <c r="V57" s="67">
        <f ca="1">IFERROR(__xludf.DUMMYFUNCTION("""COMPUTED_VALUE"""),0)</f>
        <v>0</v>
      </c>
      <c r="W57" s="51" t="str">
        <f t="shared" ca="1" si="7"/>
        <v/>
      </c>
      <c r="X57" s="66"/>
      <c r="Y57" s="51" t="str">
        <f t="shared" ca="1" si="8"/>
        <v/>
      </c>
      <c r="Z57" s="2"/>
      <c r="AA57" s="2"/>
      <c r="AB57" s="2"/>
      <c r="AC57" s="2"/>
      <c r="AD57" s="2"/>
      <c r="AE57" s="2"/>
    </row>
    <row r="58" spans="1:31" ht="12.75" x14ac:dyDescent="0.2">
      <c r="A58" s="53">
        <f ca="1">IFERROR(__xludf.DUMMYFUNCTION("""COMPUTED_VALUE"""),5)</f>
        <v>5</v>
      </c>
      <c r="B58" s="66" t="str">
        <f ca="1">IFERROR(__xludf.DUMMYFUNCTION("""COMPUTED_VALUE"""),"TH Võ Văn Tần")</f>
        <v>TH Võ Văn Tần</v>
      </c>
      <c r="C58" s="66" t="str">
        <f ca="1">IFERROR(__xludf.DUMMYFUNCTION("""COMPUTED_VALUE"""),"TH")</f>
        <v>TH</v>
      </c>
      <c r="D58" s="66">
        <f ca="1">IFERROR(__xludf.DUMMYFUNCTION("""COMPUTED_VALUE"""),6)</f>
        <v>6</v>
      </c>
      <c r="E58" s="67">
        <f ca="1">IFERROR(__xludf.DUMMYFUNCTION("""COMPUTED_VALUE"""),82)</f>
        <v>82</v>
      </c>
      <c r="F58" s="67">
        <f ca="1">IFERROR(__xludf.DUMMYFUNCTION("""COMPUTED_VALUE"""),82)</f>
        <v>82</v>
      </c>
      <c r="G58" s="51">
        <f t="shared" ca="1" si="0"/>
        <v>1</v>
      </c>
      <c r="H58" s="67">
        <f ca="1">IFERROR(__xludf.DUMMYFUNCTION("""COMPUTED_VALUE"""),81)</f>
        <v>81</v>
      </c>
      <c r="I58" s="51">
        <f t="shared" ca="1" si="1"/>
        <v>0.98780487804878048</v>
      </c>
      <c r="J58" s="67">
        <f ca="1">IFERROR(__xludf.DUMMYFUNCTION("""COMPUTED_VALUE"""),81)</f>
        <v>81</v>
      </c>
      <c r="K58" s="51">
        <f t="shared" ca="1" si="2"/>
        <v>0.98780487804878048</v>
      </c>
      <c r="L58" s="67">
        <f ca="1">IFERROR(__xludf.DUMMYFUNCTION("""COMPUTED_VALUE"""),78)</f>
        <v>78</v>
      </c>
      <c r="M58" s="51">
        <f t="shared" ca="1" si="3"/>
        <v>0.95121951219512191</v>
      </c>
      <c r="N58" s="67">
        <f ca="1">IFERROR(__xludf.DUMMYFUNCTION("""COMPUTED_VALUE"""),858)</f>
        <v>858</v>
      </c>
      <c r="O58" s="67">
        <f ca="1">IFERROR(__xludf.DUMMYFUNCTION("""COMPUTED_VALUE"""),480)</f>
        <v>480</v>
      </c>
      <c r="P58" s="51">
        <f t="shared" ca="1" si="4"/>
        <v>0.55944055944055948</v>
      </c>
      <c r="Q58" s="67">
        <f ca="1">IFERROR(__xludf.DUMMYFUNCTION("""COMPUTED_VALUE"""),258)</f>
        <v>258</v>
      </c>
      <c r="R58" s="51">
        <f t="shared" ca="1" si="5"/>
        <v>0.30069930069930068</v>
      </c>
      <c r="S58" s="67">
        <f ca="1">IFERROR(__xludf.DUMMYFUNCTION("""COMPUTED_VALUE"""),0)</f>
        <v>0</v>
      </c>
      <c r="T58" s="66">
        <f ca="1">IFERROR(__xludf.DUMMYFUNCTION("""COMPUTED_VALUE"""),0)</f>
        <v>0</v>
      </c>
      <c r="U58" s="51" t="str">
        <f t="shared" ca="1" si="6"/>
        <v/>
      </c>
      <c r="V58" s="67">
        <f ca="1">IFERROR(__xludf.DUMMYFUNCTION("""COMPUTED_VALUE"""),0)</f>
        <v>0</v>
      </c>
      <c r="W58" s="51" t="str">
        <f t="shared" ca="1" si="7"/>
        <v/>
      </c>
      <c r="X58" s="66"/>
      <c r="Y58" s="51" t="str">
        <f t="shared" ca="1" si="8"/>
        <v/>
      </c>
      <c r="Z58" s="2"/>
      <c r="AA58" s="2"/>
      <c r="AB58" s="2"/>
      <c r="AC58" s="2"/>
      <c r="AD58" s="2"/>
      <c r="AE58" s="2"/>
    </row>
    <row r="59" spans="1:31" ht="12.75" x14ac:dyDescent="0.2">
      <c r="A59" s="53">
        <f ca="1">IFERROR(__xludf.DUMMYFUNCTION("""COMPUTED_VALUE"""),6)</f>
        <v>6</v>
      </c>
      <c r="B59" s="66" t="str">
        <f ca="1">IFERROR(__xludf.DUMMYFUNCTION("""COMPUTED_VALUE"""),"TH Châu Văn Liêm")</f>
        <v>TH Châu Văn Liêm</v>
      </c>
      <c r="C59" s="66" t="str">
        <f ca="1">IFERROR(__xludf.DUMMYFUNCTION("""COMPUTED_VALUE"""),"TH")</f>
        <v>TH</v>
      </c>
      <c r="D59" s="66">
        <f ca="1">IFERROR(__xludf.DUMMYFUNCTION("""COMPUTED_VALUE"""),6)</f>
        <v>6</v>
      </c>
      <c r="E59" s="67">
        <f ca="1">IFERROR(__xludf.DUMMYFUNCTION("""COMPUTED_VALUE"""),76)</f>
        <v>76</v>
      </c>
      <c r="F59" s="67">
        <f ca="1">IFERROR(__xludf.DUMMYFUNCTION("""COMPUTED_VALUE"""),76)</f>
        <v>76</v>
      </c>
      <c r="G59" s="51">
        <f t="shared" ca="1" si="0"/>
        <v>1</v>
      </c>
      <c r="H59" s="67">
        <f ca="1">IFERROR(__xludf.DUMMYFUNCTION("""COMPUTED_VALUE"""),76)</f>
        <v>76</v>
      </c>
      <c r="I59" s="51">
        <f t="shared" ca="1" si="1"/>
        <v>1</v>
      </c>
      <c r="J59" s="67">
        <f ca="1">IFERROR(__xludf.DUMMYFUNCTION("""COMPUTED_VALUE"""),76)</f>
        <v>76</v>
      </c>
      <c r="K59" s="51">
        <f t="shared" ca="1" si="2"/>
        <v>1</v>
      </c>
      <c r="L59" s="67">
        <f ca="1">IFERROR(__xludf.DUMMYFUNCTION("""COMPUTED_VALUE"""),70)</f>
        <v>70</v>
      </c>
      <c r="M59" s="51">
        <f t="shared" ca="1" si="3"/>
        <v>0.92105263157894735</v>
      </c>
      <c r="N59" s="67">
        <f ca="1">IFERROR(__xludf.DUMMYFUNCTION("""COMPUTED_VALUE"""),848)</f>
        <v>848</v>
      </c>
      <c r="O59" s="67">
        <f ca="1">IFERROR(__xludf.DUMMYFUNCTION("""COMPUTED_VALUE"""),455)</f>
        <v>455</v>
      </c>
      <c r="P59" s="51">
        <f t="shared" ca="1" si="4"/>
        <v>0.53655660377358494</v>
      </c>
      <c r="Q59" s="67">
        <f ca="1">IFERROR(__xludf.DUMMYFUNCTION("""COMPUTED_VALUE"""),290)</f>
        <v>290</v>
      </c>
      <c r="R59" s="51">
        <f t="shared" ca="1" si="5"/>
        <v>0.34198113207547171</v>
      </c>
      <c r="S59" s="67">
        <f ca="1">IFERROR(__xludf.DUMMYFUNCTION("""COMPUTED_VALUE"""),0)</f>
        <v>0</v>
      </c>
      <c r="T59" s="67">
        <f ca="1">IFERROR(__xludf.DUMMYFUNCTION("""COMPUTED_VALUE"""),0)</f>
        <v>0</v>
      </c>
      <c r="U59" s="51" t="str">
        <f t="shared" ca="1" si="6"/>
        <v/>
      </c>
      <c r="V59" s="67">
        <f ca="1">IFERROR(__xludf.DUMMYFUNCTION("""COMPUTED_VALUE"""),0)</f>
        <v>0</v>
      </c>
      <c r="W59" s="51" t="str">
        <f t="shared" ca="1" si="7"/>
        <v/>
      </c>
      <c r="X59" s="66"/>
      <c r="Y59" s="51" t="str">
        <f t="shared" ca="1" si="8"/>
        <v/>
      </c>
      <c r="Z59" s="2"/>
      <c r="AA59" s="2"/>
      <c r="AB59" s="2"/>
      <c r="AC59" s="2"/>
      <c r="AD59" s="2"/>
      <c r="AE59" s="2"/>
    </row>
    <row r="60" spans="1:31" ht="12.75" x14ac:dyDescent="0.2">
      <c r="A60" s="53">
        <f ca="1">IFERROR(__xludf.DUMMYFUNCTION("""COMPUTED_VALUE"""),7)</f>
        <v>7</v>
      </c>
      <c r="B60" s="66" t="str">
        <f ca="1">IFERROR(__xludf.DUMMYFUNCTION("""COMPUTED_VALUE"""),"TH Chi Lăng")</f>
        <v>TH Chi Lăng</v>
      </c>
      <c r="C60" s="66" t="str">
        <f ca="1">IFERROR(__xludf.DUMMYFUNCTION("""COMPUTED_VALUE"""),"TH")</f>
        <v>TH</v>
      </c>
      <c r="D60" s="66">
        <f ca="1">IFERROR(__xludf.DUMMYFUNCTION("""COMPUTED_VALUE"""),6)</f>
        <v>6</v>
      </c>
      <c r="E60" s="67">
        <f ca="1">IFERROR(__xludf.DUMMYFUNCTION("""COMPUTED_VALUE"""),71)</f>
        <v>71</v>
      </c>
      <c r="F60" s="67">
        <f ca="1">IFERROR(__xludf.DUMMYFUNCTION("""COMPUTED_VALUE"""),71)</f>
        <v>71</v>
      </c>
      <c r="G60" s="51">
        <f t="shared" ca="1" si="0"/>
        <v>1</v>
      </c>
      <c r="H60" s="67">
        <f ca="1">IFERROR(__xludf.DUMMYFUNCTION("""COMPUTED_VALUE"""),71)</f>
        <v>71</v>
      </c>
      <c r="I60" s="51">
        <f t="shared" ca="1" si="1"/>
        <v>1</v>
      </c>
      <c r="J60" s="67">
        <f ca="1">IFERROR(__xludf.DUMMYFUNCTION("""COMPUTED_VALUE"""),71)</f>
        <v>71</v>
      </c>
      <c r="K60" s="51">
        <f t="shared" ca="1" si="2"/>
        <v>1</v>
      </c>
      <c r="L60" s="67">
        <f ca="1">IFERROR(__xludf.DUMMYFUNCTION("""COMPUTED_VALUE"""),67)</f>
        <v>67</v>
      </c>
      <c r="M60" s="51">
        <f t="shared" ca="1" si="3"/>
        <v>0.94366197183098588</v>
      </c>
      <c r="N60" s="67">
        <f ca="1">IFERROR(__xludf.DUMMYFUNCTION("""COMPUTED_VALUE"""),1055)</f>
        <v>1055</v>
      </c>
      <c r="O60" s="67">
        <f ca="1">IFERROR(__xludf.DUMMYFUNCTION("""COMPUTED_VALUE"""),741)</f>
        <v>741</v>
      </c>
      <c r="P60" s="51">
        <f t="shared" ca="1" si="4"/>
        <v>0.70236966824644553</v>
      </c>
      <c r="Q60" s="67">
        <f ca="1">IFERROR(__xludf.DUMMYFUNCTION("""COMPUTED_VALUE"""),510)</f>
        <v>510</v>
      </c>
      <c r="R60" s="51">
        <f t="shared" ca="1" si="5"/>
        <v>0.48341232227488151</v>
      </c>
      <c r="S60" s="67">
        <f ca="1">IFERROR(__xludf.DUMMYFUNCTION("""COMPUTED_VALUE"""),1)</f>
        <v>1</v>
      </c>
      <c r="T60" s="67">
        <f ca="1">IFERROR(__xludf.DUMMYFUNCTION("""COMPUTED_VALUE"""),1)</f>
        <v>1</v>
      </c>
      <c r="U60" s="51">
        <f t="shared" ca="1" si="6"/>
        <v>1</v>
      </c>
      <c r="V60" s="67">
        <f ca="1">IFERROR(__xludf.DUMMYFUNCTION("""COMPUTED_VALUE"""),0)</f>
        <v>0</v>
      </c>
      <c r="W60" s="51">
        <f t="shared" ca="1" si="7"/>
        <v>0</v>
      </c>
      <c r="X60" s="66"/>
      <c r="Y60" s="51">
        <f t="shared" ca="1" si="8"/>
        <v>0</v>
      </c>
      <c r="Z60" s="2"/>
      <c r="AA60" s="2"/>
      <c r="AB60" s="2"/>
      <c r="AC60" s="2"/>
      <c r="AD60" s="2"/>
      <c r="AE60" s="2"/>
    </row>
    <row r="61" spans="1:31" ht="12.75" x14ac:dyDescent="0.2">
      <c r="A61" s="53">
        <f ca="1">IFERROR(__xludf.DUMMYFUNCTION("""COMPUTED_VALUE"""),8)</f>
        <v>8</v>
      </c>
      <c r="B61" s="66" t="str">
        <f ca="1">IFERROR(__xludf.DUMMYFUNCTION("""COMPUTED_VALUE"""),"TH Lê Văn Tám")</f>
        <v>TH Lê Văn Tám</v>
      </c>
      <c r="C61" s="66" t="str">
        <f ca="1">IFERROR(__xludf.DUMMYFUNCTION("""COMPUTED_VALUE"""),"TH")</f>
        <v>TH</v>
      </c>
      <c r="D61" s="66">
        <f ca="1">IFERROR(__xludf.DUMMYFUNCTION("""COMPUTED_VALUE"""),6)</f>
        <v>6</v>
      </c>
      <c r="E61" s="67">
        <f ca="1">IFERROR(__xludf.DUMMYFUNCTION("""COMPUTED_VALUE"""),65)</f>
        <v>65</v>
      </c>
      <c r="F61" s="67">
        <f ca="1">IFERROR(__xludf.DUMMYFUNCTION("""COMPUTED_VALUE"""),65)</f>
        <v>65</v>
      </c>
      <c r="G61" s="51">
        <f t="shared" ca="1" si="0"/>
        <v>1</v>
      </c>
      <c r="H61" s="67">
        <f ca="1">IFERROR(__xludf.DUMMYFUNCTION("""COMPUTED_VALUE"""),65)</f>
        <v>65</v>
      </c>
      <c r="I61" s="51">
        <f t="shared" ca="1" si="1"/>
        <v>1</v>
      </c>
      <c r="J61" s="67">
        <f ca="1">IFERROR(__xludf.DUMMYFUNCTION("""COMPUTED_VALUE"""),65)</f>
        <v>65</v>
      </c>
      <c r="K61" s="51">
        <f t="shared" ca="1" si="2"/>
        <v>1</v>
      </c>
      <c r="L61" s="67">
        <f ca="1">IFERROR(__xludf.DUMMYFUNCTION("""COMPUTED_VALUE"""),64)</f>
        <v>64</v>
      </c>
      <c r="M61" s="51">
        <f t="shared" ca="1" si="3"/>
        <v>0.98461538461538467</v>
      </c>
      <c r="N61" s="67">
        <f ca="1">IFERROR(__xludf.DUMMYFUNCTION("""COMPUTED_VALUE"""),1002)</f>
        <v>1002</v>
      </c>
      <c r="O61" s="67">
        <f ca="1">IFERROR(__xludf.DUMMYFUNCTION("""COMPUTED_VALUE"""),633)</f>
        <v>633</v>
      </c>
      <c r="P61" s="51">
        <f t="shared" ca="1" si="4"/>
        <v>0.63173652694610782</v>
      </c>
      <c r="Q61" s="67">
        <f ca="1">IFERROR(__xludf.DUMMYFUNCTION("""COMPUTED_VALUE"""),411)</f>
        <v>411</v>
      </c>
      <c r="R61" s="51">
        <f t="shared" ca="1" si="5"/>
        <v>0.41017964071856289</v>
      </c>
      <c r="S61" s="67">
        <f ca="1">IFERROR(__xludf.DUMMYFUNCTION("""COMPUTED_VALUE"""),1)</f>
        <v>1</v>
      </c>
      <c r="T61" s="66">
        <f ca="1">IFERROR(__xludf.DUMMYFUNCTION("""COMPUTED_VALUE"""),1)</f>
        <v>1</v>
      </c>
      <c r="U61" s="51">
        <f t="shared" ca="1" si="6"/>
        <v>1</v>
      </c>
      <c r="V61" s="67">
        <f ca="1">IFERROR(__xludf.DUMMYFUNCTION("""COMPUTED_VALUE"""),1)</f>
        <v>1</v>
      </c>
      <c r="W61" s="51">
        <f t="shared" ca="1" si="7"/>
        <v>1</v>
      </c>
      <c r="X61" s="66"/>
      <c r="Y61" s="51">
        <f t="shared" ca="1" si="8"/>
        <v>0</v>
      </c>
      <c r="Z61" s="2"/>
      <c r="AA61" s="2"/>
      <c r="AB61" s="2"/>
      <c r="AC61" s="2"/>
      <c r="AD61" s="2"/>
      <c r="AE61" s="2"/>
    </row>
    <row r="62" spans="1:31" ht="12.75" x14ac:dyDescent="0.2">
      <c r="A62" s="53">
        <f ca="1">IFERROR(__xludf.DUMMYFUNCTION("""COMPUTED_VALUE"""),9)</f>
        <v>9</v>
      </c>
      <c r="B62" s="66" t="str">
        <f ca="1">IFERROR(__xludf.DUMMYFUNCTION("""COMPUTED_VALUE"""),"TH Nguyễn Văn Luông")</f>
        <v>TH Nguyễn Văn Luông</v>
      </c>
      <c r="C62" s="66" t="str">
        <f ca="1">IFERROR(__xludf.DUMMYFUNCTION("""COMPUTED_VALUE"""),"TH")</f>
        <v>TH</v>
      </c>
      <c r="D62" s="66">
        <f ca="1">IFERROR(__xludf.DUMMYFUNCTION("""COMPUTED_VALUE"""),6)</f>
        <v>6</v>
      </c>
      <c r="E62" s="67">
        <f ca="1">IFERROR(__xludf.DUMMYFUNCTION("""COMPUTED_VALUE"""),81)</f>
        <v>81</v>
      </c>
      <c r="F62" s="67">
        <f ca="1">IFERROR(__xludf.DUMMYFUNCTION("""COMPUTED_VALUE"""),81)</f>
        <v>81</v>
      </c>
      <c r="G62" s="51">
        <f t="shared" ca="1" si="0"/>
        <v>1</v>
      </c>
      <c r="H62" s="67">
        <f ca="1">IFERROR(__xludf.DUMMYFUNCTION("""COMPUTED_VALUE"""),81)</f>
        <v>81</v>
      </c>
      <c r="I62" s="51">
        <f t="shared" ca="1" si="1"/>
        <v>1</v>
      </c>
      <c r="J62" s="67">
        <f ca="1">IFERROR(__xludf.DUMMYFUNCTION("""COMPUTED_VALUE"""),81)</f>
        <v>81</v>
      </c>
      <c r="K62" s="51">
        <f t="shared" ca="1" si="2"/>
        <v>1</v>
      </c>
      <c r="L62" s="67">
        <f ca="1">IFERROR(__xludf.DUMMYFUNCTION("""COMPUTED_VALUE"""),78)</f>
        <v>78</v>
      </c>
      <c r="M62" s="51">
        <f t="shared" ca="1" si="3"/>
        <v>0.96296296296296291</v>
      </c>
      <c r="N62" s="67">
        <f ca="1">IFERROR(__xludf.DUMMYFUNCTION("""COMPUTED_VALUE"""),1035)</f>
        <v>1035</v>
      </c>
      <c r="O62" s="67">
        <f ca="1">IFERROR(__xludf.DUMMYFUNCTION("""COMPUTED_VALUE"""),609)</f>
        <v>609</v>
      </c>
      <c r="P62" s="51">
        <f t="shared" ca="1" si="4"/>
        <v>0.58840579710144925</v>
      </c>
      <c r="Q62" s="67">
        <f ca="1">IFERROR(__xludf.DUMMYFUNCTION("""COMPUTED_VALUE"""),373)</f>
        <v>373</v>
      </c>
      <c r="R62" s="51">
        <f t="shared" ca="1" si="5"/>
        <v>0.36038647342995167</v>
      </c>
      <c r="S62" s="67">
        <f ca="1">IFERROR(__xludf.DUMMYFUNCTION("""COMPUTED_VALUE"""),0)</f>
        <v>0</v>
      </c>
      <c r="T62" s="66">
        <f ca="1">IFERROR(__xludf.DUMMYFUNCTION("""COMPUTED_VALUE"""),0)</f>
        <v>0</v>
      </c>
      <c r="U62" s="51" t="str">
        <f t="shared" ca="1" si="6"/>
        <v/>
      </c>
      <c r="V62" s="67">
        <f ca="1">IFERROR(__xludf.DUMMYFUNCTION("""COMPUTED_VALUE"""),0)</f>
        <v>0</v>
      </c>
      <c r="W62" s="51" t="str">
        <f t="shared" ca="1" si="7"/>
        <v/>
      </c>
      <c r="X62" s="66"/>
      <c r="Y62" s="51" t="str">
        <f t="shared" ca="1" si="8"/>
        <v/>
      </c>
      <c r="Z62" s="2"/>
      <c r="AA62" s="2"/>
      <c r="AB62" s="2"/>
      <c r="AC62" s="2"/>
      <c r="AD62" s="2"/>
      <c r="AE62" s="2"/>
    </row>
    <row r="63" spans="1:31" ht="12.75" x14ac:dyDescent="0.2">
      <c r="A63" s="53">
        <f ca="1">IFERROR(__xludf.DUMMYFUNCTION("""COMPUTED_VALUE"""),10)</f>
        <v>10</v>
      </c>
      <c r="B63" s="66" t="str">
        <f ca="1">IFERROR(__xludf.DUMMYFUNCTION("""COMPUTED_VALUE"""),"TH Phú Lâm")</f>
        <v>TH Phú Lâm</v>
      </c>
      <c r="C63" s="66" t="str">
        <f ca="1">IFERROR(__xludf.DUMMYFUNCTION("""COMPUTED_VALUE"""),"TH")</f>
        <v>TH</v>
      </c>
      <c r="D63" s="66">
        <f ca="1">IFERROR(__xludf.DUMMYFUNCTION("""COMPUTED_VALUE"""),6)</f>
        <v>6</v>
      </c>
      <c r="E63" s="67">
        <f ca="1">IFERROR(__xludf.DUMMYFUNCTION("""COMPUTED_VALUE"""),164)</f>
        <v>164</v>
      </c>
      <c r="F63" s="67">
        <f ca="1">IFERROR(__xludf.DUMMYFUNCTION("""COMPUTED_VALUE"""),164)</f>
        <v>164</v>
      </c>
      <c r="G63" s="51">
        <f t="shared" ca="1" si="0"/>
        <v>1</v>
      </c>
      <c r="H63" s="67">
        <f ca="1">IFERROR(__xludf.DUMMYFUNCTION("""COMPUTED_VALUE"""),164)</f>
        <v>164</v>
      </c>
      <c r="I63" s="51">
        <f t="shared" ca="1" si="1"/>
        <v>1</v>
      </c>
      <c r="J63" s="67">
        <f ca="1">IFERROR(__xludf.DUMMYFUNCTION("""COMPUTED_VALUE"""),164)</f>
        <v>164</v>
      </c>
      <c r="K63" s="51">
        <f t="shared" ca="1" si="2"/>
        <v>1</v>
      </c>
      <c r="L63" s="67">
        <f ca="1">IFERROR(__xludf.DUMMYFUNCTION("""COMPUTED_VALUE"""),153)</f>
        <v>153</v>
      </c>
      <c r="M63" s="51">
        <f t="shared" ca="1" si="3"/>
        <v>0.93292682926829273</v>
      </c>
      <c r="N63" s="67">
        <f ca="1">IFERROR(__xludf.DUMMYFUNCTION("""COMPUTED_VALUE"""),2123)</f>
        <v>2123</v>
      </c>
      <c r="O63" s="67">
        <f ca="1">IFERROR(__xludf.DUMMYFUNCTION("""COMPUTED_VALUE"""),1148)</f>
        <v>1148</v>
      </c>
      <c r="P63" s="51">
        <f t="shared" ca="1" si="4"/>
        <v>0.54074422986340087</v>
      </c>
      <c r="Q63" s="67">
        <f ca="1">IFERROR(__xludf.DUMMYFUNCTION("""COMPUTED_VALUE"""),668)</f>
        <v>668</v>
      </c>
      <c r="R63" s="51">
        <f t="shared" ca="1" si="5"/>
        <v>0.31464908148845971</v>
      </c>
      <c r="S63" s="67">
        <f ca="1">IFERROR(__xludf.DUMMYFUNCTION("""COMPUTED_VALUE"""),0)</f>
        <v>0</v>
      </c>
      <c r="T63" s="67">
        <f ca="1">IFERROR(__xludf.DUMMYFUNCTION("""COMPUTED_VALUE"""),0)</f>
        <v>0</v>
      </c>
      <c r="U63" s="51" t="str">
        <f t="shared" ca="1" si="6"/>
        <v/>
      </c>
      <c r="V63" s="67">
        <f ca="1">IFERROR(__xludf.DUMMYFUNCTION("""COMPUTED_VALUE"""),0)</f>
        <v>0</v>
      </c>
      <c r="W63" s="51" t="str">
        <f t="shared" ca="1" si="7"/>
        <v/>
      </c>
      <c r="X63" s="66"/>
      <c r="Y63" s="51" t="str">
        <f t="shared" ca="1" si="8"/>
        <v/>
      </c>
      <c r="Z63" s="2"/>
      <c r="AA63" s="2"/>
      <c r="AB63" s="2"/>
      <c r="AC63" s="2"/>
      <c r="AD63" s="2"/>
      <c r="AE63" s="2"/>
    </row>
    <row r="64" spans="1:31" ht="12.75" x14ac:dyDescent="0.2">
      <c r="A64" s="53">
        <f ca="1">IFERROR(__xludf.DUMMYFUNCTION("""COMPUTED_VALUE"""),11)</f>
        <v>11</v>
      </c>
      <c r="B64" s="66" t="str">
        <f ca="1">IFERROR(__xludf.DUMMYFUNCTION("""COMPUTED_VALUE"""),"TH Trương Công Định")</f>
        <v>TH Trương Công Định</v>
      </c>
      <c r="C64" s="66" t="str">
        <f ca="1">IFERROR(__xludf.DUMMYFUNCTION("""COMPUTED_VALUE"""),"TH")</f>
        <v>TH</v>
      </c>
      <c r="D64" s="66">
        <f ca="1">IFERROR(__xludf.DUMMYFUNCTION("""COMPUTED_VALUE"""),6)</f>
        <v>6</v>
      </c>
      <c r="E64" s="67">
        <f ca="1">IFERROR(__xludf.DUMMYFUNCTION("""COMPUTED_VALUE"""),53)</f>
        <v>53</v>
      </c>
      <c r="F64" s="67">
        <f ca="1">IFERROR(__xludf.DUMMYFUNCTION("""COMPUTED_VALUE"""),53)</f>
        <v>53</v>
      </c>
      <c r="G64" s="51">
        <f t="shared" ca="1" si="0"/>
        <v>1</v>
      </c>
      <c r="H64" s="67">
        <f ca="1">IFERROR(__xludf.DUMMYFUNCTION("""COMPUTED_VALUE"""),53)</f>
        <v>53</v>
      </c>
      <c r="I64" s="51">
        <f t="shared" ca="1" si="1"/>
        <v>1</v>
      </c>
      <c r="J64" s="67">
        <f ca="1">IFERROR(__xludf.DUMMYFUNCTION("""COMPUTED_VALUE"""),53)</f>
        <v>53</v>
      </c>
      <c r="K64" s="51">
        <f t="shared" ca="1" si="2"/>
        <v>1</v>
      </c>
      <c r="L64" s="67">
        <f ca="1">IFERROR(__xludf.DUMMYFUNCTION("""COMPUTED_VALUE"""),53)</f>
        <v>53</v>
      </c>
      <c r="M64" s="51">
        <f t="shared" ca="1" si="3"/>
        <v>1</v>
      </c>
      <c r="N64" s="67">
        <f ca="1">IFERROR(__xludf.DUMMYFUNCTION("""COMPUTED_VALUE"""),795)</f>
        <v>795</v>
      </c>
      <c r="O64" s="67">
        <f ca="1">IFERROR(__xludf.DUMMYFUNCTION("""COMPUTED_VALUE"""),579)</f>
        <v>579</v>
      </c>
      <c r="P64" s="51">
        <f t="shared" ca="1" si="4"/>
        <v>0.72830188679245278</v>
      </c>
      <c r="Q64" s="67">
        <f ca="1">IFERROR(__xludf.DUMMYFUNCTION("""COMPUTED_VALUE"""),436)</f>
        <v>436</v>
      </c>
      <c r="R64" s="51">
        <f t="shared" ca="1" si="5"/>
        <v>0.54842767295597483</v>
      </c>
      <c r="S64" s="67">
        <f ca="1">IFERROR(__xludf.DUMMYFUNCTION("""COMPUTED_VALUE"""),0)</f>
        <v>0</v>
      </c>
      <c r="T64" s="66">
        <f ca="1">IFERROR(__xludf.DUMMYFUNCTION("""COMPUTED_VALUE"""),0)</f>
        <v>0</v>
      </c>
      <c r="U64" s="51" t="str">
        <f t="shared" ca="1" si="6"/>
        <v/>
      </c>
      <c r="V64" s="67">
        <f ca="1">IFERROR(__xludf.DUMMYFUNCTION("""COMPUTED_VALUE"""),0)</f>
        <v>0</v>
      </c>
      <c r="W64" s="51" t="str">
        <f t="shared" ca="1" si="7"/>
        <v/>
      </c>
      <c r="X64" s="66"/>
      <c r="Y64" s="51" t="str">
        <f t="shared" ca="1" si="8"/>
        <v/>
      </c>
      <c r="Z64" s="2"/>
      <c r="AA64" s="2"/>
      <c r="AB64" s="2"/>
      <c r="AC64" s="2"/>
      <c r="AD64" s="2"/>
      <c r="AE64" s="2"/>
    </row>
    <row r="65" spans="1:31" ht="12.75" x14ac:dyDescent="0.2">
      <c r="A65" s="53">
        <f ca="1">IFERROR(__xludf.DUMMYFUNCTION("""COMPUTED_VALUE"""),12)</f>
        <v>12</v>
      </c>
      <c r="B65" s="66" t="str">
        <f ca="1">IFERROR(__xludf.DUMMYFUNCTION("""COMPUTED_VALUE"""),"TH Đặng Nguyên Cẩn")</f>
        <v>TH Đặng Nguyên Cẩn</v>
      </c>
      <c r="C65" s="66" t="str">
        <f ca="1">IFERROR(__xludf.DUMMYFUNCTION("""COMPUTED_VALUE"""),"TH")</f>
        <v>TH</v>
      </c>
      <c r="D65" s="66">
        <f ca="1">IFERROR(__xludf.DUMMYFUNCTION("""COMPUTED_VALUE"""),6)</f>
        <v>6</v>
      </c>
      <c r="E65" s="66">
        <f ca="1">IFERROR(__xludf.DUMMYFUNCTION("""COMPUTED_VALUE"""),66)</f>
        <v>66</v>
      </c>
      <c r="F65" s="66">
        <f ca="1">IFERROR(__xludf.DUMMYFUNCTION("""COMPUTED_VALUE"""),66)</f>
        <v>66</v>
      </c>
      <c r="G65" s="51">
        <f t="shared" ca="1" si="0"/>
        <v>1</v>
      </c>
      <c r="H65" s="66">
        <f ca="1">IFERROR(__xludf.DUMMYFUNCTION("""COMPUTED_VALUE"""),66)</f>
        <v>66</v>
      </c>
      <c r="I65" s="51">
        <f t="shared" ca="1" si="1"/>
        <v>1</v>
      </c>
      <c r="J65" s="66">
        <f ca="1">IFERROR(__xludf.DUMMYFUNCTION("""COMPUTED_VALUE"""),66)</f>
        <v>66</v>
      </c>
      <c r="K65" s="51">
        <f t="shared" ca="1" si="2"/>
        <v>1</v>
      </c>
      <c r="L65" s="66">
        <f ca="1">IFERROR(__xludf.DUMMYFUNCTION("""COMPUTED_VALUE"""),55)</f>
        <v>55</v>
      </c>
      <c r="M65" s="51">
        <f t="shared" ca="1" si="3"/>
        <v>0.83333333333333337</v>
      </c>
      <c r="N65" s="67">
        <f ca="1">IFERROR(__xludf.DUMMYFUNCTION("""COMPUTED_VALUE"""),790)</f>
        <v>790</v>
      </c>
      <c r="O65" s="67">
        <f ca="1">IFERROR(__xludf.DUMMYFUNCTION("""COMPUTED_VALUE"""),649)</f>
        <v>649</v>
      </c>
      <c r="P65" s="51">
        <f t="shared" ca="1" si="4"/>
        <v>0.8215189873417722</v>
      </c>
      <c r="Q65" s="67">
        <f ca="1">IFERROR(__xludf.DUMMYFUNCTION("""COMPUTED_VALUE"""),372)</f>
        <v>372</v>
      </c>
      <c r="R65" s="51">
        <f t="shared" ca="1" si="5"/>
        <v>0.4708860759493671</v>
      </c>
      <c r="S65" s="67">
        <f ca="1">IFERROR(__xludf.DUMMYFUNCTION("""COMPUTED_VALUE"""),0)</f>
        <v>0</v>
      </c>
      <c r="T65" s="66">
        <f ca="1">IFERROR(__xludf.DUMMYFUNCTION("""COMPUTED_VALUE"""),0)</f>
        <v>0</v>
      </c>
      <c r="U65" s="51" t="str">
        <f t="shared" ca="1" si="6"/>
        <v/>
      </c>
      <c r="V65" s="67">
        <f ca="1">IFERROR(__xludf.DUMMYFUNCTION("""COMPUTED_VALUE"""),0)</f>
        <v>0</v>
      </c>
      <c r="W65" s="51" t="str">
        <f t="shared" ca="1" si="7"/>
        <v/>
      </c>
      <c r="X65" s="66"/>
      <c r="Y65" s="51" t="str">
        <f t="shared" ca="1" si="8"/>
        <v/>
      </c>
      <c r="Z65" s="2"/>
      <c r="AA65" s="2"/>
      <c r="AB65" s="2"/>
      <c r="AC65" s="2"/>
      <c r="AD65" s="2"/>
      <c r="AE65" s="2"/>
    </row>
    <row r="66" spans="1:31" ht="12.75" x14ac:dyDescent="0.2">
      <c r="A66" s="53">
        <f ca="1">IFERROR(__xludf.DUMMYFUNCTION("""COMPUTED_VALUE"""),13)</f>
        <v>13</v>
      </c>
      <c r="B66" s="66"/>
      <c r="C66" s="66"/>
      <c r="D66" s="66">
        <f ca="1">IFERROR(__xludf.DUMMYFUNCTION("""COMPUTED_VALUE"""),6)</f>
        <v>6</v>
      </c>
      <c r="E66" s="67">
        <f ca="1">IFERROR(__xludf.DUMMYFUNCTION("""COMPUTED_VALUE"""),71)</f>
        <v>71</v>
      </c>
      <c r="F66" s="67">
        <f ca="1">IFERROR(__xludf.DUMMYFUNCTION("""COMPUTED_VALUE"""),71)</f>
        <v>71</v>
      </c>
      <c r="G66" s="51">
        <f t="shared" ca="1" si="0"/>
        <v>1</v>
      </c>
      <c r="H66" s="67">
        <f ca="1">IFERROR(__xludf.DUMMYFUNCTION("""COMPUTED_VALUE"""),71)</f>
        <v>71</v>
      </c>
      <c r="I66" s="51">
        <f t="shared" ca="1" si="1"/>
        <v>1</v>
      </c>
      <c r="J66" s="67">
        <f ca="1">IFERROR(__xludf.DUMMYFUNCTION("""COMPUTED_VALUE"""),70)</f>
        <v>70</v>
      </c>
      <c r="K66" s="51">
        <f t="shared" ca="1" si="2"/>
        <v>0.9859154929577465</v>
      </c>
      <c r="L66" s="67">
        <f ca="1">IFERROR(__xludf.DUMMYFUNCTION("""COMPUTED_VALUE"""),64)</f>
        <v>64</v>
      </c>
      <c r="M66" s="51">
        <f t="shared" ca="1" si="3"/>
        <v>0.90140845070422537</v>
      </c>
      <c r="N66" s="67">
        <f ca="1">IFERROR(__xludf.DUMMYFUNCTION("""COMPUTED_VALUE"""),684)</f>
        <v>684</v>
      </c>
      <c r="O66" s="67">
        <f ca="1">IFERROR(__xludf.DUMMYFUNCTION("""COMPUTED_VALUE"""),377)</f>
        <v>377</v>
      </c>
      <c r="P66" s="51">
        <f t="shared" ca="1" si="4"/>
        <v>0.55116959064327486</v>
      </c>
      <c r="Q66" s="67">
        <f ca="1">IFERROR(__xludf.DUMMYFUNCTION("""COMPUTED_VALUE"""),224)</f>
        <v>224</v>
      </c>
      <c r="R66" s="51">
        <f t="shared" ca="1" si="5"/>
        <v>0.32748538011695905</v>
      </c>
      <c r="S66" s="67">
        <f ca="1">IFERROR(__xludf.DUMMYFUNCTION("""COMPUTED_VALUE"""),0)</f>
        <v>0</v>
      </c>
      <c r="T66" s="66">
        <f ca="1">IFERROR(__xludf.DUMMYFUNCTION("""COMPUTED_VALUE"""),0)</f>
        <v>0</v>
      </c>
      <c r="U66" s="51" t="str">
        <f t="shared" ca="1" si="6"/>
        <v/>
      </c>
      <c r="V66" s="67">
        <f ca="1">IFERROR(__xludf.DUMMYFUNCTION("""COMPUTED_VALUE"""),0)</f>
        <v>0</v>
      </c>
      <c r="W66" s="51" t="str">
        <f t="shared" ca="1" si="7"/>
        <v/>
      </c>
      <c r="X66" s="66"/>
      <c r="Y66" s="51" t="str">
        <f t="shared" ca="1" si="8"/>
        <v/>
      </c>
      <c r="Z66" s="2"/>
      <c r="AA66" s="2"/>
      <c r="AB66" s="2"/>
      <c r="AC66" s="2"/>
      <c r="AD66" s="2"/>
      <c r="AE66" s="2"/>
    </row>
    <row r="67" spans="1:31" ht="12.75" x14ac:dyDescent="0.2">
      <c r="A67" s="53">
        <f ca="1">IFERROR(__xludf.DUMMYFUNCTION("""COMPUTED_VALUE"""),14)</f>
        <v>14</v>
      </c>
      <c r="B67" s="66" t="str">
        <f ca="1">IFERROR(__xludf.DUMMYFUNCTION("""COMPUTED_VALUE"""),"TH Lam Sơn")</f>
        <v>TH Lam Sơn</v>
      </c>
      <c r="C67" s="66" t="str">
        <f ca="1">IFERROR(__xludf.DUMMYFUNCTION("""COMPUTED_VALUE"""),"TH")</f>
        <v>TH</v>
      </c>
      <c r="D67" s="66">
        <f ca="1">IFERROR(__xludf.DUMMYFUNCTION("""COMPUTED_VALUE"""),6)</f>
        <v>6</v>
      </c>
      <c r="E67" s="67">
        <f ca="1">IFERROR(__xludf.DUMMYFUNCTION("""COMPUTED_VALUE"""),108)</f>
        <v>108</v>
      </c>
      <c r="F67" s="67">
        <f ca="1">IFERROR(__xludf.DUMMYFUNCTION("""COMPUTED_VALUE"""),108)</f>
        <v>108</v>
      </c>
      <c r="G67" s="51">
        <f t="shared" ca="1" si="0"/>
        <v>1</v>
      </c>
      <c r="H67" s="67">
        <f ca="1">IFERROR(__xludf.DUMMYFUNCTION("""COMPUTED_VALUE"""),108)</f>
        <v>108</v>
      </c>
      <c r="I67" s="51">
        <f t="shared" ca="1" si="1"/>
        <v>1</v>
      </c>
      <c r="J67" s="67">
        <f ca="1">IFERROR(__xludf.DUMMYFUNCTION("""COMPUTED_VALUE"""),108)</f>
        <v>108</v>
      </c>
      <c r="K67" s="51">
        <f t="shared" ca="1" si="2"/>
        <v>1</v>
      </c>
      <c r="L67" s="67">
        <f ca="1">IFERROR(__xludf.DUMMYFUNCTION("""COMPUTED_VALUE"""),104)</f>
        <v>104</v>
      </c>
      <c r="M67" s="51">
        <f t="shared" ca="1" si="3"/>
        <v>0.96296296296296291</v>
      </c>
      <c r="N67" s="67">
        <f ca="1">IFERROR(__xludf.DUMMYFUNCTION("""COMPUTED_VALUE"""),1510)</f>
        <v>1510</v>
      </c>
      <c r="O67" s="67">
        <f ca="1">IFERROR(__xludf.DUMMYFUNCTION("""COMPUTED_VALUE"""),930)</f>
        <v>930</v>
      </c>
      <c r="P67" s="51">
        <f t="shared" ca="1" si="4"/>
        <v>0.61589403973509937</v>
      </c>
      <c r="Q67" s="67">
        <f ca="1">IFERROR(__xludf.DUMMYFUNCTION("""COMPUTED_VALUE"""),499)</f>
        <v>499</v>
      </c>
      <c r="R67" s="51">
        <f t="shared" ca="1" si="5"/>
        <v>0.3304635761589404</v>
      </c>
      <c r="S67" s="67">
        <f ca="1">IFERROR(__xludf.DUMMYFUNCTION("""COMPUTED_VALUE"""),0)</f>
        <v>0</v>
      </c>
      <c r="T67" s="67">
        <f ca="1">IFERROR(__xludf.DUMMYFUNCTION("""COMPUTED_VALUE"""),0)</f>
        <v>0</v>
      </c>
      <c r="U67" s="51" t="str">
        <f t="shared" ca="1" si="6"/>
        <v/>
      </c>
      <c r="V67" s="67">
        <f ca="1">IFERROR(__xludf.DUMMYFUNCTION("""COMPUTED_VALUE"""),0)</f>
        <v>0</v>
      </c>
      <c r="W67" s="51" t="str">
        <f t="shared" ca="1" si="7"/>
        <v/>
      </c>
      <c r="X67" s="66"/>
      <c r="Y67" s="51" t="str">
        <f t="shared" ca="1" si="8"/>
        <v/>
      </c>
      <c r="Z67" s="2"/>
      <c r="AA67" s="2"/>
      <c r="AB67" s="2"/>
      <c r="AC67" s="2"/>
      <c r="AD67" s="2"/>
      <c r="AE67" s="2"/>
    </row>
    <row r="68" spans="1:31" ht="12.75" x14ac:dyDescent="0.2">
      <c r="A68" s="53">
        <f ca="1">IFERROR(__xludf.DUMMYFUNCTION("""COMPUTED_VALUE"""),15)</f>
        <v>15</v>
      </c>
      <c r="B68" s="66" t="str">
        <f ca="1">IFERROR(__xludf.DUMMYFUNCTION("""COMPUTED_VALUE"""),"TH Phù Đổng")</f>
        <v>TH Phù Đổng</v>
      </c>
      <c r="C68" s="66" t="str">
        <f ca="1">IFERROR(__xludf.DUMMYFUNCTION("""COMPUTED_VALUE"""),"TH")</f>
        <v>TH</v>
      </c>
      <c r="D68" s="66">
        <f ca="1">IFERROR(__xludf.DUMMYFUNCTION("""COMPUTED_VALUE"""),6)</f>
        <v>6</v>
      </c>
      <c r="E68" s="67">
        <f ca="1">IFERROR(__xludf.DUMMYFUNCTION("""COMPUTED_VALUE"""),109)</f>
        <v>109</v>
      </c>
      <c r="F68" s="67">
        <f ca="1">IFERROR(__xludf.DUMMYFUNCTION("""COMPUTED_VALUE"""),109)</f>
        <v>109</v>
      </c>
      <c r="G68" s="51">
        <f t="shared" ca="1" si="0"/>
        <v>1</v>
      </c>
      <c r="H68" s="67">
        <f ca="1">IFERROR(__xludf.DUMMYFUNCTION("""COMPUTED_VALUE"""),109)</f>
        <v>109</v>
      </c>
      <c r="I68" s="51">
        <f t="shared" ca="1" si="1"/>
        <v>1</v>
      </c>
      <c r="J68" s="67">
        <f ca="1">IFERROR(__xludf.DUMMYFUNCTION("""COMPUTED_VALUE"""),109)</f>
        <v>109</v>
      </c>
      <c r="K68" s="51">
        <f t="shared" ca="1" si="2"/>
        <v>1</v>
      </c>
      <c r="L68" s="67">
        <f ca="1">IFERROR(__xludf.DUMMYFUNCTION("""COMPUTED_VALUE"""),109)</f>
        <v>109</v>
      </c>
      <c r="M68" s="51">
        <f t="shared" ca="1" si="3"/>
        <v>1</v>
      </c>
      <c r="N68" s="67">
        <f ca="1">IFERROR(__xludf.DUMMYFUNCTION("""COMPUTED_VALUE"""),1468)</f>
        <v>1468</v>
      </c>
      <c r="O68" s="67">
        <f ca="1">IFERROR(__xludf.DUMMYFUNCTION("""COMPUTED_VALUE"""),728)</f>
        <v>728</v>
      </c>
      <c r="P68" s="51">
        <f t="shared" ca="1" si="4"/>
        <v>0.49591280653950953</v>
      </c>
      <c r="Q68" s="67">
        <f ca="1">IFERROR(__xludf.DUMMYFUNCTION("""COMPUTED_VALUE"""),438)</f>
        <v>438</v>
      </c>
      <c r="R68" s="51">
        <f t="shared" ca="1" si="5"/>
        <v>0.29836512261580383</v>
      </c>
      <c r="S68" s="67">
        <f ca="1">IFERROR(__xludf.DUMMYFUNCTION("""COMPUTED_VALUE"""),0)</f>
        <v>0</v>
      </c>
      <c r="T68" s="66">
        <f ca="1">IFERROR(__xludf.DUMMYFUNCTION("""COMPUTED_VALUE"""),0)</f>
        <v>0</v>
      </c>
      <c r="U68" s="51" t="str">
        <f t="shared" ca="1" si="6"/>
        <v/>
      </c>
      <c r="V68" s="67">
        <f ca="1">IFERROR(__xludf.DUMMYFUNCTION("""COMPUTED_VALUE"""),0)</f>
        <v>0</v>
      </c>
      <c r="W68" s="51" t="str">
        <f t="shared" ca="1" si="7"/>
        <v/>
      </c>
      <c r="X68" s="66"/>
      <c r="Y68" s="51" t="str">
        <f t="shared" ca="1" si="8"/>
        <v/>
      </c>
      <c r="Z68" s="2"/>
      <c r="AA68" s="2"/>
      <c r="AB68" s="2"/>
      <c r="AC68" s="2"/>
      <c r="AD68" s="2"/>
      <c r="AE68" s="2"/>
    </row>
    <row r="69" spans="1:31" ht="12.75" x14ac:dyDescent="0.2">
      <c r="A69" s="53">
        <f ca="1">IFERROR(__xludf.DUMMYFUNCTION("""COMPUTED_VALUE"""),16)</f>
        <v>16</v>
      </c>
      <c r="B69" s="66" t="str">
        <f ca="1">IFERROR(__xludf.DUMMYFUNCTION("""COMPUTED_VALUE"""),"TH Phú Định")</f>
        <v>TH Phú Định</v>
      </c>
      <c r="C69" s="66" t="str">
        <f ca="1">IFERROR(__xludf.DUMMYFUNCTION("""COMPUTED_VALUE"""),"TH")</f>
        <v>TH</v>
      </c>
      <c r="D69" s="66">
        <f ca="1">IFERROR(__xludf.DUMMYFUNCTION("""COMPUTED_VALUE"""),6)</f>
        <v>6</v>
      </c>
      <c r="E69" s="67">
        <f ca="1">IFERROR(__xludf.DUMMYFUNCTION("""COMPUTED_VALUE"""),102)</f>
        <v>102</v>
      </c>
      <c r="F69" s="67">
        <f ca="1">IFERROR(__xludf.DUMMYFUNCTION("""COMPUTED_VALUE"""),102)</f>
        <v>102</v>
      </c>
      <c r="G69" s="51">
        <f t="shared" ca="1" si="0"/>
        <v>1</v>
      </c>
      <c r="H69" s="67">
        <f ca="1">IFERROR(__xludf.DUMMYFUNCTION("""COMPUTED_VALUE"""),102)</f>
        <v>102</v>
      </c>
      <c r="I69" s="51">
        <f t="shared" ca="1" si="1"/>
        <v>1</v>
      </c>
      <c r="J69" s="67">
        <f ca="1">IFERROR(__xludf.DUMMYFUNCTION("""COMPUTED_VALUE"""),102)</f>
        <v>102</v>
      </c>
      <c r="K69" s="51">
        <f t="shared" ca="1" si="2"/>
        <v>1</v>
      </c>
      <c r="L69" s="67">
        <f ca="1">IFERROR(__xludf.DUMMYFUNCTION("""COMPUTED_VALUE"""),89)</f>
        <v>89</v>
      </c>
      <c r="M69" s="51">
        <f t="shared" ca="1" si="3"/>
        <v>0.87254901960784315</v>
      </c>
      <c r="N69" s="67">
        <f ca="1">IFERROR(__xludf.DUMMYFUNCTION("""COMPUTED_VALUE"""),1476)</f>
        <v>1476</v>
      </c>
      <c r="O69" s="67">
        <f ca="1">IFERROR(__xludf.DUMMYFUNCTION("""COMPUTED_VALUE"""),836)</f>
        <v>836</v>
      </c>
      <c r="P69" s="51">
        <f t="shared" ca="1" si="4"/>
        <v>0.56639566395663954</v>
      </c>
      <c r="Q69" s="67">
        <f ca="1">IFERROR(__xludf.DUMMYFUNCTION("""COMPUTED_VALUE"""),509)</f>
        <v>509</v>
      </c>
      <c r="R69" s="51">
        <f t="shared" ca="1" si="5"/>
        <v>0.34485094850948511</v>
      </c>
      <c r="S69" s="67">
        <f ca="1">IFERROR(__xludf.DUMMYFUNCTION("""COMPUTED_VALUE"""),0)</f>
        <v>0</v>
      </c>
      <c r="T69" s="67">
        <f ca="1">IFERROR(__xludf.DUMMYFUNCTION("""COMPUTED_VALUE"""),0)</f>
        <v>0</v>
      </c>
      <c r="U69" s="51" t="str">
        <f t="shared" ca="1" si="6"/>
        <v/>
      </c>
      <c r="V69" s="67">
        <f ca="1">IFERROR(__xludf.DUMMYFUNCTION("""COMPUTED_VALUE"""),0)</f>
        <v>0</v>
      </c>
      <c r="W69" s="51" t="str">
        <f t="shared" ca="1" si="7"/>
        <v/>
      </c>
      <c r="X69" s="66"/>
      <c r="Y69" s="51" t="str">
        <f t="shared" ca="1" si="8"/>
        <v/>
      </c>
      <c r="Z69" s="2"/>
      <c r="AA69" s="2"/>
      <c r="AB69" s="2"/>
      <c r="AC69" s="2"/>
      <c r="AD69" s="2"/>
      <c r="AE69" s="2"/>
    </row>
    <row r="70" spans="1:31" ht="12.75" x14ac:dyDescent="0.2">
      <c r="A70" s="53">
        <f ca="1">IFERROR(__xludf.DUMMYFUNCTION("""COMPUTED_VALUE"""),17)</f>
        <v>17</v>
      </c>
      <c r="B70" s="66" t="str">
        <f ca="1">IFERROR(__xludf.DUMMYFUNCTION("""COMPUTED_VALUE"""),"TH Bình Tiên")</f>
        <v>TH Bình Tiên</v>
      </c>
      <c r="C70" s="66" t="str">
        <f ca="1">IFERROR(__xludf.DUMMYFUNCTION("""COMPUTED_VALUE"""),"TH")</f>
        <v>TH</v>
      </c>
      <c r="D70" s="66">
        <f ca="1">IFERROR(__xludf.DUMMYFUNCTION("""COMPUTED_VALUE"""),6)</f>
        <v>6</v>
      </c>
      <c r="E70" s="67">
        <f ca="1">IFERROR(__xludf.DUMMYFUNCTION("""COMPUTED_VALUE"""),47)</f>
        <v>47</v>
      </c>
      <c r="F70" s="67">
        <f ca="1">IFERROR(__xludf.DUMMYFUNCTION("""COMPUTED_VALUE"""),47)</f>
        <v>47</v>
      </c>
      <c r="G70" s="51">
        <f t="shared" ref="G70:G78" ca="1" si="9">IFERROR(F70/E70,"")</f>
        <v>1</v>
      </c>
      <c r="H70" s="67">
        <f ca="1">IFERROR(__xludf.DUMMYFUNCTION("""COMPUTED_VALUE"""),47)</f>
        <v>47</v>
      </c>
      <c r="I70" s="51">
        <f t="shared" ref="I70:I78" ca="1" si="10">IFERROR(H70/E70,"")</f>
        <v>1</v>
      </c>
      <c r="J70" s="67">
        <f ca="1">IFERROR(__xludf.DUMMYFUNCTION("""COMPUTED_VALUE"""),46)</f>
        <v>46</v>
      </c>
      <c r="K70" s="51">
        <f t="shared" ref="K70:K78" ca="1" si="11">IFERROR(J70/E70,"")</f>
        <v>0.97872340425531912</v>
      </c>
      <c r="L70" s="67">
        <f ca="1">IFERROR(__xludf.DUMMYFUNCTION("""COMPUTED_VALUE"""),41)</f>
        <v>41</v>
      </c>
      <c r="M70" s="51">
        <f t="shared" ref="M70:M78" ca="1" si="12">IFERROR(L70/E70,"")</f>
        <v>0.87234042553191493</v>
      </c>
      <c r="N70" s="67">
        <f ca="1">IFERROR(__xludf.DUMMYFUNCTION("""COMPUTED_VALUE"""),786)</f>
        <v>786</v>
      </c>
      <c r="O70" s="67">
        <f ca="1">IFERROR(__xludf.DUMMYFUNCTION("""COMPUTED_VALUE"""),524)</f>
        <v>524</v>
      </c>
      <c r="P70" s="51">
        <f t="shared" ref="P70:P78" ca="1" si="13">IFERROR(O70/N70,"")</f>
        <v>0.66666666666666663</v>
      </c>
      <c r="Q70" s="67">
        <f ca="1">IFERROR(__xludf.DUMMYFUNCTION("""COMPUTED_VALUE"""),405)</f>
        <v>405</v>
      </c>
      <c r="R70" s="51">
        <f t="shared" ref="R70:R78" ca="1" si="14">IFERROR(Q70/N70,"")</f>
        <v>0.51526717557251911</v>
      </c>
      <c r="S70" s="66">
        <f ca="1">IFERROR(__xludf.DUMMYFUNCTION("""COMPUTED_VALUE"""),1)</f>
        <v>1</v>
      </c>
      <c r="T70" s="66">
        <f ca="1">IFERROR(__xludf.DUMMYFUNCTION("""COMPUTED_VALUE"""),1)</f>
        <v>1</v>
      </c>
      <c r="U70" s="51">
        <f t="shared" ref="U70:U78" ca="1" si="15">IFERROR(T70/S70,"")</f>
        <v>1</v>
      </c>
      <c r="V70" s="66">
        <f ca="1">IFERROR(__xludf.DUMMYFUNCTION("""COMPUTED_VALUE"""),1)</f>
        <v>1</v>
      </c>
      <c r="W70" s="51">
        <f t="shared" ref="W70:W78" ca="1" si="16">IFERROR(V70/S70,"")</f>
        <v>1</v>
      </c>
      <c r="X70" s="66"/>
      <c r="Y70" s="51">
        <f t="shared" ref="Y70:Y78" ca="1" si="17">IFERROR(X70/S70,"")</f>
        <v>0</v>
      </c>
      <c r="Z70" s="2"/>
      <c r="AA70" s="2"/>
      <c r="AB70" s="2"/>
      <c r="AC70" s="2"/>
      <c r="AD70" s="2"/>
      <c r="AE70" s="2"/>
    </row>
    <row r="71" spans="1:31" ht="12.75" x14ac:dyDescent="0.2">
      <c r="A71" s="53">
        <f ca="1">IFERROR(__xludf.DUMMYFUNCTION("""COMPUTED_VALUE"""),18)</f>
        <v>18</v>
      </c>
      <c r="B71" s="66" t="str">
        <f ca="1">IFERROR(__xludf.DUMMYFUNCTION("""COMPUTED_VALUE"""),"TH Phạm Văn Chí")</f>
        <v>TH Phạm Văn Chí</v>
      </c>
      <c r="C71" s="66" t="str">
        <f ca="1">IFERROR(__xludf.DUMMYFUNCTION("""COMPUTED_VALUE"""),"TH")</f>
        <v>TH</v>
      </c>
      <c r="D71" s="66">
        <f ca="1">IFERROR(__xludf.DUMMYFUNCTION("""COMPUTED_VALUE"""),6)</f>
        <v>6</v>
      </c>
      <c r="E71" s="67">
        <f ca="1">IFERROR(__xludf.DUMMYFUNCTION("""COMPUTED_VALUE"""),74)</f>
        <v>74</v>
      </c>
      <c r="F71" s="67">
        <f ca="1">IFERROR(__xludf.DUMMYFUNCTION("""COMPUTED_VALUE"""),74)</f>
        <v>74</v>
      </c>
      <c r="G71" s="51">
        <f t="shared" ca="1" si="9"/>
        <v>1</v>
      </c>
      <c r="H71" s="67">
        <f ca="1">IFERROR(__xludf.DUMMYFUNCTION("""COMPUTED_VALUE"""),74)</f>
        <v>74</v>
      </c>
      <c r="I71" s="51">
        <f t="shared" ca="1" si="10"/>
        <v>1</v>
      </c>
      <c r="J71" s="67">
        <f ca="1">IFERROR(__xludf.DUMMYFUNCTION("""COMPUTED_VALUE"""),73)</f>
        <v>73</v>
      </c>
      <c r="K71" s="51">
        <f t="shared" ca="1" si="11"/>
        <v>0.98648648648648651</v>
      </c>
      <c r="L71" s="67">
        <f ca="1">IFERROR(__xludf.DUMMYFUNCTION("""COMPUTED_VALUE"""),66)</f>
        <v>66</v>
      </c>
      <c r="M71" s="51">
        <f t="shared" ca="1" si="12"/>
        <v>0.89189189189189189</v>
      </c>
      <c r="N71" s="67">
        <f ca="1">IFERROR(__xludf.DUMMYFUNCTION("""COMPUTED_VALUE"""),1064)</f>
        <v>1064</v>
      </c>
      <c r="O71" s="67">
        <f ca="1">IFERROR(__xludf.DUMMYFUNCTION("""COMPUTED_VALUE"""),749)</f>
        <v>749</v>
      </c>
      <c r="P71" s="51">
        <f t="shared" ca="1" si="13"/>
        <v>0.70394736842105265</v>
      </c>
      <c r="Q71" s="67">
        <f ca="1">IFERROR(__xludf.DUMMYFUNCTION("""COMPUTED_VALUE"""),483)</f>
        <v>483</v>
      </c>
      <c r="R71" s="51">
        <f t="shared" ca="1" si="14"/>
        <v>0.45394736842105265</v>
      </c>
      <c r="S71" s="67">
        <f ca="1">IFERROR(__xludf.DUMMYFUNCTION("""COMPUTED_VALUE"""),1)</f>
        <v>1</v>
      </c>
      <c r="T71" s="66">
        <f ca="1">IFERROR(__xludf.DUMMYFUNCTION("""COMPUTED_VALUE"""),1)</f>
        <v>1</v>
      </c>
      <c r="U71" s="51">
        <f t="shared" ca="1" si="15"/>
        <v>1</v>
      </c>
      <c r="V71" s="67">
        <f ca="1">IFERROR(__xludf.DUMMYFUNCTION("""COMPUTED_VALUE"""),1)</f>
        <v>1</v>
      </c>
      <c r="W71" s="51">
        <f t="shared" ca="1" si="16"/>
        <v>1</v>
      </c>
      <c r="X71" s="66"/>
      <c r="Y71" s="51">
        <f t="shared" ca="1" si="17"/>
        <v>0</v>
      </c>
      <c r="Z71" s="2"/>
      <c r="AA71" s="2"/>
      <c r="AB71" s="2"/>
      <c r="AC71" s="2"/>
      <c r="AD71" s="2"/>
      <c r="AE71" s="2"/>
    </row>
    <row r="72" spans="1:31" ht="12.75" x14ac:dyDescent="0.2">
      <c r="A72" s="53">
        <f ca="1">IFERROR(__xludf.DUMMYFUNCTION("""COMPUTED_VALUE"""),19)</f>
        <v>19</v>
      </c>
      <c r="B72" s="66" t="str">
        <f ca="1">IFERROR(__xludf.DUMMYFUNCTION("""COMPUTED_VALUE"""),"TH Hùng Vương")</f>
        <v>TH Hùng Vương</v>
      </c>
      <c r="C72" s="66" t="str">
        <f ca="1">IFERROR(__xludf.DUMMYFUNCTION("""COMPUTED_VALUE"""),"TH")</f>
        <v>TH</v>
      </c>
      <c r="D72" s="66">
        <f ca="1">IFERROR(__xludf.DUMMYFUNCTION("""COMPUTED_VALUE"""),6)</f>
        <v>6</v>
      </c>
      <c r="E72" s="67">
        <f ca="1">IFERROR(__xludf.DUMMYFUNCTION("""COMPUTED_VALUE"""),71)</f>
        <v>71</v>
      </c>
      <c r="F72" s="67">
        <f ca="1">IFERROR(__xludf.DUMMYFUNCTION("""COMPUTED_VALUE"""),71)</f>
        <v>71</v>
      </c>
      <c r="G72" s="51">
        <f t="shared" ca="1" si="9"/>
        <v>1</v>
      </c>
      <c r="H72" s="67">
        <f ca="1">IFERROR(__xludf.DUMMYFUNCTION("""COMPUTED_VALUE"""),71)</f>
        <v>71</v>
      </c>
      <c r="I72" s="51">
        <f t="shared" ca="1" si="10"/>
        <v>1</v>
      </c>
      <c r="J72" s="67">
        <f ca="1">IFERROR(__xludf.DUMMYFUNCTION("""COMPUTED_VALUE"""),71)</f>
        <v>71</v>
      </c>
      <c r="K72" s="51">
        <f t="shared" ca="1" si="11"/>
        <v>1</v>
      </c>
      <c r="L72" s="67">
        <f ca="1">IFERROR(__xludf.DUMMYFUNCTION("""COMPUTED_VALUE"""),66)</f>
        <v>66</v>
      </c>
      <c r="M72" s="51">
        <f t="shared" ca="1" si="12"/>
        <v>0.92957746478873238</v>
      </c>
      <c r="N72" s="67">
        <f ca="1">IFERROR(__xludf.DUMMYFUNCTION("""COMPUTED_VALUE"""),1042)</f>
        <v>1042</v>
      </c>
      <c r="O72" s="67">
        <f ca="1">IFERROR(__xludf.DUMMYFUNCTION("""COMPUTED_VALUE"""),643)</f>
        <v>643</v>
      </c>
      <c r="P72" s="51">
        <f t="shared" ca="1" si="13"/>
        <v>0.61708253358925147</v>
      </c>
      <c r="Q72" s="67">
        <f ca="1">IFERROR(__xludf.DUMMYFUNCTION("""COMPUTED_VALUE"""),405)</f>
        <v>405</v>
      </c>
      <c r="R72" s="51">
        <f t="shared" ca="1" si="14"/>
        <v>0.3886756238003839</v>
      </c>
      <c r="S72" s="67">
        <f ca="1">IFERROR(__xludf.DUMMYFUNCTION("""COMPUTED_VALUE"""),0)</f>
        <v>0</v>
      </c>
      <c r="T72" s="66">
        <f ca="1">IFERROR(__xludf.DUMMYFUNCTION("""COMPUTED_VALUE"""),0)</f>
        <v>0</v>
      </c>
      <c r="U72" s="51" t="str">
        <f t="shared" ca="1" si="15"/>
        <v/>
      </c>
      <c r="V72" s="67">
        <f ca="1">IFERROR(__xludf.DUMMYFUNCTION("""COMPUTED_VALUE"""),0)</f>
        <v>0</v>
      </c>
      <c r="W72" s="51" t="str">
        <f t="shared" ca="1" si="16"/>
        <v/>
      </c>
      <c r="X72" s="66"/>
      <c r="Y72" s="51" t="str">
        <f t="shared" ca="1" si="17"/>
        <v/>
      </c>
      <c r="Z72" s="2"/>
      <c r="AA72" s="2"/>
      <c r="AB72" s="2"/>
      <c r="AC72" s="2"/>
      <c r="AD72" s="2"/>
      <c r="AE72" s="2"/>
    </row>
    <row r="73" spans="1:31" ht="12.75" x14ac:dyDescent="0.2">
      <c r="A73" s="53">
        <f ca="1">IFERROR(__xludf.DUMMYFUNCTION("""COMPUTED_VALUE"""),20)</f>
        <v>20</v>
      </c>
      <c r="B73" s="66" t="str">
        <f ca="1">IFERROR(__xludf.DUMMYFUNCTION("""COMPUTED_VALUE"""),"TH Vĩnh Xuyên")</f>
        <v>TH Vĩnh Xuyên</v>
      </c>
      <c r="C73" s="66" t="str">
        <f ca="1">IFERROR(__xludf.DUMMYFUNCTION("""COMPUTED_VALUE"""),"TH")</f>
        <v>TH</v>
      </c>
      <c r="D73" s="66">
        <f ca="1">IFERROR(__xludf.DUMMYFUNCTION("""COMPUTED_VALUE"""),6)</f>
        <v>6</v>
      </c>
      <c r="E73" s="67">
        <f ca="1">IFERROR(__xludf.DUMMYFUNCTION("""COMPUTED_VALUE"""),22)</f>
        <v>22</v>
      </c>
      <c r="F73" s="67">
        <f ca="1">IFERROR(__xludf.DUMMYFUNCTION("""COMPUTED_VALUE"""),22)</f>
        <v>22</v>
      </c>
      <c r="G73" s="51">
        <f t="shared" ca="1" si="9"/>
        <v>1</v>
      </c>
      <c r="H73" s="67">
        <f ca="1">IFERROR(__xludf.DUMMYFUNCTION("""COMPUTED_VALUE"""),22)</f>
        <v>22</v>
      </c>
      <c r="I73" s="51">
        <f t="shared" ca="1" si="10"/>
        <v>1</v>
      </c>
      <c r="J73" s="67">
        <f ca="1">IFERROR(__xludf.DUMMYFUNCTION("""COMPUTED_VALUE"""),19)</f>
        <v>19</v>
      </c>
      <c r="K73" s="51">
        <f t="shared" ca="1" si="11"/>
        <v>0.86363636363636365</v>
      </c>
      <c r="L73" s="67">
        <f ca="1">IFERROR(__xludf.DUMMYFUNCTION("""COMPUTED_VALUE"""),14)</f>
        <v>14</v>
      </c>
      <c r="M73" s="51">
        <f t="shared" ca="1" si="12"/>
        <v>0.63636363636363635</v>
      </c>
      <c r="N73" s="67">
        <f ca="1">IFERROR(__xludf.DUMMYFUNCTION("""COMPUTED_VALUE"""),91)</f>
        <v>91</v>
      </c>
      <c r="O73" s="67">
        <f ca="1">IFERROR(__xludf.DUMMYFUNCTION("""COMPUTED_VALUE"""),23)</f>
        <v>23</v>
      </c>
      <c r="P73" s="51">
        <f t="shared" ca="1" si="13"/>
        <v>0.25274725274725274</v>
      </c>
      <c r="Q73" s="67">
        <f ca="1">IFERROR(__xludf.DUMMYFUNCTION("""COMPUTED_VALUE"""),14)</f>
        <v>14</v>
      </c>
      <c r="R73" s="51">
        <f t="shared" ca="1" si="14"/>
        <v>0.15384615384615385</v>
      </c>
      <c r="S73" s="67">
        <f ca="1">IFERROR(__xludf.DUMMYFUNCTION("""COMPUTED_VALUE"""),0)</f>
        <v>0</v>
      </c>
      <c r="T73" s="66">
        <f ca="1">IFERROR(__xludf.DUMMYFUNCTION("""COMPUTED_VALUE"""),0)</f>
        <v>0</v>
      </c>
      <c r="U73" s="51" t="str">
        <f t="shared" ca="1" si="15"/>
        <v/>
      </c>
      <c r="V73" s="67">
        <f ca="1">IFERROR(__xludf.DUMMYFUNCTION("""COMPUTED_VALUE"""),0)</f>
        <v>0</v>
      </c>
      <c r="W73" s="51" t="str">
        <f t="shared" ca="1" si="16"/>
        <v/>
      </c>
      <c r="X73" s="66"/>
      <c r="Y73" s="51" t="str">
        <f t="shared" ca="1" si="17"/>
        <v/>
      </c>
      <c r="Z73" s="2"/>
      <c r="AA73" s="2"/>
      <c r="AB73" s="2"/>
      <c r="AC73" s="2"/>
      <c r="AD73" s="2"/>
      <c r="AE73" s="2"/>
    </row>
    <row r="74" spans="1:31" ht="12.75" x14ac:dyDescent="0.2">
      <c r="A74" s="53">
        <f ca="1">IFERROR(__xludf.DUMMYFUNCTION("""COMPUTED_VALUE"""),21)</f>
        <v>21</v>
      </c>
      <c r="B74" s="66"/>
      <c r="C74" s="66"/>
      <c r="D74" s="66">
        <f ca="1">IFERROR(__xludf.DUMMYFUNCTION("""COMPUTED_VALUE"""),6)</f>
        <v>6</v>
      </c>
      <c r="E74" s="67">
        <f ca="1">IFERROR(__xludf.DUMMYFUNCTION("""COMPUTED_VALUE"""),31)</f>
        <v>31</v>
      </c>
      <c r="F74" s="67">
        <f ca="1">IFERROR(__xludf.DUMMYFUNCTION("""COMPUTED_VALUE"""),31)</f>
        <v>31</v>
      </c>
      <c r="G74" s="51">
        <f t="shared" ca="1" si="9"/>
        <v>1</v>
      </c>
      <c r="H74" s="67">
        <f ca="1">IFERROR(__xludf.DUMMYFUNCTION("""COMPUTED_VALUE"""),31)</f>
        <v>31</v>
      </c>
      <c r="I74" s="51">
        <f t="shared" ca="1" si="10"/>
        <v>1</v>
      </c>
      <c r="J74" s="67">
        <f ca="1">IFERROR(__xludf.DUMMYFUNCTION("""COMPUTED_VALUE"""),30)</f>
        <v>30</v>
      </c>
      <c r="K74" s="51">
        <f t="shared" ca="1" si="11"/>
        <v>0.967741935483871</v>
      </c>
      <c r="L74" s="67">
        <f ca="1">IFERROR(__xludf.DUMMYFUNCTION("""COMPUTED_VALUE"""),19)</f>
        <v>19</v>
      </c>
      <c r="M74" s="51">
        <f t="shared" ca="1" si="12"/>
        <v>0.61290322580645162</v>
      </c>
      <c r="N74" s="67">
        <f ca="1">IFERROR(__xludf.DUMMYFUNCTION("""COMPUTED_VALUE"""),104)</f>
        <v>104</v>
      </c>
      <c r="O74" s="67">
        <f ca="1">IFERROR(__xludf.DUMMYFUNCTION("""COMPUTED_VALUE"""),45)</f>
        <v>45</v>
      </c>
      <c r="P74" s="51">
        <f t="shared" ca="1" si="13"/>
        <v>0.43269230769230771</v>
      </c>
      <c r="Q74" s="67">
        <f ca="1">IFERROR(__xludf.DUMMYFUNCTION("""COMPUTED_VALUE"""),27)</f>
        <v>27</v>
      </c>
      <c r="R74" s="51">
        <f t="shared" ca="1" si="14"/>
        <v>0.25961538461538464</v>
      </c>
      <c r="S74" s="67">
        <f ca="1">IFERROR(__xludf.DUMMYFUNCTION("""COMPUTED_VALUE"""),0)</f>
        <v>0</v>
      </c>
      <c r="T74" s="66">
        <f ca="1">IFERROR(__xludf.DUMMYFUNCTION("""COMPUTED_VALUE"""),0)</f>
        <v>0</v>
      </c>
      <c r="U74" s="51" t="str">
        <f t="shared" ca="1" si="15"/>
        <v/>
      </c>
      <c r="V74" s="67">
        <f ca="1">IFERROR(__xludf.DUMMYFUNCTION("""COMPUTED_VALUE"""),0)</f>
        <v>0</v>
      </c>
      <c r="W74" s="51" t="str">
        <f t="shared" ca="1" si="16"/>
        <v/>
      </c>
      <c r="X74" s="66"/>
      <c r="Y74" s="51" t="str">
        <f t="shared" ca="1" si="17"/>
        <v/>
      </c>
      <c r="Z74" s="2"/>
      <c r="AA74" s="2"/>
      <c r="AB74" s="2"/>
      <c r="AC74" s="2"/>
      <c r="AD74" s="2"/>
      <c r="AE74" s="2"/>
    </row>
    <row r="75" spans="1:31" ht="12.75" x14ac:dyDescent="0.2">
      <c r="A75" s="66" t="str">
        <f ca="1">IFERROR(__xludf.DUMMYFUNCTION("""COMPUTED_VALUE"""),"THCS")</f>
        <v>THCS</v>
      </c>
      <c r="B75" s="66"/>
      <c r="C75" s="66"/>
      <c r="D75" s="66"/>
      <c r="E75" s="66"/>
      <c r="F75" s="66"/>
      <c r="G75" s="51" t="str">
        <f t="shared" si="9"/>
        <v/>
      </c>
      <c r="H75" s="66"/>
      <c r="I75" s="51" t="str">
        <f t="shared" si="10"/>
        <v/>
      </c>
      <c r="J75" s="66"/>
      <c r="K75" s="51" t="str">
        <f t="shared" si="11"/>
        <v/>
      </c>
      <c r="L75" s="66"/>
      <c r="M75" s="51" t="str">
        <f t="shared" si="12"/>
        <v/>
      </c>
      <c r="N75" s="66"/>
      <c r="O75" s="66"/>
      <c r="P75" s="51" t="str">
        <f t="shared" si="13"/>
        <v/>
      </c>
      <c r="Q75" s="66"/>
      <c r="R75" s="51" t="str">
        <f t="shared" si="14"/>
        <v/>
      </c>
      <c r="S75" s="66"/>
      <c r="T75" s="66"/>
      <c r="U75" s="51" t="str">
        <f t="shared" si="15"/>
        <v/>
      </c>
      <c r="V75" s="66"/>
      <c r="W75" s="51" t="str">
        <f t="shared" si="16"/>
        <v/>
      </c>
      <c r="X75" s="66"/>
      <c r="Y75" s="51" t="str">
        <f t="shared" si="17"/>
        <v/>
      </c>
      <c r="Z75" s="2"/>
      <c r="AA75" s="2"/>
      <c r="AB75" s="2"/>
      <c r="AC75" s="2"/>
      <c r="AD75" s="2"/>
      <c r="AE75" s="2"/>
    </row>
    <row r="76" spans="1:31" ht="12.75" x14ac:dyDescent="0.2">
      <c r="A76" s="53">
        <f ca="1">IFERROR(__xludf.DUMMYFUNCTION("""COMPUTED_VALUE"""),1)</f>
        <v>1</v>
      </c>
      <c r="B76" s="66"/>
      <c r="C76" s="66"/>
      <c r="D76" s="66">
        <f ca="1">IFERROR(__xludf.DUMMYFUNCTION("""COMPUTED_VALUE"""),6)</f>
        <v>6</v>
      </c>
      <c r="E76" s="67">
        <f ca="1">IFERROR(__xludf.DUMMYFUNCTION("""COMPUTED_VALUE"""),100)</f>
        <v>100</v>
      </c>
      <c r="F76" s="67">
        <f ca="1">IFERROR(__xludf.DUMMYFUNCTION("""COMPUTED_VALUE"""),100)</f>
        <v>100</v>
      </c>
      <c r="G76" s="51">
        <f t="shared" ca="1" si="9"/>
        <v>1</v>
      </c>
      <c r="H76" s="67">
        <f ca="1">IFERROR(__xludf.DUMMYFUNCTION("""COMPUTED_VALUE"""),100)</f>
        <v>100</v>
      </c>
      <c r="I76" s="51">
        <f t="shared" ca="1" si="10"/>
        <v>1</v>
      </c>
      <c r="J76" s="67">
        <f ca="1">IFERROR(__xludf.DUMMYFUNCTION("""COMPUTED_VALUE"""),100)</f>
        <v>100</v>
      </c>
      <c r="K76" s="51">
        <f t="shared" ca="1" si="11"/>
        <v>1</v>
      </c>
      <c r="L76" s="67">
        <f ca="1">IFERROR(__xludf.DUMMYFUNCTION("""COMPUTED_VALUE"""),91)</f>
        <v>91</v>
      </c>
      <c r="M76" s="51">
        <f t="shared" ca="1" si="12"/>
        <v>0.91</v>
      </c>
      <c r="N76" s="67">
        <f ca="1">IFERROR(__xludf.DUMMYFUNCTION("""COMPUTED_VALUE"""),369)</f>
        <v>369</v>
      </c>
      <c r="O76" s="67">
        <f ca="1">IFERROR(__xludf.DUMMYFUNCTION("""COMPUTED_VALUE"""),194)</f>
        <v>194</v>
      </c>
      <c r="P76" s="51">
        <f t="shared" ca="1" si="13"/>
        <v>0.5257452574525745</v>
      </c>
      <c r="Q76" s="67">
        <f ca="1">IFERROR(__xludf.DUMMYFUNCTION("""COMPUTED_VALUE"""),131)</f>
        <v>131</v>
      </c>
      <c r="R76" s="51">
        <f t="shared" ca="1" si="14"/>
        <v>0.35501355013550134</v>
      </c>
      <c r="S76" s="67">
        <f ca="1">IFERROR(__xludf.DUMMYFUNCTION("""COMPUTED_VALUE"""),1248)</f>
        <v>1248</v>
      </c>
      <c r="T76" s="66">
        <f ca="1">IFERROR(__xludf.DUMMYFUNCTION("""COMPUTED_VALUE"""),1086)</f>
        <v>1086</v>
      </c>
      <c r="U76" s="51">
        <f t="shared" ca="1" si="15"/>
        <v>0.87019230769230771</v>
      </c>
      <c r="V76" s="67">
        <f ca="1">IFERROR(__xludf.DUMMYFUNCTION("""COMPUTED_VALUE"""),1049)</f>
        <v>1049</v>
      </c>
      <c r="W76" s="51">
        <f t="shared" ca="1" si="16"/>
        <v>0.84054487179487181</v>
      </c>
      <c r="X76" s="67">
        <f ca="1">IFERROR(__xludf.DUMMYFUNCTION("""COMPUTED_VALUE"""),358)</f>
        <v>358</v>
      </c>
      <c r="Y76" s="51">
        <f t="shared" ca="1" si="17"/>
        <v>0.28685897435897434</v>
      </c>
      <c r="Z76" s="2"/>
      <c r="AA76" s="2"/>
      <c r="AB76" s="2"/>
      <c r="AC76" s="2"/>
      <c r="AD76" s="2"/>
      <c r="AE76" s="2"/>
    </row>
    <row r="77" spans="1:31" ht="12.75" x14ac:dyDescent="0.2">
      <c r="A77" s="53">
        <f ca="1">IFERROR(__xludf.DUMMYFUNCTION("""COMPUTED_VALUE"""),2)</f>
        <v>2</v>
      </c>
      <c r="B77" s="66" t="str">
        <f ca="1">IFERROR(__xludf.DUMMYFUNCTION("""COMPUTED_VALUE"""),"THCS Phạm Đình Hổ")</f>
        <v>THCS Phạm Đình Hổ</v>
      </c>
      <c r="C77" s="66" t="str">
        <f ca="1">IFERROR(__xludf.DUMMYFUNCTION("""COMPUTED_VALUE"""),"THCS")</f>
        <v>THCS</v>
      </c>
      <c r="D77" s="66">
        <f ca="1">IFERROR(__xludf.DUMMYFUNCTION("""COMPUTED_VALUE"""),6)</f>
        <v>6</v>
      </c>
      <c r="E77" s="67">
        <f ca="1">IFERROR(__xludf.DUMMYFUNCTION("""COMPUTED_VALUE"""),87)</f>
        <v>87</v>
      </c>
      <c r="F77" s="67">
        <f ca="1">IFERROR(__xludf.DUMMYFUNCTION("""COMPUTED_VALUE"""),87)</f>
        <v>87</v>
      </c>
      <c r="G77" s="51">
        <f t="shared" ca="1" si="9"/>
        <v>1</v>
      </c>
      <c r="H77" s="67">
        <f ca="1">IFERROR(__xludf.DUMMYFUNCTION("""COMPUTED_VALUE"""),87)</f>
        <v>87</v>
      </c>
      <c r="I77" s="51">
        <f t="shared" ca="1" si="10"/>
        <v>1</v>
      </c>
      <c r="J77" s="67">
        <f ca="1">IFERROR(__xludf.DUMMYFUNCTION("""COMPUTED_VALUE"""),86)</f>
        <v>86</v>
      </c>
      <c r="K77" s="51">
        <f t="shared" ca="1" si="11"/>
        <v>0.9885057471264368</v>
      </c>
      <c r="L77" s="67">
        <f ca="1">IFERROR(__xludf.DUMMYFUNCTION("""COMPUTED_VALUE"""),74)</f>
        <v>74</v>
      </c>
      <c r="M77" s="51">
        <f t="shared" ca="1" si="12"/>
        <v>0.85057471264367812</v>
      </c>
      <c r="N77" s="67">
        <f ca="1">IFERROR(__xludf.DUMMYFUNCTION("""COMPUTED_VALUE"""),425)</f>
        <v>425</v>
      </c>
      <c r="O77" s="67">
        <f ca="1">IFERROR(__xludf.DUMMYFUNCTION("""COMPUTED_VALUE"""),368)</f>
        <v>368</v>
      </c>
      <c r="P77" s="51">
        <f t="shared" ca="1" si="13"/>
        <v>0.86588235294117644</v>
      </c>
      <c r="Q77" s="67">
        <f ca="1">IFERROR(__xludf.DUMMYFUNCTION("""COMPUTED_VALUE"""),276)</f>
        <v>276</v>
      </c>
      <c r="R77" s="51">
        <f t="shared" ca="1" si="14"/>
        <v>0.64941176470588236</v>
      </c>
      <c r="S77" s="67">
        <f ca="1">IFERROR(__xludf.DUMMYFUNCTION("""COMPUTED_VALUE"""),1069)</f>
        <v>1069</v>
      </c>
      <c r="T77" s="66">
        <f ca="1">IFERROR(__xludf.DUMMYFUNCTION("""COMPUTED_VALUE"""),1046)</f>
        <v>1046</v>
      </c>
      <c r="U77" s="51">
        <f t="shared" ca="1" si="15"/>
        <v>0.9784845650140318</v>
      </c>
      <c r="V77" s="67">
        <f ca="1">IFERROR(__xludf.DUMMYFUNCTION("""COMPUTED_VALUE"""),1007)</f>
        <v>1007</v>
      </c>
      <c r="W77" s="51">
        <f t="shared" ca="1" si="16"/>
        <v>0.94200187090739007</v>
      </c>
      <c r="X77" s="67">
        <f ca="1">IFERROR(__xludf.DUMMYFUNCTION("""COMPUTED_VALUE"""),663)</f>
        <v>663</v>
      </c>
      <c r="Y77" s="51">
        <f t="shared" ca="1" si="17"/>
        <v>0.62020579981290924</v>
      </c>
      <c r="Z77" s="2"/>
      <c r="AA77" s="2"/>
      <c r="AB77" s="2"/>
      <c r="AC77" s="2"/>
      <c r="AD77" s="2"/>
      <c r="AE77" s="2"/>
    </row>
    <row r="78" spans="1:31" ht="12.75" x14ac:dyDescent="0.2">
      <c r="A78" s="53">
        <f ca="1">IFERROR(__xludf.DUMMYFUNCTION("""COMPUTED_VALUE"""),3)</f>
        <v>3</v>
      </c>
      <c r="B78" s="66" t="str">
        <f ca="1">IFERROR(__xludf.DUMMYFUNCTION("""COMPUTED_VALUE"""),"THCS Hậu Giang")</f>
        <v>THCS Hậu Giang</v>
      </c>
      <c r="C78" s="66" t="str">
        <f ca="1">IFERROR(__xludf.DUMMYFUNCTION("""COMPUTED_VALUE"""),"THCS")</f>
        <v>THCS</v>
      </c>
      <c r="D78" s="66">
        <f ca="1">IFERROR(__xludf.DUMMYFUNCTION("""COMPUTED_VALUE"""),6)</f>
        <v>6</v>
      </c>
      <c r="E78" s="67">
        <f ca="1">IFERROR(__xludf.DUMMYFUNCTION("""COMPUTED_VALUE"""),76)</f>
        <v>76</v>
      </c>
      <c r="F78" s="67">
        <f ca="1">IFERROR(__xludf.DUMMYFUNCTION("""COMPUTED_VALUE"""),76)</f>
        <v>76</v>
      </c>
      <c r="G78" s="51">
        <f t="shared" ca="1" si="9"/>
        <v>1</v>
      </c>
      <c r="H78" s="67">
        <f ca="1">IFERROR(__xludf.DUMMYFUNCTION("""COMPUTED_VALUE"""),76)</f>
        <v>76</v>
      </c>
      <c r="I78" s="51">
        <f t="shared" ca="1" si="10"/>
        <v>1</v>
      </c>
      <c r="J78" s="67">
        <f ca="1">IFERROR(__xludf.DUMMYFUNCTION("""COMPUTED_VALUE"""),75)</f>
        <v>75</v>
      </c>
      <c r="K78" s="51">
        <f t="shared" ca="1" si="11"/>
        <v>0.98684210526315785</v>
      </c>
      <c r="L78" s="67">
        <f ca="1">IFERROR(__xludf.DUMMYFUNCTION("""COMPUTED_VALUE"""),73)</f>
        <v>73</v>
      </c>
      <c r="M78" s="51">
        <f t="shared" ca="1" si="12"/>
        <v>0.96052631578947367</v>
      </c>
      <c r="N78" s="67">
        <f ca="1">IFERROR(__xludf.DUMMYFUNCTION("""COMPUTED_VALUE"""),159)</f>
        <v>159</v>
      </c>
      <c r="O78" s="67">
        <f ca="1">IFERROR(__xludf.DUMMYFUNCTION("""COMPUTED_VALUE"""),80)</f>
        <v>80</v>
      </c>
      <c r="P78" s="51">
        <f t="shared" ca="1" si="13"/>
        <v>0.50314465408805031</v>
      </c>
      <c r="Q78" s="67">
        <f ca="1">IFERROR(__xludf.DUMMYFUNCTION("""COMPUTED_VALUE"""),54)</f>
        <v>54</v>
      </c>
      <c r="R78" s="51">
        <f t="shared" ca="1" si="14"/>
        <v>0.33962264150943394</v>
      </c>
      <c r="S78" s="67">
        <f ca="1">IFERROR(__xludf.DUMMYFUNCTION("""COMPUTED_VALUE"""),1200)</f>
        <v>1200</v>
      </c>
      <c r="T78" s="66">
        <f ca="1">IFERROR(__xludf.DUMMYFUNCTION("""COMPUTED_VALUE"""),1101)</f>
        <v>1101</v>
      </c>
      <c r="U78" s="51">
        <f t="shared" ca="1" si="15"/>
        <v>0.91749999999999998</v>
      </c>
      <c r="V78" s="67">
        <f ca="1">IFERROR(__xludf.DUMMYFUNCTION("""COMPUTED_VALUE"""),1014)</f>
        <v>1014</v>
      </c>
      <c r="W78" s="51">
        <f t="shared" ca="1" si="16"/>
        <v>0.84499999999999997</v>
      </c>
      <c r="X78" s="67">
        <f ca="1">IFERROR(__xludf.DUMMYFUNCTION("""COMPUTED_VALUE"""),502)</f>
        <v>502</v>
      </c>
      <c r="Y78" s="51">
        <f t="shared" ca="1" si="17"/>
        <v>0.41833333333333333</v>
      </c>
      <c r="Z78" s="2"/>
      <c r="AA78" s="2"/>
      <c r="AB78" s="2"/>
      <c r="AC78" s="2"/>
      <c r="AD78" s="2"/>
      <c r="AE78" s="2"/>
    </row>
    <row r="79" spans="1:31" ht="12.75" x14ac:dyDescent="0.2">
      <c r="A79" s="53">
        <f ca="1">IFERROR(__xludf.DUMMYFUNCTION("""COMPUTED_VALUE"""),4)</f>
        <v>4</v>
      </c>
      <c r="B79" s="66" t="str">
        <f ca="1">IFERROR(__xludf.DUMMYFUNCTION("""COMPUTED_VALUE"""),"THCS Nguyễn Đức Cảnh")</f>
        <v>THCS Nguyễn Đức Cảnh</v>
      </c>
      <c r="C79" s="66" t="str">
        <f ca="1">IFERROR(__xludf.DUMMYFUNCTION("""COMPUTED_VALUE"""),"THCS")</f>
        <v>THCS</v>
      </c>
      <c r="D79" s="66">
        <f ca="1">IFERROR(__xludf.DUMMYFUNCTION("""COMPUTED_VALUE"""),6)</f>
        <v>6</v>
      </c>
      <c r="E79" s="67">
        <f ca="1">IFERROR(__xludf.DUMMYFUNCTION("""COMPUTED_VALUE"""),65)</f>
        <v>65</v>
      </c>
      <c r="F79" s="67">
        <f ca="1">IFERROR(__xludf.DUMMYFUNCTION("""COMPUTED_VALUE"""),65)</f>
        <v>65</v>
      </c>
      <c r="G79" s="67"/>
      <c r="H79" s="67">
        <f ca="1">IFERROR(__xludf.DUMMYFUNCTION("""COMPUTED_VALUE"""),65)</f>
        <v>65</v>
      </c>
      <c r="I79" s="67"/>
      <c r="J79" s="67">
        <f ca="1">IFERROR(__xludf.DUMMYFUNCTION("""COMPUTED_VALUE"""),65)</f>
        <v>65</v>
      </c>
      <c r="K79" s="67"/>
      <c r="L79" s="67">
        <f ca="1">IFERROR(__xludf.DUMMYFUNCTION("""COMPUTED_VALUE"""),60)</f>
        <v>60</v>
      </c>
      <c r="M79" s="67"/>
      <c r="N79" s="67">
        <f ca="1">IFERROR(__xludf.DUMMYFUNCTION("""COMPUTED_VALUE"""),235)</f>
        <v>235</v>
      </c>
      <c r="O79" s="67">
        <f ca="1">IFERROR(__xludf.DUMMYFUNCTION("""COMPUTED_VALUE"""),222)</f>
        <v>222</v>
      </c>
      <c r="P79" s="67"/>
      <c r="Q79" s="67">
        <f ca="1">IFERROR(__xludf.DUMMYFUNCTION("""COMPUTED_VALUE"""),173)</f>
        <v>173</v>
      </c>
      <c r="R79" s="67"/>
      <c r="S79" s="66">
        <f ca="1">IFERROR(__xludf.DUMMYFUNCTION("""COMPUTED_VALUE"""),806)</f>
        <v>806</v>
      </c>
      <c r="T79" s="66">
        <f ca="1">IFERROR(__xludf.DUMMYFUNCTION("""COMPUTED_VALUE"""),747)</f>
        <v>747</v>
      </c>
      <c r="U79" s="66"/>
      <c r="V79" s="66">
        <f ca="1">IFERROR(__xludf.DUMMYFUNCTION("""COMPUTED_VALUE"""),705)</f>
        <v>705</v>
      </c>
      <c r="W79" s="66"/>
      <c r="X79" s="66">
        <f ca="1">IFERROR(__xludf.DUMMYFUNCTION("""COMPUTED_VALUE"""),491)</f>
        <v>491</v>
      </c>
      <c r="Y79" s="66"/>
      <c r="Z79" s="2"/>
      <c r="AA79" s="2"/>
      <c r="AB79" s="2"/>
      <c r="AC79" s="2"/>
      <c r="AD79" s="2"/>
      <c r="AE79" s="2"/>
    </row>
    <row r="80" spans="1:31" ht="12.75" x14ac:dyDescent="0.2">
      <c r="A80" s="53">
        <f ca="1">IFERROR(__xludf.DUMMYFUNCTION("""COMPUTED_VALUE"""),5)</f>
        <v>5</v>
      </c>
      <c r="B80" s="66" t="str">
        <f ca="1">IFERROR(__xludf.DUMMYFUNCTION("""COMPUTED_VALUE"""),"THCS Văn Thân")</f>
        <v>THCS Văn Thân</v>
      </c>
      <c r="C80" s="66" t="str">
        <f ca="1">IFERROR(__xludf.DUMMYFUNCTION("""COMPUTED_VALUE"""),"THCS")</f>
        <v>THCS</v>
      </c>
      <c r="D80" s="66">
        <f ca="1">IFERROR(__xludf.DUMMYFUNCTION("""COMPUTED_VALUE"""),6)</f>
        <v>6</v>
      </c>
      <c r="E80" s="67">
        <f ca="1">IFERROR(__xludf.DUMMYFUNCTION("""COMPUTED_VALUE"""),57)</f>
        <v>57</v>
      </c>
      <c r="F80" s="67">
        <f ca="1">IFERROR(__xludf.DUMMYFUNCTION("""COMPUTED_VALUE"""),57)</f>
        <v>57</v>
      </c>
      <c r="G80" s="67"/>
      <c r="H80" s="67">
        <f ca="1">IFERROR(__xludf.DUMMYFUNCTION("""COMPUTED_VALUE"""),57)</f>
        <v>57</v>
      </c>
      <c r="I80" s="67"/>
      <c r="J80" s="67">
        <f ca="1">IFERROR(__xludf.DUMMYFUNCTION("""COMPUTED_VALUE"""),57)</f>
        <v>57</v>
      </c>
      <c r="K80" s="67"/>
      <c r="L80" s="67">
        <f ca="1">IFERROR(__xludf.DUMMYFUNCTION("""COMPUTED_VALUE"""),53)</f>
        <v>53</v>
      </c>
      <c r="M80" s="67"/>
      <c r="N80" s="67">
        <f ca="1">IFERROR(__xludf.DUMMYFUNCTION("""COMPUTED_VALUE"""),348)</f>
        <v>348</v>
      </c>
      <c r="O80" s="67">
        <f ca="1">IFERROR(__xludf.DUMMYFUNCTION("""COMPUTED_VALUE"""),317)</f>
        <v>317</v>
      </c>
      <c r="P80" s="67"/>
      <c r="Q80" s="67">
        <f ca="1">IFERROR(__xludf.DUMMYFUNCTION("""COMPUTED_VALUE"""),260)</f>
        <v>260</v>
      </c>
      <c r="R80" s="67"/>
      <c r="S80" s="67">
        <f ca="1">IFERROR(__xludf.DUMMYFUNCTION("""COMPUTED_VALUE"""),794)</f>
        <v>794</v>
      </c>
      <c r="T80" s="66">
        <f ca="1">IFERROR(__xludf.DUMMYFUNCTION("""COMPUTED_VALUE"""),794)</f>
        <v>794</v>
      </c>
      <c r="U80" s="66"/>
      <c r="V80" s="67">
        <f ca="1">IFERROR(__xludf.DUMMYFUNCTION("""COMPUTED_VALUE"""),782)</f>
        <v>782</v>
      </c>
      <c r="W80" s="67"/>
      <c r="X80" s="67">
        <f ca="1">IFERROR(__xludf.DUMMYFUNCTION("""COMPUTED_VALUE"""),494)</f>
        <v>494</v>
      </c>
      <c r="Y80" s="67"/>
      <c r="Z80" s="2"/>
      <c r="AA80" s="2"/>
      <c r="AB80" s="2"/>
      <c r="AC80" s="2"/>
      <c r="AD80" s="2"/>
      <c r="AE80" s="2"/>
    </row>
    <row r="81" spans="1:31" ht="12.75" x14ac:dyDescent="0.2">
      <c r="A81" s="53">
        <f ca="1">IFERROR(__xludf.DUMMYFUNCTION("""COMPUTED_VALUE"""),6)</f>
        <v>6</v>
      </c>
      <c r="B81" s="66" t="str">
        <f ca="1">IFERROR(__xludf.DUMMYFUNCTION("""COMPUTED_VALUE"""),"THCS Hoàng Lê Kha")</f>
        <v>THCS Hoàng Lê Kha</v>
      </c>
      <c r="C81" s="66" t="str">
        <f ca="1">IFERROR(__xludf.DUMMYFUNCTION("""COMPUTED_VALUE"""),"THCS")</f>
        <v>THCS</v>
      </c>
      <c r="D81" s="66">
        <f ca="1">IFERROR(__xludf.DUMMYFUNCTION("""COMPUTED_VALUE"""),6)</f>
        <v>6</v>
      </c>
      <c r="E81" s="67">
        <f ca="1">IFERROR(__xludf.DUMMYFUNCTION("""COMPUTED_VALUE"""),69)</f>
        <v>69</v>
      </c>
      <c r="F81" s="67">
        <f ca="1">IFERROR(__xludf.DUMMYFUNCTION("""COMPUTED_VALUE"""),68)</f>
        <v>68</v>
      </c>
      <c r="G81" s="67"/>
      <c r="H81" s="67">
        <f ca="1">IFERROR(__xludf.DUMMYFUNCTION("""COMPUTED_VALUE"""),68)</f>
        <v>68</v>
      </c>
      <c r="I81" s="67"/>
      <c r="J81" s="67">
        <f ca="1">IFERROR(__xludf.DUMMYFUNCTION("""COMPUTED_VALUE"""),65)</f>
        <v>65</v>
      </c>
      <c r="K81" s="67"/>
      <c r="L81" s="67">
        <f ca="1">IFERROR(__xludf.DUMMYFUNCTION("""COMPUTED_VALUE"""),47)</f>
        <v>47</v>
      </c>
      <c r="M81" s="67"/>
      <c r="N81" s="67">
        <f ca="1">IFERROR(__xludf.DUMMYFUNCTION("""COMPUTED_VALUE"""),397)</f>
        <v>397</v>
      </c>
      <c r="O81" s="67">
        <f ca="1">IFERROR(__xludf.DUMMYFUNCTION("""COMPUTED_VALUE"""),298)</f>
        <v>298</v>
      </c>
      <c r="P81" s="67"/>
      <c r="Q81" s="67">
        <f ca="1">IFERROR(__xludf.DUMMYFUNCTION("""COMPUTED_VALUE"""),220)</f>
        <v>220</v>
      </c>
      <c r="R81" s="67"/>
      <c r="S81" s="67">
        <f ca="1">IFERROR(__xludf.DUMMYFUNCTION("""COMPUTED_VALUE"""),793)</f>
        <v>793</v>
      </c>
      <c r="T81" s="67">
        <f ca="1">IFERROR(__xludf.DUMMYFUNCTION("""COMPUTED_VALUE"""),763)</f>
        <v>763</v>
      </c>
      <c r="U81" s="67"/>
      <c r="V81" s="67">
        <f ca="1">IFERROR(__xludf.DUMMYFUNCTION("""COMPUTED_VALUE"""),736)</f>
        <v>736</v>
      </c>
      <c r="W81" s="67"/>
      <c r="X81" s="67">
        <f ca="1">IFERROR(__xludf.DUMMYFUNCTION("""COMPUTED_VALUE"""),319)</f>
        <v>319</v>
      </c>
      <c r="Y81" s="67"/>
      <c r="Z81" s="2"/>
      <c r="AA81" s="2"/>
      <c r="AB81" s="2"/>
      <c r="AC81" s="2"/>
      <c r="AD81" s="2"/>
      <c r="AE81" s="2"/>
    </row>
    <row r="82" spans="1:31" ht="12.75" x14ac:dyDescent="0.2">
      <c r="A82" s="53">
        <f ca="1">IFERROR(__xludf.DUMMYFUNCTION("""COMPUTED_VALUE"""),7)</f>
        <v>7</v>
      </c>
      <c r="B82" s="66" t="str">
        <f ca="1">IFERROR(__xludf.DUMMYFUNCTION("""COMPUTED_VALUE"""),"THCS Phú Định")</f>
        <v>THCS Phú Định</v>
      </c>
      <c r="C82" s="66" t="str">
        <f ca="1">IFERROR(__xludf.DUMMYFUNCTION("""COMPUTED_VALUE"""),"THCS")</f>
        <v>THCS</v>
      </c>
      <c r="D82" s="66">
        <f ca="1">IFERROR(__xludf.DUMMYFUNCTION("""COMPUTED_VALUE"""),6)</f>
        <v>6</v>
      </c>
      <c r="E82" s="67">
        <f ca="1">IFERROR(__xludf.DUMMYFUNCTION("""COMPUTED_VALUE"""),86)</f>
        <v>86</v>
      </c>
      <c r="F82" s="67">
        <f ca="1">IFERROR(__xludf.DUMMYFUNCTION("""COMPUTED_VALUE"""),86)</f>
        <v>86</v>
      </c>
      <c r="G82" s="67"/>
      <c r="H82" s="67">
        <f ca="1">IFERROR(__xludf.DUMMYFUNCTION("""COMPUTED_VALUE"""),86)</f>
        <v>86</v>
      </c>
      <c r="I82" s="67"/>
      <c r="J82" s="67">
        <f ca="1">IFERROR(__xludf.DUMMYFUNCTION("""COMPUTED_VALUE"""),85)</f>
        <v>85</v>
      </c>
      <c r="K82" s="67"/>
      <c r="L82" s="67">
        <f ca="1">IFERROR(__xludf.DUMMYFUNCTION("""COMPUTED_VALUE"""),76)</f>
        <v>76</v>
      </c>
      <c r="M82" s="67"/>
      <c r="N82" s="67">
        <f ca="1">IFERROR(__xludf.DUMMYFUNCTION("""COMPUTED_VALUE"""),443)</f>
        <v>443</v>
      </c>
      <c r="O82" s="67">
        <f ca="1">IFERROR(__xludf.DUMMYFUNCTION("""COMPUTED_VALUE"""),262)</f>
        <v>262</v>
      </c>
      <c r="P82" s="67"/>
      <c r="Q82" s="67">
        <f ca="1">IFERROR(__xludf.DUMMYFUNCTION("""COMPUTED_VALUE"""),163)</f>
        <v>163</v>
      </c>
      <c r="R82" s="67"/>
      <c r="S82" s="67">
        <f ca="1">IFERROR(__xludf.DUMMYFUNCTION("""COMPUTED_VALUE"""),1179)</f>
        <v>1179</v>
      </c>
      <c r="T82" s="66">
        <f ca="1">IFERROR(__xludf.DUMMYFUNCTION("""COMPUTED_VALUE"""),1094)</f>
        <v>1094</v>
      </c>
      <c r="U82" s="66"/>
      <c r="V82" s="67">
        <f ca="1">IFERROR(__xludf.DUMMYFUNCTION("""COMPUTED_VALUE"""),1037)</f>
        <v>1037</v>
      </c>
      <c r="W82" s="67"/>
      <c r="X82" s="67">
        <f ca="1">IFERROR(__xludf.DUMMYFUNCTION("""COMPUTED_VALUE"""),599)</f>
        <v>599</v>
      </c>
      <c r="Y82" s="67"/>
      <c r="Z82" s="2"/>
      <c r="AA82" s="2"/>
      <c r="AB82" s="2"/>
      <c r="AC82" s="2"/>
      <c r="AD82" s="2"/>
      <c r="AE82" s="2"/>
    </row>
    <row r="83" spans="1:31" ht="12.75" x14ac:dyDescent="0.2">
      <c r="A83" s="53">
        <f ca="1">IFERROR(__xludf.DUMMYFUNCTION("""COMPUTED_VALUE"""),8)</f>
        <v>8</v>
      </c>
      <c r="B83" s="66" t="str">
        <f ca="1">IFERROR(__xludf.DUMMYFUNCTION("""COMPUTED_VALUE"""),"THCS Nguyễn Văn Luông")</f>
        <v>THCS Nguyễn Văn Luông</v>
      </c>
      <c r="C83" s="66" t="str">
        <f ca="1">IFERROR(__xludf.DUMMYFUNCTION("""COMPUTED_VALUE"""),"THCS")</f>
        <v>THCS</v>
      </c>
      <c r="D83" s="66">
        <f ca="1">IFERROR(__xludf.DUMMYFUNCTION("""COMPUTED_VALUE"""),6)</f>
        <v>6</v>
      </c>
      <c r="E83" s="67">
        <f ca="1">IFERROR(__xludf.DUMMYFUNCTION("""COMPUTED_VALUE"""),115)</f>
        <v>115</v>
      </c>
      <c r="F83" s="67">
        <f ca="1">IFERROR(__xludf.DUMMYFUNCTION("""COMPUTED_VALUE"""),115)</f>
        <v>115</v>
      </c>
      <c r="G83" s="67"/>
      <c r="H83" s="67">
        <f ca="1">IFERROR(__xludf.DUMMYFUNCTION("""COMPUTED_VALUE"""),115)</f>
        <v>115</v>
      </c>
      <c r="I83" s="67"/>
      <c r="J83" s="67">
        <f ca="1">IFERROR(__xludf.DUMMYFUNCTION("""COMPUTED_VALUE"""),115)</f>
        <v>115</v>
      </c>
      <c r="K83" s="67"/>
      <c r="L83" s="67">
        <f ca="1">IFERROR(__xludf.DUMMYFUNCTION("""COMPUTED_VALUE"""),103)</f>
        <v>103</v>
      </c>
      <c r="M83" s="67"/>
      <c r="N83" s="67">
        <f ca="1">IFERROR(__xludf.DUMMYFUNCTION("""COMPUTED_VALUE"""),550)</f>
        <v>550</v>
      </c>
      <c r="O83" s="67">
        <f ca="1">IFERROR(__xludf.DUMMYFUNCTION("""COMPUTED_VALUE"""),335)</f>
        <v>335</v>
      </c>
      <c r="P83" s="67"/>
      <c r="Q83" s="67">
        <f ca="1">IFERROR(__xludf.DUMMYFUNCTION("""COMPUTED_VALUE"""),222)</f>
        <v>222</v>
      </c>
      <c r="R83" s="67"/>
      <c r="S83" s="67">
        <f ca="1">IFERROR(__xludf.DUMMYFUNCTION("""COMPUTED_VALUE"""),1365)</f>
        <v>1365</v>
      </c>
      <c r="T83" s="66">
        <f ca="1">IFERROR(__xludf.DUMMYFUNCTION("""COMPUTED_VALUE"""),1292)</f>
        <v>1292</v>
      </c>
      <c r="U83" s="66"/>
      <c r="V83" s="67">
        <f ca="1">IFERROR(__xludf.DUMMYFUNCTION("""COMPUTED_VALUE"""),1201)</f>
        <v>1201</v>
      </c>
      <c r="W83" s="67"/>
      <c r="X83" s="67">
        <f ca="1">IFERROR(__xludf.DUMMYFUNCTION("""COMPUTED_VALUE"""),562)</f>
        <v>562</v>
      </c>
      <c r="Y83" s="67"/>
      <c r="Z83" s="2"/>
      <c r="AA83" s="2"/>
      <c r="AB83" s="2"/>
      <c r="AC83" s="2"/>
      <c r="AD83" s="2"/>
      <c r="AE83" s="2"/>
    </row>
    <row r="84" spans="1:31" ht="12.75" x14ac:dyDescent="0.2">
      <c r="A84" s="53">
        <f ca="1">IFERROR(__xludf.DUMMYFUNCTION("""COMPUTED_VALUE"""),9)</f>
        <v>9</v>
      </c>
      <c r="B84" s="66" t="str">
        <f ca="1">IFERROR(__xludf.DUMMYFUNCTION("""COMPUTED_VALUE"""),"THCS Lam Sơn")</f>
        <v>THCS Lam Sơn</v>
      </c>
      <c r="C84" s="66" t="str">
        <f ca="1">IFERROR(__xludf.DUMMYFUNCTION("""COMPUTED_VALUE"""),"THCS")</f>
        <v>THCS</v>
      </c>
      <c r="D84" s="66">
        <f ca="1">IFERROR(__xludf.DUMMYFUNCTION("""COMPUTED_VALUE"""),6)</f>
        <v>6</v>
      </c>
      <c r="E84" s="67">
        <f ca="1">IFERROR(__xludf.DUMMYFUNCTION("""COMPUTED_VALUE"""),116)</f>
        <v>116</v>
      </c>
      <c r="F84" s="67">
        <f ca="1">IFERROR(__xludf.DUMMYFUNCTION("""COMPUTED_VALUE"""),116)</f>
        <v>116</v>
      </c>
      <c r="G84" s="67"/>
      <c r="H84" s="67">
        <f ca="1">IFERROR(__xludf.DUMMYFUNCTION("""COMPUTED_VALUE"""),116)</f>
        <v>116</v>
      </c>
      <c r="I84" s="67"/>
      <c r="J84" s="67">
        <f ca="1">IFERROR(__xludf.DUMMYFUNCTION("""COMPUTED_VALUE"""),116)</f>
        <v>116</v>
      </c>
      <c r="K84" s="67"/>
      <c r="L84" s="67">
        <f ca="1">IFERROR(__xludf.DUMMYFUNCTION("""COMPUTED_VALUE"""),99)</f>
        <v>99</v>
      </c>
      <c r="M84" s="67"/>
      <c r="N84" s="67">
        <f ca="1">IFERROR(__xludf.DUMMYFUNCTION("""COMPUTED_VALUE"""),643)</f>
        <v>643</v>
      </c>
      <c r="O84" s="67">
        <f ca="1">IFERROR(__xludf.DUMMYFUNCTION("""COMPUTED_VALUE"""),446)</f>
        <v>446</v>
      </c>
      <c r="P84" s="67"/>
      <c r="Q84" s="67">
        <f ca="1">IFERROR(__xludf.DUMMYFUNCTION("""COMPUTED_VALUE"""),293)</f>
        <v>293</v>
      </c>
      <c r="R84" s="67"/>
      <c r="S84" s="67">
        <f ca="1">IFERROR(__xludf.DUMMYFUNCTION("""COMPUTED_VALUE"""),1430)</f>
        <v>1430</v>
      </c>
      <c r="T84" s="66">
        <f ca="1">IFERROR(__xludf.DUMMYFUNCTION("""COMPUTED_VALUE"""),1374)</f>
        <v>1374</v>
      </c>
      <c r="U84" s="66"/>
      <c r="V84" s="67">
        <f ca="1">IFERROR(__xludf.DUMMYFUNCTION("""COMPUTED_VALUE"""),1340)</f>
        <v>1340</v>
      </c>
      <c r="W84" s="67"/>
      <c r="X84" s="67">
        <f ca="1">IFERROR(__xludf.DUMMYFUNCTION("""COMPUTED_VALUE"""),794)</f>
        <v>794</v>
      </c>
      <c r="Y84" s="67"/>
      <c r="Z84" s="2"/>
      <c r="AA84" s="2"/>
      <c r="AB84" s="2"/>
      <c r="AC84" s="2"/>
      <c r="AD84" s="2"/>
      <c r="AE84" s="2"/>
    </row>
    <row r="85" spans="1:31" ht="12.75" x14ac:dyDescent="0.2">
      <c r="A85" s="53">
        <f ca="1">IFERROR(__xludf.DUMMYFUNCTION("""COMPUTED_VALUE"""),10)</f>
        <v>10</v>
      </c>
      <c r="B85" s="66" t="str">
        <f ca="1">IFERROR(__xludf.DUMMYFUNCTION("""COMPUTED_VALUE"""),"THCS Đoàn Kết")</f>
        <v>THCS Đoàn Kết</v>
      </c>
      <c r="C85" s="66" t="str">
        <f ca="1">IFERROR(__xludf.DUMMYFUNCTION("""COMPUTED_VALUE"""),"THCS")</f>
        <v>THCS</v>
      </c>
      <c r="D85" s="66">
        <f ca="1">IFERROR(__xludf.DUMMYFUNCTION("""COMPUTED_VALUE"""),6)</f>
        <v>6</v>
      </c>
      <c r="E85" s="67">
        <f ca="1">IFERROR(__xludf.DUMMYFUNCTION("""COMPUTED_VALUE"""),63)</f>
        <v>63</v>
      </c>
      <c r="F85" s="67">
        <f ca="1">IFERROR(__xludf.DUMMYFUNCTION("""COMPUTED_VALUE"""),63)</f>
        <v>63</v>
      </c>
      <c r="G85" s="67"/>
      <c r="H85" s="67">
        <f ca="1">IFERROR(__xludf.DUMMYFUNCTION("""COMPUTED_VALUE"""),63)</f>
        <v>63</v>
      </c>
      <c r="I85" s="67"/>
      <c r="J85" s="67">
        <f ca="1">IFERROR(__xludf.DUMMYFUNCTION("""COMPUTED_VALUE"""),63)</f>
        <v>63</v>
      </c>
      <c r="K85" s="67"/>
      <c r="L85" s="67">
        <f ca="1">IFERROR(__xludf.DUMMYFUNCTION("""COMPUTED_VALUE"""),46)</f>
        <v>46</v>
      </c>
      <c r="M85" s="67"/>
      <c r="N85" s="67">
        <f ca="1">IFERROR(__xludf.DUMMYFUNCTION("""COMPUTED_VALUE"""),266)</f>
        <v>266</v>
      </c>
      <c r="O85" s="67">
        <f ca="1">IFERROR(__xludf.DUMMYFUNCTION("""COMPUTED_VALUE"""),224)</f>
        <v>224</v>
      </c>
      <c r="P85" s="67"/>
      <c r="Q85" s="67">
        <f ca="1">IFERROR(__xludf.DUMMYFUNCTION("""COMPUTED_VALUE"""),170)</f>
        <v>170</v>
      </c>
      <c r="R85" s="67"/>
      <c r="S85" s="67">
        <f ca="1">IFERROR(__xludf.DUMMYFUNCTION("""COMPUTED_VALUE"""),690)</f>
        <v>690</v>
      </c>
      <c r="T85" s="67">
        <f ca="1">IFERROR(__xludf.DUMMYFUNCTION("""COMPUTED_VALUE"""),653)</f>
        <v>653</v>
      </c>
      <c r="U85" s="67"/>
      <c r="V85" s="67">
        <f ca="1">IFERROR(__xludf.DUMMYFUNCTION("""COMPUTED_VALUE"""),637)</f>
        <v>637</v>
      </c>
      <c r="W85" s="67"/>
      <c r="X85" s="67">
        <f ca="1">IFERROR(__xludf.DUMMYFUNCTION("""COMPUTED_VALUE"""),296)</f>
        <v>296</v>
      </c>
      <c r="Y85" s="67"/>
      <c r="Z85" s="2"/>
      <c r="AA85" s="2"/>
      <c r="AB85" s="2"/>
      <c r="AC85" s="2"/>
      <c r="AD85" s="2"/>
      <c r="AE85" s="2"/>
    </row>
    <row r="86" spans="1:31" ht="12.75" x14ac:dyDescent="0.2">
      <c r="A86" s="66" t="str">
        <f ca="1">IFERROR(__xludf.DUMMYFUNCTION("""COMPUTED_VALUE"""),"THPT")</f>
        <v>THPT</v>
      </c>
      <c r="B86" s="66"/>
      <c r="C86" s="66"/>
      <c r="D86" s="66"/>
      <c r="E86" s="66"/>
      <c r="F86" s="66"/>
      <c r="G86" s="66"/>
      <c r="H86" s="66"/>
      <c r="I86" s="66"/>
      <c r="J86" s="66"/>
      <c r="K86" s="66"/>
      <c r="L86" s="66"/>
      <c r="M86" s="66"/>
      <c r="N86" s="66"/>
      <c r="O86" s="66"/>
      <c r="P86" s="66"/>
      <c r="Q86" s="66"/>
      <c r="R86" s="66"/>
      <c r="S86" s="66"/>
      <c r="T86" s="66"/>
      <c r="U86" s="66"/>
      <c r="V86" s="66"/>
      <c r="W86" s="66"/>
      <c r="X86" s="66"/>
      <c r="Y86" s="66"/>
      <c r="Z86" s="2"/>
      <c r="AA86" s="2"/>
      <c r="AB86" s="2"/>
      <c r="AC86" s="2"/>
      <c r="AD86" s="2"/>
      <c r="AE86" s="2"/>
    </row>
    <row r="87" spans="1:31" ht="12.75" x14ac:dyDescent="0.2">
      <c r="A87" s="53">
        <f ca="1">IFERROR(__xludf.DUMMYFUNCTION("""COMPUTED_VALUE"""),1)</f>
        <v>1</v>
      </c>
      <c r="B87" s="66" t="str">
        <f ca="1">IFERROR(__xludf.DUMMYFUNCTION("""COMPUTED_VALUE"""),"THPT Mạc Đĩnh Chi")</f>
        <v>THPT Mạc Đĩnh Chi</v>
      </c>
      <c r="C87" s="66" t="str">
        <f ca="1">IFERROR(__xludf.DUMMYFUNCTION("""COMPUTED_VALUE"""),"THPT")</f>
        <v>THPT</v>
      </c>
      <c r="D87" s="66">
        <f ca="1">IFERROR(__xludf.DUMMYFUNCTION("""COMPUTED_VALUE"""),6)</f>
        <v>6</v>
      </c>
      <c r="E87" s="67">
        <f ca="1">IFERROR(__xludf.DUMMYFUNCTION("""COMPUTED_VALUE"""),186)</f>
        <v>186</v>
      </c>
      <c r="F87" s="67">
        <f ca="1">IFERROR(__xludf.DUMMYFUNCTION("""COMPUTED_VALUE"""),186)</f>
        <v>186</v>
      </c>
      <c r="G87" s="67"/>
      <c r="H87" s="67">
        <f ca="1">IFERROR(__xludf.DUMMYFUNCTION("""COMPUTED_VALUE"""),186)</f>
        <v>186</v>
      </c>
      <c r="I87" s="67"/>
      <c r="J87" s="67">
        <f ca="1">IFERROR(__xludf.DUMMYFUNCTION("""COMPUTED_VALUE"""),186)</f>
        <v>186</v>
      </c>
      <c r="K87" s="67"/>
      <c r="L87" s="67">
        <f ca="1">IFERROR(__xludf.DUMMYFUNCTION("""COMPUTED_VALUE"""),121)</f>
        <v>121</v>
      </c>
      <c r="M87" s="67"/>
      <c r="N87" s="66"/>
      <c r="O87" s="66"/>
      <c r="P87" s="66"/>
      <c r="Q87" s="66"/>
      <c r="R87" s="66"/>
      <c r="S87" s="67">
        <f ca="1">IFERROR(__xludf.DUMMYFUNCTION("""COMPUTED_VALUE"""),2931)</f>
        <v>2931</v>
      </c>
      <c r="T87" s="67">
        <f ca="1">IFERROR(__xludf.DUMMYFUNCTION("""COMPUTED_VALUE"""),2915)</f>
        <v>2915</v>
      </c>
      <c r="U87" s="67"/>
      <c r="V87" s="67">
        <f ca="1">IFERROR(__xludf.DUMMYFUNCTION("""COMPUTED_VALUE"""),2911)</f>
        <v>2911</v>
      </c>
      <c r="W87" s="67"/>
      <c r="X87" s="67">
        <f ca="1">IFERROR(__xludf.DUMMYFUNCTION("""COMPUTED_VALUE"""),2187)</f>
        <v>2187</v>
      </c>
      <c r="Y87" s="67"/>
      <c r="Z87" s="2"/>
      <c r="AA87" s="2"/>
      <c r="AB87" s="2"/>
      <c r="AC87" s="2"/>
      <c r="AD87" s="2"/>
      <c r="AE87" s="2"/>
    </row>
    <row r="88" spans="1:31" ht="12.75" x14ac:dyDescent="0.2">
      <c r="A88" s="53">
        <f ca="1">IFERROR(__xludf.DUMMYFUNCTION("""COMPUTED_VALUE"""),2)</f>
        <v>2</v>
      </c>
      <c r="B88" s="66" t="str">
        <f ca="1">IFERROR(__xludf.DUMMYFUNCTION("""COMPUTED_VALUE"""),"THPT Bình Phú")</f>
        <v>THPT Bình Phú</v>
      </c>
      <c r="C88" s="66" t="str">
        <f ca="1">IFERROR(__xludf.DUMMYFUNCTION("""COMPUTED_VALUE"""),"THPT")</f>
        <v>THPT</v>
      </c>
      <c r="D88" s="66">
        <f ca="1">IFERROR(__xludf.DUMMYFUNCTION("""COMPUTED_VALUE"""),6)</f>
        <v>6</v>
      </c>
      <c r="E88" s="67">
        <f ca="1">IFERROR(__xludf.DUMMYFUNCTION("""COMPUTED_VALUE"""),115)</f>
        <v>115</v>
      </c>
      <c r="F88" s="67">
        <f ca="1">IFERROR(__xludf.DUMMYFUNCTION("""COMPUTED_VALUE"""),115)</f>
        <v>115</v>
      </c>
      <c r="G88" s="67"/>
      <c r="H88" s="67">
        <f ca="1">IFERROR(__xludf.DUMMYFUNCTION("""COMPUTED_VALUE"""),115)</f>
        <v>115</v>
      </c>
      <c r="I88" s="67"/>
      <c r="J88" s="67">
        <f ca="1">IFERROR(__xludf.DUMMYFUNCTION("""COMPUTED_VALUE"""),109)</f>
        <v>109</v>
      </c>
      <c r="K88" s="67"/>
      <c r="L88" s="67">
        <f ca="1">IFERROR(__xludf.DUMMYFUNCTION("""COMPUTED_VALUE"""),39)</f>
        <v>39</v>
      </c>
      <c r="M88" s="67"/>
      <c r="N88" s="66"/>
      <c r="O88" s="66"/>
      <c r="P88" s="66"/>
      <c r="Q88" s="66"/>
      <c r="R88" s="66"/>
      <c r="S88" s="66">
        <f ca="1">IFERROR(__xludf.DUMMYFUNCTION("""COMPUTED_VALUE"""),2031)</f>
        <v>2031</v>
      </c>
      <c r="T88" s="66">
        <f ca="1">IFERROR(__xludf.DUMMYFUNCTION("""COMPUTED_VALUE"""),2016)</f>
        <v>2016</v>
      </c>
      <c r="U88" s="66"/>
      <c r="V88" s="66">
        <f ca="1">IFERROR(__xludf.DUMMYFUNCTION("""COMPUTED_VALUE"""),2009)</f>
        <v>2009</v>
      </c>
      <c r="W88" s="66"/>
      <c r="X88" s="66">
        <f ca="1">IFERROR(__xludf.DUMMYFUNCTION("""COMPUTED_VALUE"""),789)</f>
        <v>789</v>
      </c>
      <c r="Y88" s="66"/>
      <c r="Z88" s="2"/>
      <c r="AA88" s="2"/>
      <c r="AB88" s="2"/>
      <c r="AC88" s="2"/>
      <c r="AD88" s="2"/>
      <c r="AE88" s="2"/>
    </row>
    <row r="89" spans="1:31" ht="12.75" x14ac:dyDescent="0.2">
      <c r="A89" s="53">
        <f ca="1">IFERROR(__xludf.DUMMYFUNCTION("""COMPUTED_VALUE"""),3)</f>
        <v>3</v>
      </c>
      <c r="B89" s="66" t="str">
        <f ca="1">IFERROR(__xludf.DUMMYFUNCTION("""COMPUTED_VALUE"""),"THPT Phạm Phú Thứ")</f>
        <v>THPT Phạm Phú Thứ</v>
      </c>
      <c r="C89" s="66" t="str">
        <f ca="1">IFERROR(__xludf.DUMMYFUNCTION("""COMPUTED_VALUE"""),"THPT")</f>
        <v>THPT</v>
      </c>
      <c r="D89" s="66">
        <f ca="1">IFERROR(__xludf.DUMMYFUNCTION("""COMPUTED_VALUE"""),6)</f>
        <v>6</v>
      </c>
      <c r="E89" s="67">
        <f ca="1">IFERROR(__xludf.DUMMYFUNCTION("""COMPUTED_VALUE"""),91)</f>
        <v>91</v>
      </c>
      <c r="F89" s="67">
        <f ca="1">IFERROR(__xludf.DUMMYFUNCTION("""COMPUTED_VALUE"""),91)</f>
        <v>91</v>
      </c>
      <c r="G89" s="67"/>
      <c r="H89" s="67">
        <f ca="1">IFERROR(__xludf.DUMMYFUNCTION("""COMPUTED_VALUE"""),91)</f>
        <v>91</v>
      </c>
      <c r="I89" s="67"/>
      <c r="J89" s="67">
        <f ca="1">IFERROR(__xludf.DUMMYFUNCTION("""COMPUTED_VALUE"""),82)</f>
        <v>82</v>
      </c>
      <c r="K89" s="67"/>
      <c r="L89" s="67">
        <f ca="1">IFERROR(__xludf.DUMMYFUNCTION("""COMPUTED_VALUE"""),54)</f>
        <v>54</v>
      </c>
      <c r="M89" s="67"/>
      <c r="N89" s="66"/>
      <c r="O89" s="66"/>
      <c r="P89" s="66"/>
      <c r="Q89" s="66"/>
      <c r="R89" s="66"/>
      <c r="S89" s="67">
        <f ca="1">IFERROR(__xludf.DUMMYFUNCTION("""COMPUTED_VALUE"""),1977)</f>
        <v>1977</v>
      </c>
      <c r="T89" s="66">
        <f ca="1">IFERROR(__xludf.DUMMYFUNCTION("""COMPUTED_VALUE"""),1977)</f>
        <v>1977</v>
      </c>
      <c r="U89" s="66"/>
      <c r="V89" s="67">
        <f ca="1">IFERROR(__xludf.DUMMYFUNCTION("""COMPUTED_VALUE"""),1960)</f>
        <v>1960</v>
      </c>
      <c r="W89" s="67"/>
      <c r="X89" s="67">
        <f ca="1">IFERROR(__xludf.DUMMYFUNCTION("""COMPUTED_VALUE"""),989)</f>
        <v>989</v>
      </c>
      <c r="Y89" s="67"/>
      <c r="Z89" s="2"/>
      <c r="AA89" s="2"/>
      <c r="AB89" s="2"/>
      <c r="AC89" s="2"/>
      <c r="AD89" s="2"/>
      <c r="AE89" s="2"/>
    </row>
    <row r="90" spans="1:31" ht="12.75" x14ac:dyDescent="0.2">
      <c r="A90" s="53">
        <f ca="1">IFERROR(__xludf.DUMMYFUNCTION("""COMPUTED_VALUE"""),4)</f>
        <v>4</v>
      </c>
      <c r="B90" s="66" t="str">
        <f ca="1">IFERROR(__xludf.DUMMYFUNCTION("""COMPUTED_VALUE"""),"THPT Nguyễn Tất Thành")</f>
        <v>THPT Nguyễn Tất Thành</v>
      </c>
      <c r="C90" s="66" t="str">
        <f ca="1">IFERROR(__xludf.DUMMYFUNCTION("""COMPUTED_VALUE"""),"THPT")</f>
        <v>THPT</v>
      </c>
      <c r="D90" s="66">
        <f ca="1">IFERROR(__xludf.DUMMYFUNCTION("""COMPUTED_VALUE"""),6)</f>
        <v>6</v>
      </c>
      <c r="E90" s="67">
        <f ca="1">IFERROR(__xludf.DUMMYFUNCTION("""COMPUTED_VALUE"""),120)</f>
        <v>120</v>
      </c>
      <c r="F90" s="67">
        <f ca="1">IFERROR(__xludf.DUMMYFUNCTION("""COMPUTED_VALUE"""),120)</f>
        <v>120</v>
      </c>
      <c r="G90" s="67"/>
      <c r="H90" s="67">
        <f ca="1">IFERROR(__xludf.DUMMYFUNCTION("""COMPUTED_VALUE"""),120)</f>
        <v>120</v>
      </c>
      <c r="I90" s="67"/>
      <c r="J90" s="67">
        <f ca="1">IFERROR(__xludf.DUMMYFUNCTION("""COMPUTED_VALUE"""),110)</f>
        <v>110</v>
      </c>
      <c r="K90" s="67"/>
      <c r="L90" s="67">
        <f ca="1">IFERROR(__xludf.DUMMYFUNCTION("""COMPUTED_VALUE"""),65)</f>
        <v>65</v>
      </c>
      <c r="M90" s="67"/>
      <c r="N90" s="66"/>
      <c r="O90" s="66"/>
      <c r="P90" s="66"/>
      <c r="Q90" s="66"/>
      <c r="R90" s="66"/>
      <c r="S90" s="67">
        <f ca="1">IFERROR(__xludf.DUMMYFUNCTION("""COMPUTED_VALUE"""),2140)</f>
        <v>2140</v>
      </c>
      <c r="T90" s="67">
        <f ca="1">IFERROR(__xludf.DUMMYFUNCTION("""COMPUTED_VALUE"""),2140)</f>
        <v>2140</v>
      </c>
      <c r="U90" s="67"/>
      <c r="V90" s="67">
        <f ca="1">IFERROR(__xludf.DUMMYFUNCTION("""COMPUTED_VALUE"""),2135)</f>
        <v>2135</v>
      </c>
      <c r="W90" s="67"/>
      <c r="X90" s="67">
        <f ca="1">IFERROR(__xludf.DUMMYFUNCTION("""COMPUTED_VALUE"""),1220)</f>
        <v>1220</v>
      </c>
      <c r="Y90" s="67"/>
      <c r="Z90" s="2"/>
      <c r="AA90" s="2"/>
      <c r="AB90" s="2"/>
      <c r="AC90" s="2"/>
      <c r="AD90" s="2"/>
      <c r="AE90" s="2"/>
    </row>
    <row r="91" spans="1:31" ht="12.75" x14ac:dyDescent="0.2">
      <c r="A91" s="53">
        <f ca="1">IFERROR(__xludf.DUMMYFUNCTION("""COMPUTED_VALUE"""),5)</f>
        <v>5</v>
      </c>
      <c r="B91" s="66" t="str">
        <f ca="1">IFERROR(__xludf.DUMMYFUNCTION("""COMPUTED_VALUE"""),"THPT Đào Duy Anh")</f>
        <v>THPT Đào Duy Anh</v>
      </c>
      <c r="C91" s="66" t="str">
        <f ca="1">IFERROR(__xludf.DUMMYFUNCTION("""COMPUTED_VALUE"""),"THPT")</f>
        <v>THPT</v>
      </c>
      <c r="D91" s="66">
        <f ca="1">IFERROR(__xludf.DUMMYFUNCTION("""COMPUTED_VALUE"""),6)</f>
        <v>6</v>
      </c>
      <c r="E91" s="67">
        <f ca="1">IFERROR(__xludf.DUMMYFUNCTION("""COMPUTED_VALUE"""),32)</f>
        <v>32</v>
      </c>
      <c r="F91" s="67">
        <f ca="1">IFERROR(__xludf.DUMMYFUNCTION("""COMPUTED_VALUE"""),32)</f>
        <v>32</v>
      </c>
      <c r="G91" s="67"/>
      <c r="H91" s="67">
        <f ca="1">IFERROR(__xludf.DUMMYFUNCTION("""COMPUTED_VALUE"""),32)</f>
        <v>32</v>
      </c>
      <c r="I91" s="67"/>
      <c r="J91" s="67">
        <f ca="1">IFERROR(__xludf.DUMMYFUNCTION("""COMPUTED_VALUE"""),32)</f>
        <v>32</v>
      </c>
      <c r="K91" s="67"/>
      <c r="L91" s="67">
        <f ca="1">IFERROR(__xludf.DUMMYFUNCTION("""COMPUTED_VALUE"""),2)</f>
        <v>2</v>
      </c>
      <c r="M91" s="67"/>
      <c r="N91" s="66"/>
      <c r="O91" s="66"/>
      <c r="P91" s="66"/>
      <c r="Q91" s="66"/>
      <c r="R91" s="66"/>
      <c r="S91" s="67">
        <f ca="1">IFERROR(__xludf.DUMMYFUNCTION("""COMPUTED_VALUE"""),450)</f>
        <v>450</v>
      </c>
      <c r="T91" s="67">
        <f ca="1">IFERROR(__xludf.DUMMYFUNCTION("""COMPUTED_VALUE"""),450)</f>
        <v>450</v>
      </c>
      <c r="U91" s="67"/>
      <c r="V91" s="67">
        <f ca="1">IFERROR(__xludf.DUMMYFUNCTION("""COMPUTED_VALUE"""),450)</f>
        <v>450</v>
      </c>
      <c r="W91" s="67"/>
      <c r="X91" s="67">
        <f ca="1">IFERROR(__xludf.DUMMYFUNCTION("""COMPUTED_VALUE"""),220)</f>
        <v>220</v>
      </c>
      <c r="Y91" s="67"/>
      <c r="Z91" s="2"/>
      <c r="AA91" s="2"/>
      <c r="AB91" s="2"/>
      <c r="AC91" s="2"/>
      <c r="AD91" s="2"/>
      <c r="AE91" s="2"/>
    </row>
    <row r="92" spans="1:31" ht="12.75" x14ac:dyDescent="0.2">
      <c r="A92" s="53">
        <f ca="1">IFERROR(__xludf.DUMMYFUNCTION("""COMPUTED_VALUE"""),6)</f>
        <v>6</v>
      </c>
      <c r="B92" s="66" t="str">
        <f ca="1">IFERROR(__xludf.DUMMYFUNCTION("""COMPUTED_VALUE"""),"THPT Phan Bội Châu")</f>
        <v>THPT Phan Bội Châu</v>
      </c>
      <c r="C92" s="66" t="str">
        <f ca="1">IFERROR(__xludf.DUMMYFUNCTION("""COMPUTED_VALUE"""),"THPT")</f>
        <v>THPT</v>
      </c>
      <c r="D92" s="66">
        <f ca="1">IFERROR(__xludf.DUMMYFUNCTION("""COMPUTED_VALUE"""),6)</f>
        <v>6</v>
      </c>
      <c r="E92" s="67">
        <f ca="1">IFERROR(__xludf.DUMMYFUNCTION("""COMPUTED_VALUE"""),12)</f>
        <v>12</v>
      </c>
      <c r="F92" s="67">
        <f ca="1">IFERROR(__xludf.DUMMYFUNCTION("""COMPUTED_VALUE"""),12)</f>
        <v>12</v>
      </c>
      <c r="G92" s="67"/>
      <c r="H92" s="67">
        <f ca="1">IFERROR(__xludf.DUMMYFUNCTION("""COMPUTED_VALUE"""),12)</f>
        <v>12</v>
      </c>
      <c r="I92" s="67"/>
      <c r="J92" s="67">
        <f ca="1">IFERROR(__xludf.DUMMYFUNCTION("""COMPUTED_VALUE"""),12)</f>
        <v>12</v>
      </c>
      <c r="K92" s="67"/>
      <c r="L92" s="67">
        <f ca="1">IFERROR(__xludf.DUMMYFUNCTION("""COMPUTED_VALUE"""),12)</f>
        <v>12</v>
      </c>
      <c r="M92" s="67"/>
      <c r="N92" s="66"/>
      <c r="O92" s="66"/>
      <c r="P92" s="66"/>
      <c r="Q92" s="66"/>
      <c r="R92" s="66"/>
      <c r="S92" s="66">
        <f ca="1">IFERROR(__xludf.DUMMYFUNCTION("""COMPUTED_VALUE"""),73)</f>
        <v>73</v>
      </c>
      <c r="T92" s="66">
        <f ca="1">IFERROR(__xludf.DUMMYFUNCTION("""COMPUTED_VALUE"""),52)</f>
        <v>52</v>
      </c>
      <c r="U92" s="66"/>
      <c r="V92" s="66">
        <f ca="1">IFERROR(__xludf.DUMMYFUNCTION("""COMPUTED_VALUE"""),52)</f>
        <v>52</v>
      </c>
      <c r="W92" s="66"/>
      <c r="X92" s="66">
        <f ca="1">IFERROR(__xludf.DUMMYFUNCTION("""COMPUTED_VALUE"""),52)</f>
        <v>52</v>
      </c>
      <c r="Y92" s="66"/>
      <c r="Z92" s="2"/>
      <c r="AA92" s="2"/>
      <c r="AB92" s="2"/>
      <c r="AC92" s="2"/>
      <c r="AD92" s="2"/>
      <c r="AE92" s="2"/>
    </row>
    <row r="93" spans="1:31" ht="12.75" x14ac:dyDescent="0.2">
      <c r="A93" s="53">
        <f ca="1">IFERROR(__xludf.DUMMYFUNCTION("""COMPUTED_VALUE"""),7)</f>
        <v>7</v>
      </c>
      <c r="B93" s="66" t="str">
        <f ca="1">IFERROR(__xludf.DUMMYFUNCTION("""COMPUTED_VALUE"""),"THPT Quốc Trí")</f>
        <v>THPT Quốc Trí</v>
      </c>
      <c r="C93" s="66" t="str">
        <f ca="1">IFERROR(__xludf.DUMMYFUNCTION("""COMPUTED_VALUE"""),"THPT")</f>
        <v>THPT</v>
      </c>
      <c r="D93" s="66">
        <f ca="1">IFERROR(__xludf.DUMMYFUNCTION("""COMPUTED_VALUE"""),6)</f>
        <v>6</v>
      </c>
      <c r="E93" s="67">
        <f ca="1">IFERROR(__xludf.DUMMYFUNCTION("""COMPUTED_VALUE"""),20)</f>
        <v>20</v>
      </c>
      <c r="F93" s="67">
        <f ca="1">IFERROR(__xludf.DUMMYFUNCTION("""COMPUTED_VALUE"""),20)</f>
        <v>20</v>
      </c>
      <c r="G93" s="67"/>
      <c r="H93" s="67">
        <f ca="1">IFERROR(__xludf.DUMMYFUNCTION("""COMPUTED_VALUE"""),20)</f>
        <v>20</v>
      </c>
      <c r="I93" s="67"/>
      <c r="J93" s="67">
        <f ca="1">IFERROR(__xludf.DUMMYFUNCTION("""COMPUTED_VALUE"""),20)</f>
        <v>20</v>
      </c>
      <c r="K93" s="67"/>
      <c r="L93" s="67">
        <f ca="1">IFERROR(__xludf.DUMMYFUNCTION("""COMPUTED_VALUE"""),18)</f>
        <v>18</v>
      </c>
      <c r="M93" s="67"/>
      <c r="N93" s="66"/>
      <c r="O93" s="66"/>
      <c r="P93" s="66"/>
      <c r="Q93" s="66"/>
      <c r="R93" s="66"/>
      <c r="S93" s="66">
        <f ca="1">IFERROR(__xludf.DUMMYFUNCTION("""COMPUTED_VALUE"""),437)</f>
        <v>437</v>
      </c>
      <c r="T93" s="66">
        <f ca="1">IFERROR(__xludf.DUMMYFUNCTION("""COMPUTED_VALUE"""),437)</f>
        <v>437</v>
      </c>
      <c r="U93" s="66"/>
      <c r="V93" s="66">
        <f ca="1">IFERROR(__xludf.DUMMYFUNCTION("""COMPUTED_VALUE"""),437)</f>
        <v>437</v>
      </c>
      <c r="W93" s="66"/>
      <c r="X93" s="66">
        <f ca="1">IFERROR(__xludf.DUMMYFUNCTION("""COMPUTED_VALUE"""),287)</f>
        <v>287</v>
      </c>
      <c r="Y93" s="66"/>
      <c r="Z93" s="2"/>
      <c r="AA93" s="2"/>
      <c r="AB93" s="2"/>
      <c r="AC93" s="2"/>
      <c r="AD93" s="2"/>
      <c r="AE93" s="2"/>
    </row>
    <row r="94" spans="1:31" ht="12.75" x14ac:dyDescent="0.2">
      <c r="A94" s="66" t="str">
        <f ca="1">IFERROR(__xludf.DUMMYFUNCTION("""COMPUTED_VALUE"""),"Chuyên biệt (Nếu có)")</f>
        <v>Chuyên biệt (Nếu có)</v>
      </c>
      <c r="B94" s="66"/>
      <c r="C94" s="66"/>
      <c r="D94" s="66"/>
      <c r="E94" s="66"/>
      <c r="F94" s="66"/>
      <c r="G94" s="66"/>
      <c r="H94" s="66"/>
      <c r="I94" s="66"/>
      <c r="J94" s="66"/>
      <c r="K94" s="66"/>
      <c r="L94" s="66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66"/>
      <c r="Z94" s="2"/>
      <c r="AA94" s="2"/>
      <c r="AB94" s="2"/>
      <c r="AC94" s="2"/>
      <c r="AD94" s="2"/>
      <c r="AE94" s="2"/>
    </row>
    <row r="95" spans="1:31" ht="12.75" x14ac:dyDescent="0.2">
      <c r="A95" s="53">
        <f ca="1">IFERROR(__xludf.DUMMYFUNCTION("""COMPUTED_VALUE"""),1)</f>
        <v>1</v>
      </c>
      <c r="B95" s="66" t="str">
        <f ca="1">IFERROR(__xludf.DUMMYFUNCTION("""COMPUTED_VALUE"""),"Hy Vọng")</f>
        <v>Hy Vọng</v>
      </c>
      <c r="C95" s="66" t="str">
        <f ca="1">IFERROR(__xludf.DUMMYFUNCTION("""COMPUTED_VALUE"""),"CB")</f>
        <v>CB</v>
      </c>
      <c r="D95" s="66">
        <f ca="1">IFERROR(__xludf.DUMMYFUNCTION("""COMPUTED_VALUE"""),6)</f>
        <v>6</v>
      </c>
      <c r="E95" s="67">
        <f ca="1">IFERROR(__xludf.DUMMYFUNCTION("""COMPUTED_VALUE"""),19)</f>
        <v>19</v>
      </c>
      <c r="F95" s="67">
        <f ca="1">IFERROR(__xludf.DUMMYFUNCTION("""COMPUTED_VALUE"""),19)</f>
        <v>19</v>
      </c>
      <c r="G95" s="67"/>
      <c r="H95" s="67">
        <f ca="1">IFERROR(__xludf.DUMMYFUNCTION("""COMPUTED_VALUE"""),19)</f>
        <v>19</v>
      </c>
      <c r="I95" s="67"/>
      <c r="J95" s="67">
        <f ca="1">IFERROR(__xludf.DUMMYFUNCTION("""COMPUTED_VALUE"""),19)</f>
        <v>19</v>
      </c>
      <c r="K95" s="67"/>
      <c r="L95" s="67">
        <f ca="1">IFERROR(__xludf.DUMMYFUNCTION("""COMPUTED_VALUE"""),9)</f>
        <v>9</v>
      </c>
      <c r="M95" s="67"/>
      <c r="N95" s="67">
        <f ca="1">IFERROR(__xludf.DUMMYFUNCTION("""COMPUTED_VALUE"""),108)</f>
        <v>108</v>
      </c>
      <c r="O95" s="67">
        <f ca="1">IFERROR(__xludf.DUMMYFUNCTION("""COMPUTED_VALUE"""),33)</f>
        <v>33</v>
      </c>
      <c r="P95" s="67"/>
      <c r="Q95" s="67">
        <f ca="1">IFERROR(__xludf.DUMMYFUNCTION("""COMPUTED_VALUE"""),28)</f>
        <v>28</v>
      </c>
      <c r="R95" s="67"/>
      <c r="S95" s="67">
        <f ca="1">IFERROR(__xludf.DUMMYFUNCTION("""COMPUTED_VALUE"""),42)</f>
        <v>42</v>
      </c>
      <c r="T95" s="66">
        <f ca="1">IFERROR(__xludf.DUMMYFUNCTION("""COMPUTED_VALUE"""),42)</f>
        <v>42</v>
      </c>
      <c r="U95" s="66"/>
      <c r="V95" s="67">
        <f ca="1">IFERROR(__xludf.DUMMYFUNCTION("""COMPUTED_VALUE"""),39)</f>
        <v>39</v>
      </c>
      <c r="W95" s="67"/>
      <c r="X95" s="67">
        <f ca="1">IFERROR(__xludf.DUMMYFUNCTION("""COMPUTED_VALUE"""),5)</f>
        <v>5</v>
      </c>
      <c r="Y95" s="67"/>
      <c r="Z95" s="2"/>
      <c r="AA95" s="2"/>
      <c r="AB95" s="2"/>
      <c r="AC95" s="2"/>
      <c r="AD95" s="2"/>
      <c r="AE95" s="2"/>
    </row>
    <row r="96" spans="1:31" ht="12.75" x14ac:dyDescent="0.2">
      <c r="A96" s="66" t="str">
        <f ca="1">IFERROR(__xludf.DUMMYFUNCTION("""COMPUTED_VALUE"""),"GDTX")</f>
        <v>GDTX</v>
      </c>
      <c r="B96" s="66"/>
      <c r="C96" s="66"/>
      <c r="D96" s="66"/>
      <c r="E96" s="66"/>
      <c r="F96" s="66"/>
      <c r="G96" s="66"/>
      <c r="H96" s="66"/>
      <c r="I96" s="66"/>
      <c r="J96" s="66"/>
      <c r="K96" s="66"/>
      <c r="L96" s="66"/>
      <c r="M96" s="66"/>
      <c r="N96" s="66"/>
      <c r="O96" s="66"/>
      <c r="P96" s="66"/>
      <c r="Q96" s="66"/>
      <c r="R96" s="66"/>
      <c r="S96" s="66"/>
      <c r="T96" s="66"/>
      <c r="U96" s="66"/>
      <c r="V96" s="66"/>
      <c r="W96" s="66"/>
      <c r="X96" s="66"/>
      <c r="Y96" s="66"/>
      <c r="Z96" s="2"/>
      <c r="AA96" s="2"/>
      <c r="AB96" s="2"/>
      <c r="AC96" s="2"/>
      <c r="AD96" s="2"/>
      <c r="AE96" s="2"/>
    </row>
    <row r="97" spans="1:31" ht="12.75" x14ac:dyDescent="0.2">
      <c r="A97" s="53">
        <f ca="1">IFERROR(__xludf.DUMMYFUNCTION("""COMPUTED_VALUE"""),1)</f>
        <v>1</v>
      </c>
      <c r="B97" s="66" t="str">
        <f ca="1">IFERROR(__xludf.DUMMYFUNCTION("""COMPUTED_VALUE"""),"GDNN-GDTX")</f>
        <v>GDNN-GDTX</v>
      </c>
      <c r="C97" s="66" t="str">
        <f ca="1">IFERROR(__xludf.DUMMYFUNCTION("""COMPUTED_VALUE"""),"GDTX")</f>
        <v>GDTX</v>
      </c>
      <c r="D97" s="66">
        <f ca="1">IFERROR(__xludf.DUMMYFUNCTION("""COMPUTED_VALUE"""),6)</f>
        <v>6</v>
      </c>
      <c r="E97" s="67">
        <f ca="1">IFERROR(__xludf.DUMMYFUNCTION("""COMPUTED_VALUE"""),95)</f>
        <v>95</v>
      </c>
      <c r="F97" s="67">
        <f ca="1">IFERROR(__xludf.DUMMYFUNCTION("""COMPUTED_VALUE"""),95)</f>
        <v>95</v>
      </c>
      <c r="G97" s="67"/>
      <c r="H97" s="67">
        <f ca="1">IFERROR(__xludf.DUMMYFUNCTION("""COMPUTED_VALUE"""),95)</f>
        <v>95</v>
      </c>
      <c r="I97" s="67"/>
      <c r="J97" s="67">
        <f ca="1">IFERROR(__xludf.DUMMYFUNCTION("""COMPUTED_VALUE"""),91)</f>
        <v>91</v>
      </c>
      <c r="K97" s="67"/>
      <c r="L97" s="67">
        <f ca="1">IFERROR(__xludf.DUMMYFUNCTION("""COMPUTED_VALUE"""),59)</f>
        <v>59</v>
      </c>
      <c r="M97" s="67"/>
      <c r="N97" s="66"/>
      <c r="O97" s="66"/>
      <c r="P97" s="66"/>
      <c r="Q97" s="66"/>
      <c r="R97" s="66"/>
      <c r="S97" s="67">
        <f ca="1">IFERROR(__xludf.DUMMYFUNCTION("""COMPUTED_VALUE"""),586)</f>
        <v>586</v>
      </c>
      <c r="T97" s="67">
        <f ca="1">IFERROR(__xludf.DUMMYFUNCTION("""COMPUTED_VALUE"""),586)</f>
        <v>586</v>
      </c>
      <c r="U97" s="67"/>
      <c r="V97" s="67">
        <f ca="1">IFERROR(__xludf.DUMMYFUNCTION("""COMPUTED_VALUE"""),586)</f>
        <v>586</v>
      </c>
      <c r="W97" s="67"/>
      <c r="X97" s="67">
        <f ca="1">IFERROR(__xludf.DUMMYFUNCTION("""COMPUTED_VALUE"""),464)</f>
        <v>464</v>
      </c>
      <c r="Y97" s="67"/>
      <c r="Z97" s="2"/>
      <c r="AA97" s="2"/>
      <c r="AB97" s="2"/>
      <c r="AC97" s="2"/>
      <c r="AD97" s="2"/>
      <c r="AE97" s="2"/>
    </row>
    <row r="98" spans="1:31" ht="12.75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</row>
    <row r="99" spans="1:31" ht="12.75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</row>
    <row r="100" spans="1:31" ht="12.75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</row>
    <row r="101" spans="1:31" ht="12.75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</row>
    <row r="102" spans="1:31" ht="12.75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1:31" ht="12.75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1:31" ht="12.75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1:31" ht="12.75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1:31" ht="12.75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1:31" ht="12.75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</row>
    <row r="108" spans="1:31" ht="12.75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1:31" ht="12.75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 spans="1:31" ht="12.75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1:31" ht="12.75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1:31" ht="12.75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:31" ht="12.75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 ht="12.75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 ht="12.75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 ht="12.75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 ht="12.75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 ht="12.75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 ht="12.75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 ht="12.75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 ht="12.75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 ht="12.75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 ht="12.75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 ht="12.75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 ht="12.75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ht="12.75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ht="12.75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ht="12.75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ht="12.75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ht="12.75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ht="12.75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ht="12.75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ht="12.75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ht="12.75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ht="12.75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ht="12.75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ht="12.75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ht="12.75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ht="12.75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ht="12.75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2.75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2.75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2.75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2.75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2.75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2.75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2.75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2.75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2.75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2.75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2.75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2.75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2.75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2.75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2.75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2.75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2.75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2.75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2.75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2.75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2.75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2.75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2.75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2.75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2.75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2.75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2.75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2.75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2.75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2.75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2.75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2.75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2.75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2.75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2.75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2.75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2.75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2.75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2.75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2.75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2.75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2.75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2.75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2.75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2.75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2.75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2.75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2.75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2.75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2.75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2.75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2.75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2.75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2.75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2.75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2.75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2.75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2.75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2.75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2.75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2.75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2.75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2.75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2.75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2.75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2.75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2.75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2.75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2.75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2.75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2.75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2.75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2.75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2.75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2.75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2.75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2.75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2.75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2.75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2.75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2.75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2.75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2.75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2.75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2.75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2.75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2.75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2.75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2.75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2.75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2.75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2.75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2.75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2.75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2.75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2.75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2.75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2.75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2.75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2.75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2.75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2.75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2.75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2.75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2.75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2.75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2.75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2.75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2.75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2.75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2.75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2.75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2.75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2.75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2.75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2.75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2.75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2.75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2.75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2.75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2.75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2.75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2.75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2.75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2.75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2.75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2.75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2.75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2.75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2.75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2.75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2.75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2.75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2.75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2.75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2.75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2.75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2.75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2.75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2.75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2.75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2.75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2.75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2.75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2.75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2.75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2.75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2.75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2.75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2.75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2.75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2.75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2.75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2.75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2.75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2.75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2.75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2.75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2.75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2.75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2.75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2.75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2.75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2.75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2.75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2.75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2.75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2.75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2.75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2.75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2.75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2.75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2.75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2.75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2.75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2.75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2.75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2.75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2.75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2.75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2.75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2.75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2.75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2.75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2.75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2.75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2.75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2.75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2.75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2.75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2.75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2.75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2.75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2.75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2.75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2.75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2.75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2.75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2.75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2.75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2.75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2.75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2.75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2.75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2.75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2.75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2.75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2.75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2.75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2.75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2.75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2.75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2.75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2.75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2.75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2.75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2.75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2.75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2.75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2.75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2.75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2.75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2.75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2.75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2.75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2.75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2.75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2.75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2.75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2.75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2.75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2.75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2.75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2.75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2.75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2.75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2.75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2.75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2.75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2.75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2.75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2.75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2.75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2.75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2.75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2.75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2.75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2.75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2.75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2.75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2.75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2.75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2.75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2.75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2.75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2.75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2.75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2.75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2.75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2.75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2.75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2.75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2.75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2.75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2.75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2.75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2.75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2.75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2.75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2.75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2.75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2.75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2.75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2.75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2.75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2.75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2.75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2.75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2.75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2.75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2.75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2.75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2.75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2.75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2.75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2.75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2.75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2.75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2.75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2.75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2.75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2.75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2.75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2.75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2.75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2.75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2.75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2.75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2.75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2.75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2.75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2.75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2.75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2.75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2.75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2.75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2.75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2.75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2.75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2.75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2.75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2.75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2.75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2.75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2.75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2.75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2.75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2.75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2.75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2.75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2.75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2.75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2.75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2.75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2.75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2.75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2.75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2.75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2.75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2.75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2.75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2.75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2.75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2.75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2.75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2.75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2.75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2.75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2.75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2.75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2.75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2.75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2.75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2.75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2.75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2.75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2.75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2.75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2.75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2.75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2.75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2.75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2.75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2.75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2.75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2.75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2.75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2.75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2.75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2.75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2.75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2.75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2.75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2.75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2.75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2.75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2.75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2.75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2.75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2.75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2.75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2.75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2.75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2.75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2.75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2.75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2.75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2.75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2.75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2.75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2.75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2.75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2.75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2.75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2.75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2.75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2.75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2.75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2.75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2.75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2.75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2.75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2.75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2.75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2.75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2.75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2.75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2.75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2.75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2.75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2.75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2.75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2.75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2.75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2.75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2.75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2.75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2.75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2.75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2.75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2.75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2.75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2.75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2.75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2.75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2.75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2.75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2.75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2.75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2.75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2.75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2.75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2.75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2.75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2.75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2.75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2.75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2.75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2.75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2.75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2.75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2.75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2.75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2.75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2.75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2.75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2.75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2.75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2.75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2.75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2.75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2.75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2.75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2.75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2.75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2.75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2.75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2.75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2.75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2.75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2.75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2.75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2.75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2.75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2.75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2.75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2.75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2.75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2.75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2.75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2.75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2.75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2.75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2.75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2.75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2.75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2.75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2.75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2.75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2.75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2.75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2.75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2.75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2.75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2.75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2.75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2.75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2.75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2.75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2.75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2.75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2.75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2.75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2.75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2.75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2.75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2.75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2.75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2.75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2.75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2.75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2.75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2.75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2.75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2.75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2.75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2.75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2.75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2.75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2.75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2.75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2.75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2.75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2.75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2.75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2.75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2.75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2.75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2.75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2.75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2.75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2.75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2.75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2.75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2.75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2.75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2.75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2.75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2.75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2.75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2.75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2.75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2.75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2.75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2.75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2.75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2.75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2.75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2.75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2.75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2.75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2.75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2.75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2.75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2.75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2.75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2.75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2.75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2.75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2.75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2.75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2.75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2.75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2.75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2.75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2.75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2.75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2.75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2.75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2.75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2.75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2.75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2.75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2.75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2.75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2.75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2.75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2.75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2.75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2.75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2.75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2.75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2.75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2.75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2.75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2.75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2.75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2.75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2.75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2.75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2.75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2.75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2.75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2.75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2.75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2.75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2.75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2.75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2.75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2.75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2.75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2.75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2.75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2.75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2.75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2.75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2.75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2.75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2.75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2.75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2.75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2.75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2.75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2.75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2.75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2.75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2.75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2.75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2.75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2.75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2.75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2.75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2.75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2.75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2.75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2.75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2.75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2.75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2.75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2.75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2.75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2.75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2.75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2.75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2.75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2.75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2.75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2.75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2.75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2.75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2.75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2.75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2.75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2.75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2.75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2.75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2.75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2.75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2.75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2.75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2.75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2.75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2.75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2.75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2.75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2.75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2.75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2.75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2.75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2.75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2.75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2.75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2.75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2.75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2.75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2.75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2.75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2.75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2.75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2.75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2.75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2.75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2.75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2.75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2.75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2.75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2.75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2.75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2.75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2.75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2.75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2.75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2.75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2.75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2.75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2.75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2.75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2.75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2.75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2.75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2.75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2.75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2.75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2.75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2.75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2.75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2.75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2.75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2.75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2.75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2.75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2.75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2.75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2.75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2.75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2.75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2.75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2.75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2.75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2.75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2.75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2.75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2.75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2.75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2.75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2.75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2.75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2.75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2.75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2.75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2.75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2.75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2.75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2.75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2.75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2.75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2.75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2.75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2.75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2.75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2.75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2.75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2.75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2.75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2.75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2.75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2.75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2.75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2.75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2.75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2.75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2.75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2.75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2.75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2.75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2.75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2.75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2.75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2.75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2.75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2.75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2.75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2.75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2.75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2.75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2.75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2.75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2.75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2.75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2.75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2.75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2.75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2.75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2.75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2.75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2.75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2.75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2.75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2.75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2.75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2.75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2.75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2.75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2.75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2.75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2.75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2.75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2.75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2.75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2.75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2.75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2.75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2.75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2.75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2.75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2.75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2.75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2.75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2.75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2.75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2.75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2.75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2.75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2.75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2.75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2.75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2.75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2.75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2.75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2.75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2.75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2.75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2.75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2.75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2.75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2.75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2.75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2.75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2.75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2.75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2.75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2.75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2.75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2.75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2.75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2.75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2.75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2.75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2.75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2.75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2.75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2.75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2.75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2.75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2.75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2.75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2.75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2.75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2.75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2.75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2.75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2.75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2.75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2.75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2.75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2.75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2.75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2.75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2.75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2.75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2.75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2.75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2.75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2.75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2.75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2.75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2.75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2.75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2.75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2.75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2.75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2.75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2.75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2.75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2.75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2.75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2.75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2.75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2.75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2.75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2.75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2.75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2.75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2.75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2.75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2.75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2.75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2.75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2.75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2.75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2.75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2.75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2.75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2.75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2.75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2.75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2.75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 ht="12.75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 ht="12.75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  <row r="1000" spans="1:31" ht="12.75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</row>
  </sheetData>
  <mergeCells count="16">
    <mergeCell ref="N3:R3"/>
    <mergeCell ref="S3:Y3"/>
    <mergeCell ref="F4:G4"/>
    <mergeCell ref="H4:I4"/>
    <mergeCell ref="J4:K4"/>
    <mergeCell ref="L4:M4"/>
    <mergeCell ref="O4:P4"/>
    <mergeCell ref="Q4:R4"/>
    <mergeCell ref="T4:U4"/>
    <mergeCell ref="V4:W4"/>
    <mergeCell ref="X4:Y4"/>
    <mergeCell ref="A3:A4"/>
    <mergeCell ref="B3:B4"/>
    <mergeCell ref="C3:C4"/>
    <mergeCell ref="D3:D4"/>
    <mergeCell ref="E3:M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E1000"/>
  <sheetViews>
    <sheetView zoomScale="85" zoomScaleNormal="85" workbookViewId="0">
      <selection activeCell="B21" sqref="B21"/>
    </sheetView>
  </sheetViews>
  <sheetFormatPr defaultColWidth="12.5703125" defaultRowHeight="15.75" customHeight="1" x14ac:dyDescent="0.2"/>
  <cols>
    <col min="1" max="1" width="12.5703125" style="3"/>
    <col min="2" max="2" width="34" style="3" customWidth="1"/>
    <col min="3" max="4" width="12.5703125" style="3"/>
    <col min="5" max="5" width="10.42578125" style="3" customWidth="1"/>
    <col min="6" max="13" width="8.85546875" style="3" customWidth="1"/>
    <col min="14" max="14" width="10.42578125" style="3" customWidth="1"/>
    <col min="15" max="18" width="8.85546875" style="3" customWidth="1"/>
    <col min="19" max="19" width="10.42578125" style="3" customWidth="1"/>
    <col min="20" max="25" width="8.85546875" style="3" customWidth="1"/>
    <col min="26" max="16384" width="12.5703125" style="3"/>
  </cols>
  <sheetData>
    <row r="1" spans="1:31" ht="26.25" customHeight="1" x14ac:dyDescent="0.2">
      <c r="A1" s="71" t="s">
        <v>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ht="35.25" customHeight="1" x14ac:dyDescent="0.2">
      <c r="A2" s="4" t="s">
        <v>26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</row>
    <row r="3" spans="1:31" ht="30.75" customHeight="1" x14ac:dyDescent="0.2">
      <c r="A3" s="89" t="str">
        <f ca="1">IFERROR(__xludf.DUMMYFUNCTION("IMPORTRANGE(""https://docs.google.com/spreadsheets/d/1giFCfPZvq6d2WPbrXwJ7ksTcnSjmuNbU5G4IRrh5hOk/edit#gid=0"",""Q7!A14:T300"")"),"STT")</f>
        <v>STT</v>
      </c>
      <c r="B3" s="101" t="str">
        <f ca="1">IFERROR(__xludf.DUMMYFUNCTION("""COMPUTED_VALUE"""),"TRƯỜNG")</f>
        <v>TRƯỜNG</v>
      </c>
      <c r="C3" s="101" t="str">
        <f ca="1">IFERROR(__xludf.DUMMYFUNCTION("""COMPUTED_VALUE"""),"BẬC HỌC (MN, TH, THCS, THPT, CB, GDTX)")</f>
        <v>BẬC HỌC (MN, TH, THCS, THPT, CB, GDTX)</v>
      </c>
      <c r="D3" s="101" t="str">
        <f ca="1">IFERROR(__xludf.DUMMYFUNCTION("""COMPUTED_VALUE"""),"THÀNH PHỐ, QUẬN, HUYỆN")</f>
        <v>THÀNH PHỐ, QUẬN, HUYỆN</v>
      </c>
      <c r="E3" s="91" t="str">
        <f ca="1">IFERROR(__xludf.DUMMYFUNCTION("""COMPUTED_VALUE"""),"Cán bộ - Giáo viên - Nhân viên")</f>
        <v>Cán bộ - Giáo viên - Nhân viên</v>
      </c>
      <c r="F3" s="92"/>
      <c r="G3" s="92"/>
      <c r="H3" s="92"/>
      <c r="I3" s="92"/>
      <c r="J3" s="92"/>
      <c r="K3" s="92"/>
      <c r="L3" s="92"/>
      <c r="M3" s="92"/>
      <c r="N3" s="93" t="str">
        <f ca="1">IFERROR(__xludf.DUMMYFUNCTION("""COMPUTED_VALUE"""),"Học sinh từ 5 đến dưới 12 tuổi")</f>
        <v>Học sinh từ 5 đến dưới 12 tuổi</v>
      </c>
      <c r="O3" s="92"/>
      <c r="P3" s="92"/>
      <c r="Q3" s="92"/>
      <c r="R3" s="92"/>
      <c r="S3" s="94" t="str">
        <f ca="1">IFERROR(__xludf.DUMMYFUNCTION("""COMPUTED_VALUE"""),"Học sinh từ 12 đến dưới 18 tuổi")</f>
        <v>Học sinh từ 12 đến dưới 18 tuổi</v>
      </c>
      <c r="T3" s="95"/>
      <c r="U3" s="95"/>
      <c r="V3" s="95"/>
      <c r="W3" s="95"/>
      <c r="X3" s="95"/>
      <c r="Y3" s="95"/>
      <c r="Z3" s="2"/>
      <c r="AA3" s="2"/>
      <c r="AB3" s="2"/>
      <c r="AC3" s="2"/>
      <c r="AD3" s="2"/>
      <c r="AE3" s="2"/>
    </row>
    <row r="4" spans="1:31" ht="27" customHeight="1" x14ac:dyDescent="0.2">
      <c r="A4" s="90"/>
      <c r="B4" s="88"/>
      <c r="C4" s="88"/>
      <c r="D4" s="88"/>
      <c r="E4" s="58" t="str">
        <f ca="1">IFERROR(__xludf.DUMMYFUNCTION("""COMPUTED_VALUE"""),"Tổng CB-GV-NV")</f>
        <v>Tổng CB-GV-NV</v>
      </c>
      <c r="F4" s="96" t="s">
        <v>22</v>
      </c>
      <c r="G4" s="97"/>
      <c r="H4" s="96" t="s">
        <v>23</v>
      </c>
      <c r="I4" s="97"/>
      <c r="J4" s="96" t="s">
        <v>24</v>
      </c>
      <c r="K4" s="97"/>
      <c r="L4" s="96" t="s">
        <v>25</v>
      </c>
      <c r="M4" s="97"/>
      <c r="N4" s="58" t="str">
        <f ca="1">IFERROR(__xludf.DUMMYFUNCTION("""COMPUTED_VALUE"""),"Tổng học sinh")</f>
        <v>Tổng học sinh</v>
      </c>
      <c r="O4" s="96" t="s">
        <v>22</v>
      </c>
      <c r="P4" s="97"/>
      <c r="Q4" s="96" t="s">
        <v>23</v>
      </c>
      <c r="R4" s="97"/>
      <c r="S4" s="58" t="str">
        <f ca="1">IFERROR(__xludf.DUMMYFUNCTION("""COMPUTED_VALUE"""),"Tổng học sinh")</f>
        <v>Tổng học sinh</v>
      </c>
      <c r="T4" s="98" t="s">
        <v>22</v>
      </c>
      <c r="U4" s="99"/>
      <c r="V4" s="98" t="s">
        <v>23</v>
      </c>
      <c r="W4" s="99"/>
      <c r="X4" s="98" t="s">
        <v>24</v>
      </c>
      <c r="Y4" s="99"/>
      <c r="Z4" s="2"/>
      <c r="AA4" s="2"/>
      <c r="AB4" s="2"/>
      <c r="AC4" s="2"/>
      <c r="AD4" s="2"/>
      <c r="AE4" s="2"/>
    </row>
    <row r="5" spans="1:31" ht="12.75" x14ac:dyDescent="0.2">
      <c r="A5" s="72" t="str">
        <f ca="1">IFERROR(__xludf.DUMMYFUNCTION("""COMPUTED_VALUE"""),"TỔNG TOÀN QUẬN/HUYỆN/TP")</f>
        <v>TỔNG TOÀN QUẬN/HUYỆN/TP</v>
      </c>
      <c r="B5" s="60"/>
      <c r="C5" s="61"/>
      <c r="D5" s="61" t="str">
        <f ca="1">IFERROR(__xludf.DUMMYFUNCTION("""COMPUTED_VALUE"""),"QUẬN 7")</f>
        <v>QUẬN 7</v>
      </c>
      <c r="E5" s="15">
        <f ca="1">IFERROR(__xludf.DUMMYFUNCTION("""COMPUTED_VALUE"""),8043)</f>
        <v>8043</v>
      </c>
      <c r="F5" s="15">
        <f ca="1">IFERROR(__xludf.DUMMYFUNCTION("""COMPUTED_VALUE"""),8039)</f>
        <v>8039</v>
      </c>
      <c r="G5" s="51">
        <f ca="1">IFERROR(F5/E5,"")</f>
        <v>0.99950267313191599</v>
      </c>
      <c r="H5" s="15">
        <f ca="1">IFERROR(__xludf.DUMMYFUNCTION("""COMPUTED_VALUE"""),8038)</f>
        <v>8038</v>
      </c>
      <c r="I5" s="51">
        <f ca="1">IFERROR(H5/E5,"")</f>
        <v>0.9993783414148949</v>
      </c>
      <c r="J5" s="15">
        <f ca="1">IFERROR(__xludf.DUMMYFUNCTION("""COMPUTED_VALUE"""),7307)</f>
        <v>7307</v>
      </c>
      <c r="K5" s="51">
        <f ca="1">IFERROR(J5/E5,"")</f>
        <v>0.90849185627253515</v>
      </c>
      <c r="L5" s="15">
        <f ca="1">IFERROR(__xludf.DUMMYFUNCTION("""COMPUTED_VALUE"""),4010)</f>
        <v>4010</v>
      </c>
      <c r="M5" s="51">
        <f ca="1">IFERROR(L5/E5,"")</f>
        <v>0.49857018525425834</v>
      </c>
      <c r="N5" s="15">
        <f ca="1">IFERROR(__xludf.DUMMYFUNCTION("""COMPUTED_VALUE"""),38535)</f>
        <v>38535</v>
      </c>
      <c r="O5" s="15">
        <f ca="1">IFERROR(__xludf.DUMMYFUNCTION("""COMPUTED_VALUE"""),17261)</f>
        <v>17261</v>
      </c>
      <c r="P5" s="51">
        <f ca="1">IFERROR(O5/N5,"")</f>
        <v>0.44793045283508498</v>
      </c>
      <c r="Q5" s="15">
        <f ca="1">IFERROR(__xludf.DUMMYFUNCTION("""COMPUTED_VALUE"""),10227)</f>
        <v>10227</v>
      </c>
      <c r="R5" s="51">
        <f ca="1">IFERROR(Q5/N5,"")</f>
        <v>0.26539509536784739</v>
      </c>
      <c r="S5" s="15">
        <f ca="1">IFERROR(__xludf.DUMMYFUNCTION("""COMPUTED_VALUE"""),25440)</f>
        <v>25440</v>
      </c>
      <c r="T5" s="15">
        <f ca="1">IFERROR(__xludf.DUMMYFUNCTION("""COMPUTED_VALUE"""),23676)</f>
        <v>23676</v>
      </c>
      <c r="U5" s="51">
        <f ca="1">IFERROR(T5/S5,"")</f>
        <v>0.93066037735849061</v>
      </c>
      <c r="V5" s="15">
        <f ca="1">IFERROR(__xludf.DUMMYFUNCTION("""COMPUTED_VALUE"""),22798)</f>
        <v>22798</v>
      </c>
      <c r="W5" s="51">
        <f ca="1">IFERROR(V5/S5,"")</f>
        <v>0.89614779874213835</v>
      </c>
      <c r="X5" s="15">
        <f ca="1">IFERROR(__xludf.DUMMYFUNCTION("""COMPUTED_VALUE"""),9668)</f>
        <v>9668</v>
      </c>
      <c r="Y5" s="51">
        <f ca="1">IFERROR(X5/S5,"")</f>
        <v>0.3800314465408805</v>
      </c>
      <c r="Z5" s="2"/>
      <c r="AA5" s="2"/>
      <c r="AB5" s="2"/>
      <c r="AC5" s="2"/>
      <c r="AD5" s="2"/>
      <c r="AE5" s="2"/>
    </row>
    <row r="6" spans="1:31" ht="12.75" x14ac:dyDescent="0.2">
      <c r="A6" s="52" t="str">
        <f ca="1">IFERROR(__xludf.DUMMYFUNCTION("""COMPUTED_VALUE"""),"Mầm non")</f>
        <v>Mầm non</v>
      </c>
      <c r="B6" s="66"/>
      <c r="C6" s="66"/>
      <c r="D6" s="66"/>
      <c r="E6" s="66"/>
      <c r="F6" s="66"/>
      <c r="G6" s="51" t="str">
        <f t="shared" ref="G6:G69" si="0">IFERROR(F6/E6,"")</f>
        <v/>
      </c>
      <c r="H6" s="66"/>
      <c r="I6" s="51" t="str">
        <f t="shared" ref="I6:I69" si="1">IFERROR(H6/E6,"")</f>
        <v/>
      </c>
      <c r="J6" s="66"/>
      <c r="K6" s="51" t="str">
        <f t="shared" ref="K6:K69" si="2">IFERROR(J6/E6,"")</f>
        <v/>
      </c>
      <c r="L6" s="66"/>
      <c r="M6" s="51" t="str">
        <f t="shared" ref="M6:M69" si="3">IFERROR(L6/E6,"")</f>
        <v/>
      </c>
      <c r="N6" s="66"/>
      <c r="O6" s="66"/>
      <c r="P6" s="51" t="str">
        <f t="shared" ref="P6:P69" si="4">IFERROR(O6/N6,"")</f>
        <v/>
      </c>
      <c r="Q6" s="66"/>
      <c r="R6" s="51" t="str">
        <f t="shared" ref="R6:R69" si="5">IFERROR(Q6/N6,"")</f>
        <v/>
      </c>
      <c r="S6" s="66"/>
      <c r="T6" s="66"/>
      <c r="U6" s="51" t="str">
        <f t="shared" ref="U6:U69" si="6">IFERROR(T6/S6,"")</f>
        <v/>
      </c>
      <c r="V6" s="66"/>
      <c r="W6" s="51" t="str">
        <f t="shared" ref="W6:W69" si="7">IFERROR(V6/S6,"")</f>
        <v/>
      </c>
      <c r="X6" s="66"/>
      <c r="Y6" s="51" t="str">
        <f t="shared" ref="Y6:Y69" si="8">IFERROR(X6/S6,"")</f>
        <v/>
      </c>
      <c r="Z6" s="2"/>
      <c r="AA6" s="2"/>
      <c r="AB6" s="2"/>
      <c r="AC6" s="2"/>
      <c r="AD6" s="2"/>
      <c r="AE6" s="2"/>
    </row>
    <row r="7" spans="1:31" ht="12.75" x14ac:dyDescent="0.2">
      <c r="A7" s="53">
        <f ca="1">IFERROR(__xludf.DUMMYFUNCTION("""COMPUTED_VALUE"""),1)</f>
        <v>1</v>
      </c>
      <c r="B7" s="66" t="str">
        <f ca="1">IFERROR(__xludf.DUMMYFUNCTION("""COMPUTED_VALUE"""),"Chim Cánh Cụt")</f>
        <v>Chim Cánh Cụt</v>
      </c>
      <c r="C7" s="66" t="str">
        <f ca="1">IFERROR(__xludf.DUMMYFUNCTION("""COMPUTED_VALUE"""),"MN")</f>
        <v>MN</v>
      </c>
      <c r="D7" s="66" t="str">
        <f ca="1">IFERROR(__xludf.DUMMYFUNCTION("""COMPUTED_VALUE"""),"QUẬN 7")</f>
        <v>QUẬN 7</v>
      </c>
      <c r="E7" s="67">
        <f ca="1">IFERROR(__xludf.DUMMYFUNCTION("""COMPUTED_VALUE"""),10)</f>
        <v>10</v>
      </c>
      <c r="F7" s="67">
        <f ca="1">IFERROR(__xludf.DUMMYFUNCTION("""COMPUTED_VALUE"""),10)</f>
        <v>10</v>
      </c>
      <c r="G7" s="51">
        <f t="shared" ca="1" si="0"/>
        <v>1</v>
      </c>
      <c r="H7" s="67">
        <f ca="1">IFERROR(__xludf.DUMMYFUNCTION("""COMPUTED_VALUE"""),10)</f>
        <v>10</v>
      </c>
      <c r="I7" s="51">
        <f t="shared" ca="1" si="1"/>
        <v>1</v>
      </c>
      <c r="J7" s="67">
        <f ca="1">IFERROR(__xludf.DUMMYFUNCTION("""COMPUTED_VALUE"""),8)</f>
        <v>8</v>
      </c>
      <c r="K7" s="51">
        <f t="shared" ca="1" si="2"/>
        <v>0.8</v>
      </c>
      <c r="L7" s="67">
        <f ca="1">IFERROR(__xludf.DUMMYFUNCTION("""COMPUTED_VALUE"""),5)</f>
        <v>5</v>
      </c>
      <c r="M7" s="51">
        <f t="shared" ca="1" si="3"/>
        <v>0.5</v>
      </c>
      <c r="N7" s="67">
        <f ca="1">IFERROR(__xludf.DUMMYFUNCTION("""COMPUTED_VALUE"""),10)</f>
        <v>10</v>
      </c>
      <c r="O7" s="67">
        <f ca="1">IFERROR(__xludf.DUMMYFUNCTION("""COMPUTED_VALUE"""),0)</f>
        <v>0</v>
      </c>
      <c r="P7" s="51">
        <f t="shared" ca="1" si="4"/>
        <v>0</v>
      </c>
      <c r="Q7" s="67">
        <f ca="1">IFERROR(__xludf.DUMMYFUNCTION("""COMPUTED_VALUE"""),0)</f>
        <v>0</v>
      </c>
      <c r="R7" s="51">
        <f t="shared" ca="1" si="5"/>
        <v>0</v>
      </c>
      <c r="S7" s="66"/>
      <c r="T7" s="66"/>
      <c r="U7" s="51" t="str">
        <f t="shared" si="6"/>
        <v/>
      </c>
      <c r="V7" s="66"/>
      <c r="W7" s="51" t="str">
        <f t="shared" si="7"/>
        <v/>
      </c>
      <c r="X7" s="66"/>
      <c r="Y7" s="51" t="str">
        <f t="shared" si="8"/>
        <v/>
      </c>
      <c r="Z7" s="2"/>
      <c r="AA7" s="2"/>
      <c r="AB7" s="2"/>
      <c r="AC7" s="2"/>
      <c r="AD7" s="2"/>
      <c r="AE7" s="2"/>
    </row>
    <row r="8" spans="1:31" ht="12.75" x14ac:dyDescent="0.2">
      <c r="A8" s="53">
        <f ca="1">IFERROR(__xludf.DUMMYFUNCTION("""COMPUTED_VALUE"""),2)</f>
        <v>2</v>
      </c>
      <c r="B8" s="66" t="str">
        <f ca="1">IFERROR(__xludf.DUMMYFUNCTION("""COMPUTED_VALUE"""),"Mầm non Nụ Cười")</f>
        <v>Mầm non Nụ Cười</v>
      </c>
      <c r="C8" s="66" t="str">
        <f ca="1">IFERROR(__xludf.DUMMYFUNCTION("""COMPUTED_VALUE"""),"MN")</f>
        <v>MN</v>
      </c>
      <c r="D8" s="66" t="str">
        <f ca="1">IFERROR(__xludf.DUMMYFUNCTION("""COMPUTED_VALUE"""),"QUẬN 7")</f>
        <v>QUẬN 7</v>
      </c>
      <c r="E8" s="67">
        <f ca="1">IFERROR(__xludf.DUMMYFUNCTION("""COMPUTED_VALUE"""),19)</f>
        <v>19</v>
      </c>
      <c r="F8" s="67">
        <f ca="1">IFERROR(__xludf.DUMMYFUNCTION("""COMPUTED_VALUE"""),19)</f>
        <v>19</v>
      </c>
      <c r="G8" s="51">
        <f t="shared" ca="1" si="0"/>
        <v>1</v>
      </c>
      <c r="H8" s="66">
        <f ca="1">IFERROR(__xludf.DUMMYFUNCTION("""COMPUTED_VALUE"""),19)</f>
        <v>19</v>
      </c>
      <c r="I8" s="51">
        <f t="shared" ca="1" si="1"/>
        <v>1</v>
      </c>
      <c r="J8" s="67">
        <f ca="1">IFERROR(__xludf.DUMMYFUNCTION("""COMPUTED_VALUE"""),17)</f>
        <v>17</v>
      </c>
      <c r="K8" s="51">
        <f t="shared" ca="1" si="2"/>
        <v>0.89473684210526316</v>
      </c>
      <c r="L8" s="67">
        <f ca="1">IFERROR(__xludf.DUMMYFUNCTION("""COMPUTED_VALUE"""),6)</f>
        <v>6</v>
      </c>
      <c r="M8" s="51">
        <f t="shared" ca="1" si="3"/>
        <v>0.31578947368421051</v>
      </c>
      <c r="N8" s="67">
        <f ca="1">IFERROR(__xludf.DUMMYFUNCTION("""COMPUTED_VALUE"""),24)</f>
        <v>24</v>
      </c>
      <c r="O8" s="67">
        <f ca="1">IFERROR(__xludf.DUMMYFUNCTION("""COMPUTED_VALUE"""),2)</f>
        <v>2</v>
      </c>
      <c r="P8" s="51">
        <f t="shared" ca="1" si="4"/>
        <v>8.3333333333333329E-2</v>
      </c>
      <c r="Q8" s="67">
        <f ca="1">IFERROR(__xludf.DUMMYFUNCTION("""COMPUTED_VALUE"""),0)</f>
        <v>0</v>
      </c>
      <c r="R8" s="51">
        <f t="shared" ca="1" si="5"/>
        <v>0</v>
      </c>
      <c r="S8" s="66"/>
      <c r="T8" s="66"/>
      <c r="U8" s="51" t="str">
        <f t="shared" si="6"/>
        <v/>
      </c>
      <c r="V8" s="66"/>
      <c r="W8" s="51" t="str">
        <f t="shared" si="7"/>
        <v/>
      </c>
      <c r="X8" s="66"/>
      <c r="Y8" s="51" t="str">
        <f t="shared" si="8"/>
        <v/>
      </c>
      <c r="Z8" s="2"/>
      <c r="AA8" s="2"/>
      <c r="AB8" s="2"/>
      <c r="AC8" s="2"/>
      <c r="AD8" s="2"/>
      <c r="AE8" s="2"/>
    </row>
    <row r="9" spans="1:31" ht="12.75" x14ac:dyDescent="0.2">
      <c r="A9" s="53">
        <f ca="1">IFERROR(__xludf.DUMMYFUNCTION("""COMPUTED_VALUE"""),3)</f>
        <v>3</v>
      </c>
      <c r="B9" s="66" t="str">
        <f ca="1">IFERROR(__xludf.DUMMYFUNCTION("""COMPUTED_VALUE"""),"MN Hoa Phượng Đỏ")</f>
        <v>MN Hoa Phượng Đỏ</v>
      </c>
      <c r="C9" s="66" t="str">
        <f ca="1">IFERROR(__xludf.DUMMYFUNCTION("""COMPUTED_VALUE"""),"MN")</f>
        <v>MN</v>
      </c>
      <c r="D9" s="66" t="str">
        <f ca="1">IFERROR(__xludf.DUMMYFUNCTION("""COMPUTED_VALUE"""),"QUẬN 7")</f>
        <v>QUẬN 7</v>
      </c>
      <c r="E9" s="67">
        <f ca="1">IFERROR(__xludf.DUMMYFUNCTION("""COMPUTED_VALUE"""),12)</f>
        <v>12</v>
      </c>
      <c r="F9" s="67">
        <f ca="1">IFERROR(__xludf.DUMMYFUNCTION("""COMPUTED_VALUE"""),12)</f>
        <v>12</v>
      </c>
      <c r="G9" s="51">
        <f t="shared" ca="1" si="0"/>
        <v>1</v>
      </c>
      <c r="H9" s="67">
        <f ca="1">IFERROR(__xludf.DUMMYFUNCTION("""COMPUTED_VALUE"""),12)</f>
        <v>12</v>
      </c>
      <c r="I9" s="51">
        <f t="shared" ca="1" si="1"/>
        <v>1</v>
      </c>
      <c r="J9" s="67">
        <f ca="1">IFERROR(__xludf.DUMMYFUNCTION("""COMPUTED_VALUE"""),12)</f>
        <v>12</v>
      </c>
      <c r="K9" s="51">
        <f t="shared" ca="1" si="2"/>
        <v>1</v>
      </c>
      <c r="L9" s="67">
        <f ca="1">IFERROR(__xludf.DUMMYFUNCTION("""COMPUTED_VALUE"""),7)</f>
        <v>7</v>
      </c>
      <c r="M9" s="51">
        <f t="shared" ca="1" si="3"/>
        <v>0.58333333333333337</v>
      </c>
      <c r="N9" s="67">
        <f ca="1">IFERROR(__xludf.DUMMYFUNCTION("""COMPUTED_VALUE"""),0)</f>
        <v>0</v>
      </c>
      <c r="O9" s="67">
        <f ca="1">IFERROR(__xludf.DUMMYFUNCTION("""COMPUTED_VALUE"""),0)</f>
        <v>0</v>
      </c>
      <c r="P9" s="51" t="str">
        <f t="shared" ca="1" si="4"/>
        <v/>
      </c>
      <c r="Q9" s="67">
        <f ca="1">IFERROR(__xludf.DUMMYFUNCTION("""COMPUTED_VALUE"""),0)</f>
        <v>0</v>
      </c>
      <c r="R9" s="51" t="str">
        <f t="shared" ca="1" si="5"/>
        <v/>
      </c>
      <c r="S9" s="66"/>
      <c r="T9" s="66"/>
      <c r="U9" s="51" t="str">
        <f t="shared" si="6"/>
        <v/>
      </c>
      <c r="V9" s="66"/>
      <c r="W9" s="51" t="str">
        <f t="shared" si="7"/>
        <v/>
      </c>
      <c r="X9" s="66"/>
      <c r="Y9" s="51" t="str">
        <f t="shared" si="8"/>
        <v/>
      </c>
      <c r="Z9" s="2"/>
      <c r="AA9" s="2"/>
      <c r="AB9" s="2"/>
      <c r="AC9" s="2"/>
      <c r="AD9" s="2"/>
      <c r="AE9" s="2"/>
    </row>
    <row r="10" spans="1:31" ht="12.75" x14ac:dyDescent="0.2">
      <c r="A10" s="53">
        <f ca="1">IFERROR(__xludf.DUMMYFUNCTION("""COMPUTED_VALUE"""),4)</f>
        <v>4</v>
      </c>
      <c r="B10" s="66" t="str">
        <f ca="1">IFERROR(__xludf.DUMMYFUNCTION("""COMPUTED_VALUE"""),"MN Hoa TiGôn")</f>
        <v>MN Hoa TiGôn</v>
      </c>
      <c r="C10" s="66" t="str">
        <f ca="1">IFERROR(__xludf.DUMMYFUNCTION("""COMPUTED_VALUE"""),"MN")</f>
        <v>MN</v>
      </c>
      <c r="D10" s="66" t="str">
        <f ca="1">IFERROR(__xludf.DUMMYFUNCTION("""COMPUTED_VALUE"""),"QUẬN 7")</f>
        <v>QUẬN 7</v>
      </c>
      <c r="E10" s="67">
        <f ca="1">IFERROR(__xludf.DUMMYFUNCTION("""COMPUTED_VALUE"""),11)</f>
        <v>11</v>
      </c>
      <c r="F10" s="67">
        <f ca="1">IFERROR(__xludf.DUMMYFUNCTION("""COMPUTED_VALUE"""),11)</f>
        <v>11</v>
      </c>
      <c r="G10" s="51">
        <f t="shared" ca="1" si="0"/>
        <v>1</v>
      </c>
      <c r="H10" s="67">
        <f ca="1">IFERROR(__xludf.DUMMYFUNCTION("""COMPUTED_VALUE"""),11)</f>
        <v>11</v>
      </c>
      <c r="I10" s="51">
        <f t="shared" ca="1" si="1"/>
        <v>1</v>
      </c>
      <c r="J10" s="67">
        <f ca="1">IFERROR(__xludf.DUMMYFUNCTION("""COMPUTED_VALUE"""),11)</f>
        <v>11</v>
      </c>
      <c r="K10" s="51">
        <f t="shared" ca="1" si="2"/>
        <v>1</v>
      </c>
      <c r="L10" s="67">
        <f ca="1">IFERROR(__xludf.DUMMYFUNCTION("""COMPUTED_VALUE"""),6)</f>
        <v>6</v>
      </c>
      <c r="M10" s="51">
        <f t="shared" ca="1" si="3"/>
        <v>0.54545454545454541</v>
      </c>
      <c r="N10" s="67">
        <f ca="1">IFERROR(__xludf.DUMMYFUNCTION("""COMPUTED_VALUE"""),0)</f>
        <v>0</v>
      </c>
      <c r="O10" s="67">
        <f ca="1">IFERROR(__xludf.DUMMYFUNCTION("""COMPUTED_VALUE"""),0)</f>
        <v>0</v>
      </c>
      <c r="P10" s="51" t="str">
        <f t="shared" ca="1" si="4"/>
        <v/>
      </c>
      <c r="Q10" s="67">
        <f ca="1">IFERROR(__xludf.DUMMYFUNCTION("""COMPUTED_VALUE"""),0)</f>
        <v>0</v>
      </c>
      <c r="R10" s="51" t="str">
        <f t="shared" ca="1" si="5"/>
        <v/>
      </c>
      <c r="S10" s="66"/>
      <c r="T10" s="66"/>
      <c r="U10" s="51" t="str">
        <f t="shared" si="6"/>
        <v/>
      </c>
      <c r="V10" s="66"/>
      <c r="W10" s="51" t="str">
        <f t="shared" si="7"/>
        <v/>
      </c>
      <c r="X10" s="66"/>
      <c r="Y10" s="51" t="str">
        <f t="shared" si="8"/>
        <v/>
      </c>
      <c r="Z10" s="2"/>
      <c r="AA10" s="2"/>
      <c r="AB10" s="2"/>
      <c r="AC10" s="2"/>
      <c r="AD10" s="2"/>
      <c r="AE10" s="2"/>
    </row>
    <row r="11" spans="1:31" ht="12.75" x14ac:dyDescent="0.2">
      <c r="A11" s="53">
        <f ca="1">IFERROR(__xludf.DUMMYFUNCTION("""COMPUTED_VALUE"""),5)</f>
        <v>5</v>
      </c>
      <c r="B11" s="66" t="str">
        <f ca="1">IFERROR(__xludf.DUMMYFUNCTION("""COMPUTED_VALUE"""),"MN Maika")</f>
        <v>MN Maika</v>
      </c>
      <c r="C11" s="66" t="str">
        <f ca="1">IFERROR(__xludf.DUMMYFUNCTION("""COMPUTED_VALUE"""),"MN")</f>
        <v>MN</v>
      </c>
      <c r="D11" s="66" t="str">
        <f ca="1">IFERROR(__xludf.DUMMYFUNCTION("""COMPUTED_VALUE"""),"QUẬN 7")</f>
        <v>QUẬN 7</v>
      </c>
      <c r="E11" s="67">
        <f ca="1">IFERROR(__xludf.DUMMYFUNCTION("""COMPUTED_VALUE"""),16)</f>
        <v>16</v>
      </c>
      <c r="F11" s="67">
        <f ca="1">IFERROR(__xludf.DUMMYFUNCTION("""COMPUTED_VALUE"""),16)</f>
        <v>16</v>
      </c>
      <c r="G11" s="51">
        <f t="shared" ca="1" si="0"/>
        <v>1</v>
      </c>
      <c r="H11" s="67">
        <f ca="1">IFERROR(__xludf.DUMMYFUNCTION("""COMPUTED_VALUE"""),16)</f>
        <v>16</v>
      </c>
      <c r="I11" s="51">
        <f t="shared" ca="1" si="1"/>
        <v>1</v>
      </c>
      <c r="J11" s="67">
        <f ca="1">IFERROR(__xludf.DUMMYFUNCTION("""COMPUTED_VALUE"""),12)</f>
        <v>12</v>
      </c>
      <c r="K11" s="51">
        <f t="shared" ca="1" si="2"/>
        <v>0.75</v>
      </c>
      <c r="L11" s="67">
        <f ca="1">IFERROR(__xludf.DUMMYFUNCTION("""COMPUTED_VALUE"""),1)</f>
        <v>1</v>
      </c>
      <c r="M11" s="51">
        <f t="shared" ca="1" si="3"/>
        <v>6.25E-2</v>
      </c>
      <c r="N11" s="67">
        <f ca="1">IFERROR(__xludf.DUMMYFUNCTION("""COMPUTED_VALUE"""),20)</f>
        <v>20</v>
      </c>
      <c r="O11" s="67">
        <f ca="1">IFERROR(__xludf.DUMMYFUNCTION("""COMPUTED_VALUE"""),0)</f>
        <v>0</v>
      </c>
      <c r="P11" s="51">
        <f t="shared" ca="1" si="4"/>
        <v>0</v>
      </c>
      <c r="Q11" s="67">
        <f ca="1">IFERROR(__xludf.DUMMYFUNCTION("""COMPUTED_VALUE"""),0)</f>
        <v>0</v>
      </c>
      <c r="R11" s="51">
        <f t="shared" ca="1" si="5"/>
        <v>0</v>
      </c>
      <c r="S11" s="66"/>
      <c r="T11" s="66"/>
      <c r="U11" s="51" t="str">
        <f t="shared" si="6"/>
        <v/>
      </c>
      <c r="V11" s="66"/>
      <c r="W11" s="51" t="str">
        <f t="shared" si="7"/>
        <v/>
      </c>
      <c r="X11" s="66"/>
      <c r="Y11" s="51" t="str">
        <f t="shared" si="8"/>
        <v/>
      </c>
      <c r="Z11" s="2"/>
      <c r="AA11" s="2"/>
      <c r="AB11" s="2"/>
      <c r="AC11" s="2"/>
      <c r="AD11" s="2"/>
      <c r="AE11" s="2"/>
    </row>
    <row r="12" spans="1:31" ht="12.75" x14ac:dyDescent="0.2">
      <c r="A12" s="53">
        <f ca="1">IFERROR(__xludf.DUMMYFUNCTION("""COMPUTED_VALUE"""),6)</f>
        <v>6</v>
      </c>
      <c r="B12" s="66" t="str">
        <f ca="1">IFERROR(__xludf.DUMMYFUNCTION("""COMPUTED_VALUE"""),"MG Tắc Rỗi")</f>
        <v>MG Tắc Rỗi</v>
      </c>
      <c r="C12" s="66" t="str">
        <f ca="1">IFERROR(__xludf.DUMMYFUNCTION("""COMPUTED_VALUE"""),"MN")</f>
        <v>MN</v>
      </c>
      <c r="D12" s="66" t="str">
        <f ca="1">IFERROR(__xludf.DUMMYFUNCTION("""COMPUTED_VALUE"""),"QUẬN 7")</f>
        <v>QUẬN 7</v>
      </c>
      <c r="E12" s="67">
        <f ca="1">IFERROR(__xludf.DUMMYFUNCTION("""COMPUTED_VALUE"""),18)</f>
        <v>18</v>
      </c>
      <c r="F12" s="67">
        <f ca="1">IFERROR(__xludf.DUMMYFUNCTION("""COMPUTED_VALUE"""),18)</f>
        <v>18</v>
      </c>
      <c r="G12" s="51">
        <f t="shared" ca="1" si="0"/>
        <v>1</v>
      </c>
      <c r="H12" s="67">
        <f ca="1">IFERROR(__xludf.DUMMYFUNCTION("""COMPUTED_VALUE"""),18)</f>
        <v>18</v>
      </c>
      <c r="I12" s="51">
        <f t="shared" ca="1" si="1"/>
        <v>1</v>
      </c>
      <c r="J12" s="67">
        <f ca="1">IFERROR(__xludf.DUMMYFUNCTION("""COMPUTED_VALUE"""),16)</f>
        <v>16</v>
      </c>
      <c r="K12" s="51">
        <f t="shared" ca="1" si="2"/>
        <v>0.88888888888888884</v>
      </c>
      <c r="L12" s="67">
        <f ca="1">IFERROR(__xludf.DUMMYFUNCTION("""COMPUTED_VALUE"""),10)</f>
        <v>10</v>
      </c>
      <c r="M12" s="51">
        <f t="shared" ca="1" si="3"/>
        <v>0.55555555555555558</v>
      </c>
      <c r="N12" s="67">
        <f ca="1">IFERROR(__xludf.DUMMYFUNCTION("""COMPUTED_VALUE"""),33)</f>
        <v>33</v>
      </c>
      <c r="O12" s="67">
        <f ca="1">IFERROR(__xludf.DUMMYFUNCTION("""COMPUTED_VALUE"""),1)</f>
        <v>1</v>
      </c>
      <c r="P12" s="51">
        <f t="shared" ca="1" si="4"/>
        <v>3.0303030303030304E-2</v>
      </c>
      <c r="Q12" s="67">
        <f ca="1">IFERROR(__xludf.DUMMYFUNCTION("""COMPUTED_VALUE"""),0)</f>
        <v>0</v>
      </c>
      <c r="R12" s="51">
        <f t="shared" ca="1" si="5"/>
        <v>0</v>
      </c>
      <c r="S12" s="66"/>
      <c r="T12" s="66"/>
      <c r="U12" s="51" t="str">
        <f t="shared" si="6"/>
        <v/>
      </c>
      <c r="V12" s="66"/>
      <c r="W12" s="51" t="str">
        <f t="shared" si="7"/>
        <v/>
      </c>
      <c r="X12" s="66"/>
      <c r="Y12" s="51" t="str">
        <f t="shared" si="8"/>
        <v/>
      </c>
      <c r="Z12" s="2"/>
      <c r="AA12" s="2"/>
      <c r="AB12" s="2"/>
      <c r="AC12" s="2"/>
      <c r="AD12" s="2"/>
      <c r="AE12" s="2"/>
    </row>
    <row r="13" spans="1:31" ht="12.75" x14ac:dyDescent="0.2">
      <c r="A13" s="53">
        <f ca="1">IFERROR(__xludf.DUMMYFUNCTION("""COMPUTED_VALUE"""),7)</f>
        <v>7</v>
      </c>
      <c r="B13" s="66" t="str">
        <f ca="1">IFERROR(__xludf.DUMMYFUNCTION("""COMPUTED_VALUE"""),"MN Vườn nắng")</f>
        <v>MN Vườn nắng</v>
      </c>
      <c r="C13" s="66" t="str">
        <f ca="1">IFERROR(__xludf.DUMMYFUNCTION("""COMPUTED_VALUE"""),"MN")</f>
        <v>MN</v>
      </c>
      <c r="D13" s="66" t="str">
        <f ca="1">IFERROR(__xludf.DUMMYFUNCTION("""COMPUTED_VALUE"""),"QUẬN 7")</f>
        <v>QUẬN 7</v>
      </c>
      <c r="E13" s="67">
        <f ca="1">IFERROR(__xludf.DUMMYFUNCTION("""COMPUTED_VALUE"""),22)</f>
        <v>22</v>
      </c>
      <c r="F13" s="67">
        <f ca="1">IFERROR(__xludf.DUMMYFUNCTION("""COMPUTED_VALUE"""),22)</f>
        <v>22</v>
      </c>
      <c r="G13" s="51">
        <f t="shared" ca="1" si="0"/>
        <v>1</v>
      </c>
      <c r="H13" s="67">
        <f ca="1">IFERROR(__xludf.DUMMYFUNCTION("""COMPUTED_VALUE"""),22)</f>
        <v>22</v>
      </c>
      <c r="I13" s="51">
        <f t="shared" ca="1" si="1"/>
        <v>1</v>
      </c>
      <c r="J13" s="67">
        <f ca="1">IFERROR(__xludf.DUMMYFUNCTION("""COMPUTED_VALUE"""),17)</f>
        <v>17</v>
      </c>
      <c r="K13" s="51">
        <f t="shared" ca="1" si="2"/>
        <v>0.77272727272727271</v>
      </c>
      <c r="L13" s="67">
        <f ca="1">IFERROR(__xludf.DUMMYFUNCTION("""COMPUTED_VALUE"""),2)</f>
        <v>2</v>
      </c>
      <c r="M13" s="51">
        <f t="shared" ca="1" si="3"/>
        <v>9.0909090909090912E-2</v>
      </c>
      <c r="N13" s="67">
        <f ca="1">IFERROR(__xludf.DUMMYFUNCTION("""COMPUTED_VALUE"""),20)</f>
        <v>20</v>
      </c>
      <c r="O13" s="67">
        <f ca="1">IFERROR(__xludf.DUMMYFUNCTION("""COMPUTED_VALUE"""),1)</f>
        <v>1</v>
      </c>
      <c r="P13" s="51">
        <f t="shared" ca="1" si="4"/>
        <v>0.05</v>
      </c>
      <c r="Q13" s="67">
        <f ca="1">IFERROR(__xludf.DUMMYFUNCTION("""COMPUTED_VALUE"""),0)</f>
        <v>0</v>
      </c>
      <c r="R13" s="51">
        <f t="shared" ca="1" si="5"/>
        <v>0</v>
      </c>
      <c r="S13" s="66"/>
      <c r="T13" s="66"/>
      <c r="U13" s="51" t="str">
        <f t="shared" si="6"/>
        <v/>
      </c>
      <c r="V13" s="66"/>
      <c r="W13" s="51" t="str">
        <f t="shared" si="7"/>
        <v/>
      </c>
      <c r="X13" s="66"/>
      <c r="Y13" s="51" t="str">
        <f t="shared" si="8"/>
        <v/>
      </c>
      <c r="Z13" s="2"/>
      <c r="AA13" s="2"/>
      <c r="AB13" s="2"/>
      <c r="AC13" s="2"/>
      <c r="AD13" s="2"/>
      <c r="AE13" s="2"/>
    </row>
    <row r="14" spans="1:31" ht="12.75" x14ac:dyDescent="0.2">
      <c r="A14" s="53">
        <f ca="1">IFERROR(__xludf.DUMMYFUNCTION("""COMPUTED_VALUE"""),8)</f>
        <v>8</v>
      </c>
      <c r="B14" s="66" t="str">
        <f ca="1">IFERROR(__xludf.DUMMYFUNCTION("""COMPUTED_VALUE"""),"MN Con Mèo Vàng")</f>
        <v>MN Con Mèo Vàng</v>
      </c>
      <c r="C14" s="66" t="str">
        <f ca="1">IFERROR(__xludf.DUMMYFUNCTION("""COMPUTED_VALUE"""),"MN")</f>
        <v>MN</v>
      </c>
      <c r="D14" s="66" t="str">
        <f ca="1">IFERROR(__xludf.DUMMYFUNCTION("""COMPUTED_VALUE"""),"QUẬN 7")</f>
        <v>QUẬN 7</v>
      </c>
      <c r="E14" s="67">
        <f ca="1">IFERROR(__xludf.DUMMYFUNCTION("""COMPUTED_VALUE"""),45)</f>
        <v>45</v>
      </c>
      <c r="F14" s="67">
        <f ca="1">IFERROR(__xludf.DUMMYFUNCTION("""COMPUTED_VALUE"""),45)</f>
        <v>45</v>
      </c>
      <c r="G14" s="51">
        <f t="shared" ca="1" si="0"/>
        <v>1</v>
      </c>
      <c r="H14" s="67">
        <f ca="1">IFERROR(__xludf.DUMMYFUNCTION("""COMPUTED_VALUE"""),45)</f>
        <v>45</v>
      </c>
      <c r="I14" s="51">
        <f t="shared" ca="1" si="1"/>
        <v>1</v>
      </c>
      <c r="J14" s="67">
        <f ca="1">IFERROR(__xludf.DUMMYFUNCTION("""COMPUTED_VALUE"""),45)</f>
        <v>45</v>
      </c>
      <c r="K14" s="51">
        <f t="shared" ca="1" si="2"/>
        <v>1</v>
      </c>
      <c r="L14" s="67">
        <f ca="1">IFERROR(__xludf.DUMMYFUNCTION("""COMPUTED_VALUE"""),20)</f>
        <v>20</v>
      </c>
      <c r="M14" s="51">
        <f t="shared" ca="1" si="3"/>
        <v>0.44444444444444442</v>
      </c>
      <c r="N14" s="67">
        <f ca="1">IFERROR(__xludf.DUMMYFUNCTION("""COMPUTED_VALUE"""),25)</f>
        <v>25</v>
      </c>
      <c r="O14" s="67">
        <f ca="1">IFERROR(__xludf.DUMMYFUNCTION("""COMPUTED_VALUE"""),0)</f>
        <v>0</v>
      </c>
      <c r="P14" s="51">
        <f t="shared" ca="1" si="4"/>
        <v>0</v>
      </c>
      <c r="Q14" s="67">
        <f ca="1">IFERROR(__xludf.DUMMYFUNCTION("""COMPUTED_VALUE"""),0)</f>
        <v>0</v>
      </c>
      <c r="R14" s="51">
        <f t="shared" ca="1" si="5"/>
        <v>0</v>
      </c>
      <c r="S14" s="66"/>
      <c r="T14" s="66"/>
      <c r="U14" s="51" t="str">
        <f t="shared" si="6"/>
        <v/>
      </c>
      <c r="V14" s="66"/>
      <c r="W14" s="51" t="str">
        <f t="shared" si="7"/>
        <v/>
      </c>
      <c r="X14" s="66"/>
      <c r="Y14" s="51" t="str">
        <f t="shared" si="8"/>
        <v/>
      </c>
      <c r="Z14" s="2"/>
      <c r="AA14" s="2"/>
      <c r="AB14" s="2"/>
      <c r="AC14" s="2"/>
      <c r="AD14" s="2"/>
      <c r="AE14" s="2"/>
    </row>
    <row r="15" spans="1:31" ht="12.75" x14ac:dyDescent="0.2">
      <c r="A15" s="53">
        <f ca="1">IFERROR(__xludf.DUMMYFUNCTION("""COMPUTED_VALUE"""),9)</f>
        <v>9</v>
      </c>
      <c r="B15" s="66" t="str">
        <f ca="1">IFERROR(__xludf.DUMMYFUNCTION("""COMPUTED_VALUE"""),"MN Canada - Việt Nam")</f>
        <v>MN Canada - Việt Nam</v>
      </c>
      <c r="C15" s="66" t="str">
        <f ca="1">IFERROR(__xludf.DUMMYFUNCTION("""COMPUTED_VALUE"""),"MN")</f>
        <v>MN</v>
      </c>
      <c r="D15" s="66" t="str">
        <f ca="1">IFERROR(__xludf.DUMMYFUNCTION("""COMPUTED_VALUE"""),"QUẬN 7")</f>
        <v>QUẬN 7</v>
      </c>
      <c r="E15" s="67">
        <f ca="1">IFERROR(__xludf.DUMMYFUNCTION("""COMPUTED_VALUE"""),39)</f>
        <v>39</v>
      </c>
      <c r="F15" s="67">
        <f ca="1">IFERROR(__xludf.DUMMYFUNCTION("""COMPUTED_VALUE"""),39)</f>
        <v>39</v>
      </c>
      <c r="G15" s="51">
        <f t="shared" ca="1" si="0"/>
        <v>1</v>
      </c>
      <c r="H15" s="67">
        <f ca="1">IFERROR(__xludf.DUMMYFUNCTION("""COMPUTED_VALUE"""),39)</f>
        <v>39</v>
      </c>
      <c r="I15" s="51">
        <f t="shared" ca="1" si="1"/>
        <v>1</v>
      </c>
      <c r="J15" s="67">
        <f ca="1">IFERROR(__xludf.DUMMYFUNCTION("""COMPUTED_VALUE"""),31)</f>
        <v>31</v>
      </c>
      <c r="K15" s="51">
        <f t="shared" ca="1" si="2"/>
        <v>0.79487179487179482</v>
      </c>
      <c r="L15" s="67">
        <f ca="1">IFERROR(__xludf.DUMMYFUNCTION("""COMPUTED_VALUE"""),6)</f>
        <v>6</v>
      </c>
      <c r="M15" s="51">
        <f t="shared" ca="1" si="3"/>
        <v>0.15384615384615385</v>
      </c>
      <c r="N15" s="67">
        <f ca="1">IFERROR(__xludf.DUMMYFUNCTION("""COMPUTED_VALUE"""),37)</f>
        <v>37</v>
      </c>
      <c r="O15" s="67">
        <f ca="1">IFERROR(__xludf.DUMMYFUNCTION("""COMPUTED_VALUE"""),0)</f>
        <v>0</v>
      </c>
      <c r="P15" s="51">
        <f t="shared" ca="1" si="4"/>
        <v>0</v>
      </c>
      <c r="Q15" s="67">
        <f ca="1">IFERROR(__xludf.DUMMYFUNCTION("""COMPUTED_VALUE"""),0)</f>
        <v>0</v>
      </c>
      <c r="R15" s="51">
        <f t="shared" ca="1" si="5"/>
        <v>0</v>
      </c>
      <c r="S15" s="66"/>
      <c r="T15" s="66"/>
      <c r="U15" s="51" t="str">
        <f t="shared" si="6"/>
        <v/>
      </c>
      <c r="V15" s="66"/>
      <c r="W15" s="51" t="str">
        <f t="shared" si="7"/>
        <v/>
      </c>
      <c r="X15" s="66"/>
      <c r="Y15" s="51" t="str">
        <f t="shared" si="8"/>
        <v/>
      </c>
      <c r="Z15" s="2"/>
      <c r="AA15" s="2"/>
      <c r="AB15" s="2"/>
      <c r="AC15" s="2"/>
      <c r="AD15" s="2"/>
      <c r="AE15" s="2"/>
    </row>
    <row r="16" spans="1:31" ht="12.75" x14ac:dyDescent="0.2">
      <c r="A16" s="53">
        <f ca="1">IFERROR(__xludf.DUMMYFUNCTION("""COMPUTED_VALUE"""),10)</f>
        <v>10</v>
      </c>
      <c r="B16" s="66" t="str">
        <f ca="1">IFERROR(__xludf.DUMMYFUNCTION("""COMPUTED_VALUE"""),"MN Ngôi Sao Tuổi Thơ")</f>
        <v>MN Ngôi Sao Tuổi Thơ</v>
      </c>
      <c r="C16" s="66" t="str">
        <f ca="1">IFERROR(__xludf.DUMMYFUNCTION("""COMPUTED_VALUE"""),"MN")</f>
        <v>MN</v>
      </c>
      <c r="D16" s="66" t="str">
        <f ca="1">IFERROR(__xludf.DUMMYFUNCTION("""COMPUTED_VALUE"""),"QUẬN 7")</f>
        <v>QUẬN 7</v>
      </c>
      <c r="E16" s="67">
        <f ca="1">IFERROR(__xludf.DUMMYFUNCTION("""COMPUTED_VALUE"""),92)</f>
        <v>92</v>
      </c>
      <c r="F16" s="67">
        <f ca="1">IFERROR(__xludf.DUMMYFUNCTION("""COMPUTED_VALUE"""),92)</f>
        <v>92</v>
      </c>
      <c r="G16" s="51">
        <f t="shared" ca="1" si="0"/>
        <v>1</v>
      </c>
      <c r="H16" s="67">
        <f ca="1">IFERROR(__xludf.DUMMYFUNCTION("""COMPUTED_VALUE"""),92)</f>
        <v>92</v>
      </c>
      <c r="I16" s="51">
        <f t="shared" ca="1" si="1"/>
        <v>1</v>
      </c>
      <c r="J16" s="67">
        <f ca="1">IFERROR(__xludf.DUMMYFUNCTION("""COMPUTED_VALUE"""),87)</f>
        <v>87</v>
      </c>
      <c r="K16" s="51">
        <f t="shared" ca="1" si="2"/>
        <v>0.94565217391304346</v>
      </c>
      <c r="L16" s="67">
        <f ca="1">IFERROR(__xludf.DUMMYFUNCTION("""COMPUTED_VALUE"""),19)</f>
        <v>19</v>
      </c>
      <c r="M16" s="51">
        <f t="shared" ca="1" si="3"/>
        <v>0.20652173913043478</v>
      </c>
      <c r="N16" s="67">
        <f ca="1">IFERROR(__xludf.DUMMYFUNCTION("""COMPUTED_VALUE"""),87)</f>
        <v>87</v>
      </c>
      <c r="O16" s="67">
        <f ca="1">IFERROR(__xludf.DUMMYFUNCTION("""COMPUTED_VALUE"""),0)</f>
        <v>0</v>
      </c>
      <c r="P16" s="51">
        <f t="shared" ca="1" si="4"/>
        <v>0</v>
      </c>
      <c r="Q16" s="67">
        <f ca="1">IFERROR(__xludf.DUMMYFUNCTION("""COMPUTED_VALUE"""),0)</f>
        <v>0</v>
      </c>
      <c r="R16" s="51">
        <f t="shared" ca="1" si="5"/>
        <v>0</v>
      </c>
      <c r="S16" s="66"/>
      <c r="T16" s="66"/>
      <c r="U16" s="51" t="str">
        <f t="shared" si="6"/>
        <v/>
      </c>
      <c r="V16" s="66"/>
      <c r="W16" s="51" t="str">
        <f t="shared" si="7"/>
        <v/>
      </c>
      <c r="X16" s="66"/>
      <c r="Y16" s="51" t="str">
        <f t="shared" si="8"/>
        <v/>
      </c>
      <c r="Z16" s="2"/>
      <c r="AA16" s="2"/>
      <c r="AB16" s="2"/>
      <c r="AC16" s="2"/>
      <c r="AD16" s="2"/>
      <c r="AE16" s="2"/>
    </row>
    <row r="17" spans="1:31" ht="12.75" x14ac:dyDescent="0.2">
      <c r="A17" s="53">
        <f ca="1">IFERROR(__xludf.DUMMYFUNCTION("""COMPUTED_VALUE"""),11)</f>
        <v>11</v>
      </c>
      <c r="B17" s="66" t="str">
        <f ca="1">IFERROR(__xludf.DUMMYFUNCTION("""COMPUTED_VALUE"""),"MN TTC Sài Gòn 3")</f>
        <v>MN TTC Sài Gòn 3</v>
      </c>
      <c r="C17" s="66" t="str">
        <f ca="1">IFERROR(__xludf.DUMMYFUNCTION("""COMPUTED_VALUE"""),"MN")</f>
        <v>MN</v>
      </c>
      <c r="D17" s="66" t="str">
        <f ca="1">IFERROR(__xludf.DUMMYFUNCTION("""COMPUTED_VALUE"""),"QUẬN 7")</f>
        <v>QUẬN 7</v>
      </c>
      <c r="E17" s="67">
        <f ca="1">IFERROR(__xludf.DUMMYFUNCTION("""COMPUTED_VALUE"""),20)</f>
        <v>20</v>
      </c>
      <c r="F17" s="67">
        <f ca="1">IFERROR(__xludf.DUMMYFUNCTION("""COMPUTED_VALUE"""),20)</f>
        <v>20</v>
      </c>
      <c r="G17" s="51">
        <f t="shared" ca="1" si="0"/>
        <v>1</v>
      </c>
      <c r="H17" s="67">
        <f ca="1">IFERROR(__xludf.DUMMYFUNCTION("""COMPUTED_VALUE"""),20)</f>
        <v>20</v>
      </c>
      <c r="I17" s="51">
        <f t="shared" ca="1" si="1"/>
        <v>1</v>
      </c>
      <c r="J17" s="67">
        <f ca="1">IFERROR(__xludf.DUMMYFUNCTION("""COMPUTED_VALUE"""),17)</f>
        <v>17</v>
      </c>
      <c r="K17" s="51">
        <f t="shared" ca="1" si="2"/>
        <v>0.85</v>
      </c>
      <c r="L17" s="67">
        <f ca="1">IFERROR(__xludf.DUMMYFUNCTION("""COMPUTED_VALUE"""),3)</f>
        <v>3</v>
      </c>
      <c r="M17" s="51">
        <f t="shared" ca="1" si="3"/>
        <v>0.15</v>
      </c>
      <c r="N17" s="67">
        <f ca="1">IFERROR(__xludf.DUMMYFUNCTION("""COMPUTED_VALUE"""),13)</f>
        <v>13</v>
      </c>
      <c r="O17" s="67">
        <f ca="1">IFERROR(__xludf.DUMMYFUNCTION("""COMPUTED_VALUE"""),1)</f>
        <v>1</v>
      </c>
      <c r="P17" s="51">
        <f t="shared" ca="1" si="4"/>
        <v>7.6923076923076927E-2</v>
      </c>
      <c r="Q17" s="67">
        <f ca="1">IFERROR(__xludf.DUMMYFUNCTION("""COMPUTED_VALUE"""),0)</f>
        <v>0</v>
      </c>
      <c r="R17" s="51">
        <f t="shared" ca="1" si="5"/>
        <v>0</v>
      </c>
      <c r="S17" s="66"/>
      <c r="T17" s="66"/>
      <c r="U17" s="51" t="str">
        <f t="shared" si="6"/>
        <v/>
      </c>
      <c r="V17" s="66"/>
      <c r="W17" s="51" t="str">
        <f t="shared" si="7"/>
        <v/>
      </c>
      <c r="X17" s="66"/>
      <c r="Y17" s="51" t="str">
        <f t="shared" si="8"/>
        <v/>
      </c>
      <c r="Z17" s="2"/>
      <c r="AA17" s="2"/>
      <c r="AB17" s="2"/>
      <c r="AC17" s="2"/>
      <c r="AD17" s="2"/>
      <c r="AE17" s="2"/>
    </row>
    <row r="18" spans="1:31" ht="12.75" x14ac:dyDescent="0.2">
      <c r="A18" s="53">
        <f ca="1">IFERROR(__xludf.DUMMYFUNCTION("""COMPUTED_VALUE"""),12)</f>
        <v>12</v>
      </c>
      <c r="B18" s="66" t="str">
        <f ca="1">IFERROR(__xludf.DUMMYFUNCTION("""COMPUTED_VALUE"""),"MN QT Khai Sáng")</f>
        <v>MN QT Khai Sáng</v>
      </c>
      <c r="C18" s="66" t="str">
        <f ca="1">IFERROR(__xludf.DUMMYFUNCTION("""COMPUTED_VALUE"""),"MN")</f>
        <v>MN</v>
      </c>
      <c r="D18" s="66" t="str">
        <f ca="1">IFERROR(__xludf.DUMMYFUNCTION("""COMPUTED_VALUE"""),"QUẬN 7")</f>
        <v>QUẬN 7</v>
      </c>
      <c r="E18" s="67">
        <f ca="1">IFERROR(__xludf.DUMMYFUNCTION("""COMPUTED_VALUE"""),14)</f>
        <v>14</v>
      </c>
      <c r="F18" s="67">
        <f ca="1">IFERROR(__xludf.DUMMYFUNCTION("""COMPUTED_VALUE"""),14)</f>
        <v>14</v>
      </c>
      <c r="G18" s="51">
        <f t="shared" ca="1" si="0"/>
        <v>1</v>
      </c>
      <c r="H18" s="67">
        <f ca="1">IFERROR(__xludf.DUMMYFUNCTION("""COMPUTED_VALUE"""),14)</f>
        <v>14</v>
      </c>
      <c r="I18" s="51">
        <f t="shared" ca="1" si="1"/>
        <v>1</v>
      </c>
      <c r="J18" s="67">
        <f ca="1">IFERROR(__xludf.DUMMYFUNCTION("""COMPUTED_VALUE"""),13)</f>
        <v>13</v>
      </c>
      <c r="K18" s="51">
        <f t="shared" ca="1" si="2"/>
        <v>0.9285714285714286</v>
      </c>
      <c r="L18" s="67">
        <f ca="1">IFERROR(__xludf.DUMMYFUNCTION("""COMPUTED_VALUE"""),0)</f>
        <v>0</v>
      </c>
      <c r="M18" s="51">
        <f t="shared" ca="1" si="3"/>
        <v>0</v>
      </c>
      <c r="N18" s="67">
        <f ca="1">IFERROR(__xludf.DUMMYFUNCTION("""COMPUTED_VALUE"""),17)</f>
        <v>17</v>
      </c>
      <c r="O18" s="67">
        <f ca="1">IFERROR(__xludf.DUMMYFUNCTION("""COMPUTED_VALUE"""),1)</f>
        <v>1</v>
      </c>
      <c r="P18" s="51">
        <f t="shared" ca="1" si="4"/>
        <v>5.8823529411764705E-2</v>
      </c>
      <c r="Q18" s="67">
        <f ca="1">IFERROR(__xludf.DUMMYFUNCTION("""COMPUTED_VALUE"""),1)</f>
        <v>1</v>
      </c>
      <c r="R18" s="51">
        <f t="shared" ca="1" si="5"/>
        <v>5.8823529411764705E-2</v>
      </c>
      <c r="S18" s="66"/>
      <c r="T18" s="66"/>
      <c r="U18" s="51" t="str">
        <f t="shared" si="6"/>
        <v/>
      </c>
      <c r="V18" s="66"/>
      <c r="W18" s="51" t="str">
        <f t="shared" si="7"/>
        <v/>
      </c>
      <c r="X18" s="66"/>
      <c r="Y18" s="51" t="str">
        <f t="shared" si="8"/>
        <v/>
      </c>
      <c r="Z18" s="2"/>
      <c r="AA18" s="2"/>
      <c r="AB18" s="2"/>
      <c r="AC18" s="2"/>
      <c r="AD18" s="2"/>
      <c r="AE18" s="2"/>
    </row>
    <row r="19" spans="1:31" ht="12.75" x14ac:dyDescent="0.2">
      <c r="A19" s="53">
        <f ca="1">IFERROR(__xludf.DUMMYFUNCTION("""COMPUTED_VALUE"""),13)</f>
        <v>13</v>
      </c>
      <c r="B19" s="66" t="str">
        <f ca="1">IFERROR(__xludf.DUMMYFUNCTION("""COMPUTED_VALUE"""),"MN Minh Phú")</f>
        <v>MN Minh Phú</v>
      </c>
      <c r="C19" s="66" t="str">
        <f ca="1">IFERROR(__xludf.DUMMYFUNCTION("""COMPUTED_VALUE"""),"MN")</f>
        <v>MN</v>
      </c>
      <c r="D19" s="66" t="str">
        <f ca="1">IFERROR(__xludf.DUMMYFUNCTION("""COMPUTED_VALUE"""),"QUẬN 7")</f>
        <v>QUẬN 7</v>
      </c>
      <c r="E19" s="67">
        <f ca="1">IFERROR(__xludf.DUMMYFUNCTION("""COMPUTED_VALUE"""),18)</f>
        <v>18</v>
      </c>
      <c r="F19" s="67">
        <f ca="1">IFERROR(__xludf.DUMMYFUNCTION("""COMPUTED_VALUE"""),18)</f>
        <v>18</v>
      </c>
      <c r="G19" s="51">
        <f t="shared" ca="1" si="0"/>
        <v>1</v>
      </c>
      <c r="H19" s="67">
        <f ca="1">IFERROR(__xludf.DUMMYFUNCTION("""COMPUTED_VALUE"""),18)</f>
        <v>18</v>
      </c>
      <c r="I19" s="51">
        <f t="shared" ca="1" si="1"/>
        <v>1</v>
      </c>
      <c r="J19" s="67">
        <f ca="1">IFERROR(__xludf.DUMMYFUNCTION("""COMPUTED_VALUE"""),14)</f>
        <v>14</v>
      </c>
      <c r="K19" s="51">
        <f t="shared" ca="1" si="2"/>
        <v>0.77777777777777779</v>
      </c>
      <c r="L19" s="67">
        <f ca="1">IFERROR(__xludf.DUMMYFUNCTION("""COMPUTED_VALUE"""),6)</f>
        <v>6</v>
      </c>
      <c r="M19" s="51">
        <f t="shared" ca="1" si="3"/>
        <v>0.33333333333333331</v>
      </c>
      <c r="N19" s="67">
        <f ca="1">IFERROR(__xludf.DUMMYFUNCTION("""COMPUTED_VALUE"""),26)</f>
        <v>26</v>
      </c>
      <c r="O19" s="67">
        <f ca="1">IFERROR(__xludf.DUMMYFUNCTION("""COMPUTED_VALUE"""),0)</f>
        <v>0</v>
      </c>
      <c r="P19" s="51">
        <f t="shared" ca="1" si="4"/>
        <v>0</v>
      </c>
      <c r="Q19" s="67">
        <f ca="1">IFERROR(__xludf.DUMMYFUNCTION("""COMPUTED_VALUE"""),0)</f>
        <v>0</v>
      </c>
      <c r="R19" s="51">
        <f t="shared" ca="1" si="5"/>
        <v>0</v>
      </c>
      <c r="S19" s="66"/>
      <c r="T19" s="66"/>
      <c r="U19" s="51" t="str">
        <f t="shared" si="6"/>
        <v/>
      </c>
      <c r="V19" s="66"/>
      <c r="W19" s="51" t="str">
        <f t="shared" si="7"/>
        <v/>
      </c>
      <c r="X19" s="66"/>
      <c r="Y19" s="51" t="str">
        <f t="shared" si="8"/>
        <v/>
      </c>
      <c r="Z19" s="2"/>
      <c r="AA19" s="2"/>
      <c r="AB19" s="2"/>
      <c r="AC19" s="2"/>
      <c r="AD19" s="2"/>
      <c r="AE19" s="2"/>
    </row>
    <row r="20" spans="1:31" ht="12.75" x14ac:dyDescent="0.2">
      <c r="A20" s="53">
        <f ca="1">IFERROR(__xludf.DUMMYFUNCTION("""COMPUTED_VALUE"""),14)</f>
        <v>14</v>
      </c>
      <c r="B20" s="66" t="str">
        <f ca="1">IFERROR(__xludf.DUMMYFUNCTION("""COMPUTED_VALUE"""),"MG Bình Minh")</f>
        <v>MG Bình Minh</v>
      </c>
      <c r="C20" s="66" t="str">
        <f ca="1">IFERROR(__xludf.DUMMYFUNCTION("""COMPUTED_VALUE"""),"MN")</f>
        <v>MN</v>
      </c>
      <c r="D20" s="66" t="str">
        <f ca="1">IFERROR(__xludf.DUMMYFUNCTION("""COMPUTED_VALUE"""),"QUẬN 7")</f>
        <v>QUẬN 7</v>
      </c>
      <c r="E20" s="67">
        <f ca="1">IFERROR(__xludf.DUMMYFUNCTION("""COMPUTED_VALUE"""),12)</f>
        <v>12</v>
      </c>
      <c r="F20" s="67">
        <f ca="1">IFERROR(__xludf.DUMMYFUNCTION("""COMPUTED_VALUE"""),12)</f>
        <v>12</v>
      </c>
      <c r="G20" s="51">
        <f t="shared" ca="1" si="0"/>
        <v>1</v>
      </c>
      <c r="H20" s="67">
        <f ca="1">IFERROR(__xludf.DUMMYFUNCTION("""COMPUTED_VALUE"""),12)</f>
        <v>12</v>
      </c>
      <c r="I20" s="51">
        <f t="shared" ca="1" si="1"/>
        <v>1</v>
      </c>
      <c r="J20" s="67">
        <f ca="1">IFERROR(__xludf.DUMMYFUNCTION("""COMPUTED_VALUE"""),10)</f>
        <v>10</v>
      </c>
      <c r="K20" s="51">
        <f t="shared" ca="1" si="2"/>
        <v>0.83333333333333337</v>
      </c>
      <c r="L20" s="67">
        <f ca="1">IFERROR(__xludf.DUMMYFUNCTION("""COMPUTED_VALUE"""),1)</f>
        <v>1</v>
      </c>
      <c r="M20" s="51">
        <f t="shared" ca="1" si="3"/>
        <v>8.3333333333333329E-2</v>
      </c>
      <c r="N20" s="67">
        <f ca="1">IFERROR(__xludf.DUMMYFUNCTION("""COMPUTED_VALUE"""),22)</f>
        <v>22</v>
      </c>
      <c r="O20" s="67">
        <f ca="1">IFERROR(__xludf.DUMMYFUNCTION("""COMPUTED_VALUE"""),3)</f>
        <v>3</v>
      </c>
      <c r="P20" s="51">
        <f t="shared" ca="1" si="4"/>
        <v>0.13636363636363635</v>
      </c>
      <c r="Q20" s="67">
        <f ca="1">IFERROR(__xludf.DUMMYFUNCTION("""COMPUTED_VALUE"""),3)</f>
        <v>3</v>
      </c>
      <c r="R20" s="51">
        <f t="shared" ca="1" si="5"/>
        <v>0.13636363636363635</v>
      </c>
      <c r="S20" s="66"/>
      <c r="T20" s="66"/>
      <c r="U20" s="51" t="str">
        <f t="shared" si="6"/>
        <v/>
      </c>
      <c r="V20" s="66"/>
      <c r="W20" s="51" t="str">
        <f t="shared" si="7"/>
        <v/>
      </c>
      <c r="X20" s="66"/>
      <c r="Y20" s="51" t="str">
        <f t="shared" si="8"/>
        <v/>
      </c>
      <c r="Z20" s="2"/>
      <c r="AA20" s="2"/>
      <c r="AB20" s="2"/>
      <c r="AC20" s="2"/>
      <c r="AD20" s="2"/>
      <c r="AE20" s="2"/>
    </row>
    <row r="21" spans="1:31" ht="12.75" x14ac:dyDescent="0.2">
      <c r="A21" s="53">
        <f ca="1">IFERROR(__xludf.DUMMYFUNCTION("""COMPUTED_VALUE"""),15)</f>
        <v>15</v>
      </c>
      <c r="B21" s="66" t="str">
        <f ca="1">IFERROR(__xludf.DUMMYFUNCTION("""COMPUTED_VALUE"""),"MN Mặt Trời Bé Con")</f>
        <v>MN Mặt Trời Bé Con</v>
      </c>
      <c r="C21" s="66" t="str">
        <f ca="1">IFERROR(__xludf.DUMMYFUNCTION("""COMPUTED_VALUE"""),"MN")</f>
        <v>MN</v>
      </c>
      <c r="D21" s="66" t="str">
        <f ca="1">IFERROR(__xludf.DUMMYFUNCTION("""COMPUTED_VALUE"""),"QUẬN 7")</f>
        <v>QUẬN 7</v>
      </c>
      <c r="E21" s="67">
        <f ca="1">IFERROR(__xludf.DUMMYFUNCTION("""COMPUTED_VALUE"""),67)</f>
        <v>67</v>
      </c>
      <c r="F21" s="67">
        <f ca="1">IFERROR(__xludf.DUMMYFUNCTION("""COMPUTED_VALUE"""),67)</f>
        <v>67</v>
      </c>
      <c r="G21" s="51">
        <f t="shared" ca="1" si="0"/>
        <v>1</v>
      </c>
      <c r="H21" s="67">
        <f ca="1">IFERROR(__xludf.DUMMYFUNCTION("""COMPUTED_VALUE"""),67)</f>
        <v>67</v>
      </c>
      <c r="I21" s="51">
        <f t="shared" ca="1" si="1"/>
        <v>1</v>
      </c>
      <c r="J21" s="67">
        <f ca="1">IFERROR(__xludf.DUMMYFUNCTION("""COMPUTED_VALUE"""),63)</f>
        <v>63</v>
      </c>
      <c r="K21" s="51">
        <f t="shared" ca="1" si="2"/>
        <v>0.94029850746268662</v>
      </c>
      <c r="L21" s="67">
        <f ca="1">IFERROR(__xludf.DUMMYFUNCTION("""COMPUTED_VALUE"""),32)</f>
        <v>32</v>
      </c>
      <c r="M21" s="51">
        <f t="shared" ca="1" si="3"/>
        <v>0.47761194029850745</v>
      </c>
      <c r="N21" s="67">
        <f ca="1">IFERROR(__xludf.DUMMYFUNCTION("""COMPUTED_VALUE"""),108)</f>
        <v>108</v>
      </c>
      <c r="O21" s="67">
        <f ca="1">IFERROR(__xludf.DUMMYFUNCTION("""COMPUTED_VALUE"""),6)</f>
        <v>6</v>
      </c>
      <c r="P21" s="51">
        <f t="shared" ca="1" si="4"/>
        <v>5.5555555555555552E-2</v>
      </c>
      <c r="Q21" s="67">
        <f ca="1">IFERROR(__xludf.DUMMYFUNCTION("""COMPUTED_VALUE"""),6)</f>
        <v>6</v>
      </c>
      <c r="R21" s="51">
        <f t="shared" ca="1" si="5"/>
        <v>5.5555555555555552E-2</v>
      </c>
      <c r="S21" s="66"/>
      <c r="T21" s="66"/>
      <c r="U21" s="51" t="str">
        <f t="shared" si="6"/>
        <v/>
      </c>
      <c r="V21" s="66"/>
      <c r="W21" s="51" t="str">
        <f t="shared" si="7"/>
        <v/>
      </c>
      <c r="X21" s="66"/>
      <c r="Y21" s="51" t="str">
        <f t="shared" si="8"/>
        <v/>
      </c>
      <c r="Z21" s="2"/>
      <c r="AA21" s="2"/>
      <c r="AB21" s="2"/>
      <c r="AC21" s="2"/>
      <c r="AD21" s="2"/>
      <c r="AE21" s="2"/>
    </row>
    <row r="22" spans="1:31" ht="12.75" x14ac:dyDescent="0.2">
      <c r="A22" s="53">
        <f ca="1">IFERROR(__xludf.DUMMYFUNCTION("""COMPUTED_VALUE"""),16)</f>
        <v>16</v>
      </c>
      <c r="B22" s="66" t="str">
        <f ca="1">IFERROR(__xludf.DUMMYFUNCTION("""COMPUTED_VALUE"""),"MN Sao Mai")</f>
        <v>MN Sao Mai</v>
      </c>
      <c r="C22" s="66" t="str">
        <f ca="1">IFERROR(__xludf.DUMMYFUNCTION("""COMPUTED_VALUE"""),"MN")</f>
        <v>MN</v>
      </c>
      <c r="D22" s="66" t="str">
        <f ca="1">IFERROR(__xludf.DUMMYFUNCTION("""COMPUTED_VALUE"""),"QUẬN 7")</f>
        <v>QUẬN 7</v>
      </c>
      <c r="E22" s="67">
        <f ca="1">IFERROR(__xludf.DUMMYFUNCTION("""COMPUTED_VALUE"""),9)</f>
        <v>9</v>
      </c>
      <c r="F22" s="67">
        <f ca="1">IFERROR(__xludf.DUMMYFUNCTION("""COMPUTED_VALUE"""),9)</f>
        <v>9</v>
      </c>
      <c r="G22" s="51">
        <f t="shared" ca="1" si="0"/>
        <v>1</v>
      </c>
      <c r="H22" s="67">
        <f ca="1">IFERROR(__xludf.DUMMYFUNCTION("""COMPUTED_VALUE"""),9)</f>
        <v>9</v>
      </c>
      <c r="I22" s="51">
        <f t="shared" ca="1" si="1"/>
        <v>1</v>
      </c>
      <c r="J22" s="67">
        <f ca="1">IFERROR(__xludf.DUMMYFUNCTION("""COMPUTED_VALUE"""),9)</f>
        <v>9</v>
      </c>
      <c r="K22" s="51">
        <f t="shared" ca="1" si="2"/>
        <v>1</v>
      </c>
      <c r="L22" s="67">
        <f ca="1">IFERROR(__xludf.DUMMYFUNCTION("""COMPUTED_VALUE"""),9)</f>
        <v>9</v>
      </c>
      <c r="M22" s="51">
        <f t="shared" ca="1" si="3"/>
        <v>1</v>
      </c>
      <c r="N22" s="67">
        <f ca="1">IFERROR(__xludf.DUMMYFUNCTION("""COMPUTED_VALUE"""),11)</f>
        <v>11</v>
      </c>
      <c r="O22" s="67">
        <f ca="1">IFERROR(__xludf.DUMMYFUNCTION("""COMPUTED_VALUE"""),0)</f>
        <v>0</v>
      </c>
      <c r="P22" s="51">
        <f t="shared" ca="1" si="4"/>
        <v>0</v>
      </c>
      <c r="Q22" s="67">
        <f ca="1">IFERROR(__xludf.DUMMYFUNCTION("""COMPUTED_VALUE"""),0)</f>
        <v>0</v>
      </c>
      <c r="R22" s="51">
        <f t="shared" ca="1" si="5"/>
        <v>0</v>
      </c>
      <c r="S22" s="66"/>
      <c r="T22" s="66"/>
      <c r="U22" s="51" t="str">
        <f t="shared" si="6"/>
        <v/>
      </c>
      <c r="V22" s="66"/>
      <c r="W22" s="51" t="str">
        <f t="shared" si="7"/>
        <v/>
      </c>
      <c r="X22" s="66"/>
      <c r="Y22" s="51" t="str">
        <f t="shared" si="8"/>
        <v/>
      </c>
      <c r="Z22" s="2"/>
      <c r="AA22" s="2"/>
      <c r="AB22" s="2"/>
      <c r="AC22" s="2"/>
      <c r="AD22" s="2"/>
      <c r="AE22" s="2"/>
    </row>
    <row r="23" spans="1:31" ht="12.75" x14ac:dyDescent="0.2">
      <c r="A23" s="53">
        <f ca="1">IFERROR(__xludf.DUMMYFUNCTION("""COMPUTED_VALUE"""),17)</f>
        <v>17</v>
      </c>
      <c r="B23" s="66" t="str">
        <f ca="1">IFERROR(__xludf.DUMMYFUNCTION("""COMPUTED_VALUE"""),"MN Hoàng Anh")</f>
        <v>MN Hoàng Anh</v>
      </c>
      <c r="C23" s="66" t="str">
        <f ca="1">IFERROR(__xludf.DUMMYFUNCTION("""COMPUTED_VALUE"""),"MN")</f>
        <v>MN</v>
      </c>
      <c r="D23" s="66" t="str">
        <f ca="1">IFERROR(__xludf.DUMMYFUNCTION("""COMPUTED_VALUE"""),"QUẬN 7")</f>
        <v>QUẬN 7</v>
      </c>
      <c r="E23" s="67">
        <f ca="1">IFERROR(__xludf.DUMMYFUNCTION("""COMPUTED_VALUE"""),12)</f>
        <v>12</v>
      </c>
      <c r="F23" s="67">
        <f ca="1">IFERROR(__xludf.DUMMYFUNCTION("""COMPUTED_VALUE"""),12)</f>
        <v>12</v>
      </c>
      <c r="G23" s="51">
        <f t="shared" ca="1" si="0"/>
        <v>1</v>
      </c>
      <c r="H23" s="67">
        <f ca="1">IFERROR(__xludf.DUMMYFUNCTION("""COMPUTED_VALUE"""),12)</f>
        <v>12</v>
      </c>
      <c r="I23" s="51">
        <f t="shared" ca="1" si="1"/>
        <v>1</v>
      </c>
      <c r="J23" s="67">
        <f ca="1">IFERROR(__xludf.DUMMYFUNCTION("""COMPUTED_VALUE"""),11)</f>
        <v>11</v>
      </c>
      <c r="K23" s="51">
        <f t="shared" ca="1" si="2"/>
        <v>0.91666666666666663</v>
      </c>
      <c r="L23" s="67">
        <f ca="1">IFERROR(__xludf.DUMMYFUNCTION("""COMPUTED_VALUE"""),10)</f>
        <v>10</v>
      </c>
      <c r="M23" s="51">
        <f t="shared" ca="1" si="3"/>
        <v>0.83333333333333337</v>
      </c>
      <c r="N23" s="67">
        <f ca="1">IFERROR(__xludf.DUMMYFUNCTION("""COMPUTED_VALUE"""),8)</f>
        <v>8</v>
      </c>
      <c r="O23" s="67">
        <f ca="1">IFERROR(__xludf.DUMMYFUNCTION("""COMPUTED_VALUE"""),5)</f>
        <v>5</v>
      </c>
      <c r="P23" s="51">
        <f t="shared" ca="1" si="4"/>
        <v>0.625</v>
      </c>
      <c r="Q23" s="67">
        <f ca="1">IFERROR(__xludf.DUMMYFUNCTION("""COMPUTED_VALUE"""),0)</f>
        <v>0</v>
      </c>
      <c r="R23" s="51">
        <f t="shared" ca="1" si="5"/>
        <v>0</v>
      </c>
      <c r="S23" s="66"/>
      <c r="T23" s="66"/>
      <c r="U23" s="51" t="str">
        <f t="shared" si="6"/>
        <v/>
      </c>
      <c r="V23" s="66"/>
      <c r="W23" s="51" t="str">
        <f t="shared" si="7"/>
        <v/>
      </c>
      <c r="X23" s="66"/>
      <c r="Y23" s="51" t="str">
        <f t="shared" si="8"/>
        <v/>
      </c>
      <c r="Z23" s="2"/>
      <c r="AA23" s="2"/>
      <c r="AB23" s="2"/>
      <c r="AC23" s="2"/>
      <c r="AD23" s="2"/>
      <c r="AE23" s="2"/>
    </row>
    <row r="24" spans="1:31" ht="12.75" x14ac:dyDescent="0.2">
      <c r="A24" s="53">
        <f ca="1">IFERROR(__xludf.DUMMYFUNCTION("""COMPUTED_VALUE"""),18)</f>
        <v>18</v>
      </c>
      <c r="B24" s="66" t="str">
        <f ca="1">IFERROR(__xludf.DUMMYFUNCTION("""COMPUTED_VALUE"""),"MN Hoa Thủy Tiên")</f>
        <v>MN Hoa Thủy Tiên</v>
      </c>
      <c r="C24" s="66" t="str">
        <f ca="1">IFERROR(__xludf.DUMMYFUNCTION("""COMPUTED_VALUE"""),"MN")</f>
        <v>MN</v>
      </c>
      <c r="D24" s="66" t="str">
        <f ca="1">IFERROR(__xludf.DUMMYFUNCTION("""COMPUTED_VALUE"""),"QUẬN 7")</f>
        <v>QUẬN 7</v>
      </c>
      <c r="E24" s="67">
        <f ca="1">IFERROR(__xludf.DUMMYFUNCTION("""COMPUTED_VALUE"""),11)</f>
        <v>11</v>
      </c>
      <c r="F24" s="67">
        <f ca="1">IFERROR(__xludf.DUMMYFUNCTION("""COMPUTED_VALUE"""),11)</f>
        <v>11</v>
      </c>
      <c r="G24" s="51">
        <f t="shared" ca="1" si="0"/>
        <v>1</v>
      </c>
      <c r="H24" s="67">
        <f ca="1">IFERROR(__xludf.DUMMYFUNCTION("""COMPUTED_VALUE"""),11)</f>
        <v>11</v>
      </c>
      <c r="I24" s="51">
        <f t="shared" ca="1" si="1"/>
        <v>1</v>
      </c>
      <c r="J24" s="67">
        <f ca="1">IFERROR(__xludf.DUMMYFUNCTION("""COMPUTED_VALUE"""),11)</f>
        <v>11</v>
      </c>
      <c r="K24" s="51">
        <f t="shared" ca="1" si="2"/>
        <v>1</v>
      </c>
      <c r="L24" s="67">
        <f ca="1">IFERROR(__xludf.DUMMYFUNCTION("""COMPUTED_VALUE"""),7)</f>
        <v>7</v>
      </c>
      <c r="M24" s="51">
        <f t="shared" ca="1" si="3"/>
        <v>0.63636363636363635</v>
      </c>
      <c r="N24" s="67">
        <f ca="1">IFERROR(__xludf.DUMMYFUNCTION("""COMPUTED_VALUE"""),12)</f>
        <v>12</v>
      </c>
      <c r="O24" s="67">
        <f ca="1">IFERROR(__xludf.DUMMYFUNCTION("""COMPUTED_VALUE"""),2)</f>
        <v>2</v>
      </c>
      <c r="P24" s="51">
        <f t="shared" ca="1" si="4"/>
        <v>0.16666666666666666</v>
      </c>
      <c r="Q24" s="67">
        <f ca="1">IFERROR(__xludf.DUMMYFUNCTION("""COMPUTED_VALUE"""),0)</f>
        <v>0</v>
      </c>
      <c r="R24" s="51">
        <f t="shared" ca="1" si="5"/>
        <v>0</v>
      </c>
      <c r="S24" s="66"/>
      <c r="T24" s="66"/>
      <c r="U24" s="51" t="str">
        <f t="shared" si="6"/>
        <v/>
      </c>
      <c r="V24" s="66"/>
      <c r="W24" s="51" t="str">
        <f t="shared" si="7"/>
        <v/>
      </c>
      <c r="X24" s="66"/>
      <c r="Y24" s="51" t="str">
        <f t="shared" si="8"/>
        <v/>
      </c>
      <c r="Z24" s="2"/>
      <c r="AA24" s="2"/>
      <c r="AB24" s="2"/>
      <c r="AC24" s="2"/>
      <c r="AD24" s="2"/>
      <c r="AE24" s="2"/>
    </row>
    <row r="25" spans="1:31" ht="12.75" x14ac:dyDescent="0.2">
      <c r="A25" s="53">
        <f ca="1">IFERROR(__xludf.DUMMYFUNCTION("""COMPUTED_VALUE"""),19)</f>
        <v>19</v>
      </c>
      <c r="B25" s="66" t="str">
        <f ca="1">IFERROR(__xludf.DUMMYFUNCTION("""COMPUTED_VALUE"""),"MN Thế Giới Xanh")</f>
        <v>MN Thế Giới Xanh</v>
      </c>
      <c r="C25" s="66" t="str">
        <f ca="1">IFERROR(__xludf.DUMMYFUNCTION("""COMPUTED_VALUE"""),"MN")</f>
        <v>MN</v>
      </c>
      <c r="D25" s="66" t="str">
        <f ca="1">IFERROR(__xludf.DUMMYFUNCTION("""COMPUTED_VALUE"""),"QUẬN 7")</f>
        <v>QUẬN 7</v>
      </c>
      <c r="E25" s="67">
        <f ca="1">IFERROR(__xludf.DUMMYFUNCTION("""COMPUTED_VALUE"""),9)</f>
        <v>9</v>
      </c>
      <c r="F25" s="67">
        <f ca="1">IFERROR(__xludf.DUMMYFUNCTION("""COMPUTED_VALUE"""),9)</f>
        <v>9</v>
      </c>
      <c r="G25" s="51">
        <f t="shared" ca="1" si="0"/>
        <v>1</v>
      </c>
      <c r="H25" s="67">
        <f ca="1">IFERROR(__xludf.DUMMYFUNCTION("""COMPUTED_VALUE"""),9)</f>
        <v>9</v>
      </c>
      <c r="I25" s="51">
        <f t="shared" ca="1" si="1"/>
        <v>1</v>
      </c>
      <c r="J25" s="67">
        <f ca="1">IFERROR(__xludf.DUMMYFUNCTION("""COMPUTED_VALUE"""),7)</f>
        <v>7</v>
      </c>
      <c r="K25" s="51">
        <f t="shared" ca="1" si="2"/>
        <v>0.77777777777777779</v>
      </c>
      <c r="L25" s="67">
        <f ca="1">IFERROR(__xludf.DUMMYFUNCTION("""COMPUTED_VALUE"""),1)</f>
        <v>1</v>
      </c>
      <c r="M25" s="51">
        <f t="shared" ca="1" si="3"/>
        <v>0.1111111111111111</v>
      </c>
      <c r="N25" s="67">
        <f ca="1">IFERROR(__xludf.DUMMYFUNCTION("""COMPUTED_VALUE"""),10)</f>
        <v>10</v>
      </c>
      <c r="O25" s="67">
        <f ca="1">IFERROR(__xludf.DUMMYFUNCTION("""COMPUTED_VALUE"""),0)</f>
        <v>0</v>
      </c>
      <c r="P25" s="51">
        <f t="shared" ca="1" si="4"/>
        <v>0</v>
      </c>
      <c r="Q25" s="67">
        <f ca="1">IFERROR(__xludf.DUMMYFUNCTION("""COMPUTED_VALUE"""),0)</f>
        <v>0</v>
      </c>
      <c r="R25" s="51">
        <f t="shared" ca="1" si="5"/>
        <v>0</v>
      </c>
      <c r="S25" s="66"/>
      <c r="T25" s="66"/>
      <c r="U25" s="51" t="str">
        <f t="shared" si="6"/>
        <v/>
      </c>
      <c r="V25" s="66"/>
      <c r="W25" s="51" t="str">
        <f t="shared" si="7"/>
        <v/>
      </c>
      <c r="X25" s="66"/>
      <c r="Y25" s="51" t="str">
        <f t="shared" si="8"/>
        <v/>
      </c>
      <c r="Z25" s="2"/>
      <c r="AA25" s="2"/>
      <c r="AB25" s="2"/>
      <c r="AC25" s="2"/>
      <c r="AD25" s="2"/>
      <c r="AE25" s="2"/>
    </row>
    <row r="26" spans="1:31" ht="12.75" x14ac:dyDescent="0.2">
      <c r="A26" s="53">
        <f ca="1">IFERROR(__xludf.DUMMYFUNCTION("""COMPUTED_VALUE"""),20)</f>
        <v>20</v>
      </c>
      <c r="B26" s="66" t="str">
        <f ca="1">IFERROR(__xludf.DUMMYFUNCTION("""COMPUTED_VALUE"""),"MN Ngôi Sao Hạnh Phúc")</f>
        <v>MN Ngôi Sao Hạnh Phúc</v>
      </c>
      <c r="C26" s="66" t="str">
        <f ca="1">IFERROR(__xludf.DUMMYFUNCTION("""COMPUTED_VALUE"""),"MN")</f>
        <v>MN</v>
      </c>
      <c r="D26" s="66" t="str">
        <f ca="1">IFERROR(__xludf.DUMMYFUNCTION("""COMPUTED_VALUE"""),"QUẬN 7")</f>
        <v>QUẬN 7</v>
      </c>
      <c r="E26" s="67">
        <f ca="1">IFERROR(__xludf.DUMMYFUNCTION("""COMPUTED_VALUE"""),31)</f>
        <v>31</v>
      </c>
      <c r="F26" s="67">
        <f ca="1">IFERROR(__xludf.DUMMYFUNCTION("""COMPUTED_VALUE"""),31)</f>
        <v>31</v>
      </c>
      <c r="G26" s="51">
        <f t="shared" ca="1" si="0"/>
        <v>1</v>
      </c>
      <c r="H26" s="67">
        <f ca="1">IFERROR(__xludf.DUMMYFUNCTION("""COMPUTED_VALUE"""),31)</f>
        <v>31</v>
      </c>
      <c r="I26" s="51">
        <f t="shared" ca="1" si="1"/>
        <v>1</v>
      </c>
      <c r="J26" s="67">
        <f ca="1">IFERROR(__xludf.DUMMYFUNCTION("""COMPUTED_VALUE"""),31)</f>
        <v>31</v>
      </c>
      <c r="K26" s="51">
        <f t="shared" ca="1" si="2"/>
        <v>1</v>
      </c>
      <c r="L26" s="67">
        <f ca="1">IFERROR(__xludf.DUMMYFUNCTION("""COMPUTED_VALUE"""),13)</f>
        <v>13</v>
      </c>
      <c r="M26" s="51">
        <f t="shared" ca="1" si="3"/>
        <v>0.41935483870967744</v>
      </c>
      <c r="N26" s="67">
        <f ca="1">IFERROR(__xludf.DUMMYFUNCTION("""COMPUTED_VALUE"""),37)</f>
        <v>37</v>
      </c>
      <c r="O26" s="67">
        <f ca="1">IFERROR(__xludf.DUMMYFUNCTION("""COMPUTED_VALUE"""),0)</f>
        <v>0</v>
      </c>
      <c r="P26" s="51">
        <f t="shared" ca="1" si="4"/>
        <v>0</v>
      </c>
      <c r="Q26" s="67">
        <f ca="1">IFERROR(__xludf.DUMMYFUNCTION("""COMPUTED_VALUE"""),0)</f>
        <v>0</v>
      </c>
      <c r="R26" s="51">
        <f t="shared" ca="1" si="5"/>
        <v>0</v>
      </c>
      <c r="S26" s="66"/>
      <c r="T26" s="66"/>
      <c r="U26" s="51" t="str">
        <f t="shared" si="6"/>
        <v/>
      </c>
      <c r="V26" s="66"/>
      <c r="W26" s="51" t="str">
        <f t="shared" si="7"/>
        <v/>
      </c>
      <c r="X26" s="66"/>
      <c r="Y26" s="51" t="str">
        <f t="shared" si="8"/>
        <v/>
      </c>
      <c r="Z26" s="2"/>
      <c r="AA26" s="2"/>
      <c r="AB26" s="2"/>
      <c r="AC26" s="2"/>
      <c r="AD26" s="2"/>
      <c r="AE26" s="2"/>
    </row>
    <row r="27" spans="1:31" ht="12.75" x14ac:dyDescent="0.2">
      <c r="A27" s="53">
        <f ca="1">IFERROR(__xludf.DUMMYFUNCTION("""COMPUTED_VALUE"""),21)</f>
        <v>21</v>
      </c>
      <c r="B27" s="66" t="str">
        <f ca="1">IFERROR(__xludf.DUMMYFUNCTION("""COMPUTED_VALUE"""),"MN ABC")</f>
        <v>MN ABC</v>
      </c>
      <c r="C27" s="66" t="str">
        <f ca="1">IFERROR(__xludf.DUMMYFUNCTION("""COMPUTED_VALUE"""),"MN")</f>
        <v>MN</v>
      </c>
      <c r="D27" s="66" t="str">
        <f ca="1">IFERROR(__xludf.DUMMYFUNCTION("""COMPUTED_VALUE"""),"QUẬN 7")</f>
        <v>QUẬN 7</v>
      </c>
      <c r="E27" s="67">
        <f ca="1">IFERROR(__xludf.DUMMYFUNCTION("""COMPUTED_VALUE"""),17)</f>
        <v>17</v>
      </c>
      <c r="F27" s="67">
        <f ca="1">IFERROR(__xludf.DUMMYFUNCTION("""COMPUTED_VALUE"""),17)</f>
        <v>17</v>
      </c>
      <c r="G27" s="51">
        <f t="shared" ca="1" si="0"/>
        <v>1</v>
      </c>
      <c r="H27" s="67">
        <f ca="1">IFERROR(__xludf.DUMMYFUNCTION("""COMPUTED_VALUE"""),17)</f>
        <v>17</v>
      </c>
      <c r="I27" s="51">
        <f t="shared" ca="1" si="1"/>
        <v>1</v>
      </c>
      <c r="J27" s="67">
        <f ca="1">IFERROR(__xludf.DUMMYFUNCTION("""COMPUTED_VALUE"""),17)</f>
        <v>17</v>
      </c>
      <c r="K27" s="51">
        <f t="shared" ca="1" si="2"/>
        <v>1</v>
      </c>
      <c r="L27" s="67">
        <f ca="1">IFERROR(__xludf.DUMMYFUNCTION("""COMPUTED_VALUE"""),16)</f>
        <v>16</v>
      </c>
      <c r="M27" s="51">
        <f t="shared" ca="1" si="3"/>
        <v>0.94117647058823528</v>
      </c>
      <c r="N27" s="67">
        <f ca="1">IFERROR(__xludf.DUMMYFUNCTION("""COMPUTED_VALUE"""),10)</f>
        <v>10</v>
      </c>
      <c r="O27" s="67">
        <f ca="1">IFERROR(__xludf.DUMMYFUNCTION("""COMPUTED_VALUE"""),2)</f>
        <v>2</v>
      </c>
      <c r="P27" s="51">
        <f t="shared" ca="1" si="4"/>
        <v>0.2</v>
      </c>
      <c r="Q27" s="67">
        <f ca="1">IFERROR(__xludf.DUMMYFUNCTION("""COMPUTED_VALUE"""),0)</f>
        <v>0</v>
      </c>
      <c r="R27" s="51">
        <f t="shared" ca="1" si="5"/>
        <v>0</v>
      </c>
      <c r="S27" s="66"/>
      <c r="T27" s="66"/>
      <c r="U27" s="51" t="str">
        <f t="shared" si="6"/>
        <v/>
      </c>
      <c r="V27" s="66"/>
      <c r="W27" s="51" t="str">
        <f t="shared" si="7"/>
        <v/>
      </c>
      <c r="X27" s="66"/>
      <c r="Y27" s="51" t="str">
        <f t="shared" si="8"/>
        <v/>
      </c>
      <c r="Z27" s="2"/>
      <c r="AA27" s="2"/>
      <c r="AB27" s="2"/>
      <c r="AC27" s="2"/>
      <c r="AD27" s="2"/>
      <c r="AE27" s="2"/>
    </row>
    <row r="28" spans="1:31" ht="12.75" x14ac:dyDescent="0.2">
      <c r="A28" s="53">
        <f ca="1">IFERROR(__xludf.DUMMYFUNCTION("""COMPUTED_VALUE"""),22)</f>
        <v>22</v>
      </c>
      <c r="B28" s="66" t="str">
        <f ca="1">IFERROR(__xludf.DUMMYFUNCTION("""COMPUTED_VALUE"""),"TMN Việt Úc")</f>
        <v>TMN Việt Úc</v>
      </c>
      <c r="C28" s="66" t="str">
        <f ca="1">IFERROR(__xludf.DUMMYFUNCTION("""COMPUTED_VALUE"""),"MN")</f>
        <v>MN</v>
      </c>
      <c r="D28" s="66" t="str">
        <f ca="1">IFERROR(__xludf.DUMMYFUNCTION("""COMPUTED_VALUE"""),"QUẬN 7")</f>
        <v>QUẬN 7</v>
      </c>
      <c r="E28" s="67">
        <f ca="1">IFERROR(__xludf.DUMMYFUNCTION("""COMPUTED_VALUE"""),35)</f>
        <v>35</v>
      </c>
      <c r="F28" s="67">
        <f ca="1">IFERROR(__xludf.DUMMYFUNCTION("""COMPUTED_VALUE"""),35)</f>
        <v>35</v>
      </c>
      <c r="G28" s="51">
        <f t="shared" ca="1" si="0"/>
        <v>1</v>
      </c>
      <c r="H28" s="67">
        <f ca="1">IFERROR(__xludf.DUMMYFUNCTION("""COMPUTED_VALUE"""),35)</f>
        <v>35</v>
      </c>
      <c r="I28" s="51">
        <f t="shared" ca="1" si="1"/>
        <v>1</v>
      </c>
      <c r="J28" s="67">
        <f ca="1">IFERROR(__xludf.DUMMYFUNCTION("""COMPUTED_VALUE"""),35)</f>
        <v>35</v>
      </c>
      <c r="K28" s="51">
        <f t="shared" ca="1" si="2"/>
        <v>1</v>
      </c>
      <c r="L28" s="67">
        <f ca="1">IFERROR(__xludf.DUMMYFUNCTION("""COMPUTED_VALUE"""),9)</f>
        <v>9</v>
      </c>
      <c r="M28" s="51">
        <f t="shared" ca="1" si="3"/>
        <v>0.25714285714285712</v>
      </c>
      <c r="N28" s="67">
        <f ca="1">IFERROR(__xludf.DUMMYFUNCTION("""COMPUTED_VALUE"""),60)</f>
        <v>60</v>
      </c>
      <c r="O28" s="67">
        <f ca="1">IFERROR(__xludf.DUMMYFUNCTION("""COMPUTED_VALUE"""),1)</f>
        <v>1</v>
      </c>
      <c r="P28" s="51">
        <f t="shared" ca="1" si="4"/>
        <v>1.6666666666666666E-2</v>
      </c>
      <c r="Q28" s="67">
        <f ca="1">IFERROR(__xludf.DUMMYFUNCTION("""COMPUTED_VALUE"""),0)</f>
        <v>0</v>
      </c>
      <c r="R28" s="51">
        <f t="shared" ca="1" si="5"/>
        <v>0</v>
      </c>
      <c r="S28" s="66"/>
      <c r="T28" s="66"/>
      <c r="U28" s="51" t="str">
        <f t="shared" si="6"/>
        <v/>
      </c>
      <c r="V28" s="66"/>
      <c r="W28" s="51" t="str">
        <f t="shared" si="7"/>
        <v/>
      </c>
      <c r="X28" s="66"/>
      <c r="Y28" s="51" t="str">
        <f t="shared" si="8"/>
        <v/>
      </c>
      <c r="Z28" s="2"/>
      <c r="AA28" s="2"/>
      <c r="AB28" s="2"/>
      <c r="AC28" s="2"/>
      <c r="AD28" s="2"/>
      <c r="AE28" s="2"/>
    </row>
    <row r="29" spans="1:31" ht="12.75" x14ac:dyDescent="0.2">
      <c r="A29" s="53">
        <f ca="1">IFERROR(__xludf.DUMMYFUNCTION("""COMPUTED_VALUE"""),23)</f>
        <v>23</v>
      </c>
      <c r="B29" s="66" t="str">
        <f ca="1">IFERROR(__xludf.DUMMYFUNCTION("""COMPUTED_VALUE"""),"MN Khôi Nguyên")</f>
        <v>MN Khôi Nguyên</v>
      </c>
      <c r="C29" s="66" t="str">
        <f ca="1">IFERROR(__xludf.DUMMYFUNCTION("""COMPUTED_VALUE"""),"MN")</f>
        <v>MN</v>
      </c>
      <c r="D29" s="66" t="str">
        <f ca="1">IFERROR(__xludf.DUMMYFUNCTION("""COMPUTED_VALUE"""),"QUẬN 7")</f>
        <v>QUẬN 7</v>
      </c>
      <c r="E29" s="67">
        <f ca="1">IFERROR(__xludf.DUMMYFUNCTION("""COMPUTED_VALUE"""),10)</f>
        <v>10</v>
      </c>
      <c r="F29" s="67">
        <f ca="1">IFERROR(__xludf.DUMMYFUNCTION("""COMPUTED_VALUE"""),10)</f>
        <v>10</v>
      </c>
      <c r="G29" s="51">
        <f t="shared" ca="1" si="0"/>
        <v>1</v>
      </c>
      <c r="H29" s="67">
        <f ca="1">IFERROR(__xludf.DUMMYFUNCTION("""COMPUTED_VALUE"""),10)</f>
        <v>10</v>
      </c>
      <c r="I29" s="51">
        <f t="shared" ca="1" si="1"/>
        <v>1</v>
      </c>
      <c r="J29" s="67">
        <f ca="1">IFERROR(__xludf.DUMMYFUNCTION("""COMPUTED_VALUE"""),9)</f>
        <v>9</v>
      </c>
      <c r="K29" s="51">
        <f t="shared" ca="1" si="2"/>
        <v>0.9</v>
      </c>
      <c r="L29" s="67">
        <f ca="1">IFERROR(__xludf.DUMMYFUNCTION("""COMPUTED_VALUE"""),5)</f>
        <v>5</v>
      </c>
      <c r="M29" s="51">
        <f t="shared" ca="1" si="3"/>
        <v>0.5</v>
      </c>
      <c r="N29" s="67">
        <f ca="1">IFERROR(__xludf.DUMMYFUNCTION("""COMPUTED_VALUE"""),7)</f>
        <v>7</v>
      </c>
      <c r="O29" s="67">
        <f ca="1">IFERROR(__xludf.DUMMYFUNCTION("""COMPUTED_VALUE"""),0)</f>
        <v>0</v>
      </c>
      <c r="P29" s="51">
        <f t="shared" ca="1" si="4"/>
        <v>0</v>
      </c>
      <c r="Q29" s="67">
        <f ca="1">IFERROR(__xludf.DUMMYFUNCTION("""COMPUTED_VALUE"""),0)</f>
        <v>0</v>
      </c>
      <c r="R29" s="51">
        <f t="shared" ca="1" si="5"/>
        <v>0</v>
      </c>
      <c r="S29" s="66"/>
      <c r="T29" s="66"/>
      <c r="U29" s="51" t="str">
        <f t="shared" si="6"/>
        <v/>
      </c>
      <c r="V29" s="66"/>
      <c r="W29" s="51" t="str">
        <f t="shared" si="7"/>
        <v/>
      </c>
      <c r="X29" s="66"/>
      <c r="Y29" s="51" t="str">
        <f t="shared" si="8"/>
        <v/>
      </c>
      <c r="Z29" s="2"/>
      <c r="AA29" s="2"/>
      <c r="AB29" s="2"/>
      <c r="AC29" s="2"/>
      <c r="AD29" s="2"/>
      <c r="AE29" s="2"/>
    </row>
    <row r="30" spans="1:31" ht="12.75" x14ac:dyDescent="0.2">
      <c r="A30" s="53">
        <f ca="1">IFERROR(__xludf.DUMMYFUNCTION("""COMPUTED_VALUE"""),24)</f>
        <v>24</v>
      </c>
      <c r="B30" s="66" t="str">
        <f ca="1">IFERROR(__xludf.DUMMYFUNCTION("""COMPUTED_VALUE"""),"MN Khủng Long Nhỏ")</f>
        <v>MN Khủng Long Nhỏ</v>
      </c>
      <c r="C30" s="66" t="str">
        <f ca="1">IFERROR(__xludf.DUMMYFUNCTION("""COMPUTED_VALUE"""),"MN")</f>
        <v>MN</v>
      </c>
      <c r="D30" s="66" t="str">
        <f ca="1">IFERROR(__xludf.DUMMYFUNCTION("""COMPUTED_VALUE"""),"QUẬN 7")</f>
        <v>QUẬN 7</v>
      </c>
      <c r="E30" s="67">
        <f ca="1">IFERROR(__xludf.DUMMYFUNCTION("""COMPUTED_VALUE"""),42)</f>
        <v>42</v>
      </c>
      <c r="F30" s="67">
        <f ca="1">IFERROR(__xludf.DUMMYFUNCTION("""COMPUTED_VALUE"""),42)</f>
        <v>42</v>
      </c>
      <c r="G30" s="51">
        <f t="shared" ca="1" si="0"/>
        <v>1</v>
      </c>
      <c r="H30" s="67">
        <f ca="1">IFERROR(__xludf.DUMMYFUNCTION("""COMPUTED_VALUE"""),42)</f>
        <v>42</v>
      </c>
      <c r="I30" s="51">
        <f t="shared" ca="1" si="1"/>
        <v>1</v>
      </c>
      <c r="J30" s="67">
        <f ca="1">IFERROR(__xludf.DUMMYFUNCTION("""COMPUTED_VALUE"""),39)</f>
        <v>39</v>
      </c>
      <c r="K30" s="51">
        <f t="shared" ca="1" si="2"/>
        <v>0.9285714285714286</v>
      </c>
      <c r="L30" s="67">
        <f ca="1">IFERROR(__xludf.DUMMYFUNCTION("""COMPUTED_VALUE"""),39)</f>
        <v>39</v>
      </c>
      <c r="M30" s="51">
        <f t="shared" ca="1" si="3"/>
        <v>0.9285714285714286</v>
      </c>
      <c r="N30" s="67">
        <f ca="1">IFERROR(__xludf.DUMMYFUNCTION("""COMPUTED_VALUE"""),34)</f>
        <v>34</v>
      </c>
      <c r="O30" s="67">
        <f ca="1">IFERROR(__xludf.DUMMYFUNCTION("""COMPUTED_VALUE"""),0)</f>
        <v>0</v>
      </c>
      <c r="P30" s="51">
        <f t="shared" ca="1" si="4"/>
        <v>0</v>
      </c>
      <c r="Q30" s="67">
        <f ca="1">IFERROR(__xludf.DUMMYFUNCTION("""COMPUTED_VALUE"""),0)</f>
        <v>0</v>
      </c>
      <c r="R30" s="51">
        <f t="shared" ca="1" si="5"/>
        <v>0</v>
      </c>
      <c r="S30" s="66"/>
      <c r="T30" s="66"/>
      <c r="U30" s="51" t="str">
        <f t="shared" si="6"/>
        <v/>
      </c>
      <c r="V30" s="66"/>
      <c r="W30" s="51" t="str">
        <f t="shared" si="7"/>
        <v/>
      </c>
      <c r="X30" s="66"/>
      <c r="Y30" s="51" t="str">
        <f t="shared" si="8"/>
        <v/>
      </c>
      <c r="Z30" s="2"/>
      <c r="AA30" s="2"/>
      <c r="AB30" s="2"/>
      <c r="AC30" s="2"/>
      <c r="AD30" s="2"/>
      <c r="AE30" s="2"/>
    </row>
    <row r="31" spans="1:31" ht="12.75" x14ac:dyDescent="0.2">
      <c r="A31" s="53">
        <f ca="1">IFERROR(__xludf.DUMMYFUNCTION("""COMPUTED_VALUE"""),25)</f>
        <v>25</v>
      </c>
      <c r="B31" s="66" t="str">
        <f ca="1">IFERROR(__xludf.DUMMYFUNCTION("""COMPUTED_VALUE"""),"MG EMASI Nam Long")</f>
        <v>MG EMASI Nam Long</v>
      </c>
      <c r="C31" s="66" t="str">
        <f ca="1">IFERROR(__xludf.DUMMYFUNCTION("""COMPUTED_VALUE"""),"MN")</f>
        <v>MN</v>
      </c>
      <c r="D31" s="66" t="str">
        <f ca="1">IFERROR(__xludf.DUMMYFUNCTION("""COMPUTED_VALUE"""),"QUẬN 7")</f>
        <v>QUẬN 7</v>
      </c>
      <c r="E31" s="67">
        <f ca="1">IFERROR(__xludf.DUMMYFUNCTION("""COMPUTED_VALUE"""),21)</f>
        <v>21</v>
      </c>
      <c r="F31" s="67">
        <f ca="1">IFERROR(__xludf.DUMMYFUNCTION("""COMPUTED_VALUE"""),21)</f>
        <v>21</v>
      </c>
      <c r="G31" s="51">
        <f t="shared" ca="1" si="0"/>
        <v>1</v>
      </c>
      <c r="H31" s="67">
        <f ca="1">IFERROR(__xludf.DUMMYFUNCTION("""COMPUTED_VALUE"""),21)</f>
        <v>21</v>
      </c>
      <c r="I31" s="51">
        <f t="shared" ca="1" si="1"/>
        <v>1</v>
      </c>
      <c r="J31" s="67">
        <f ca="1">IFERROR(__xludf.DUMMYFUNCTION("""COMPUTED_VALUE"""),18)</f>
        <v>18</v>
      </c>
      <c r="K31" s="51">
        <f t="shared" ca="1" si="2"/>
        <v>0.8571428571428571</v>
      </c>
      <c r="L31" s="67">
        <f ca="1">IFERROR(__xludf.DUMMYFUNCTION("""COMPUTED_VALUE"""),3)</f>
        <v>3</v>
      </c>
      <c r="M31" s="51">
        <f t="shared" ca="1" si="3"/>
        <v>0.14285714285714285</v>
      </c>
      <c r="N31" s="67">
        <f ca="1">IFERROR(__xludf.DUMMYFUNCTION("""COMPUTED_VALUE"""),29)</f>
        <v>29</v>
      </c>
      <c r="O31" s="67">
        <f ca="1">IFERROR(__xludf.DUMMYFUNCTION("""COMPUTED_VALUE"""),0)</f>
        <v>0</v>
      </c>
      <c r="P31" s="51">
        <f t="shared" ca="1" si="4"/>
        <v>0</v>
      </c>
      <c r="Q31" s="67">
        <f ca="1">IFERROR(__xludf.DUMMYFUNCTION("""COMPUTED_VALUE"""),0)</f>
        <v>0</v>
      </c>
      <c r="R31" s="51">
        <f t="shared" ca="1" si="5"/>
        <v>0</v>
      </c>
      <c r="S31" s="66"/>
      <c r="T31" s="66"/>
      <c r="U31" s="51" t="str">
        <f t="shared" si="6"/>
        <v/>
      </c>
      <c r="V31" s="66"/>
      <c r="W31" s="51" t="str">
        <f t="shared" si="7"/>
        <v/>
      </c>
      <c r="X31" s="66"/>
      <c r="Y31" s="51" t="str">
        <f t="shared" si="8"/>
        <v/>
      </c>
      <c r="Z31" s="2"/>
      <c r="AA31" s="2"/>
      <c r="AB31" s="2"/>
      <c r="AC31" s="2"/>
      <c r="AD31" s="2"/>
      <c r="AE31" s="2"/>
    </row>
    <row r="32" spans="1:31" ht="12.75" x14ac:dyDescent="0.2">
      <c r="A32" s="53">
        <f ca="1">IFERROR(__xludf.DUMMYFUNCTION("""COMPUTED_VALUE"""),26)</f>
        <v>26</v>
      </c>
      <c r="B32" s="66" t="str">
        <f ca="1">IFERROR(__xludf.DUMMYFUNCTION("""COMPUTED_VALUE"""),"MN Dâu Tây Đỏ")</f>
        <v>MN Dâu Tây Đỏ</v>
      </c>
      <c r="C32" s="66" t="str">
        <f ca="1">IFERROR(__xludf.DUMMYFUNCTION("""COMPUTED_VALUE"""),"MN")</f>
        <v>MN</v>
      </c>
      <c r="D32" s="66" t="str">
        <f ca="1">IFERROR(__xludf.DUMMYFUNCTION("""COMPUTED_VALUE"""),"QUẬN 7")</f>
        <v>QUẬN 7</v>
      </c>
      <c r="E32" s="67">
        <f ca="1">IFERROR(__xludf.DUMMYFUNCTION("""COMPUTED_VALUE"""),25)</f>
        <v>25</v>
      </c>
      <c r="F32" s="67">
        <f ca="1">IFERROR(__xludf.DUMMYFUNCTION("""COMPUTED_VALUE"""),25)</f>
        <v>25</v>
      </c>
      <c r="G32" s="51">
        <f t="shared" ca="1" si="0"/>
        <v>1</v>
      </c>
      <c r="H32" s="67">
        <f ca="1">IFERROR(__xludf.DUMMYFUNCTION("""COMPUTED_VALUE"""),25)</f>
        <v>25</v>
      </c>
      <c r="I32" s="51">
        <f t="shared" ca="1" si="1"/>
        <v>1</v>
      </c>
      <c r="J32" s="67">
        <f ca="1">IFERROR(__xludf.DUMMYFUNCTION("""COMPUTED_VALUE"""),23)</f>
        <v>23</v>
      </c>
      <c r="K32" s="51">
        <f t="shared" ca="1" si="2"/>
        <v>0.92</v>
      </c>
      <c r="L32" s="67">
        <f ca="1">IFERROR(__xludf.DUMMYFUNCTION("""COMPUTED_VALUE"""),9)</f>
        <v>9</v>
      </c>
      <c r="M32" s="51">
        <f t="shared" ca="1" si="3"/>
        <v>0.36</v>
      </c>
      <c r="N32" s="67">
        <f ca="1">IFERROR(__xludf.DUMMYFUNCTION("""COMPUTED_VALUE"""),23)</f>
        <v>23</v>
      </c>
      <c r="O32" s="67">
        <f ca="1">IFERROR(__xludf.DUMMYFUNCTION("""COMPUTED_VALUE"""),1)</f>
        <v>1</v>
      </c>
      <c r="P32" s="51">
        <f t="shared" ca="1" si="4"/>
        <v>4.3478260869565216E-2</v>
      </c>
      <c r="Q32" s="67">
        <f ca="1">IFERROR(__xludf.DUMMYFUNCTION("""COMPUTED_VALUE"""),0)</f>
        <v>0</v>
      </c>
      <c r="R32" s="51">
        <f t="shared" ca="1" si="5"/>
        <v>0</v>
      </c>
      <c r="S32" s="66"/>
      <c r="T32" s="66"/>
      <c r="U32" s="51" t="str">
        <f t="shared" si="6"/>
        <v/>
      </c>
      <c r="V32" s="66"/>
      <c r="W32" s="51" t="str">
        <f t="shared" si="7"/>
        <v/>
      </c>
      <c r="X32" s="66"/>
      <c r="Y32" s="51" t="str">
        <f t="shared" si="8"/>
        <v/>
      </c>
      <c r="Z32" s="2"/>
      <c r="AA32" s="2"/>
      <c r="AB32" s="2"/>
      <c r="AC32" s="2"/>
      <c r="AD32" s="2"/>
      <c r="AE32" s="2"/>
    </row>
    <row r="33" spans="1:31" ht="12.75" x14ac:dyDescent="0.2">
      <c r="A33" s="53">
        <f ca="1">IFERROR(__xludf.DUMMYFUNCTION("""COMPUTED_VALUE"""),27)</f>
        <v>27</v>
      </c>
      <c r="B33" s="66" t="str">
        <f ca="1">IFERROR(__xludf.DUMMYFUNCTION("""COMPUTED_VALUE"""),"MN Nam Sài Gòn")</f>
        <v>MN Nam Sài Gòn</v>
      </c>
      <c r="C33" s="66" t="str">
        <f ca="1">IFERROR(__xludf.DUMMYFUNCTION("""COMPUTED_VALUE"""),"MN")</f>
        <v>MN</v>
      </c>
      <c r="D33" s="66" t="str">
        <f ca="1">IFERROR(__xludf.DUMMYFUNCTION("""COMPUTED_VALUE"""),"QUẬN 7")</f>
        <v>QUẬN 7</v>
      </c>
      <c r="E33" s="67">
        <f ca="1">IFERROR(__xludf.DUMMYFUNCTION("""COMPUTED_VALUE"""),51)</f>
        <v>51</v>
      </c>
      <c r="F33" s="67">
        <f ca="1">IFERROR(__xludf.DUMMYFUNCTION("""COMPUTED_VALUE"""),51)</f>
        <v>51</v>
      </c>
      <c r="G33" s="51">
        <f t="shared" ca="1" si="0"/>
        <v>1</v>
      </c>
      <c r="H33" s="67">
        <f ca="1">IFERROR(__xludf.DUMMYFUNCTION("""COMPUTED_VALUE"""),51)</f>
        <v>51</v>
      </c>
      <c r="I33" s="51">
        <f t="shared" ca="1" si="1"/>
        <v>1</v>
      </c>
      <c r="J33" s="67">
        <f ca="1">IFERROR(__xludf.DUMMYFUNCTION("""COMPUTED_VALUE"""),51)</f>
        <v>51</v>
      </c>
      <c r="K33" s="51">
        <f t="shared" ca="1" si="2"/>
        <v>1</v>
      </c>
      <c r="L33" s="67">
        <f ca="1">IFERROR(__xludf.DUMMYFUNCTION("""COMPUTED_VALUE"""),34)</f>
        <v>34</v>
      </c>
      <c r="M33" s="51">
        <f t="shared" ca="1" si="3"/>
        <v>0.66666666666666663</v>
      </c>
      <c r="N33" s="67">
        <f ca="1">IFERROR(__xludf.DUMMYFUNCTION("""COMPUTED_VALUE"""),146)</f>
        <v>146</v>
      </c>
      <c r="O33" s="67">
        <f ca="1">IFERROR(__xludf.DUMMYFUNCTION("""COMPUTED_VALUE"""),2)</f>
        <v>2</v>
      </c>
      <c r="P33" s="51">
        <f t="shared" ca="1" si="4"/>
        <v>1.3698630136986301E-2</v>
      </c>
      <c r="Q33" s="67">
        <f ca="1">IFERROR(__xludf.DUMMYFUNCTION("""COMPUTED_VALUE"""),1)</f>
        <v>1</v>
      </c>
      <c r="R33" s="51">
        <f t="shared" ca="1" si="5"/>
        <v>6.8493150684931503E-3</v>
      </c>
      <c r="S33" s="66"/>
      <c r="T33" s="66"/>
      <c r="U33" s="51" t="str">
        <f t="shared" si="6"/>
        <v/>
      </c>
      <c r="V33" s="66"/>
      <c r="W33" s="51" t="str">
        <f t="shared" si="7"/>
        <v/>
      </c>
      <c r="X33" s="66"/>
      <c r="Y33" s="51" t="str">
        <f t="shared" si="8"/>
        <v/>
      </c>
      <c r="Z33" s="2"/>
      <c r="AA33" s="2"/>
      <c r="AB33" s="2"/>
      <c r="AC33" s="2"/>
      <c r="AD33" s="2"/>
      <c r="AE33" s="2"/>
    </row>
    <row r="34" spans="1:31" ht="12.75" x14ac:dyDescent="0.2">
      <c r="A34" s="53">
        <f ca="1">IFERROR(__xludf.DUMMYFUNCTION("""COMPUTED_VALUE"""),28)</f>
        <v>28</v>
      </c>
      <c r="B34" s="66" t="str">
        <f ca="1">IFERROR(__xludf.DUMMYFUNCTION("""COMPUTED_VALUE"""),"MN Mai Vàng")</f>
        <v>MN Mai Vàng</v>
      </c>
      <c r="C34" s="66" t="str">
        <f ca="1">IFERROR(__xludf.DUMMYFUNCTION("""COMPUTED_VALUE"""),"MN")</f>
        <v>MN</v>
      </c>
      <c r="D34" s="66" t="str">
        <f ca="1">IFERROR(__xludf.DUMMYFUNCTION("""COMPUTED_VALUE"""),"QUẬN 7")</f>
        <v>QUẬN 7</v>
      </c>
      <c r="E34" s="67">
        <f ca="1">IFERROR(__xludf.DUMMYFUNCTION("""COMPUTED_VALUE"""),17)</f>
        <v>17</v>
      </c>
      <c r="F34" s="67">
        <f ca="1">IFERROR(__xludf.DUMMYFUNCTION("""COMPUTED_VALUE"""),17)</f>
        <v>17</v>
      </c>
      <c r="G34" s="51">
        <f t="shared" ca="1" si="0"/>
        <v>1</v>
      </c>
      <c r="H34" s="67">
        <f ca="1">IFERROR(__xludf.DUMMYFUNCTION("""COMPUTED_VALUE"""),17)</f>
        <v>17</v>
      </c>
      <c r="I34" s="51">
        <f t="shared" ca="1" si="1"/>
        <v>1</v>
      </c>
      <c r="J34" s="67">
        <f ca="1">IFERROR(__xludf.DUMMYFUNCTION("""COMPUTED_VALUE"""),17)</f>
        <v>17</v>
      </c>
      <c r="K34" s="51">
        <f t="shared" ca="1" si="2"/>
        <v>1</v>
      </c>
      <c r="L34" s="67">
        <f ca="1">IFERROR(__xludf.DUMMYFUNCTION("""COMPUTED_VALUE"""),7)</f>
        <v>7</v>
      </c>
      <c r="M34" s="51">
        <f t="shared" ca="1" si="3"/>
        <v>0.41176470588235292</v>
      </c>
      <c r="N34" s="67">
        <f ca="1">IFERROR(__xludf.DUMMYFUNCTION("""COMPUTED_VALUE"""),8)</f>
        <v>8</v>
      </c>
      <c r="O34" s="67">
        <f ca="1">IFERROR(__xludf.DUMMYFUNCTION("""COMPUTED_VALUE"""),0)</f>
        <v>0</v>
      </c>
      <c r="P34" s="51">
        <f t="shared" ca="1" si="4"/>
        <v>0</v>
      </c>
      <c r="Q34" s="67">
        <f ca="1">IFERROR(__xludf.DUMMYFUNCTION("""COMPUTED_VALUE"""),0)</f>
        <v>0</v>
      </c>
      <c r="R34" s="51">
        <f t="shared" ca="1" si="5"/>
        <v>0</v>
      </c>
      <c r="S34" s="66"/>
      <c r="T34" s="66"/>
      <c r="U34" s="51" t="str">
        <f t="shared" si="6"/>
        <v/>
      </c>
      <c r="V34" s="66"/>
      <c r="W34" s="51" t="str">
        <f t="shared" si="7"/>
        <v/>
      </c>
      <c r="X34" s="66"/>
      <c r="Y34" s="51" t="str">
        <f t="shared" si="8"/>
        <v/>
      </c>
      <c r="Z34" s="2"/>
      <c r="AA34" s="2"/>
      <c r="AB34" s="2"/>
      <c r="AC34" s="2"/>
      <c r="AD34" s="2"/>
      <c r="AE34" s="2"/>
    </row>
    <row r="35" spans="1:31" ht="12.75" x14ac:dyDescent="0.2">
      <c r="A35" s="53">
        <f ca="1">IFERROR(__xludf.DUMMYFUNCTION("""COMPUTED_VALUE"""),29)</f>
        <v>29</v>
      </c>
      <c r="B35" s="66" t="str">
        <f ca="1">IFERROR(__xludf.DUMMYFUNCTION("""COMPUTED_VALUE"""),"MN Bông Hoa Nhỏ")</f>
        <v>MN Bông Hoa Nhỏ</v>
      </c>
      <c r="C35" s="66" t="str">
        <f ca="1">IFERROR(__xludf.DUMMYFUNCTION("""COMPUTED_VALUE"""),"MN")</f>
        <v>MN</v>
      </c>
      <c r="D35" s="66" t="str">
        <f ca="1">IFERROR(__xludf.DUMMYFUNCTION("""COMPUTED_VALUE"""),"QUẬN 7")</f>
        <v>QUẬN 7</v>
      </c>
      <c r="E35" s="67">
        <f ca="1">IFERROR(__xludf.DUMMYFUNCTION("""COMPUTED_VALUE"""),54)</f>
        <v>54</v>
      </c>
      <c r="F35" s="67">
        <f ca="1">IFERROR(__xludf.DUMMYFUNCTION("""COMPUTED_VALUE"""),54)</f>
        <v>54</v>
      </c>
      <c r="G35" s="51">
        <f t="shared" ca="1" si="0"/>
        <v>1</v>
      </c>
      <c r="H35" s="67">
        <f ca="1">IFERROR(__xludf.DUMMYFUNCTION("""COMPUTED_VALUE"""),54)</f>
        <v>54</v>
      </c>
      <c r="I35" s="51">
        <f t="shared" ca="1" si="1"/>
        <v>1</v>
      </c>
      <c r="J35" s="67">
        <f ca="1">IFERROR(__xludf.DUMMYFUNCTION("""COMPUTED_VALUE"""),54)</f>
        <v>54</v>
      </c>
      <c r="K35" s="51">
        <f t="shared" ca="1" si="2"/>
        <v>1</v>
      </c>
      <c r="L35" s="67">
        <f ca="1">IFERROR(__xludf.DUMMYFUNCTION("""COMPUTED_VALUE"""),19)</f>
        <v>19</v>
      </c>
      <c r="M35" s="51">
        <f t="shared" ca="1" si="3"/>
        <v>0.35185185185185186</v>
      </c>
      <c r="N35" s="67">
        <f ca="1">IFERROR(__xludf.DUMMYFUNCTION("""COMPUTED_VALUE"""),30)</f>
        <v>30</v>
      </c>
      <c r="O35" s="67">
        <f ca="1">IFERROR(__xludf.DUMMYFUNCTION("""COMPUTED_VALUE"""),0)</f>
        <v>0</v>
      </c>
      <c r="P35" s="51">
        <f t="shared" ca="1" si="4"/>
        <v>0</v>
      </c>
      <c r="Q35" s="67">
        <f ca="1">IFERROR(__xludf.DUMMYFUNCTION("""COMPUTED_VALUE"""),0)</f>
        <v>0</v>
      </c>
      <c r="R35" s="51">
        <f t="shared" ca="1" si="5"/>
        <v>0</v>
      </c>
      <c r="S35" s="66"/>
      <c r="T35" s="66"/>
      <c r="U35" s="51" t="str">
        <f t="shared" si="6"/>
        <v/>
      </c>
      <c r="V35" s="66"/>
      <c r="W35" s="51" t="str">
        <f t="shared" si="7"/>
        <v/>
      </c>
      <c r="X35" s="66"/>
      <c r="Y35" s="51" t="str">
        <f t="shared" si="8"/>
        <v/>
      </c>
      <c r="Z35" s="2"/>
      <c r="AA35" s="2"/>
      <c r="AB35" s="2"/>
      <c r="AC35" s="2"/>
      <c r="AD35" s="2"/>
      <c r="AE35" s="2"/>
    </row>
    <row r="36" spans="1:31" ht="12.75" x14ac:dyDescent="0.2">
      <c r="A36" s="53">
        <f ca="1">IFERROR(__xludf.DUMMYFUNCTION("""COMPUTED_VALUE"""),30)</f>
        <v>30</v>
      </c>
      <c r="B36" s="66"/>
      <c r="C36" s="66"/>
      <c r="D36" s="66" t="str">
        <f ca="1">IFERROR(__xludf.DUMMYFUNCTION("""COMPUTED_VALUE"""),"QUẬN 7")</f>
        <v>QUẬN 7</v>
      </c>
      <c r="E36" s="67">
        <f ca="1">IFERROR(__xludf.DUMMYFUNCTION("""COMPUTED_VALUE"""),24)</f>
        <v>24</v>
      </c>
      <c r="F36" s="67">
        <f ca="1">IFERROR(__xludf.DUMMYFUNCTION("""COMPUTED_VALUE"""),24)</f>
        <v>24</v>
      </c>
      <c r="G36" s="51">
        <f t="shared" ca="1" si="0"/>
        <v>1</v>
      </c>
      <c r="H36" s="67">
        <f ca="1">IFERROR(__xludf.DUMMYFUNCTION("""COMPUTED_VALUE"""),24)</f>
        <v>24</v>
      </c>
      <c r="I36" s="51">
        <f t="shared" ca="1" si="1"/>
        <v>1</v>
      </c>
      <c r="J36" s="67">
        <f ca="1">IFERROR(__xludf.DUMMYFUNCTION("""COMPUTED_VALUE"""),20)</f>
        <v>20</v>
      </c>
      <c r="K36" s="51">
        <f t="shared" ca="1" si="2"/>
        <v>0.83333333333333337</v>
      </c>
      <c r="L36" s="67">
        <f ca="1">IFERROR(__xludf.DUMMYFUNCTION("""COMPUTED_VALUE"""),4)</f>
        <v>4</v>
      </c>
      <c r="M36" s="51">
        <f t="shared" ca="1" si="3"/>
        <v>0.16666666666666666</v>
      </c>
      <c r="N36" s="67">
        <f ca="1">IFERROR(__xludf.DUMMYFUNCTION("""COMPUTED_VALUE"""),14)</f>
        <v>14</v>
      </c>
      <c r="O36" s="67">
        <f ca="1">IFERROR(__xludf.DUMMYFUNCTION("""COMPUTED_VALUE"""),4)</f>
        <v>4</v>
      </c>
      <c r="P36" s="51">
        <f t="shared" ca="1" si="4"/>
        <v>0.2857142857142857</v>
      </c>
      <c r="Q36" s="67">
        <f ca="1">IFERROR(__xludf.DUMMYFUNCTION("""COMPUTED_VALUE"""),0)</f>
        <v>0</v>
      </c>
      <c r="R36" s="51">
        <f t="shared" ca="1" si="5"/>
        <v>0</v>
      </c>
      <c r="S36" s="66"/>
      <c r="T36" s="66"/>
      <c r="U36" s="51" t="str">
        <f t="shared" si="6"/>
        <v/>
      </c>
      <c r="V36" s="66"/>
      <c r="W36" s="51" t="str">
        <f t="shared" si="7"/>
        <v/>
      </c>
      <c r="X36" s="66"/>
      <c r="Y36" s="51" t="str">
        <f t="shared" si="8"/>
        <v/>
      </c>
      <c r="Z36" s="2"/>
      <c r="AA36" s="2"/>
      <c r="AB36" s="2"/>
      <c r="AC36" s="2"/>
      <c r="AD36" s="2"/>
      <c r="AE36" s="2"/>
    </row>
    <row r="37" spans="1:31" ht="12.75" x14ac:dyDescent="0.2">
      <c r="A37" s="53">
        <f ca="1">IFERROR(__xludf.DUMMYFUNCTION("""COMPUTED_VALUE"""),31)</f>
        <v>31</v>
      </c>
      <c r="B37" s="66" t="str">
        <f ca="1">IFERROR(__xludf.DUMMYFUNCTION("""COMPUTED_VALUE"""),"MN Nam Long")</f>
        <v>MN Nam Long</v>
      </c>
      <c r="C37" s="66" t="str">
        <f ca="1">IFERROR(__xludf.DUMMYFUNCTION("""COMPUTED_VALUE"""),"MN")</f>
        <v>MN</v>
      </c>
      <c r="D37" s="66" t="str">
        <f ca="1">IFERROR(__xludf.DUMMYFUNCTION("""COMPUTED_VALUE"""),"QUẬN 7")</f>
        <v>QUẬN 7</v>
      </c>
      <c r="E37" s="67">
        <f ca="1">IFERROR(__xludf.DUMMYFUNCTION("""COMPUTED_VALUE"""),32)</f>
        <v>32</v>
      </c>
      <c r="F37" s="67">
        <f ca="1">IFERROR(__xludf.DUMMYFUNCTION("""COMPUTED_VALUE"""),32)</f>
        <v>32</v>
      </c>
      <c r="G37" s="51">
        <f t="shared" ca="1" si="0"/>
        <v>1</v>
      </c>
      <c r="H37" s="67">
        <f ca="1">IFERROR(__xludf.DUMMYFUNCTION("""COMPUTED_VALUE"""),32)</f>
        <v>32</v>
      </c>
      <c r="I37" s="51">
        <f t="shared" ca="1" si="1"/>
        <v>1</v>
      </c>
      <c r="J37" s="67">
        <f ca="1">IFERROR(__xludf.DUMMYFUNCTION("""COMPUTED_VALUE"""),22)</f>
        <v>22</v>
      </c>
      <c r="K37" s="51">
        <f t="shared" ca="1" si="2"/>
        <v>0.6875</v>
      </c>
      <c r="L37" s="67">
        <f ca="1">IFERROR(__xludf.DUMMYFUNCTION("""COMPUTED_VALUE"""),10)</f>
        <v>10</v>
      </c>
      <c r="M37" s="51">
        <f t="shared" ca="1" si="3"/>
        <v>0.3125</v>
      </c>
      <c r="N37" s="67">
        <f ca="1">IFERROR(__xludf.DUMMYFUNCTION("""COMPUTED_VALUE"""),3)</f>
        <v>3</v>
      </c>
      <c r="O37" s="67">
        <f ca="1">IFERROR(__xludf.DUMMYFUNCTION("""COMPUTED_VALUE"""),1)</f>
        <v>1</v>
      </c>
      <c r="P37" s="51">
        <f t="shared" ca="1" si="4"/>
        <v>0.33333333333333331</v>
      </c>
      <c r="Q37" s="67">
        <f ca="1">IFERROR(__xludf.DUMMYFUNCTION("""COMPUTED_VALUE"""),2)</f>
        <v>2</v>
      </c>
      <c r="R37" s="51">
        <f t="shared" ca="1" si="5"/>
        <v>0.66666666666666663</v>
      </c>
      <c r="S37" s="66"/>
      <c r="T37" s="66"/>
      <c r="U37" s="51" t="str">
        <f t="shared" si="6"/>
        <v/>
      </c>
      <c r="V37" s="66"/>
      <c r="W37" s="51" t="str">
        <f t="shared" si="7"/>
        <v/>
      </c>
      <c r="X37" s="66"/>
      <c r="Y37" s="51" t="str">
        <f t="shared" si="8"/>
        <v/>
      </c>
      <c r="Z37" s="2"/>
      <c r="AA37" s="2"/>
      <c r="AB37" s="2"/>
      <c r="AC37" s="2"/>
      <c r="AD37" s="2"/>
      <c r="AE37" s="2"/>
    </row>
    <row r="38" spans="1:31" ht="12.75" x14ac:dyDescent="0.2">
      <c r="A38" s="53">
        <f ca="1">IFERROR(__xludf.DUMMYFUNCTION("""COMPUTED_VALUE"""),32)</f>
        <v>32</v>
      </c>
      <c r="B38" s="66" t="str">
        <f ca="1">IFERROR(__xludf.DUMMYFUNCTION("""COMPUTED_VALUE"""),"MN Thành Phố Tuổi Thơ")</f>
        <v>MN Thành Phố Tuổi Thơ</v>
      </c>
      <c r="C38" s="66" t="str">
        <f ca="1">IFERROR(__xludf.DUMMYFUNCTION("""COMPUTED_VALUE"""),"MN")</f>
        <v>MN</v>
      </c>
      <c r="D38" s="66" t="str">
        <f ca="1">IFERROR(__xludf.DUMMYFUNCTION("""COMPUTED_VALUE"""),"QUẬN 7")</f>
        <v>QUẬN 7</v>
      </c>
      <c r="E38" s="67">
        <f ca="1">IFERROR(__xludf.DUMMYFUNCTION("""COMPUTED_VALUE"""),45)</f>
        <v>45</v>
      </c>
      <c r="F38" s="67">
        <f ca="1">IFERROR(__xludf.DUMMYFUNCTION("""COMPUTED_VALUE"""),45)</f>
        <v>45</v>
      </c>
      <c r="G38" s="51">
        <f t="shared" ca="1" si="0"/>
        <v>1</v>
      </c>
      <c r="H38" s="67">
        <f ca="1">IFERROR(__xludf.DUMMYFUNCTION("""COMPUTED_VALUE"""),45)</f>
        <v>45</v>
      </c>
      <c r="I38" s="51">
        <f t="shared" ca="1" si="1"/>
        <v>1</v>
      </c>
      <c r="J38" s="67">
        <f ca="1">IFERROR(__xludf.DUMMYFUNCTION("""COMPUTED_VALUE"""),39)</f>
        <v>39</v>
      </c>
      <c r="K38" s="51">
        <f t="shared" ca="1" si="2"/>
        <v>0.8666666666666667</v>
      </c>
      <c r="L38" s="67">
        <f ca="1">IFERROR(__xludf.DUMMYFUNCTION("""COMPUTED_VALUE"""),6)</f>
        <v>6</v>
      </c>
      <c r="M38" s="51">
        <f t="shared" ca="1" si="3"/>
        <v>0.13333333333333333</v>
      </c>
      <c r="N38" s="67">
        <f ca="1">IFERROR(__xludf.DUMMYFUNCTION("""COMPUTED_VALUE"""),28)</f>
        <v>28</v>
      </c>
      <c r="O38" s="67">
        <f ca="1">IFERROR(__xludf.DUMMYFUNCTION("""COMPUTED_VALUE"""),1)</f>
        <v>1</v>
      </c>
      <c r="P38" s="51">
        <f t="shared" ca="1" si="4"/>
        <v>3.5714285714285712E-2</v>
      </c>
      <c r="Q38" s="67">
        <f ca="1">IFERROR(__xludf.DUMMYFUNCTION("""COMPUTED_VALUE"""),1)</f>
        <v>1</v>
      </c>
      <c r="R38" s="51">
        <f t="shared" ca="1" si="5"/>
        <v>3.5714285714285712E-2</v>
      </c>
      <c r="S38" s="66"/>
      <c r="T38" s="66"/>
      <c r="U38" s="51" t="str">
        <f t="shared" si="6"/>
        <v/>
      </c>
      <c r="V38" s="66"/>
      <c r="W38" s="51" t="str">
        <f t="shared" si="7"/>
        <v/>
      </c>
      <c r="X38" s="66"/>
      <c r="Y38" s="51" t="str">
        <f t="shared" si="8"/>
        <v/>
      </c>
      <c r="Z38" s="2"/>
      <c r="AA38" s="2"/>
      <c r="AB38" s="2"/>
      <c r="AC38" s="2"/>
      <c r="AD38" s="2"/>
      <c r="AE38" s="2"/>
    </row>
    <row r="39" spans="1:31" ht="12.75" x14ac:dyDescent="0.2">
      <c r="A39" s="53">
        <f ca="1">IFERROR(__xludf.DUMMYFUNCTION("""COMPUTED_VALUE"""),33)</f>
        <v>33</v>
      </c>
      <c r="B39" s="66" t="str">
        <f ca="1">IFERROR(__xludf.DUMMYFUNCTION("""COMPUTED_VALUE"""),"MN Mỹ Phước")</f>
        <v>MN Mỹ Phước</v>
      </c>
      <c r="C39" s="66" t="str">
        <f ca="1">IFERROR(__xludf.DUMMYFUNCTION("""COMPUTED_VALUE"""),"MN")</f>
        <v>MN</v>
      </c>
      <c r="D39" s="66" t="str">
        <f ca="1">IFERROR(__xludf.DUMMYFUNCTION("""COMPUTED_VALUE"""),"QUẬN 7")</f>
        <v>QUẬN 7</v>
      </c>
      <c r="E39" s="67">
        <f ca="1">IFERROR(__xludf.DUMMYFUNCTION("""COMPUTED_VALUE"""),44)</f>
        <v>44</v>
      </c>
      <c r="F39" s="67">
        <f ca="1">IFERROR(__xludf.DUMMYFUNCTION("""COMPUTED_VALUE"""),44)</f>
        <v>44</v>
      </c>
      <c r="G39" s="51">
        <f t="shared" ca="1" si="0"/>
        <v>1</v>
      </c>
      <c r="H39" s="67">
        <f ca="1">IFERROR(__xludf.DUMMYFUNCTION("""COMPUTED_VALUE"""),44)</f>
        <v>44</v>
      </c>
      <c r="I39" s="51">
        <f t="shared" ca="1" si="1"/>
        <v>1</v>
      </c>
      <c r="J39" s="67">
        <f ca="1">IFERROR(__xludf.DUMMYFUNCTION("""COMPUTED_VALUE"""),40)</f>
        <v>40</v>
      </c>
      <c r="K39" s="51">
        <f t="shared" ca="1" si="2"/>
        <v>0.90909090909090906</v>
      </c>
      <c r="L39" s="67">
        <f ca="1">IFERROR(__xludf.DUMMYFUNCTION("""COMPUTED_VALUE"""),4)</f>
        <v>4</v>
      </c>
      <c r="M39" s="51">
        <f t="shared" ca="1" si="3"/>
        <v>9.0909090909090912E-2</v>
      </c>
      <c r="N39" s="67">
        <f ca="1">IFERROR(__xludf.DUMMYFUNCTION("""COMPUTED_VALUE"""),95)</f>
        <v>95</v>
      </c>
      <c r="O39" s="67">
        <f ca="1">IFERROR(__xludf.DUMMYFUNCTION("""COMPUTED_VALUE"""),2)</f>
        <v>2</v>
      </c>
      <c r="P39" s="51">
        <f t="shared" ca="1" si="4"/>
        <v>2.1052631578947368E-2</v>
      </c>
      <c r="Q39" s="67">
        <f ca="1">IFERROR(__xludf.DUMMYFUNCTION("""COMPUTED_VALUE"""),1)</f>
        <v>1</v>
      </c>
      <c r="R39" s="51">
        <f t="shared" ca="1" si="5"/>
        <v>1.0526315789473684E-2</v>
      </c>
      <c r="S39" s="66"/>
      <c r="T39" s="66"/>
      <c r="U39" s="51" t="str">
        <f t="shared" si="6"/>
        <v/>
      </c>
      <c r="V39" s="66"/>
      <c r="W39" s="51" t="str">
        <f t="shared" si="7"/>
        <v/>
      </c>
      <c r="X39" s="66"/>
      <c r="Y39" s="51" t="str">
        <f t="shared" si="8"/>
        <v/>
      </c>
      <c r="Z39" s="2"/>
      <c r="AA39" s="2"/>
      <c r="AB39" s="2"/>
      <c r="AC39" s="2"/>
      <c r="AD39" s="2"/>
      <c r="AE39" s="2"/>
    </row>
    <row r="40" spans="1:31" ht="12.75" x14ac:dyDescent="0.2">
      <c r="A40" s="53">
        <f ca="1">IFERROR(__xludf.DUMMYFUNCTION("""COMPUTED_VALUE"""),34)</f>
        <v>34</v>
      </c>
      <c r="B40" s="66" t="str">
        <f ca="1">IFERROR(__xludf.DUMMYFUNCTION("""COMPUTED_VALUE"""),"MN Ngôi Sao Nhỏ")</f>
        <v>MN Ngôi Sao Nhỏ</v>
      </c>
      <c r="C40" s="66" t="str">
        <f ca="1">IFERROR(__xludf.DUMMYFUNCTION("""COMPUTED_VALUE"""),"MN")</f>
        <v>MN</v>
      </c>
      <c r="D40" s="66" t="str">
        <f ca="1">IFERROR(__xludf.DUMMYFUNCTION("""COMPUTED_VALUE"""),"QUẬN 7")</f>
        <v>QUẬN 7</v>
      </c>
      <c r="E40" s="67">
        <f ca="1">IFERROR(__xludf.DUMMYFUNCTION("""COMPUTED_VALUE"""),15)</f>
        <v>15</v>
      </c>
      <c r="F40" s="67">
        <f ca="1">IFERROR(__xludf.DUMMYFUNCTION("""COMPUTED_VALUE"""),15)</f>
        <v>15</v>
      </c>
      <c r="G40" s="51">
        <f t="shared" ca="1" si="0"/>
        <v>1</v>
      </c>
      <c r="H40" s="67">
        <f ca="1">IFERROR(__xludf.DUMMYFUNCTION("""COMPUTED_VALUE"""),15)</f>
        <v>15</v>
      </c>
      <c r="I40" s="51">
        <f t="shared" ca="1" si="1"/>
        <v>1</v>
      </c>
      <c r="J40" s="67">
        <f ca="1">IFERROR(__xludf.DUMMYFUNCTION("""COMPUTED_VALUE"""),15)</f>
        <v>15</v>
      </c>
      <c r="K40" s="51">
        <f t="shared" ca="1" si="2"/>
        <v>1</v>
      </c>
      <c r="L40" s="67">
        <f ca="1">IFERROR(__xludf.DUMMYFUNCTION("""COMPUTED_VALUE"""),5)</f>
        <v>5</v>
      </c>
      <c r="M40" s="51">
        <f t="shared" ca="1" si="3"/>
        <v>0.33333333333333331</v>
      </c>
      <c r="N40" s="67">
        <f ca="1">IFERROR(__xludf.DUMMYFUNCTION("""COMPUTED_VALUE"""),9)</f>
        <v>9</v>
      </c>
      <c r="O40" s="67">
        <f ca="1">IFERROR(__xludf.DUMMYFUNCTION("""COMPUTED_VALUE"""),0)</f>
        <v>0</v>
      </c>
      <c r="P40" s="51">
        <f t="shared" ca="1" si="4"/>
        <v>0</v>
      </c>
      <c r="Q40" s="67">
        <f ca="1">IFERROR(__xludf.DUMMYFUNCTION("""COMPUTED_VALUE"""),0)</f>
        <v>0</v>
      </c>
      <c r="R40" s="51">
        <f t="shared" ca="1" si="5"/>
        <v>0</v>
      </c>
      <c r="S40" s="66"/>
      <c r="T40" s="66"/>
      <c r="U40" s="51" t="str">
        <f t="shared" si="6"/>
        <v/>
      </c>
      <c r="V40" s="66"/>
      <c r="W40" s="51" t="str">
        <f t="shared" si="7"/>
        <v/>
      </c>
      <c r="X40" s="66"/>
      <c r="Y40" s="51" t="str">
        <f t="shared" si="8"/>
        <v/>
      </c>
      <c r="Z40" s="2"/>
      <c r="AA40" s="2"/>
      <c r="AB40" s="2"/>
      <c r="AC40" s="2"/>
      <c r="AD40" s="2"/>
      <c r="AE40" s="2"/>
    </row>
    <row r="41" spans="1:31" ht="12.75" x14ac:dyDescent="0.2">
      <c r="A41" s="53">
        <f ca="1">IFERROR(__xludf.DUMMYFUNCTION("""COMPUTED_VALUE"""),35)</f>
        <v>35</v>
      </c>
      <c r="B41" s="66" t="str">
        <f ca="1">IFERROR(__xludf.DUMMYFUNCTION("""COMPUTED_VALUE"""),"MN Bầu Trời Xanh")</f>
        <v>MN Bầu Trời Xanh</v>
      </c>
      <c r="C41" s="66" t="str">
        <f ca="1">IFERROR(__xludf.DUMMYFUNCTION("""COMPUTED_VALUE"""),"MN")</f>
        <v>MN</v>
      </c>
      <c r="D41" s="66" t="str">
        <f ca="1">IFERROR(__xludf.DUMMYFUNCTION("""COMPUTED_VALUE"""),"QUẬN 7")</f>
        <v>QUẬN 7</v>
      </c>
      <c r="E41" s="67">
        <f ca="1">IFERROR(__xludf.DUMMYFUNCTION("""COMPUTED_VALUE"""),22)</f>
        <v>22</v>
      </c>
      <c r="F41" s="67">
        <f ca="1">IFERROR(__xludf.DUMMYFUNCTION("""COMPUTED_VALUE"""),22)</f>
        <v>22</v>
      </c>
      <c r="G41" s="51">
        <f t="shared" ca="1" si="0"/>
        <v>1</v>
      </c>
      <c r="H41" s="67">
        <f ca="1">IFERROR(__xludf.DUMMYFUNCTION("""COMPUTED_VALUE"""),22)</f>
        <v>22</v>
      </c>
      <c r="I41" s="51">
        <f t="shared" ca="1" si="1"/>
        <v>1</v>
      </c>
      <c r="J41" s="67">
        <f ca="1">IFERROR(__xludf.DUMMYFUNCTION("""COMPUTED_VALUE"""),20)</f>
        <v>20</v>
      </c>
      <c r="K41" s="51">
        <f t="shared" ca="1" si="2"/>
        <v>0.90909090909090906</v>
      </c>
      <c r="L41" s="67">
        <f ca="1">IFERROR(__xludf.DUMMYFUNCTION("""COMPUTED_VALUE"""),1)</f>
        <v>1</v>
      </c>
      <c r="M41" s="51">
        <f t="shared" ca="1" si="3"/>
        <v>4.5454545454545456E-2</v>
      </c>
      <c r="N41" s="67">
        <f ca="1">IFERROR(__xludf.DUMMYFUNCTION("""COMPUTED_VALUE"""),15)</f>
        <v>15</v>
      </c>
      <c r="O41" s="67">
        <f ca="1">IFERROR(__xludf.DUMMYFUNCTION("""COMPUTED_VALUE"""),1)</f>
        <v>1</v>
      </c>
      <c r="P41" s="51">
        <f t="shared" ca="1" si="4"/>
        <v>6.6666666666666666E-2</v>
      </c>
      <c r="Q41" s="67">
        <f ca="1">IFERROR(__xludf.DUMMYFUNCTION("""COMPUTED_VALUE"""),0)</f>
        <v>0</v>
      </c>
      <c r="R41" s="51">
        <f t="shared" ca="1" si="5"/>
        <v>0</v>
      </c>
      <c r="S41" s="66"/>
      <c r="T41" s="66"/>
      <c r="U41" s="51" t="str">
        <f t="shared" si="6"/>
        <v/>
      </c>
      <c r="V41" s="66"/>
      <c r="W41" s="51" t="str">
        <f t="shared" si="7"/>
        <v/>
      </c>
      <c r="X41" s="66"/>
      <c r="Y41" s="51" t="str">
        <f t="shared" si="8"/>
        <v/>
      </c>
      <c r="Z41" s="2"/>
      <c r="AA41" s="2"/>
      <c r="AB41" s="2"/>
      <c r="AC41" s="2"/>
      <c r="AD41" s="2"/>
      <c r="AE41" s="2"/>
    </row>
    <row r="42" spans="1:31" ht="12.75" x14ac:dyDescent="0.2">
      <c r="A42" s="53">
        <f ca="1">IFERROR(__xludf.DUMMYFUNCTION("""COMPUTED_VALUE"""),36)</f>
        <v>36</v>
      </c>
      <c r="B42" s="66" t="str">
        <f ca="1">IFERROR(__xludf.DUMMYFUNCTION("""COMPUTED_VALUE"""),"MG Hướng Dương")</f>
        <v>MG Hướng Dương</v>
      </c>
      <c r="C42" s="66" t="str">
        <f ca="1">IFERROR(__xludf.DUMMYFUNCTION("""COMPUTED_VALUE"""),"MN")</f>
        <v>MN</v>
      </c>
      <c r="D42" s="66" t="str">
        <f ca="1">IFERROR(__xludf.DUMMYFUNCTION("""COMPUTED_VALUE"""),"QUẬN 7")</f>
        <v>QUẬN 7</v>
      </c>
      <c r="E42" s="67">
        <f ca="1">IFERROR(__xludf.DUMMYFUNCTION("""COMPUTED_VALUE"""),26)</f>
        <v>26</v>
      </c>
      <c r="F42" s="67">
        <f ca="1">IFERROR(__xludf.DUMMYFUNCTION("""COMPUTED_VALUE"""),26)</f>
        <v>26</v>
      </c>
      <c r="G42" s="51">
        <f t="shared" ca="1" si="0"/>
        <v>1</v>
      </c>
      <c r="H42" s="67">
        <f ca="1">IFERROR(__xludf.DUMMYFUNCTION("""COMPUTED_VALUE"""),26)</f>
        <v>26</v>
      </c>
      <c r="I42" s="51">
        <f t="shared" ca="1" si="1"/>
        <v>1</v>
      </c>
      <c r="J42" s="67">
        <f ca="1">IFERROR(__xludf.DUMMYFUNCTION("""COMPUTED_VALUE"""),24)</f>
        <v>24</v>
      </c>
      <c r="K42" s="51">
        <f t="shared" ca="1" si="2"/>
        <v>0.92307692307692313</v>
      </c>
      <c r="L42" s="67">
        <f ca="1">IFERROR(__xludf.DUMMYFUNCTION("""COMPUTED_VALUE"""),1)</f>
        <v>1</v>
      </c>
      <c r="M42" s="51">
        <f t="shared" ca="1" si="3"/>
        <v>3.8461538461538464E-2</v>
      </c>
      <c r="N42" s="67">
        <f ca="1">IFERROR(__xludf.DUMMYFUNCTION("""COMPUTED_VALUE"""),118)</f>
        <v>118</v>
      </c>
      <c r="O42" s="67">
        <f ca="1">IFERROR(__xludf.DUMMYFUNCTION("""COMPUTED_VALUE"""),7)</f>
        <v>7</v>
      </c>
      <c r="P42" s="51">
        <f t="shared" ca="1" si="4"/>
        <v>5.9322033898305086E-2</v>
      </c>
      <c r="Q42" s="67">
        <f ca="1">IFERROR(__xludf.DUMMYFUNCTION("""COMPUTED_VALUE"""),4)</f>
        <v>4</v>
      </c>
      <c r="R42" s="51">
        <f t="shared" ca="1" si="5"/>
        <v>3.3898305084745763E-2</v>
      </c>
      <c r="S42" s="66"/>
      <c r="T42" s="66"/>
      <c r="U42" s="51" t="str">
        <f t="shared" si="6"/>
        <v/>
      </c>
      <c r="V42" s="66"/>
      <c r="W42" s="51" t="str">
        <f t="shared" si="7"/>
        <v/>
      </c>
      <c r="X42" s="66"/>
      <c r="Y42" s="51" t="str">
        <f t="shared" si="8"/>
        <v/>
      </c>
      <c r="Z42" s="2"/>
      <c r="AA42" s="2"/>
      <c r="AB42" s="2"/>
      <c r="AC42" s="2"/>
      <c r="AD42" s="2"/>
      <c r="AE42" s="2"/>
    </row>
    <row r="43" spans="1:31" ht="12.75" x14ac:dyDescent="0.2">
      <c r="A43" s="53">
        <f ca="1">IFERROR(__xludf.DUMMYFUNCTION("""COMPUTED_VALUE"""),37)</f>
        <v>37</v>
      </c>
      <c r="B43" s="66" t="str">
        <f ca="1">IFERROR(__xludf.DUMMYFUNCTION("""COMPUTED_VALUE"""),"MN Học Viện Thiên Thần")</f>
        <v>MN Học Viện Thiên Thần</v>
      </c>
      <c r="C43" s="66" t="str">
        <f ca="1">IFERROR(__xludf.DUMMYFUNCTION("""COMPUTED_VALUE"""),"MN")</f>
        <v>MN</v>
      </c>
      <c r="D43" s="66" t="str">
        <f ca="1">IFERROR(__xludf.DUMMYFUNCTION("""COMPUTED_VALUE"""),"QUẬN 7")</f>
        <v>QUẬN 7</v>
      </c>
      <c r="E43" s="67">
        <f ca="1">IFERROR(__xludf.DUMMYFUNCTION("""COMPUTED_VALUE"""),28)</f>
        <v>28</v>
      </c>
      <c r="F43" s="67">
        <f ca="1">IFERROR(__xludf.DUMMYFUNCTION("""COMPUTED_VALUE"""),28)</f>
        <v>28</v>
      </c>
      <c r="G43" s="51">
        <f t="shared" ca="1" si="0"/>
        <v>1</v>
      </c>
      <c r="H43" s="67">
        <f ca="1">IFERROR(__xludf.DUMMYFUNCTION("""COMPUTED_VALUE"""),28)</f>
        <v>28</v>
      </c>
      <c r="I43" s="51">
        <f t="shared" ca="1" si="1"/>
        <v>1</v>
      </c>
      <c r="J43" s="67">
        <f ca="1">IFERROR(__xludf.DUMMYFUNCTION("""COMPUTED_VALUE"""),28)</f>
        <v>28</v>
      </c>
      <c r="K43" s="51">
        <f t="shared" ca="1" si="2"/>
        <v>1</v>
      </c>
      <c r="L43" s="67">
        <f ca="1">IFERROR(__xludf.DUMMYFUNCTION("""COMPUTED_VALUE"""),21)</f>
        <v>21</v>
      </c>
      <c r="M43" s="51">
        <f t="shared" ca="1" si="3"/>
        <v>0.75</v>
      </c>
      <c r="N43" s="67">
        <f ca="1">IFERROR(__xludf.DUMMYFUNCTION("""COMPUTED_VALUE"""),35)</f>
        <v>35</v>
      </c>
      <c r="O43" s="67">
        <f ca="1">IFERROR(__xludf.DUMMYFUNCTION("""COMPUTED_VALUE"""),1)</f>
        <v>1</v>
      </c>
      <c r="P43" s="51">
        <f t="shared" ca="1" si="4"/>
        <v>2.8571428571428571E-2</v>
      </c>
      <c r="Q43" s="67">
        <f ca="1">IFERROR(__xludf.DUMMYFUNCTION("""COMPUTED_VALUE"""),0)</f>
        <v>0</v>
      </c>
      <c r="R43" s="51">
        <f t="shared" ca="1" si="5"/>
        <v>0</v>
      </c>
      <c r="S43" s="66"/>
      <c r="T43" s="66"/>
      <c r="U43" s="51" t="str">
        <f t="shared" si="6"/>
        <v/>
      </c>
      <c r="V43" s="66"/>
      <c r="W43" s="51" t="str">
        <f t="shared" si="7"/>
        <v/>
      </c>
      <c r="X43" s="66"/>
      <c r="Y43" s="51" t="str">
        <f t="shared" si="8"/>
        <v/>
      </c>
      <c r="Z43" s="2"/>
      <c r="AA43" s="2"/>
      <c r="AB43" s="2"/>
      <c r="AC43" s="2"/>
      <c r="AD43" s="2"/>
      <c r="AE43" s="2"/>
    </row>
    <row r="44" spans="1:31" ht="12.75" x14ac:dyDescent="0.2">
      <c r="A44" s="53">
        <f ca="1">IFERROR(__xludf.DUMMYFUNCTION("""COMPUTED_VALUE"""),38)</f>
        <v>38</v>
      </c>
      <c r="B44" s="66" t="str">
        <f ca="1">IFERROR(__xludf.DUMMYFUNCTION("""COMPUTED_VALUE"""),"MN Bước Vui")</f>
        <v>MN Bước Vui</v>
      </c>
      <c r="C44" s="66" t="str">
        <f ca="1">IFERROR(__xludf.DUMMYFUNCTION("""COMPUTED_VALUE"""),"MN")</f>
        <v>MN</v>
      </c>
      <c r="D44" s="66" t="str">
        <f ca="1">IFERROR(__xludf.DUMMYFUNCTION("""COMPUTED_VALUE"""),"QUẬN 7")</f>
        <v>QUẬN 7</v>
      </c>
      <c r="E44" s="67">
        <f ca="1">IFERROR(__xludf.DUMMYFUNCTION("""COMPUTED_VALUE"""),18)</f>
        <v>18</v>
      </c>
      <c r="F44" s="67">
        <f ca="1">IFERROR(__xludf.DUMMYFUNCTION("""COMPUTED_VALUE"""),18)</f>
        <v>18</v>
      </c>
      <c r="G44" s="51">
        <f t="shared" ca="1" si="0"/>
        <v>1</v>
      </c>
      <c r="H44" s="67">
        <f ca="1">IFERROR(__xludf.DUMMYFUNCTION("""COMPUTED_VALUE"""),18)</f>
        <v>18</v>
      </c>
      <c r="I44" s="51">
        <f t="shared" ca="1" si="1"/>
        <v>1</v>
      </c>
      <c r="J44" s="67">
        <f ca="1">IFERROR(__xludf.DUMMYFUNCTION("""COMPUTED_VALUE"""),18)</f>
        <v>18</v>
      </c>
      <c r="K44" s="51">
        <f t="shared" ca="1" si="2"/>
        <v>1</v>
      </c>
      <c r="L44" s="67">
        <f ca="1">IFERROR(__xludf.DUMMYFUNCTION("""COMPUTED_VALUE"""),12)</f>
        <v>12</v>
      </c>
      <c r="M44" s="51">
        <f t="shared" ca="1" si="3"/>
        <v>0.66666666666666663</v>
      </c>
      <c r="N44" s="67">
        <f ca="1">IFERROR(__xludf.DUMMYFUNCTION("""COMPUTED_VALUE"""),18)</f>
        <v>18</v>
      </c>
      <c r="O44" s="67">
        <f ca="1">IFERROR(__xludf.DUMMYFUNCTION("""COMPUTED_VALUE"""),1)</f>
        <v>1</v>
      </c>
      <c r="P44" s="51">
        <f t="shared" ca="1" si="4"/>
        <v>5.5555555555555552E-2</v>
      </c>
      <c r="Q44" s="67">
        <f ca="1">IFERROR(__xludf.DUMMYFUNCTION("""COMPUTED_VALUE"""),0)</f>
        <v>0</v>
      </c>
      <c r="R44" s="51">
        <f t="shared" ca="1" si="5"/>
        <v>0</v>
      </c>
      <c r="S44" s="66"/>
      <c r="T44" s="66"/>
      <c r="U44" s="51" t="str">
        <f t="shared" si="6"/>
        <v/>
      </c>
      <c r="V44" s="66"/>
      <c r="W44" s="51" t="str">
        <f t="shared" si="7"/>
        <v/>
      </c>
      <c r="X44" s="66"/>
      <c r="Y44" s="51" t="str">
        <f t="shared" si="8"/>
        <v/>
      </c>
      <c r="Z44" s="2"/>
      <c r="AA44" s="2"/>
      <c r="AB44" s="2"/>
      <c r="AC44" s="2"/>
      <c r="AD44" s="2"/>
      <c r="AE44" s="2"/>
    </row>
    <row r="45" spans="1:31" ht="12.75" x14ac:dyDescent="0.2">
      <c r="A45" s="53">
        <f ca="1">IFERROR(__xludf.DUMMYFUNCTION("""COMPUTED_VALUE"""),39)</f>
        <v>39</v>
      </c>
      <c r="B45" s="66" t="str">
        <f ca="1">IFERROR(__xludf.DUMMYFUNCTION("""COMPUTED_VALUE"""),"MN Chú Voi Con")</f>
        <v>MN Chú Voi Con</v>
      </c>
      <c r="C45" s="66" t="str">
        <f ca="1">IFERROR(__xludf.DUMMYFUNCTION("""COMPUTED_VALUE"""),"MN")</f>
        <v>MN</v>
      </c>
      <c r="D45" s="66" t="str">
        <f ca="1">IFERROR(__xludf.DUMMYFUNCTION("""COMPUTED_VALUE"""),"QUẬN 7")</f>
        <v>QUẬN 7</v>
      </c>
      <c r="E45" s="67">
        <f ca="1">IFERROR(__xludf.DUMMYFUNCTION("""COMPUTED_VALUE"""),20)</f>
        <v>20</v>
      </c>
      <c r="F45" s="67">
        <f ca="1">IFERROR(__xludf.DUMMYFUNCTION("""COMPUTED_VALUE"""),20)</f>
        <v>20</v>
      </c>
      <c r="G45" s="51">
        <f t="shared" ca="1" si="0"/>
        <v>1</v>
      </c>
      <c r="H45" s="67">
        <f ca="1">IFERROR(__xludf.DUMMYFUNCTION("""COMPUTED_VALUE"""),20)</f>
        <v>20</v>
      </c>
      <c r="I45" s="51">
        <f t="shared" ca="1" si="1"/>
        <v>1</v>
      </c>
      <c r="J45" s="67">
        <f ca="1">IFERROR(__xludf.DUMMYFUNCTION("""COMPUTED_VALUE"""),20)</f>
        <v>20</v>
      </c>
      <c r="K45" s="51">
        <f t="shared" ca="1" si="2"/>
        <v>1</v>
      </c>
      <c r="L45" s="67">
        <f ca="1">IFERROR(__xludf.DUMMYFUNCTION("""COMPUTED_VALUE"""),6)</f>
        <v>6</v>
      </c>
      <c r="M45" s="51">
        <f t="shared" ca="1" si="3"/>
        <v>0.3</v>
      </c>
      <c r="N45" s="67">
        <f ca="1">IFERROR(__xludf.DUMMYFUNCTION("""COMPUTED_VALUE"""),30)</f>
        <v>30</v>
      </c>
      <c r="O45" s="67">
        <f ca="1">IFERROR(__xludf.DUMMYFUNCTION("""COMPUTED_VALUE"""),0)</f>
        <v>0</v>
      </c>
      <c r="P45" s="51">
        <f t="shared" ca="1" si="4"/>
        <v>0</v>
      </c>
      <c r="Q45" s="67">
        <f ca="1">IFERROR(__xludf.DUMMYFUNCTION("""COMPUTED_VALUE"""),0)</f>
        <v>0</v>
      </c>
      <c r="R45" s="51">
        <f t="shared" ca="1" si="5"/>
        <v>0</v>
      </c>
      <c r="S45" s="66"/>
      <c r="T45" s="66"/>
      <c r="U45" s="51" t="str">
        <f t="shared" si="6"/>
        <v/>
      </c>
      <c r="V45" s="66"/>
      <c r="W45" s="51" t="str">
        <f t="shared" si="7"/>
        <v/>
      </c>
      <c r="X45" s="66"/>
      <c r="Y45" s="51" t="str">
        <f t="shared" si="8"/>
        <v/>
      </c>
      <c r="Z45" s="2"/>
      <c r="AA45" s="2"/>
      <c r="AB45" s="2"/>
      <c r="AC45" s="2"/>
      <c r="AD45" s="2"/>
      <c r="AE45" s="2"/>
    </row>
    <row r="46" spans="1:31" ht="12.75" x14ac:dyDescent="0.2">
      <c r="A46" s="53">
        <f ca="1">IFERROR(__xludf.DUMMYFUNCTION("""COMPUTED_VALUE"""),40)</f>
        <v>40</v>
      </c>
      <c r="B46" s="66" t="str">
        <f ca="1">IFERROR(__xludf.DUMMYFUNCTION("""COMPUTED_VALUE"""),"MN Hoa Mai")</f>
        <v>MN Hoa Mai</v>
      </c>
      <c r="C46" s="66" t="str">
        <f ca="1">IFERROR(__xludf.DUMMYFUNCTION("""COMPUTED_VALUE"""),"MN")</f>
        <v>MN</v>
      </c>
      <c r="D46" s="66" t="str">
        <f ca="1">IFERROR(__xludf.DUMMYFUNCTION("""COMPUTED_VALUE"""),"QUẬN 7")</f>
        <v>QUẬN 7</v>
      </c>
      <c r="E46" s="67">
        <f ca="1">IFERROR(__xludf.DUMMYFUNCTION("""COMPUTED_VALUE"""),13)</f>
        <v>13</v>
      </c>
      <c r="F46" s="67">
        <f ca="1">IFERROR(__xludf.DUMMYFUNCTION("""COMPUTED_VALUE"""),13)</f>
        <v>13</v>
      </c>
      <c r="G46" s="51">
        <f t="shared" ca="1" si="0"/>
        <v>1</v>
      </c>
      <c r="H46" s="67">
        <f ca="1">IFERROR(__xludf.DUMMYFUNCTION("""COMPUTED_VALUE"""),13)</f>
        <v>13</v>
      </c>
      <c r="I46" s="51">
        <f t="shared" ca="1" si="1"/>
        <v>1</v>
      </c>
      <c r="J46" s="67">
        <f ca="1">IFERROR(__xludf.DUMMYFUNCTION("""COMPUTED_VALUE"""),13)</f>
        <v>13</v>
      </c>
      <c r="K46" s="51">
        <f t="shared" ca="1" si="2"/>
        <v>1</v>
      </c>
      <c r="L46" s="67">
        <f ca="1">IFERROR(__xludf.DUMMYFUNCTION("""COMPUTED_VALUE"""),13)</f>
        <v>13</v>
      </c>
      <c r="M46" s="51">
        <f t="shared" ca="1" si="3"/>
        <v>1</v>
      </c>
      <c r="N46" s="67">
        <f ca="1">IFERROR(__xludf.DUMMYFUNCTION("""COMPUTED_VALUE"""),7)</f>
        <v>7</v>
      </c>
      <c r="O46" s="67">
        <f ca="1">IFERROR(__xludf.DUMMYFUNCTION("""COMPUTED_VALUE"""),0)</f>
        <v>0</v>
      </c>
      <c r="P46" s="51">
        <f t="shared" ca="1" si="4"/>
        <v>0</v>
      </c>
      <c r="Q46" s="67">
        <f ca="1">IFERROR(__xludf.DUMMYFUNCTION("""COMPUTED_VALUE"""),0)</f>
        <v>0</v>
      </c>
      <c r="R46" s="51">
        <f t="shared" ca="1" si="5"/>
        <v>0</v>
      </c>
      <c r="S46" s="66"/>
      <c r="T46" s="66"/>
      <c r="U46" s="51" t="str">
        <f t="shared" si="6"/>
        <v/>
      </c>
      <c r="V46" s="66"/>
      <c r="W46" s="51" t="str">
        <f t="shared" si="7"/>
        <v/>
      </c>
      <c r="X46" s="66"/>
      <c r="Y46" s="51" t="str">
        <f t="shared" si="8"/>
        <v/>
      </c>
      <c r="Z46" s="2"/>
      <c r="AA46" s="2"/>
      <c r="AB46" s="2"/>
      <c r="AC46" s="2"/>
      <c r="AD46" s="2"/>
      <c r="AE46" s="2"/>
    </row>
    <row r="47" spans="1:31" ht="12.75" x14ac:dyDescent="0.2">
      <c r="A47" s="53">
        <f ca="1">IFERROR(__xludf.DUMMYFUNCTION("""COMPUTED_VALUE"""),41)</f>
        <v>41</v>
      </c>
      <c r="B47" s="66" t="str">
        <f ca="1">IFERROR(__xludf.DUMMYFUNCTION("""COMPUTED_VALUE"""),"MN Ánh Bình Minh")</f>
        <v>MN Ánh Bình Minh</v>
      </c>
      <c r="C47" s="66" t="str">
        <f ca="1">IFERROR(__xludf.DUMMYFUNCTION("""COMPUTED_VALUE"""),"MN")</f>
        <v>MN</v>
      </c>
      <c r="D47" s="66" t="str">
        <f ca="1">IFERROR(__xludf.DUMMYFUNCTION("""COMPUTED_VALUE"""),"QUẬN 7")</f>
        <v>QUẬN 7</v>
      </c>
      <c r="E47" s="67">
        <f ca="1">IFERROR(__xludf.DUMMYFUNCTION("""COMPUTED_VALUE"""),16)</f>
        <v>16</v>
      </c>
      <c r="F47" s="67">
        <f ca="1">IFERROR(__xludf.DUMMYFUNCTION("""COMPUTED_VALUE"""),16)</f>
        <v>16</v>
      </c>
      <c r="G47" s="51">
        <f t="shared" ca="1" si="0"/>
        <v>1</v>
      </c>
      <c r="H47" s="67">
        <f ca="1">IFERROR(__xludf.DUMMYFUNCTION("""COMPUTED_VALUE"""),16)</f>
        <v>16</v>
      </c>
      <c r="I47" s="51">
        <f t="shared" ca="1" si="1"/>
        <v>1</v>
      </c>
      <c r="J47" s="67">
        <f ca="1">IFERROR(__xludf.DUMMYFUNCTION("""COMPUTED_VALUE"""),16)</f>
        <v>16</v>
      </c>
      <c r="K47" s="51">
        <f t="shared" ca="1" si="2"/>
        <v>1</v>
      </c>
      <c r="L47" s="67">
        <f ca="1">IFERROR(__xludf.DUMMYFUNCTION("""COMPUTED_VALUE"""),1)</f>
        <v>1</v>
      </c>
      <c r="M47" s="51">
        <f t="shared" ca="1" si="3"/>
        <v>6.25E-2</v>
      </c>
      <c r="N47" s="67">
        <f ca="1">IFERROR(__xludf.DUMMYFUNCTION("""COMPUTED_VALUE"""),15)</f>
        <v>15</v>
      </c>
      <c r="O47" s="67">
        <f ca="1">IFERROR(__xludf.DUMMYFUNCTION("""COMPUTED_VALUE"""),0)</f>
        <v>0</v>
      </c>
      <c r="P47" s="51">
        <f t="shared" ca="1" si="4"/>
        <v>0</v>
      </c>
      <c r="Q47" s="67">
        <f ca="1">IFERROR(__xludf.DUMMYFUNCTION("""COMPUTED_VALUE"""),0)</f>
        <v>0</v>
      </c>
      <c r="R47" s="51">
        <f t="shared" ca="1" si="5"/>
        <v>0</v>
      </c>
      <c r="S47" s="66"/>
      <c r="T47" s="66"/>
      <c r="U47" s="51" t="str">
        <f t="shared" si="6"/>
        <v/>
      </c>
      <c r="V47" s="66"/>
      <c r="W47" s="51" t="str">
        <f t="shared" si="7"/>
        <v/>
      </c>
      <c r="X47" s="66"/>
      <c r="Y47" s="51" t="str">
        <f t="shared" si="8"/>
        <v/>
      </c>
      <c r="Z47" s="2"/>
      <c r="AA47" s="2"/>
      <c r="AB47" s="2"/>
      <c r="AC47" s="2"/>
      <c r="AD47" s="2"/>
      <c r="AE47" s="2"/>
    </row>
    <row r="48" spans="1:31" ht="12.75" x14ac:dyDescent="0.2">
      <c r="A48" s="53">
        <f ca="1">IFERROR(__xludf.DUMMYFUNCTION("""COMPUTED_VALUE"""),42)</f>
        <v>42</v>
      </c>
      <c r="B48" s="66" t="str">
        <f ca="1">IFERROR(__xludf.DUMMYFUNCTION("""COMPUTED_VALUE"""),"MN Ngôi Nhà Mơ Ước")</f>
        <v>MN Ngôi Nhà Mơ Ước</v>
      </c>
      <c r="C48" s="66" t="str">
        <f ca="1">IFERROR(__xludf.DUMMYFUNCTION("""COMPUTED_VALUE"""),"MN")</f>
        <v>MN</v>
      </c>
      <c r="D48" s="66" t="str">
        <f ca="1">IFERROR(__xludf.DUMMYFUNCTION("""COMPUTED_VALUE"""),"QUẬN 7")</f>
        <v>QUẬN 7</v>
      </c>
      <c r="E48" s="67">
        <f ca="1">IFERROR(__xludf.DUMMYFUNCTION("""COMPUTED_VALUE"""),22)</f>
        <v>22</v>
      </c>
      <c r="F48" s="67">
        <f ca="1">IFERROR(__xludf.DUMMYFUNCTION("""COMPUTED_VALUE"""),22)</f>
        <v>22</v>
      </c>
      <c r="G48" s="51">
        <f t="shared" ca="1" si="0"/>
        <v>1</v>
      </c>
      <c r="H48" s="67">
        <f ca="1">IFERROR(__xludf.DUMMYFUNCTION("""COMPUTED_VALUE"""),22)</f>
        <v>22</v>
      </c>
      <c r="I48" s="51">
        <f t="shared" ca="1" si="1"/>
        <v>1</v>
      </c>
      <c r="J48" s="67">
        <f ca="1">IFERROR(__xludf.DUMMYFUNCTION("""COMPUTED_VALUE"""),22)</f>
        <v>22</v>
      </c>
      <c r="K48" s="51">
        <f t="shared" ca="1" si="2"/>
        <v>1</v>
      </c>
      <c r="L48" s="67">
        <f ca="1">IFERROR(__xludf.DUMMYFUNCTION("""COMPUTED_VALUE"""),22)</f>
        <v>22</v>
      </c>
      <c r="M48" s="51">
        <f t="shared" ca="1" si="3"/>
        <v>1</v>
      </c>
      <c r="N48" s="67">
        <f ca="1">IFERROR(__xludf.DUMMYFUNCTION("""COMPUTED_VALUE"""),43)</f>
        <v>43</v>
      </c>
      <c r="O48" s="67">
        <f ca="1">IFERROR(__xludf.DUMMYFUNCTION("""COMPUTED_VALUE"""),0)</f>
        <v>0</v>
      </c>
      <c r="P48" s="51">
        <f t="shared" ca="1" si="4"/>
        <v>0</v>
      </c>
      <c r="Q48" s="67">
        <f ca="1">IFERROR(__xludf.DUMMYFUNCTION("""COMPUTED_VALUE"""),0)</f>
        <v>0</v>
      </c>
      <c r="R48" s="51">
        <f t="shared" ca="1" si="5"/>
        <v>0</v>
      </c>
      <c r="S48" s="66"/>
      <c r="T48" s="66"/>
      <c r="U48" s="51" t="str">
        <f t="shared" si="6"/>
        <v/>
      </c>
      <c r="V48" s="66"/>
      <c r="W48" s="51" t="str">
        <f t="shared" si="7"/>
        <v/>
      </c>
      <c r="X48" s="66"/>
      <c r="Y48" s="51" t="str">
        <f t="shared" si="8"/>
        <v/>
      </c>
      <c r="Z48" s="2"/>
      <c r="AA48" s="2"/>
      <c r="AB48" s="2"/>
      <c r="AC48" s="2"/>
      <c r="AD48" s="2"/>
      <c r="AE48" s="2"/>
    </row>
    <row r="49" spans="1:31" ht="12.75" x14ac:dyDescent="0.2">
      <c r="A49" s="53">
        <f ca="1">IFERROR(__xludf.DUMMYFUNCTION("""COMPUTED_VALUE"""),43)</f>
        <v>43</v>
      </c>
      <c r="B49" s="66" t="str">
        <f ca="1">IFERROR(__xludf.DUMMYFUNCTION("""COMPUTED_VALUE"""),"MN Ngôi Nhà Trẻ Thơ")</f>
        <v>MN Ngôi Nhà Trẻ Thơ</v>
      </c>
      <c r="C49" s="66" t="str">
        <f ca="1">IFERROR(__xludf.DUMMYFUNCTION("""COMPUTED_VALUE"""),"MN")</f>
        <v>MN</v>
      </c>
      <c r="D49" s="66" t="str">
        <f ca="1">IFERROR(__xludf.DUMMYFUNCTION("""COMPUTED_VALUE"""),"QUẬN 7")</f>
        <v>QUẬN 7</v>
      </c>
      <c r="E49" s="67">
        <f ca="1">IFERROR(__xludf.DUMMYFUNCTION("""COMPUTED_VALUE"""),17)</f>
        <v>17</v>
      </c>
      <c r="F49" s="67">
        <f ca="1">IFERROR(__xludf.DUMMYFUNCTION("""COMPUTED_VALUE"""),17)</f>
        <v>17</v>
      </c>
      <c r="G49" s="51">
        <f t="shared" ca="1" si="0"/>
        <v>1</v>
      </c>
      <c r="H49" s="67">
        <f ca="1">IFERROR(__xludf.DUMMYFUNCTION("""COMPUTED_VALUE"""),17)</f>
        <v>17</v>
      </c>
      <c r="I49" s="51">
        <f t="shared" ca="1" si="1"/>
        <v>1</v>
      </c>
      <c r="J49" s="67">
        <f ca="1">IFERROR(__xludf.DUMMYFUNCTION("""COMPUTED_VALUE"""),17)</f>
        <v>17</v>
      </c>
      <c r="K49" s="51">
        <f t="shared" ca="1" si="2"/>
        <v>1</v>
      </c>
      <c r="L49" s="67">
        <f ca="1">IFERROR(__xludf.DUMMYFUNCTION("""COMPUTED_VALUE"""),14)</f>
        <v>14</v>
      </c>
      <c r="M49" s="51">
        <f t="shared" ca="1" si="3"/>
        <v>0.82352941176470584</v>
      </c>
      <c r="N49" s="67">
        <f ca="1">IFERROR(__xludf.DUMMYFUNCTION("""COMPUTED_VALUE"""),21)</f>
        <v>21</v>
      </c>
      <c r="O49" s="67">
        <f ca="1">IFERROR(__xludf.DUMMYFUNCTION("""COMPUTED_VALUE"""),0)</f>
        <v>0</v>
      </c>
      <c r="P49" s="51">
        <f t="shared" ca="1" si="4"/>
        <v>0</v>
      </c>
      <c r="Q49" s="67">
        <f ca="1">IFERROR(__xludf.DUMMYFUNCTION("""COMPUTED_VALUE"""),0)</f>
        <v>0</v>
      </c>
      <c r="R49" s="51">
        <f t="shared" ca="1" si="5"/>
        <v>0</v>
      </c>
      <c r="S49" s="66"/>
      <c r="T49" s="66"/>
      <c r="U49" s="51" t="str">
        <f t="shared" si="6"/>
        <v/>
      </c>
      <c r="V49" s="66"/>
      <c r="W49" s="51" t="str">
        <f t="shared" si="7"/>
        <v/>
      </c>
      <c r="X49" s="66"/>
      <c r="Y49" s="51" t="str">
        <f t="shared" si="8"/>
        <v/>
      </c>
      <c r="Z49" s="2"/>
      <c r="AA49" s="2"/>
      <c r="AB49" s="2"/>
      <c r="AC49" s="2"/>
      <c r="AD49" s="2"/>
      <c r="AE49" s="2"/>
    </row>
    <row r="50" spans="1:31" ht="12.75" x14ac:dyDescent="0.2">
      <c r="A50" s="53">
        <f ca="1">IFERROR(__xludf.DUMMYFUNCTION("""COMPUTED_VALUE"""),44)</f>
        <v>44</v>
      </c>
      <c r="B50" s="66" t="str">
        <f ca="1">IFERROR(__xludf.DUMMYFUNCTION("""COMPUTED_VALUE"""),"MN Nhật Minh")</f>
        <v>MN Nhật Minh</v>
      </c>
      <c r="C50" s="66" t="str">
        <f ca="1">IFERROR(__xludf.DUMMYFUNCTION("""COMPUTED_VALUE"""),"MN")</f>
        <v>MN</v>
      </c>
      <c r="D50" s="66" t="str">
        <f ca="1">IFERROR(__xludf.DUMMYFUNCTION("""COMPUTED_VALUE"""),"QUẬN 7")</f>
        <v>QUẬN 7</v>
      </c>
      <c r="E50" s="67">
        <f ca="1">IFERROR(__xludf.DUMMYFUNCTION("""COMPUTED_VALUE"""),17)</f>
        <v>17</v>
      </c>
      <c r="F50" s="67">
        <f ca="1">IFERROR(__xludf.DUMMYFUNCTION("""COMPUTED_VALUE"""),17)</f>
        <v>17</v>
      </c>
      <c r="G50" s="51">
        <f t="shared" ca="1" si="0"/>
        <v>1</v>
      </c>
      <c r="H50" s="67">
        <f ca="1">IFERROR(__xludf.DUMMYFUNCTION("""COMPUTED_VALUE"""),17)</f>
        <v>17</v>
      </c>
      <c r="I50" s="51">
        <f t="shared" ca="1" si="1"/>
        <v>1</v>
      </c>
      <c r="J50" s="67">
        <f ca="1">IFERROR(__xludf.DUMMYFUNCTION("""COMPUTED_VALUE"""),17)</f>
        <v>17</v>
      </c>
      <c r="K50" s="51">
        <f t="shared" ca="1" si="2"/>
        <v>1</v>
      </c>
      <c r="L50" s="67">
        <f ca="1">IFERROR(__xludf.DUMMYFUNCTION("""COMPUTED_VALUE"""),14)</f>
        <v>14</v>
      </c>
      <c r="M50" s="51">
        <f t="shared" ca="1" si="3"/>
        <v>0.82352941176470584</v>
      </c>
      <c r="N50" s="67">
        <f ca="1">IFERROR(__xludf.DUMMYFUNCTION("""COMPUTED_VALUE"""),30)</f>
        <v>30</v>
      </c>
      <c r="O50" s="67">
        <f ca="1">IFERROR(__xludf.DUMMYFUNCTION("""COMPUTED_VALUE"""),0)</f>
        <v>0</v>
      </c>
      <c r="P50" s="51">
        <f t="shared" ca="1" si="4"/>
        <v>0</v>
      </c>
      <c r="Q50" s="67">
        <f ca="1">IFERROR(__xludf.DUMMYFUNCTION("""COMPUTED_VALUE"""),0)</f>
        <v>0</v>
      </c>
      <c r="R50" s="51">
        <f t="shared" ca="1" si="5"/>
        <v>0</v>
      </c>
      <c r="S50" s="66"/>
      <c r="T50" s="66"/>
      <c r="U50" s="51" t="str">
        <f t="shared" si="6"/>
        <v/>
      </c>
      <c r="V50" s="66"/>
      <c r="W50" s="51" t="str">
        <f t="shared" si="7"/>
        <v/>
      </c>
      <c r="X50" s="66"/>
      <c r="Y50" s="51" t="str">
        <f t="shared" si="8"/>
        <v/>
      </c>
      <c r="Z50" s="2"/>
      <c r="AA50" s="2"/>
      <c r="AB50" s="2"/>
      <c r="AC50" s="2"/>
      <c r="AD50" s="2"/>
      <c r="AE50" s="2"/>
    </row>
    <row r="51" spans="1:31" ht="12.75" x14ac:dyDescent="0.2">
      <c r="A51" s="53">
        <f ca="1">IFERROR(__xludf.DUMMYFUNCTION("""COMPUTED_VALUE"""),45)</f>
        <v>45</v>
      </c>
      <c r="B51" s="66" t="str">
        <f ca="1">IFERROR(__xludf.DUMMYFUNCTION("""COMPUTED_VALUE"""),"MN Tuổi Thơ Kỳ Diệu")</f>
        <v>MN Tuổi Thơ Kỳ Diệu</v>
      </c>
      <c r="C51" s="66" t="str">
        <f ca="1">IFERROR(__xludf.DUMMYFUNCTION("""COMPUTED_VALUE"""),"MN")</f>
        <v>MN</v>
      </c>
      <c r="D51" s="66" t="str">
        <f ca="1">IFERROR(__xludf.DUMMYFUNCTION("""COMPUTED_VALUE"""),"QUẬN 7")</f>
        <v>QUẬN 7</v>
      </c>
      <c r="E51" s="67">
        <f ca="1">IFERROR(__xludf.DUMMYFUNCTION("""COMPUTED_VALUE"""),10)</f>
        <v>10</v>
      </c>
      <c r="F51" s="67">
        <f ca="1">IFERROR(__xludf.DUMMYFUNCTION("""COMPUTED_VALUE"""),10)</f>
        <v>10</v>
      </c>
      <c r="G51" s="51">
        <f t="shared" ca="1" si="0"/>
        <v>1</v>
      </c>
      <c r="H51" s="67">
        <f ca="1">IFERROR(__xludf.DUMMYFUNCTION("""COMPUTED_VALUE"""),10)</f>
        <v>10</v>
      </c>
      <c r="I51" s="51">
        <f t="shared" ca="1" si="1"/>
        <v>1</v>
      </c>
      <c r="J51" s="67">
        <f ca="1">IFERROR(__xludf.DUMMYFUNCTION("""COMPUTED_VALUE"""),10)</f>
        <v>10</v>
      </c>
      <c r="K51" s="51">
        <f t="shared" ca="1" si="2"/>
        <v>1</v>
      </c>
      <c r="L51" s="67">
        <f ca="1">IFERROR(__xludf.DUMMYFUNCTION("""COMPUTED_VALUE"""),5)</f>
        <v>5</v>
      </c>
      <c r="M51" s="51">
        <f t="shared" ca="1" si="3"/>
        <v>0.5</v>
      </c>
      <c r="N51" s="67">
        <f ca="1">IFERROR(__xludf.DUMMYFUNCTION("""COMPUTED_VALUE"""),0)</f>
        <v>0</v>
      </c>
      <c r="O51" s="67">
        <f ca="1">IFERROR(__xludf.DUMMYFUNCTION("""COMPUTED_VALUE"""),0)</f>
        <v>0</v>
      </c>
      <c r="P51" s="51" t="str">
        <f t="shared" ca="1" si="4"/>
        <v/>
      </c>
      <c r="Q51" s="67">
        <f ca="1">IFERROR(__xludf.DUMMYFUNCTION("""COMPUTED_VALUE"""),0)</f>
        <v>0</v>
      </c>
      <c r="R51" s="51" t="str">
        <f t="shared" ca="1" si="5"/>
        <v/>
      </c>
      <c r="S51" s="66"/>
      <c r="T51" s="66"/>
      <c r="U51" s="51" t="str">
        <f t="shared" si="6"/>
        <v/>
      </c>
      <c r="V51" s="66"/>
      <c r="W51" s="51" t="str">
        <f t="shared" si="7"/>
        <v/>
      </c>
      <c r="X51" s="66"/>
      <c r="Y51" s="51" t="str">
        <f t="shared" si="8"/>
        <v/>
      </c>
      <c r="Z51" s="2"/>
      <c r="AA51" s="2"/>
      <c r="AB51" s="2"/>
      <c r="AC51" s="2"/>
      <c r="AD51" s="2"/>
      <c r="AE51" s="2"/>
    </row>
    <row r="52" spans="1:31" ht="12.75" x14ac:dyDescent="0.2">
      <c r="A52" s="53">
        <f ca="1">IFERROR(__xludf.DUMMYFUNCTION("""COMPUTED_VALUE"""),46)</f>
        <v>46</v>
      </c>
      <c r="B52" s="66" t="str">
        <f ca="1">IFERROR(__xludf.DUMMYFUNCTION("""COMPUTED_VALUE"""),"MN Ngôi Nhà Thứ Hai")</f>
        <v>MN Ngôi Nhà Thứ Hai</v>
      </c>
      <c r="C52" s="66" t="str">
        <f ca="1">IFERROR(__xludf.DUMMYFUNCTION("""COMPUTED_VALUE"""),"MN")</f>
        <v>MN</v>
      </c>
      <c r="D52" s="66" t="str">
        <f ca="1">IFERROR(__xludf.DUMMYFUNCTION("""COMPUTED_VALUE"""),"QUẬN 7")</f>
        <v>QUẬN 7</v>
      </c>
      <c r="E52" s="67">
        <f ca="1">IFERROR(__xludf.DUMMYFUNCTION("""COMPUTED_VALUE"""),15)</f>
        <v>15</v>
      </c>
      <c r="F52" s="67">
        <f ca="1">IFERROR(__xludf.DUMMYFUNCTION("""COMPUTED_VALUE"""),15)</f>
        <v>15</v>
      </c>
      <c r="G52" s="51">
        <f t="shared" ca="1" si="0"/>
        <v>1</v>
      </c>
      <c r="H52" s="67">
        <f ca="1">IFERROR(__xludf.DUMMYFUNCTION("""COMPUTED_VALUE"""),15)</f>
        <v>15</v>
      </c>
      <c r="I52" s="51">
        <f t="shared" ca="1" si="1"/>
        <v>1</v>
      </c>
      <c r="J52" s="67">
        <f ca="1">IFERROR(__xludf.DUMMYFUNCTION("""COMPUTED_VALUE"""),15)</f>
        <v>15</v>
      </c>
      <c r="K52" s="51">
        <f t="shared" ca="1" si="2"/>
        <v>1</v>
      </c>
      <c r="L52" s="67">
        <f ca="1">IFERROR(__xludf.DUMMYFUNCTION("""COMPUTED_VALUE"""),5)</f>
        <v>5</v>
      </c>
      <c r="M52" s="51">
        <f t="shared" ca="1" si="3"/>
        <v>0.33333333333333331</v>
      </c>
      <c r="N52" s="67">
        <f ca="1">IFERROR(__xludf.DUMMYFUNCTION("""COMPUTED_VALUE"""),6)</f>
        <v>6</v>
      </c>
      <c r="O52" s="67">
        <f ca="1">IFERROR(__xludf.DUMMYFUNCTION("""COMPUTED_VALUE"""),0)</f>
        <v>0</v>
      </c>
      <c r="P52" s="51">
        <f t="shared" ca="1" si="4"/>
        <v>0</v>
      </c>
      <c r="Q52" s="67">
        <f ca="1">IFERROR(__xludf.DUMMYFUNCTION("""COMPUTED_VALUE"""),0)</f>
        <v>0</v>
      </c>
      <c r="R52" s="51">
        <f t="shared" ca="1" si="5"/>
        <v>0</v>
      </c>
      <c r="S52" s="66"/>
      <c r="T52" s="66"/>
      <c r="U52" s="51" t="str">
        <f t="shared" si="6"/>
        <v/>
      </c>
      <c r="V52" s="66"/>
      <c r="W52" s="51" t="str">
        <f t="shared" si="7"/>
        <v/>
      </c>
      <c r="X52" s="66"/>
      <c r="Y52" s="51" t="str">
        <f t="shared" si="8"/>
        <v/>
      </c>
      <c r="Z52" s="2"/>
      <c r="AA52" s="2"/>
      <c r="AB52" s="2"/>
      <c r="AC52" s="2"/>
      <c r="AD52" s="2"/>
      <c r="AE52" s="2"/>
    </row>
    <row r="53" spans="1:31" ht="12.75" x14ac:dyDescent="0.2">
      <c r="A53" s="53">
        <f ca="1">IFERROR(__xludf.DUMMYFUNCTION("""COMPUTED_VALUE"""),47)</f>
        <v>47</v>
      </c>
      <c r="B53" s="66" t="str">
        <f ca="1">IFERROR(__xludf.DUMMYFUNCTION("""COMPUTED_VALUE"""),"MN Cỏ Ba Lá")</f>
        <v>MN Cỏ Ba Lá</v>
      </c>
      <c r="C53" s="66" t="str">
        <f ca="1">IFERROR(__xludf.DUMMYFUNCTION("""COMPUTED_VALUE"""),"MN")</f>
        <v>MN</v>
      </c>
      <c r="D53" s="66" t="str">
        <f ca="1">IFERROR(__xludf.DUMMYFUNCTION("""COMPUTED_VALUE"""),"QUẬN 7")</f>
        <v>QUẬN 7</v>
      </c>
      <c r="E53" s="67">
        <f ca="1">IFERROR(__xludf.DUMMYFUNCTION("""COMPUTED_VALUE"""),25)</f>
        <v>25</v>
      </c>
      <c r="F53" s="67">
        <f ca="1">IFERROR(__xludf.DUMMYFUNCTION("""COMPUTED_VALUE"""),25)</f>
        <v>25</v>
      </c>
      <c r="G53" s="51">
        <f t="shared" ca="1" si="0"/>
        <v>1</v>
      </c>
      <c r="H53" s="67">
        <f ca="1">IFERROR(__xludf.DUMMYFUNCTION("""COMPUTED_VALUE"""),25)</f>
        <v>25</v>
      </c>
      <c r="I53" s="51">
        <f t="shared" ca="1" si="1"/>
        <v>1</v>
      </c>
      <c r="J53" s="67">
        <f ca="1">IFERROR(__xludf.DUMMYFUNCTION("""COMPUTED_VALUE"""),25)</f>
        <v>25</v>
      </c>
      <c r="K53" s="51">
        <f t="shared" ca="1" si="2"/>
        <v>1</v>
      </c>
      <c r="L53" s="67">
        <f ca="1">IFERROR(__xludf.DUMMYFUNCTION("""COMPUTED_VALUE"""),6)</f>
        <v>6</v>
      </c>
      <c r="M53" s="51">
        <f t="shared" ca="1" si="3"/>
        <v>0.24</v>
      </c>
      <c r="N53" s="67">
        <f ca="1">IFERROR(__xludf.DUMMYFUNCTION("""COMPUTED_VALUE"""),15)</f>
        <v>15</v>
      </c>
      <c r="O53" s="67">
        <f ca="1">IFERROR(__xludf.DUMMYFUNCTION("""COMPUTED_VALUE"""),0)</f>
        <v>0</v>
      </c>
      <c r="P53" s="51">
        <f t="shared" ca="1" si="4"/>
        <v>0</v>
      </c>
      <c r="Q53" s="67">
        <f ca="1">IFERROR(__xludf.DUMMYFUNCTION("""COMPUTED_VALUE"""),0)</f>
        <v>0</v>
      </c>
      <c r="R53" s="51">
        <f t="shared" ca="1" si="5"/>
        <v>0</v>
      </c>
      <c r="S53" s="66"/>
      <c r="T53" s="66"/>
      <c r="U53" s="51" t="str">
        <f t="shared" si="6"/>
        <v/>
      </c>
      <c r="V53" s="66"/>
      <c r="W53" s="51" t="str">
        <f t="shared" si="7"/>
        <v/>
      </c>
      <c r="X53" s="66"/>
      <c r="Y53" s="51" t="str">
        <f t="shared" si="8"/>
        <v/>
      </c>
      <c r="Z53" s="2"/>
      <c r="AA53" s="2"/>
      <c r="AB53" s="2"/>
      <c r="AC53" s="2"/>
      <c r="AD53" s="2"/>
      <c r="AE53" s="2"/>
    </row>
    <row r="54" spans="1:31" ht="12.75" x14ac:dyDescent="0.2">
      <c r="A54" s="53">
        <f ca="1">IFERROR(__xludf.DUMMYFUNCTION("""COMPUTED_VALUE"""),48)</f>
        <v>48</v>
      </c>
      <c r="B54" s="66"/>
      <c r="C54" s="66"/>
      <c r="D54" s="66" t="str">
        <f ca="1">IFERROR(__xludf.DUMMYFUNCTION("""COMPUTED_VALUE"""),"QUẬN 7")</f>
        <v>QUẬN 7</v>
      </c>
      <c r="E54" s="67">
        <f ca="1">IFERROR(__xludf.DUMMYFUNCTION("""COMPUTED_VALUE"""),22)</f>
        <v>22</v>
      </c>
      <c r="F54" s="67">
        <f ca="1">IFERROR(__xludf.DUMMYFUNCTION("""COMPUTED_VALUE"""),22)</f>
        <v>22</v>
      </c>
      <c r="G54" s="51">
        <f t="shared" ca="1" si="0"/>
        <v>1</v>
      </c>
      <c r="H54" s="67">
        <f ca="1">IFERROR(__xludf.DUMMYFUNCTION("""COMPUTED_VALUE"""),22)</f>
        <v>22</v>
      </c>
      <c r="I54" s="51">
        <f t="shared" ca="1" si="1"/>
        <v>1</v>
      </c>
      <c r="J54" s="67">
        <f ca="1">IFERROR(__xludf.DUMMYFUNCTION("""COMPUTED_VALUE"""),22)</f>
        <v>22</v>
      </c>
      <c r="K54" s="51">
        <f t="shared" ca="1" si="2"/>
        <v>1</v>
      </c>
      <c r="L54" s="67">
        <f ca="1">IFERROR(__xludf.DUMMYFUNCTION("""COMPUTED_VALUE"""),14)</f>
        <v>14</v>
      </c>
      <c r="M54" s="51">
        <f t="shared" ca="1" si="3"/>
        <v>0.63636363636363635</v>
      </c>
      <c r="N54" s="67">
        <f ca="1">IFERROR(__xludf.DUMMYFUNCTION("""COMPUTED_VALUE"""),0)</f>
        <v>0</v>
      </c>
      <c r="O54" s="67">
        <f ca="1">IFERROR(__xludf.DUMMYFUNCTION("""COMPUTED_VALUE"""),0)</f>
        <v>0</v>
      </c>
      <c r="P54" s="51" t="str">
        <f t="shared" ca="1" si="4"/>
        <v/>
      </c>
      <c r="Q54" s="67">
        <f ca="1">IFERROR(__xludf.DUMMYFUNCTION("""COMPUTED_VALUE"""),0)</f>
        <v>0</v>
      </c>
      <c r="R54" s="51" t="str">
        <f t="shared" ca="1" si="5"/>
        <v/>
      </c>
      <c r="S54" s="66"/>
      <c r="T54" s="66"/>
      <c r="U54" s="51" t="str">
        <f t="shared" si="6"/>
        <v/>
      </c>
      <c r="V54" s="66"/>
      <c r="W54" s="51" t="str">
        <f t="shared" si="7"/>
        <v/>
      </c>
      <c r="X54" s="66"/>
      <c r="Y54" s="51" t="str">
        <f t="shared" si="8"/>
        <v/>
      </c>
      <c r="Z54" s="2"/>
      <c r="AA54" s="2"/>
      <c r="AB54" s="2"/>
      <c r="AC54" s="2"/>
      <c r="AD54" s="2"/>
      <c r="AE54" s="2"/>
    </row>
    <row r="55" spans="1:31" ht="12.75" x14ac:dyDescent="0.2">
      <c r="A55" s="53">
        <f ca="1">IFERROR(__xludf.DUMMYFUNCTION("""COMPUTED_VALUE"""),49)</f>
        <v>49</v>
      </c>
      <c r="B55" s="66" t="str">
        <f ca="1">IFERROR(__xludf.DUMMYFUNCTION("""COMPUTED_VALUE"""),"MN Hành Tinh Xanh")</f>
        <v>MN Hành Tinh Xanh</v>
      </c>
      <c r="C55" s="66" t="str">
        <f ca="1">IFERROR(__xludf.DUMMYFUNCTION("""COMPUTED_VALUE"""),"MN")</f>
        <v>MN</v>
      </c>
      <c r="D55" s="66" t="str">
        <f ca="1">IFERROR(__xludf.DUMMYFUNCTION("""COMPUTED_VALUE"""),"QUẬN 7")</f>
        <v>QUẬN 7</v>
      </c>
      <c r="E55" s="67">
        <f ca="1">IFERROR(__xludf.DUMMYFUNCTION("""COMPUTED_VALUE"""),25)</f>
        <v>25</v>
      </c>
      <c r="F55" s="67">
        <f ca="1">IFERROR(__xludf.DUMMYFUNCTION("""COMPUTED_VALUE"""),25)</f>
        <v>25</v>
      </c>
      <c r="G55" s="51">
        <f t="shared" ca="1" si="0"/>
        <v>1</v>
      </c>
      <c r="H55" s="67">
        <f ca="1">IFERROR(__xludf.DUMMYFUNCTION("""COMPUTED_VALUE"""),25)</f>
        <v>25</v>
      </c>
      <c r="I55" s="51">
        <f t="shared" ca="1" si="1"/>
        <v>1</v>
      </c>
      <c r="J55" s="67">
        <f ca="1">IFERROR(__xludf.DUMMYFUNCTION("""COMPUTED_VALUE"""),25)</f>
        <v>25</v>
      </c>
      <c r="K55" s="51">
        <f t="shared" ca="1" si="2"/>
        <v>1</v>
      </c>
      <c r="L55" s="67">
        <f ca="1">IFERROR(__xludf.DUMMYFUNCTION("""COMPUTED_VALUE"""),12)</f>
        <v>12</v>
      </c>
      <c r="M55" s="51">
        <f t="shared" ca="1" si="3"/>
        <v>0.48</v>
      </c>
      <c r="N55" s="67">
        <f ca="1">IFERROR(__xludf.DUMMYFUNCTION("""COMPUTED_VALUE"""),20)</f>
        <v>20</v>
      </c>
      <c r="O55" s="67">
        <f ca="1">IFERROR(__xludf.DUMMYFUNCTION("""COMPUTED_VALUE"""),0)</f>
        <v>0</v>
      </c>
      <c r="P55" s="51">
        <f t="shared" ca="1" si="4"/>
        <v>0</v>
      </c>
      <c r="Q55" s="67">
        <f ca="1">IFERROR(__xludf.DUMMYFUNCTION("""COMPUTED_VALUE"""),0)</f>
        <v>0</v>
      </c>
      <c r="R55" s="51">
        <f t="shared" ca="1" si="5"/>
        <v>0</v>
      </c>
      <c r="S55" s="66"/>
      <c r="T55" s="66"/>
      <c r="U55" s="51" t="str">
        <f t="shared" si="6"/>
        <v/>
      </c>
      <c r="V55" s="66"/>
      <c r="W55" s="51" t="str">
        <f t="shared" si="7"/>
        <v/>
      </c>
      <c r="X55" s="66"/>
      <c r="Y55" s="51" t="str">
        <f t="shared" si="8"/>
        <v/>
      </c>
      <c r="Z55" s="2"/>
      <c r="AA55" s="2"/>
      <c r="AB55" s="2"/>
      <c r="AC55" s="2"/>
      <c r="AD55" s="2"/>
      <c r="AE55" s="2"/>
    </row>
    <row r="56" spans="1:31" ht="12.75" x14ac:dyDescent="0.2">
      <c r="A56" s="53">
        <f ca="1">IFERROR(__xludf.DUMMYFUNCTION("""COMPUTED_VALUE"""),50)</f>
        <v>50</v>
      </c>
      <c r="B56" s="66" t="str">
        <f ca="1">IFERROR(__xludf.DUMMYFUNCTION("""COMPUTED_VALUE"""),"MN Thiên Thần Kỷ Nguyên")</f>
        <v>MN Thiên Thần Kỷ Nguyên</v>
      </c>
      <c r="C56" s="66" t="str">
        <f ca="1">IFERROR(__xludf.DUMMYFUNCTION("""COMPUTED_VALUE"""),"MN")</f>
        <v>MN</v>
      </c>
      <c r="D56" s="66" t="str">
        <f ca="1">IFERROR(__xludf.DUMMYFUNCTION("""COMPUTED_VALUE"""),"QUẬN 7")</f>
        <v>QUẬN 7</v>
      </c>
      <c r="E56" s="67">
        <f ca="1">IFERROR(__xludf.DUMMYFUNCTION("""COMPUTED_VALUE"""),24)</f>
        <v>24</v>
      </c>
      <c r="F56" s="67">
        <f ca="1">IFERROR(__xludf.DUMMYFUNCTION("""COMPUTED_VALUE"""),24)</f>
        <v>24</v>
      </c>
      <c r="G56" s="51">
        <f t="shared" ca="1" si="0"/>
        <v>1</v>
      </c>
      <c r="H56" s="67">
        <f ca="1">IFERROR(__xludf.DUMMYFUNCTION("""COMPUTED_VALUE"""),24)</f>
        <v>24</v>
      </c>
      <c r="I56" s="51">
        <f t="shared" ca="1" si="1"/>
        <v>1</v>
      </c>
      <c r="J56" s="67">
        <f ca="1">IFERROR(__xludf.DUMMYFUNCTION("""COMPUTED_VALUE"""),24)</f>
        <v>24</v>
      </c>
      <c r="K56" s="51">
        <f t="shared" ca="1" si="2"/>
        <v>1</v>
      </c>
      <c r="L56" s="67">
        <f ca="1">IFERROR(__xludf.DUMMYFUNCTION("""COMPUTED_VALUE"""),17)</f>
        <v>17</v>
      </c>
      <c r="M56" s="51">
        <f t="shared" ca="1" si="3"/>
        <v>0.70833333333333337</v>
      </c>
      <c r="N56" s="67">
        <f ca="1">IFERROR(__xludf.DUMMYFUNCTION("""COMPUTED_VALUE"""),14)</f>
        <v>14</v>
      </c>
      <c r="O56" s="67">
        <f ca="1">IFERROR(__xludf.DUMMYFUNCTION("""COMPUTED_VALUE"""),0)</f>
        <v>0</v>
      </c>
      <c r="P56" s="51">
        <f t="shared" ca="1" si="4"/>
        <v>0</v>
      </c>
      <c r="Q56" s="67">
        <f ca="1">IFERROR(__xludf.DUMMYFUNCTION("""COMPUTED_VALUE"""),0)</f>
        <v>0</v>
      </c>
      <c r="R56" s="51">
        <f t="shared" ca="1" si="5"/>
        <v>0</v>
      </c>
      <c r="S56" s="66"/>
      <c r="T56" s="66"/>
      <c r="U56" s="51" t="str">
        <f t="shared" si="6"/>
        <v/>
      </c>
      <c r="V56" s="66"/>
      <c r="W56" s="51" t="str">
        <f t="shared" si="7"/>
        <v/>
      </c>
      <c r="X56" s="66"/>
      <c r="Y56" s="51" t="str">
        <f t="shared" si="8"/>
        <v/>
      </c>
      <c r="Z56" s="2"/>
      <c r="AA56" s="2"/>
      <c r="AB56" s="2"/>
      <c r="AC56" s="2"/>
      <c r="AD56" s="2"/>
      <c r="AE56" s="2"/>
    </row>
    <row r="57" spans="1:31" ht="12.75" x14ac:dyDescent="0.2">
      <c r="A57" s="53">
        <f ca="1">IFERROR(__xludf.DUMMYFUNCTION("""COMPUTED_VALUE"""),51)</f>
        <v>51</v>
      </c>
      <c r="B57" s="66" t="str">
        <f ca="1">IFERROR(__xludf.DUMMYFUNCTION("""COMPUTED_VALUE"""),"MN Xanh Lá")</f>
        <v>MN Xanh Lá</v>
      </c>
      <c r="C57" s="66" t="str">
        <f ca="1">IFERROR(__xludf.DUMMYFUNCTION("""COMPUTED_VALUE"""),"MN")</f>
        <v>MN</v>
      </c>
      <c r="D57" s="66" t="str">
        <f ca="1">IFERROR(__xludf.DUMMYFUNCTION("""COMPUTED_VALUE"""),"QUẬN 7")</f>
        <v>QUẬN 7</v>
      </c>
      <c r="E57" s="67">
        <f ca="1">IFERROR(__xludf.DUMMYFUNCTION("""COMPUTED_VALUE"""),15)</f>
        <v>15</v>
      </c>
      <c r="F57" s="67">
        <f ca="1">IFERROR(__xludf.DUMMYFUNCTION("""COMPUTED_VALUE"""),15)</f>
        <v>15</v>
      </c>
      <c r="G57" s="51">
        <f t="shared" ca="1" si="0"/>
        <v>1</v>
      </c>
      <c r="H57" s="67">
        <f ca="1">IFERROR(__xludf.DUMMYFUNCTION("""COMPUTED_VALUE"""),15)</f>
        <v>15</v>
      </c>
      <c r="I57" s="51">
        <f t="shared" ca="1" si="1"/>
        <v>1</v>
      </c>
      <c r="J57" s="67">
        <f ca="1">IFERROR(__xludf.DUMMYFUNCTION("""COMPUTED_VALUE"""),13)</f>
        <v>13</v>
      </c>
      <c r="K57" s="51">
        <f t="shared" ca="1" si="2"/>
        <v>0.8666666666666667</v>
      </c>
      <c r="L57" s="67">
        <f ca="1">IFERROR(__xludf.DUMMYFUNCTION("""COMPUTED_VALUE"""),3)</f>
        <v>3</v>
      </c>
      <c r="M57" s="51">
        <f t="shared" ca="1" si="3"/>
        <v>0.2</v>
      </c>
      <c r="N57" s="67">
        <f ca="1">IFERROR(__xludf.DUMMYFUNCTION("""COMPUTED_VALUE"""),0)</f>
        <v>0</v>
      </c>
      <c r="O57" s="67">
        <f ca="1">IFERROR(__xludf.DUMMYFUNCTION("""COMPUTED_VALUE"""),0)</f>
        <v>0</v>
      </c>
      <c r="P57" s="51" t="str">
        <f t="shared" ca="1" si="4"/>
        <v/>
      </c>
      <c r="Q57" s="67">
        <f ca="1">IFERROR(__xludf.DUMMYFUNCTION("""COMPUTED_VALUE"""),0)</f>
        <v>0</v>
      </c>
      <c r="R57" s="51" t="str">
        <f t="shared" ca="1" si="5"/>
        <v/>
      </c>
      <c r="S57" s="66"/>
      <c r="T57" s="66"/>
      <c r="U57" s="51" t="str">
        <f t="shared" si="6"/>
        <v/>
      </c>
      <c r="V57" s="66"/>
      <c r="W57" s="51" t="str">
        <f t="shared" si="7"/>
        <v/>
      </c>
      <c r="X57" s="66"/>
      <c r="Y57" s="51" t="str">
        <f t="shared" si="8"/>
        <v/>
      </c>
      <c r="Z57" s="2"/>
      <c r="AA57" s="2"/>
      <c r="AB57" s="2"/>
      <c r="AC57" s="2"/>
      <c r="AD57" s="2"/>
      <c r="AE57" s="2"/>
    </row>
    <row r="58" spans="1:31" ht="12.75" x14ac:dyDescent="0.2">
      <c r="A58" s="53">
        <f ca="1">IFERROR(__xludf.DUMMYFUNCTION("""COMPUTED_VALUE"""),52)</f>
        <v>52</v>
      </c>
      <c r="B58" s="66" t="str">
        <f ca="1">IFERROR(__xludf.DUMMYFUNCTION("""COMPUTED_VALUE"""),"MN Nhóc Trùm")</f>
        <v>MN Nhóc Trùm</v>
      </c>
      <c r="C58" s="66" t="str">
        <f ca="1">IFERROR(__xludf.DUMMYFUNCTION("""COMPUTED_VALUE"""),"MN")</f>
        <v>MN</v>
      </c>
      <c r="D58" s="66" t="str">
        <f ca="1">IFERROR(__xludf.DUMMYFUNCTION("""COMPUTED_VALUE"""),"QUẬN 7")</f>
        <v>QUẬN 7</v>
      </c>
      <c r="E58" s="67">
        <f ca="1">IFERROR(__xludf.DUMMYFUNCTION("""COMPUTED_VALUE"""),16)</f>
        <v>16</v>
      </c>
      <c r="F58" s="67">
        <f ca="1">IFERROR(__xludf.DUMMYFUNCTION("""COMPUTED_VALUE"""),16)</f>
        <v>16</v>
      </c>
      <c r="G58" s="51">
        <f t="shared" ca="1" si="0"/>
        <v>1</v>
      </c>
      <c r="H58" s="67">
        <f ca="1">IFERROR(__xludf.DUMMYFUNCTION("""COMPUTED_VALUE"""),16)</f>
        <v>16</v>
      </c>
      <c r="I58" s="51">
        <f t="shared" ca="1" si="1"/>
        <v>1</v>
      </c>
      <c r="J58" s="67">
        <f ca="1">IFERROR(__xludf.DUMMYFUNCTION("""COMPUTED_VALUE"""),14)</f>
        <v>14</v>
      </c>
      <c r="K58" s="51">
        <f t="shared" ca="1" si="2"/>
        <v>0.875</v>
      </c>
      <c r="L58" s="67">
        <f ca="1">IFERROR(__xludf.DUMMYFUNCTION("""COMPUTED_VALUE"""),2)</f>
        <v>2</v>
      </c>
      <c r="M58" s="51">
        <f t="shared" ca="1" si="3"/>
        <v>0.125</v>
      </c>
      <c r="N58" s="67">
        <f ca="1">IFERROR(__xludf.DUMMYFUNCTION("""COMPUTED_VALUE"""),2)</f>
        <v>2</v>
      </c>
      <c r="O58" s="67">
        <f ca="1">IFERROR(__xludf.DUMMYFUNCTION("""COMPUTED_VALUE"""),0)</f>
        <v>0</v>
      </c>
      <c r="P58" s="51">
        <f t="shared" ca="1" si="4"/>
        <v>0</v>
      </c>
      <c r="Q58" s="67">
        <f ca="1">IFERROR(__xludf.DUMMYFUNCTION("""COMPUTED_VALUE"""),0)</f>
        <v>0</v>
      </c>
      <c r="R58" s="51">
        <f t="shared" ca="1" si="5"/>
        <v>0</v>
      </c>
      <c r="S58" s="66"/>
      <c r="T58" s="66"/>
      <c r="U58" s="51" t="str">
        <f t="shared" si="6"/>
        <v/>
      </c>
      <c r="V58" s="66"/>
      <c r="W58" s="51" t="str">
        <f t="shared" si="7"/>
        <v/>
      </c>
      <c r="X58" s="66"/>
      <c r="Y58" s="51" t="str">
        <f t="shared" si="8"/>
        <v/>
      </c>
      <c r="Z58" s="2"/>
      <c r="AA58" s="2"/>
      <c r="AB58" s="2"/>
      <c r="AC58" s="2"/>
      <c r="AD58" s="2"/>
      <c r="AE58" s="2"/>
    </row>
    <row r="59" spans="1:31" ht="12.75" x14ac:dyDescent="0.2">
      <c r="A59" s="53">
        <f ca="1">IFERROR(__xludf.DUMMYFUNCTION("""COMPUTED_VALUE"""),53)</f>
        <v>53</v>
      </c>
      <c r="B59" s="66" t="str">
        <f ca="1">IFERROR(__xludf.DUMMYFUNCTION("""COMPUTED_VALUE"""),"MN ASC")</f>
        <v>MN ASC</v>
      </c>
      <c r="C59" s="66" t="str">
        <f ca="1">IFERROR(__xludf.DUMMYFUNCTION("""COMPUTED_VALUE"""),"MN")</f>
        <v>MN</v>
      </c>
      <c r="D59" s="66" t="str">
        <f ca="1">IFERROR(__xludf.DUMMYFUNCTION("""COMPUTED_VALUE"""),"QUẬN 7")</f>
        <v>QUẬN 7</v>
      </c>
      <c r="E59" s="67">
        <f ca="1">IFERROR(__xludf.DUMMYFUNCTION("""COMPUTED_VALUE"""),8)</f>
        <v>8</v>
      </c>
      <c r="F59" s="67">
        <f ca="1">IFERROR(__xludf.DUMMYFUNCTION("""COMPUTED_VALUE"""),8)</f>
        <v>8</v>
      </c>
      <c r="G59" s="51">
        <f t="shared" ca="1" si="0"/>
        <v>1</v>
      </c>
      <c r="H59" s="67">
        <f ca="1">IFERROR(__xludf.DUMMYFUNCTION("""COMPUTED_VALUE"""),8)</f>
        <v>8</v>
      </c>
      <c r="I59" s="51">
        <f t="shared" ca="1" si="1"/>
        <v>1</v>
      </c>
      <c r="J59" s="67">
        <f ca="1">IFERROR(__xludf.DUMMYFUNCTION("""COMPUTED_VALUE"""),8)</f>
        <v>8</v>
      </c>
      <c r="K59" s="51">
        <f t="shared" ca="1" si="2"/>
        <v>1</v>
      </c>
      <c r="L59" s="67">
        <f ca="1">IFERROR(__xludf.DUMMYFUNCTION("""COMPUTED_VALUE"""),0)</f>
        <v>0</v>
      </c>
      <c r="M59" s="51">
        <f t="shared" ca="1" si="3"/>
        <v>0</v>
      </c>
      <c r="N59" s="67">
        <f ca="1">IFERROR(__xludf.DUMMYFUNCTION("""COMPUTED_VALUE"""),0)</f>
        <v>0</v>
      </c>
      <c r="O59" s="67">
        <f ca="1">IFERROR(__xludf.DUMMYFUNCTION("""COMPUTED_VALUE"""),0)</f>
        <v>0</v>
      </c>
      <c r="P59" s="51" t="str">
        <f t="shared" ca="1" si="4"/>
        <v/>
      </c>
      <c r="Q59" s="67">
        <f ca="1">IFERROR(__xludf.DUMMYFUNCTION("""COMPUTED_VALUE"""),0)</f>
        <v>0</v>
      </c>
      <c r="R59" s="51" t="str">
        <f t="shared" ca="1" si="5"/>
        <v/>
      </c>
      <c r="S59" s="66"/>
      <c r="T59" s="66"/>
      <c r="U59" s="51" t="str">
        <f t="shared" si="6"/>
        <v/>
      </c>
      <c r="V59" s="66"/>
      <c r="W59" s="51" t="str">
        <f t="shared" si="7"/>
        <v/>
      </c>
      <c r="X59" s="66"/>
      <c r="Y59" s="51" t="str">
        <f t="shared" si="8"/>
        <v/>
      </c>
      <c r="Z59" s="2"/>
      <c r="AA59" s="2"/>
      <c r="AB59" s="2"/>
      <c r="AC59" s="2"/>
      <c r="AD59" s="2"/>
      <c r="AE59" s="2"/>
    </row>
    <row r="60" spans="1:31" ht="12.75" x14ac:dyDescent="0.2">
      <c r="A60" s="53">
        <f ca="1">IFERROR(__xludf.DUMMYFUNCTION("""COMPUTED_VALUE"""),54)</f>
        <v>54</v>
      </c>
      <c r="B60" s="66" t="str">
        <f ca="1">IFERROR(__xludf.DUMMYFUNCTION("""COMPUTED_VALUE"""),"MN Ozora Nhật Bản")</f>
        <v>MN Ozora Nhật Bản</v>
      </c>
      <c r="C60" s="66" t="str">
        <f ca="1">IFERROR(__xludf.DUMMYFUNCTION("""COMPUTED_VALUE"""),"MN")</f>
        <v>MN</v>
      </c>
      <c r="D60" s="66" t="str">
        <f ca="1">IFERROR(__xludf.DUMMYFUNCTION("""COMPUTED_VALUE"""),"QUẬN 7")</f>
        <v>QUẬN 7</v>
      </c>
      <c r="E60" s="67">
        <f ca="1">IFERROR(__xludf.DUMMYFUNCTION("""COMPUTED_VALUE"""),14)</f>
        <v>14</v>
      </c>
      <c r="F60" s="67">
        <f ca="1">IFERROR(__xludf.DUMMYFUNCTION("""COMPUTED_VALUE"""),14)</f>
        <v>14</v>
      </c>
      <c r="G60" s="51">
        <f t="shared" ca="1" si="0"/>
        <v>1</v>
      </c>
      <c r="H60" s="67">
        <f ca="1">IFERROR(__xludf.DUMMYFUNCTION("""COMPUTED_VALUE"""),14)</f>
        <v>14</v>
      </c>
      <c r="I60" s="51">
        <f t="shared" ca="1" si="1"/>
        <v>1</v>
      </c>
      <c r="J60" s="67">
        <f ca="1">IFERROR(__xludf.DUMMYFUNCTION("""COMPUTED_VALUE"""),13)</f>
        <v>13</v>
      </c>
      <c r="K60" s="51">
        <f t="shared" ca="1" si="2"/>
        <v>0.9285714285714286</v>
      </c>
      <c r="L60" s="67">
        <f ca="1">IFERROR(__xludf.DUMMYFUNCTION("""COMPUTED_VALUE"""),9)</f>
        <v>9</v>
      </c>
      <c r="M60" s="51">
        <f t="shared" ca="1" si="3"/>
        <v>0.6428571428571429</v>
      </c>
      <c r="N60" s="67">
        <f ca="1">IFERROR(__xludf.DUMMYFUNCTION("""COMPUTED_VALUE"""),4)</f>
        <v>4</v>
      </c>
      <c r="O60" s="67">
        <f ca="1">IFERROR(__xludf.DUMMYFUNCTION("""COMPUTED_VALUE"""),4)</f>
        <v>4</v>
      </c>
      <c r="P60" s="51">
        <f t="shared" ca="1" si="4"/>
        <v>1</v>
      </c>
      <c r="Q60" s="67">
        <f ca="1">IFERROR(__xludf.DUMMYFUNCTION("""COMPUTED_VALUE"""),4)</f>
        <v>4</v>
      </c>
      <c r="R60" s="51">
        <f t="shared" ca="1" si="5"/>
        <v>1</v>
      </c>
      <c r="S60" s="66"/>
      <c r="T60" s="66"/>
      <c r="U60" s="51" t="str">
        <f t="shared" si="6"/>
        <v/>
      </c>
      <c r="V60" s="66"/>
      <c r="W60" s="51" t="str">
        <f t="shared" si="7"/>
        <v/>
      </c>
      <c r="X60" s="66"/>
      <c r="Y60" s="51" t="str">
        <f t="shared" si="8"/>
        <v/>
      </c>
      <c r="Z60" s="2"/>
      <c r="AA60" s="2"/>
      <c r="AB60" s="2"/>
      <c r="AC60" s="2"/>
      <c r="AD60" s="2"/>
      <c r="AE60" s="2"/>
    </row>
    <row r="61" spans="1:31" ht="12.75" x14ac:dyDescent="0.2">
      <c r="A61" s="53">
        <f ca="1">IFERROR(__xludf.DUMMYFUNCTION("""COMPUTED_VALUE"""),55)</f>
        <v>55</v>
      </c>
      <c r="B61" s="66" t="str">
        <f ca="1">IFERROR(__xludf.DUMMYFUNCTION("""COMPUTED_VALUE"""),"Mầm Non Tân Quy")</f>
        <v>Mầm Non Tân Quy</v>
      </c>
      <c r="C61" s="66" t="str">
        <f ca="1">IFERROR(__xludf.DUMMYFUNCTION("""COMPUTED_VALUE"""),"MN")</f>
        <v>MN</v>
      </c>
      <c r="D61" s="66" t="str">
        <f ca="1">IFERROR(__xludf.DUMMYFUNCTION("""COMPUTED_VALUE"""),"QUẬN 7")</f>
        <v>QUẬN 7</v>
      </c>
      <c r="E61" s="67">
        <f ca="1">IFERROR(__xludf.DUMMYFUNCTION("""COMPUTED_VALUE"""),35)</f>
        <v>35</v>
      </c>
      <c r="F61" s="67">
        <f ca="1">IFERROR(__xludf.DUMMYFUNCTION("""COMPUTED_VALUE"""),35)</f>
        <v>35</v>
      </c>
      <c r="G61" s="51">
        <f t="shared" ca="1" si="0"/>
        <v>1</v>
      </c>
      <c r="H61" s="67">
        <f ca="1">IFERROR(__xludf.DUMMYFUNCTION("""COMPUTED_VALUE"""),35)</f>
        <v>35</v>
      </c>
      <c r="I61" s="51">
        <f t="shared" ca="1" si="1"/>
        <v>1</v>
      </c>
      <c r="J61" s="67">
        <f ca="1">IFERROR(__xludf.DUMMYFUNCTION("""COMPUTED_VALUE"""),35)</f>
        <v>35</v>
      </c>
      <c r="K61" s="51">
        <f t="shared" ca="1" si="2"/>
        <v>1</v>
      </c>
      <c r="L61" s="67">
        <f ca="1">IFERROR(__xludf.DUMMYFUNCTION("""COMPUTED_VALUE"""),35)</f>
        <v>35</v>
      </c>
      <c r="M61" s="51">
        <f t="shared" ca="1" si="3"/>
        <v>1</v>
      </c>
      <c r="N61" s="67">
        <f ca="1">IFERROR(__xludf.DUMMYFUNCTION("""COMPUTED_VALUE"""),97)</f>
        <v>97</v>
      </c>
      <c r="O61" s="67">
        <f ca="1">IFERROR(__xludf.DUMMYFUNCTION("""COMPUTED_VALUE"""),30)</f>
        <v>30</v>
      </c>
      <c r="P61" s="51">
        <f t="shared" ca="1" si="4"/>
        <v>0.30927835051546393</v>
      </c>
      <c r="Q61" s="67">
        <f ca="1">IFERROR(__xludf.DUMMYFUNCTION("""COMPUTED_VALUE"""),10)</f>
        <v>10</v>
      </c>
      <c r="R61" s="51">
        <f t="shared" ca="1" si="5"/>
        <v>0.10309278350515463</v>
      </c>
      <c r="S61" s="66"/>
      <c r="T61" s="66"/>
      <c r="U61" s="51" t="str">
        <f t="shared" si="6"/>
        <v/>
      </c>
      <c r="V61" s="66"/>
      <c r="W61" s="51" t="str">
        <f t="shared" si="7"/>
        <v/>
      </c>
      <c r="X61" s="66"/>
      <c r="Y61" s="51" t="str">
        <f t="shared" si="8"/>
        <v/>
      </c>
      <c r="Z61" s="2"/>
      <c r="AA61" s="2"/>
      <c r="AB61" s="2"/>
      <c r="AC61" s="2"/>
      <c r="AD61" s="2"/>
      <c r="AE61" s="2"/>
    </row>
    <row r="62" spans="1:31" ht="12.75" x14ac:dyDescent="0.2">
      <c r="A62" s="53">
        <f ca="1">IFERROR(__xludf.DUMMYFUNCTION("""COMPUTED_VALUE"""),56)</f>
        <v>56</v>
      </c>
      <c r="B62" s="66" t="str">
        <f ca="1">IFERROR(__xludf.DUMMYFUNCTION("""COMPUTED_VALUE"""),"Mầm Non Tân Hưng")</f>
        <v>Mầm Non Tân Hưng</v>
      </c>
      <c r="C62" s="66" t="str">
        <f ca="1">IFERROR(__xludf.DUMMYFUNCTION("""COMPUTED_VALUE"""),"MN")</f>
        <v>MN</v>
      </c>
      <c r="D62" s="66" t="str">
        <f ca="1">IFERROR(__xludf.DUMMYFUNCTION("""COMPUTED_VALUE"""),"QUẬN 7")</f>
        <v>QUẬN 7</v>
      </c>
      <c r="E62" s="67">
        <f ca="1">IFERROR(__xludf.DUMMYFUNCTION("""COMPUTED_VALUE"""),52)</f>
        <v>52</v>
      </c>
      <c r="F62" s="67">
        <f ca="1">IFERROR(__xludf.DUMMYFUNCTION("""COMPUTED_VALUE"""),52)</f>
        <v>52</v>
      </c>
      <c r="G62" s="51">
        <f t="shared" ca="1" si="0"/>
        <v>1</v>
      </c>
      <c r="H62" s="67">
        <f ca="1">IFERROR(__xludf.DUMMYFUNCTION("""COMPUTED_VALUE"""),52)</f>
        <v>52</v>
      </c>
      <c r="I62" s="51">
        <f t="shared" ca="1" si="1"/>
        <v>1</v>
      </c>
      <c r="J62" s="67">
        <f ca="1">IFERROR(__xludf.DUMMYFUNCTION("""COMPUTED_VALUE"""),50)</f>
        <v>50</v>
      </c>
      <c r="K62" s="51">
        <f t="shared" ca="1" si="2"/>
        <v>0.96153846153846156</v>
      </c>
      <c r="L62" s="67">
        <f ca="1">IFERROR(__xludf.DUMMYFUNCTION("""COMPUTED_VALUE"""),39)</f>
        <v>39</v>
      </c>
      <c r="M62" s="51">
        <f t="shared" ca="1" si="3"/>
        <v>0.75</v>
      </c>
      <c r="N62" s="67">
        <f ca="1">IFERROR(__xludf.DUMMYFUNCTION("""COMPUTED_VALUE"""),108)</f>
        <v>108</v>
      </c>
      <c r="O62" s="67">
        <f ca="1">IFERROR(__xludf.DUMMYFUNCTION("""COMPUTED_VALUE"""),15)</f>
        <v>15</v>
      </c>
      <c r="P62" s="51">
        <f t="shared" ca="1" si="4"/>
        <v>0.1388888888888889</v>
      </c>
      <c r="Q62" s="67">
        <f ca="1">IFERROR(__xludf.DUMMYFUNCTION("""COMPUTED_VALUE"""),6)</f>
        <v>6</v>
      </c>
      <c r="R62" s="51">
        <f t="shared" ca="1" si="5"/>
        <v>5.5555555555555552E-2</v>
      </c>
      <c r="S62" s="66"/>
      <c r="T62" s="66"/>
      <c r="U62" s="51" t="str">
        <f t="shared" si="6"/>
        <v/>
      </c>
      <c r="V62" s="66"/>
      <c r="W62" s="51" t="str">
        <f t="shared" si="7"/>
        <v/>
      </c>
      <c r="X62" s="66"/>
      <c r="Y62" s="51" t="str">
        <f t="shared" si="8"/>
        <v/>
      </c>
      <c r="Z62" s="2"/>
      <c r="AA62" s="2"/>
      <c r="AB62" s="2"/>
      <c r="AC62" s="2"/>
      <c r="AD62" s="2"/>
      <c r="AE62" s="2"/>
    </row>
    <row r="63" spans="1:31" ht="12.75" x14ac:dyDescent="0.2">
      <c r="A63" s="53">
        <f ca="1">IFERROR(__xludf.DUMMYFUNCTION("""COMPUTED_VALUE"""),57)</f>
        <v>57</v>
      </c>
      <c r="B63" s="66" t="str">
        <f ca="1">IFERROR(__xludf.DUMMYFUNCTION("""COMPUTED_VALUE"""),"Mầm Non Tân Kiểng")</f>
        <v>Mầm Non Tân Kiểng</v>
      </c>
      <c r="C63" s="66" t="str">
        <f ca="1">IFERROR(__xludf.DUMMYFUNCTION("""COMPUTED_VALUE"""),"MN")</f>
        <v>MN</v>
      </c>
      <c r="D63" s="66" t="str">
        <f ca="1">IFERROR(__xludf.DUMMYFUNCTION("""COMPUTED_VALUE"""),"QUẬN 7")</f>
        <v>QUẬN 7</v>
      </c>
      <c r="E63" s="67">
        <f ca="1">IFERROR(__xludf.DUMMYFUNCTION("""COMPUTED_VALUE"""),44)</f>
        <v>44</v>
      </c>
      <c r="F63" s="67">
        <f ca="1">IFERROR(__xludf.DUMMYFUNCTION("""COMPUTED_VALUE"""),44)</f>
        <v>44</v>
      </c>
      <c r="G63" s="51">
        <f t="shared" ca="1" si="0"/>
        <v>1</v>
      </c>
      <c r="H63" s="67">
        <f ca="1">IFERROR(__xludf.DUMMYFUNCTION("""COMPUTED_VALUE"""),44)</f>
        <v>44</v>
      </c>
      <c r="I63" s="51">
        <f t="shared" ca="1" si="1"/>
        <v>1</v>
      </c>
      <c r="J63" s="67">
        <f ca="1">IFERROR(__xludf.DUMMYFUNCTION("""COMPUTED_VALUE"""),44)</f>
        <v>44</v>
      </c>
      <c r="K63" s="51">
        <f t="shared" ca="1" si="2"/>
        <v>1</v>
      </c>
      <c r="L63" s="67">
        <f ca="1">IFERROR(__xludf.DUMMYFUNCTION("""COMPUTED_VALUE"""),33)</f>
        <v>33</v>
      </c>
      <c r="M63" s="51">
        <f t="shared" ca="1" si="3"/>
        <v>0.75</v>
      </c>
      <c r="N63" s="67">
        <f ca="1">IFERROR(__xludf.DUMMYFUNCTION("""COMPUTED_VALUE"""),139)</f>
        <v>139</v>
      </c>
      <c r="O63" s="67">
        <f ca="1">IFERROR(__xludf.DUMMYFUNCTION("""COMPUTED_VALUE"""),42)</f>
        <v>42</v>
      </c>
      <c r="P63" s="51">
        <f t="shared" ca="1" si="4"/>
        <v>0.30215827338129497</v>
      </c>
      <c r="Q63" s="67">
        <f ca="1">IFERROR(__xludf.DUMMYFUNCTION("""COMPUTED_VALUE"""),20)</f>
        <v>20</v>
      </c>
      <c r="R63" s="51">
        <f t="shared" ca="1" si="5"/>
        <v>0.14388489208633093</v>
      </c>
      <c r="S63" s="66"/>
      <c r="T63" s="66"/>
      <c r="U63" s="51" t="str">
        <f t="shared" si="6"/>
        <v/>
      </c>
      <c r="V63" s="66"/>
      <c r="W63" s="51" t="str">
        <f t="shared" si="7"/>
        <v/>
      </c>
      <c r="X63" s="66"/>
      <c r="Y63" s="51" t="str">
        <f t="shared" si="8"/>
        <v/>
      </c>
      <c r="Z63" s="2"/>
      <c r="AA63" s="2"/>
      <c r="AB63" s="2"/>
      <c r="AC63" s="2"/>
      <c r="AD63" s="2"/>
      <c r="AE63" s="2"/>
    </row>
    <row r="64" spans="1:31" ht="12.75" x14ac:dyDescent="0.2">
      <c r="A64" s="53">
        <f ca="1">IFERROR(__xludf.DUMMYFUNCTION("""COMPUTED_VALUE"""),58)</f>
        <v>58</v>
      </c>
      <c r="B64" s="66" t="str">
        <f ca="1">IFERROR(__xludf.DUMMYFUNCTION("""COMPUTED_VALUE"""),"Mầm Non Tân Thuận Tây")</f>
        <v>Mầm Non Tân Thuận Tây</v>
      </c>
      <c r="C64" s="66" t="str">
        <f ca="1">IFERROR(__xludf.DUMMYFUNCTION("""COMPUTED_VALUE"""),"MN")</f>
        <v>MN</v>
      </c>
      <c r="D64" s="66" t="str">
        <f ca="1">IFERROR(__xludf.DUMMYFUNCTION("""COMPUTED_VALUE"""),"QUẬN 7")</f>
        <v>QUẬN 7</v>
      </c>
      <c r="E64" s="67">
        <f ca="1">IFERROR(__xludf.DUMMYFUNCTION("""COMPUTED_VALUE"""),52)</f>
        <v>52</v>
      </c>
      <c r="F64" s="67">
        <f ca="1">IFERROR(__xludf.DUMMYFUNCTION("""COMPUTED_VALUE"""),52)</f>
        <v>52</v>
      </c>
      <c r="G64" s="51">
        <f t="shared" ca="1" si="0"/>
        <v>1</v>
      </c>
      <c r="H64" s="67">
        <f ca="1">IFERROR(__xludf.DUMMYFUNCTION("""COMPUTED_VALUE"""),52)</f>
        <v>52</v>
      </c>
      <c r="I64" s="51">
        <f t="shared" ca="1" si="1"/>
        <v>1</v>
      </c>
      <c r="J64" s="67">
        <f ca="1">IFERROR(__xludf.DUMMYFUNCTION("""COMPUTED_VALUE"""),49)</f>
        <v>49</v>
      </c>
      <c r="K64" s="51">
        <f t="shared" ca="1" si="2"/>
        <v>0.94230769230769229</v>
      </c>
      <c r="L64" s="67">
        <f ca="1">IFERROR(__xludf.DUMMYFUNCTION("""COMPUTED_VALUE"""),36)</f>
        <v>36</v>
      </c>
      <c r="M64" s="51">
        <f t="shared" ca="1" si="3"/>
        <v>0.69230769230769229</v>
      </c>
      <c r="N64" s="67">
        <f ca="1">IFERROR(__xludf.DUMMYFUNCTION("""COMPUTED_VALUE"""),129)</f>
        <v>129</v>
      </c>
      <c r="O64" s="67">
        <f ca="1">IFERROR(__xludf.DUMMYFUNCTION("""COMPUTED_VALUE"""),3)</f>
        <v>3</v>
      </c>
      <c r="P64" s="51">
        <f t="shared" ca="1" si="4"/>
        <v>2.3255813953488372E-2</v>
      </c>
      <c r="Q64" s="67">
        <f ca="1">IFERROR(__xludf.DUMMYFUNCTION("""COMPUTED_VALUE"""),2)</f>
        <v>2</v>
      </c>
      <c r="R64" s="51">
        <f t="shared" ca="1" si="5"/>
        <v>1.5503875968992248E-2</v>
      </c>
      <c r="S64" s="66"/>
      <c r="T64" s="66"/>
      <c r="U64" s="51" t="str">
        <f t="shared" si="6"/>
        <v/>
      </c>
      <c r="V64" s="66"/>
      <c r="W64" s="51" t="str">
        <f t="shared" si="7"/>
        <v/>
      </c>
      <c r="X64" s="66"/>
      <c r="Y64" s="51" t="str">
        <f t="shared" si="8"/>
        <v/>
      </c>
      <c r="Z64" s="2"/>
      <c r="AA64" s="2"/>
      <c r="AB64" s="2"/>
      <c r="AC64" s="2"/>
      <c r="AD64" s="2"/>
      <c r="AE64" s="2"/>
    </row>
    <row r="65" spans="1:31" ht="12.75" x14ac:dyDescent="0.2">
      <c r="A65" s="53">
        <f ca="1">IFERROR(__xludf.DUMMYFUNCTION("""COMPUTED_VALUE"""),59)</f>
        <v>59</v>
      </c>
      <c r="B65" s="66" t="str">
        <f ca="1">IFERROR(__xludf.DUMMYFUNCTION("""COMPUTED_VALUE"""),"Mầm Non Tân Phong")</f>
        <v>Mầm Non Tân Phong</v>
      </c>
      <c r="C65" s="66" t="str">
        <f ca="1">IFERROR(__xludf.DUMMYFUNCTION("""COMPUTED_VALUE"""),"MN")</f>
        <v>MN</v>
      </c>
      <c r="D65" s="66" t="str">
        <f ca="1">IFERROR(__xludf.DUMMYFUNCTION("""COMPUTED_VALUE"""),"QUẬN 7")</f>
        <v>QUẬN 7</v>
      </c>
      <c r="E65" s="66">
        <f ca="1">IFERROR(__xludf.DUMMYFUNCTION("""COMPUTED_VALUE"""),60)</f>
        <v>60</v>
      </c>
      <c r="F65" s="66">
        <f ca="1">IFERROR(__xludf.DUMMYFUNCTION("""COMPUTED_VALUE"""),60)</f>
        <v>60</v>
      </c>
      <c r="G65" s="51">
        <f t="shared" ca="1" si="0"/>
        <v>1</v>
      </c>
      <c r="H65" s="66">
        <f ca="1">IFERROR(__xludf.DUMMYFUNCTION("""COMPUTED_VALUE"""),60)</f>
        <v>60</v>
      </c>
      <c r="I65" s="51">
        <f t="shared" ca="1" si="1"/>
        <v>1</v>
      </c>
      <c r="J65" s="66">
        <f ca="1">IFERROR(__xludf.DUMMYFUNCTION("""COMPUTED_VALUE"""),60)</f>
        <v>60</v>
      </c>
      <c r="K65" s="51">
        <f t="shared" ca="1" si="2"/>
        <v>1</v>
      </c>
      <c r="L65" s="66">
        <f ca="1">IFERROR(__xludf.DUMMYFUNCTION("""COMPUTED_VALUE"""),53)</f>
        <v>53</v>
      </c>
      <c r="M65" s="51">
        <f t="shared" ca="1" si="3"/>
        <v>0.8833333333333333</v>
      </c>
      <c r="N65" s="67">
        <f ca="1">IFERROR(__xludf.DUMMYFUNCTION("""COMPUTED_VALUE"""),141)</f>
        <v>141</v>
      </c>
      <c r="O65" s="67">
        <f ca="1">IFERROR(__xludf.DUMMYFUNCTION("""COMPUTED_VALUE"""),46)</f>
        <v>46</v>
      </c>
      <c r="P65" s="51">
        <f t="shared" ca="1" si="4"/>
        <v>0.32624113475177308</v>
      </c>
      <c r="Q65" s="67">
        <f ca="1">IFERROR(__xludf.DUMMYFUNCTION("""COMPUTED_VALUE"""),21)</f>
        <v>21</v>
      </c>
      <c r="R65" s="51">
        <f t="shared" ca="1" si="5"/>
        <v>0.14893617021276595</v>
      </c>
      <c r="S65" s="66"/>
      <c r="T65" s="66"/>
      <c r="U65" s="51" t="str">
        <f t="shared" si="6"/>
        <v/>
      </c>
      <c r="V65" s="66"/>
      <c r="W65" s="51" t="str">
        <f t="shared" si="7"/>
        <v/>
      </c>
      <c r="X65" s="66"/>
      <c r="Y65" s="51" t="str">
        <f t="shared" si="8"/>
        <v/>
      </c>
      <c r="Z65" s="2"/>
      <c r="AA65" s="2"/>
      <c r="AB65" s="2"/>
      <c r="AC65" s="2"/>
      <c r="AD65" s="2"/>
      <c r="AE65" s="2"/>
    </row>
    <row r="66" spans="1:31" ht="12.75" x14ac:dyDescent="0.2">
      <c r="A66" s="53">
        <f ca="1">IFERROR(__xludf.DUMMYFUNCTION("""COMPUTED_VALUE"""),60)</f>
        <v>60</v>
      </c>
      <c r="B66" s="66"/>
      <c r="C66" s="66"/>
      <c r="D66" s="66" t="str">
        <f ca="1">IFERROR(__xludf.DUMMYFUNCTION("""COMPUTED_VALUE"""),"QUẬN 7")</f>
        <v>QUẬN 7</v>
      </c>
      <c r="E66" s="67">
        <f ca="1">IFERROR(__xludf.DUMMYFUNCTION("""COMPUTED_VALUE"""),50)</f>
        <v>50</v>
      </c>
      <c r="F66" s="67">
        <f ca="1">IFERROR(__xludf.DUMMYFUNCTION("""COMPUTED_VALUE"""),50)</f>
        <v>50</v>
      </c>
      <c r="G66" s="51">
        <f t="shared" ca="1" si="0"/>
        <v>1</v>
      </c>
      <c r="H66" s="67">
        <f ca="1">IFERROR(__xludf.DUMMYFUNCTION("""COMPUTED_VALUE"""),50)</f>
        <v>50</v>
      </c>
      <c r="I66" s="51">
        <f t="shared" ca="1" si="1"/>
        <v>1</v>
      </c>
      <c r="J66" s="67">
        <f ca="1">IFERROR(__xludf.DUMMYFUNCTION("""COMPUTED_VALUE"""),50)</f>
        <v>50</v>
      </c>
      <c r="K66" s="51">
        <f t="shared" ca="1" si="2"/>
        <v>1</v>
      </c>
      <c r="L66" s="67">
        <f ca="1">IFERROR(__xludf.DUMMYFUNCTION("""COMPUTED_VALUE"""),35)</f>
        <v>35</v>
      </c>
      <c r="M66" s="51">
        <f t="shared" ca="1" si="3"/>
        <v>0.7</v>
      </c>
      <c r="N66" s="67">
        <f ca="1">IFERROR(__xludf.DUMMYFUNCTION("""COMPUTED_VALUE"""),74)</f>
        <v>74</v>
      </c>
      <c r="O66" s="67">
        <f ca="1">IFERROR(__xludf.DUMMYFUNCTION("""COMPUTED_VALUE"""),17)</f>
        <v>17</v>
      </c>
      <c r="P66" s="51">
        <f t="shared" ca="1" si="4"/>
        <v>0.22972972972972974</v>
      </c>
      <c r="Q66" s="67">
        <f ca="1">IFERROR(__xludf.DUMMYFUNCTION("""COMPUTED_VALUE"""),2)</f>
        <v>2</v>
      </c>
      <c r="R66" s="51">
        <f t="shared" ca="1" si="5"/>
        <v>2.7027027027027029E-2</v>
      </c>
      <c r="S66" s="66"/>
      <c r="T66" s="66"/>
      <c r="U66" s="51" t="str">
        <f t="shared" si="6"/>
        <v/>
      </c>
      <c r="V66" s="66"/>
      <c r="W66" s="51" t="str">
        <f t="shared" si="7"/>
        <v/>
      </c>
      <c r="X66" s="66"/>
      <c r="Y66" s="51" t="str">
        <f t="shared" si="8"/>
        <v/>
      </c>
      <c r="Z66" s="2"/>
      <c r="AA66" s="2"/>
      <c r="AB66" s="2"/>
      <c r="AC66" s="2"/>
      <c r="AD66" s="2"/>
      <c r="AE66" s="2"/>
    </row>
    <row r="67" spans="1:31" ht="12.75" x14ac:dyDescent="0.2">
      <c r="A67" s="53">
        <f ca="1">IFERROR(__xludf.DUMMYFUNCTION("""COMPUTED_VALUE"""),61)</f>
        <v>61</v>
      </c>
      <c r="B67" s="66" t="str">
        <f ca="1">IFERROR(__xludf.DUMMYFUNCTION("""COMPUTED_VALUE"""),"Mầm Non Kcx Tân Thuận")</f>
        <v>Mầm Non Kcx Tân Thuận</v>
      </c>
      <c r="C67" s="66" t="str">
        <f ca="1">IFERROR(__xludf.DUMMYFUNCTION("""COMPUTED_VALUE"""),"MN")</f>
        <v>MN</v>
      </c>
      <c r="D67" s="66" t="str">
        <f ca="1">IFERROR(__xludf.DUMMYFUNCTION("""COMPUTED_VALUE"""),"QUẬN 7")</f>
        <v>QUẬN 7</v>
      </c>
      <c r="E67" s="67">
        <f ca="1">IFERROR(__xludf.DUMMYFUNCTION("""COMPUTED_VALUE"""),42)</f>
        <v>42</v>
      </c>
      <c r="F67" s="67">
        <f ca="1">IFERROR(__xludf.DUMMYFUNCTION("""COMPUTED_VALUE"""),42)</f>
        <v>42</v>
      </c>
      <c r="G67" s="51">
        <f t="shared" ca="1" si="0"/>
        <v>1</v>
      </c>
      <c r="H67" s="67">
        <f ca="1">IFERROR(__xludf.DUMMYFUNCTION("""COMPUTED_VALUE"""),42)</f>
        <v>42</v>
      </c>
      <c r="I67" s="51">
        <f t="shared" ca="1" si="1"/>
        <v>1</v>
      </c>
      <c r="J67" s="67">
        <f ca="1">IFERROR(__xludf.DUMMYFUNCTION("""COMPUTED_VALUE"""),42)</f>
        <v>42</v>
      </c>
      <c r="K67" s="51">
        <f t="shared" ca="1" si="2"/>
        <v>1</v>
      </c>
      <c r="L67" s="67">
        <f ca="1">IFERROR(__xludf.DUMMYFUNCTION("""COMPUTED_VALUE"""),34)</f>
        <v>34</v>
      </c>
      <c r="M67" s="51">
        <f t="shared" ca="1" si="3"/>
        <v>0.80952380952380953</v>
      </c>
      <c r="N67" s="67">
        <f ca="1">IFERROR(__xludf.DUMMYFUNCTION("""COMPUTED_VALUE"""),134)</f>
        <v>134</v>
      </c>
      <c r="O67" s="67">
        <f ca="1">IFERROR(__xludf.DUMMYFUNCTION("""COMPUTED_VALUE"""),20)</f>
        <v>20</v>
      </c>
      <c r="P67" s="51">
        <f t="shared" ca="1" si="4"/>
        <v>0.14925373134328357</v>
      </c>
      <c r="Q67" s="67">
        <f ca="1">IFERROR(__xludf.DUMMYFUNCTION("""COMPUTED_VALUE"""),12)</f>
        <v>12</v>
      </c>
      <c r="R67" s="51">
        <f t="shared" ca="1" si="5"/>
        <v>8.9552238805970144E-2</v>
      </c>
      <c r="S67" s="66"/>
      <c r="T67" s="66"/>
      <c r="U67" s="51" t="str">
        <f t="shared" si="6"/>
        <v/>
      </c>
      <c r="V67" s="66"/>
      <c r="W67" s="51" t="str">
        <f t="shared" si="7"/>
        <v/>
      </c>
      <c r="X67" s="66"/>
      <c r="Y67" s="51" t="str">
        <f t="shared" si="8"/>
        <v/>
      </c>
      <c r="Z67" s="2"/>
      <c r="AA67" s="2"/>
      <c r="AB67" s="2"/>
      <c r="AC67" s="2"/>
      <c r="AD67" s="2"/>
      <c r="AE67" s="2"/>
    </row>
    <row r="68" spans="1:31" ht="12.75" x14ac:dyDescent="0.2">
      <c r="A68" s="53">
        <f ca="1">IFERROR(__xludf.DUMMYFUNCTION("""COMPUTED_VALUE"""),62)</f>
        <v>62</v>
      </c>
      <c r="B68" s="66" t="str">
        <f ca="1">IFERROR(__xludf.DUMMYFUNCTION("""COMPUTED_VALUE"""),"Mầm Non 19/5")</f>
        <v>Mầm Non 19/5</v>
      </c>
      <c r="C68" s="66" t="str">
        <f ca="1">IFERROR(__xludf.DUMMYFUNCTION("""COMPUTED_VALUE"""),"MN")</f>
        <v>MN</v>
      </c>
      <c r="D68" s="66" t="str">
        <f ca="1">IFERROR(__xludf.DUMMYFUNCTION("""COMPUTED_VALUE"""),"QUẬN 7")</f>
        <v>QUẬN 7</v>
      </c>
      <c r="E68" s="67">
        <f ca="1">IFERROR(__xludf.DUMMYFUNCTION("""COMPUTED_VALUE"""),52)</f>
        <v>52</v>
      </c>
      <c r="F68" s="67">
        <f ca="1">IFERROR(__xludf.DUMMYFUNCTION("""COMPUTED_VALUE"""),52)</f>
        <v>52</v>
      </c>
      <c r="G68" s="51">
        <f t="shared" ca="1" si="0"/>
        <v>1</v>
      </c>
      <c r="H68" s="67">
        <f ca="1">IFERROR(__xludf.DUMMYFUNCTION("""COMPUTED_VALUE"""),52)</f>
        <v>52</v>
      </c>
      <c r="I68" s="51">
        <f t="shared" ca="1" si="1"/>
        <v>1</v>
      </c>
      <c r="J68" s="67">
        <f ca="1">IFERROR(__xludf.DUMMYFUNCTION("""COMPUTED_VALUE"""),52)</f>
        <v>52</v>
      </c>
      <c r="K68" s="51">
        <f t="shared" ca="1" si="2"/>
        <v>1</v>
      </c>
      <c r="L68" s="67">
        <f ca="1">IFERROR(__xludf.DUMMYFUNCTION("""COMPUTED_VALUE"""),48)</f>
        <v>48</v>
      </c>
      <c r="M68" s="51">
        <f t="shared" ca="1" si="3"/>
        <v>0.92307692307692313</v>
      </c>
      <c r="N68" s="67">
        <f ca="1">IFERROR(__xludf.DUMMYFUNCTION("""COMPUTED_VALUE"""),98)</f>
        <v>98</v>
      </c>
      <c r="O68" s="67">
        <f ca="1">IFERROR(__xludf.DUMMYFUNCTION("""COMPUTED_VALUE"""),44)</f>
        <v>44</v>
      </c>
      <c r="P68" s="51">
        <f t="shared" ca="1" si="4"/>
        <v>0.44897959183673469</v>
      </c>
      <c r="Q68" s="67">
        <f ca="1">IFERROR(__xludf.DUMMYFUNCTION("""COMPUTED_VALUE"""),5)</f>
        <v>5</v>
      </c>
      <c r="R68" s="51">
        <f t="shared" ca="1" si="5"/>
        <v>5.1020408163265307E-2</v>
      </c>
      <c r="S68" s="66"/>
      <c r="T68" s="66"/>
      <c r="U68" s="51" t="str">
        <f t="shared" si="6"/>
        <v/>
      </c>
      <c r="V68" s="66"/>
      <c r="W68" s="51" t="str">
        <f t="shared" si="7"/>
        <v/>
      </c>
      <c r="X68" s="66"/>
      <c r="Y68" s="51" t="str">
        <f t="shared" si="8"/>
        <v/>
      </c>
      <c r="Z68" s="2"/>
      <c r="AA68" s="2"/>
      <c r="AB68" s="2"/>
      <c r="AC68" s="2"/>
      <c r="AD68" s="2"/>
      <c r="AE68" s="2"/>
    </row>
    <row r="69" spans="1:31" ht="12.75" x14ac:dyDescent="0.2">
      <c r="A69" s="53">
        <f ca="1">IFERROR(__xludf.DUMMYFUNCTION("""COMPUTED_VALUE"""),63)</f>
        <v>63</v>
      </c>
      <c r="B69" s="66" t="str">
        <f ca="1">IFERROR(__xludf.DUMMYFUNCTION("""COMPUTED_VALUE"""),"Mầm Non Hoa Hồng")</f>
        <v>Mầm Non Hoa Hồng</v>
      </c>
      <c r="C69" s="66" t="str">
        <f ca="1">IFERROR(__xludf.DUMMYFUNCTION("""COMPUTED_VALUE"""),"MN")</f>
        <v>MN</v>
      </c>
      <c r="D69" s="66" t="str">
        <f ca="1">IFERROR(__xludf.DUMMYFUNCTION("""COMPUTED_VALUE"""),"QUẬN 7")</f>
        <v>QUẬN 7</v>
      </c>
      <c r="E69" s="67">
        <f ca="1">IFERROR(__xludf.DUMMYFUNCTION("""COMPUTED_VALUE"""),63)</f>
        <v>63</v>
      </c>
      <c r="F69" s="67">
        <f ca="1">IFERROR(__xludf.DUMMYFUNCTION("""COMPUTED_VALUE"""),63)</f>
        <v>63</v>
      </c>
      <c r="G69" s="51">
        <f t="shared" ca="1" si="0"/>
        <v>1</v>
      </c>
      <c r="H69" s="67">
        <f ca="1">IFERROR(__xludf.DUMMYFUNCTION("""COMPUTED_VALUE"""),63)</f>
        <v>63</v>
      </c>
      <c r="I69" s="51">
        <f t="shared" ca="1" si="1"/>
        <v>1</v>
      </c>
      <c r="J69" s="67">
        <f ca="1">IFERROR(__xludf.DUMMYFUNCTION("""COMPUTED_VALUE"""),63)</f>
        <v>63</v>
      </c>
      <c r="K69" s="51">
        <f t="shared" ca="1" si="2"/>
        <v>1</v>
      </c>
      <c r="L69" s="67">
        <f ca="1">IFERROR(__xludf.DUMMYFUNCTION("""COMPUTED_VALUE"""),61)</f>
        <v>61</v>
      </c>
      <c r="M69" s="51">
        <f t="shared" ca="1" si="3"/>
        <v>0.96825396825396826</v>
      </c>
      <c r="N69" s="67">
        <f ca="1">IFERROR(__xludf.DUMMYFUNCTION("""COMPUTED_VALUE"""),139)</f>
        <v>139</v>
      </c>
      <c r="O69" s="67">
        <f ca="1">IFERROR(__xludf.DUMMYFUNCTION("""COMPUTED_VALUE"""),32)</f>
        <v>32</v>
      </c>
      <c r="P69" s="51">
        <f t="shared" ca="1" si="4"/>
        <v>0.23021582733812951</v>
      </c>
      <c r="Q69" s="67">
        <f ca="1">IFERROR(__xludf.DUMMYFUNCTION("""COMPUTED_VALUE"""),7)</f>
        <v>7</v>
      </c>
      <c r="R69" s="51">
        <f t="shared" ca="1" si="5"/>
        <v>5.0359712230215826E-2</v>
      </c>
      <c r="S69" s="66"/>
      <c r="T69" s="66"/>
      <c r="U69" s="51" t="str">
        <f t="shared" si="6"/>
        <v/>
      </c>
      <c r="V69" s="66"/>
      <c r="W69" s="51" t="str">
        <f t="shared" si="7"/>
        <v/>
      </c>
      <c r="X69" s="66"/>
      <c r="Y69" s="51" t="str">
        <f t="shared" si="8"/>
        <v/>
      </c>
      <c r="Z69" s="2"/>
      <c r="AA69" s="2"/>
      <c r="AB69" s="2"/>
      <c r="AC69" s="2"/>
      <c r="AD69" s="2"/>
      <c r="AE69" s="2"/>
    </row>
    <row r="70" spans="1:31" ht="12.75" x14ac:dyDescent="0.2">
      <c r="A70" s="53">
        <f ca="1">IFERROR(__xludf.DUMMYFUNCTION("""COMPUTED_VALUE"""),64)</f>
        <v>64</v>
      </c>
      <c r="B70" s="66" t="str">
        <f ca="1">IFERROR(__xludf.DUMMYFUNCTION("""COMPUTED_VALUE"""),"Mầm Non Phú Thuận")</f>
        <v>Mầm Non Phú Thuận</v>
      </c>
      <c r="C70" s="66" t="str">
        <f ca="1">IFERROR(__xludf.DUMMYFUNCTION("""COMPUTED_VALUE"""),"MN")</f>
        <v>MN</v>
      </c>
      <c r="D70" s="66" t="str">
        <f ca="1">IFERROR(__xludf.DUMMYFUNCTION("""COMPUTED_VALUE"""),"QUẬN 7")</f>
        <v>QUẬN 7</v>
      </c>
      <c r="E70" s="67">
        <f ca="1">IFERROR(__xludf.DUMMYFUNCTION("""COMPUTED_VALUE"""),64)</f>
        <v>64</v>
      </c>
      <c r="F70" s="67">
        <f ca="1">IFERROR(__xludf.DUMMYFUNCTION("""COMPUTED_VALUE"""),64)</f>
        <v>64</v>
      </c>
      <c r="G70" s="51">
        <f t="shared" ref="G70:G78" ca="1" si="9">IFERROR(F70/E70,"")</f>
        <v>1</v>
      </c>
      <c r="H70" s="67">
        <f ca="1">IFERROR(__xludf.DUMMYFUNCTION("""COMPUTED_VALUE"""),64)</f>
        <v>64</v>
      </c>
      <c r="I70" s="51">
        <f t="shared" ref="I70:I78" ca="1" si="10">IFERROR(H70/E70,"")</f>
        <v>1</v>
      </c>
      <c r="J70" s="67">
        <f ca="1">IFERROR(__xludf.DUMMYFUNCTION("""COMPUTED_VALUE"""),64)</f>
        <v>64</v>
      </c>
      <c r="K70" s="51">
        <f t="shared" ref="K70:K78" ca="1" si="11">IFERROR(J70/E70,"")</f>
        <v>1</v>
      </c>
      <c r="L70" s="67">
        <f ca="1">IFERROR(__xludf.DUMMYFUNCTION("""COMPUTED_VALUE"""),37)</f>
        <v>37</v>
      </c>
      <c r="M70" s="51">
        <f t="shared" ref="M70:M78" ca="1" si="12">IFERROR(L70/E70,"")</f>
        <v>0.578125</v>
      </c>
      <c r="N70" s="67">
        <f ca="1">IFERROR(__xludf.DUMMYFUNCTION("""COMPUTED_VALUE"""),118)</f>
        <v>118</v>
      </c>
      <c r="O70" s="67">
        <f ca="1">IFERROR(__xludf.DUMMYFUNCTION("""COMPUTED_VALUE"""),10)</f>
        <v>10</v>
      </c>
      <c r="P70" s="51">
        <f t="shared" ref="P70:P78" ca="1" si="13">IFERROR(O70/N70,"")</f>
        <v>8.4745762711864403E-2</v>
      </c>
      <c r="Q70" s="67">
        <f ca="1">IFERROR(__xludf.DUMMYFUNCTION("""COMPUTED_VALUE"""),2)</f>
        <v>2</v>
      </c>
      <c r="R70" s="51">
        <f t="shared" ref="R70:R78" ca="1" si="14">IFERROR(Q70/N70,"")</f>
        <v>1.6949152542372881E-2</v>
      </c>
      <c r="S70" s="66"/>
      <c r="T70" s="66"/>
      <c r="U70" s="51" t="str">
        <f t="shared" ref="U70:U78" si="15">IFERROR(T70/S70,"")</f>
        <v/>
      </c>
      <c r="V70" s="66"/>
      <c r="W70" s="51" t="str">
        <f t="shared" ref="W70:W78" si="16">IFERROR(V70/S70,"")</f>
        <v/>
      </c>
      <c r="X70" s="66"/>
      <c r="Y70" s="51" t="str">
        <f t="shared" ref="Y70:Y78" si="17">IFERROR(X70/S70,"")</f>
        <v/>
      </c>
      <c r="Z70" s="2"/>
      <c r="AA70" s="2"/>
      <c r="AB70" s="2"/>
      <c r="AC70" s="2"/>
      <c r="AD70" s="2"/>
      <c r="AE70" s="2"/>
    </row>
    <row r="71" spans="1:31" ht="12.75" x14ac:dyDescent="0.2">
      <c r="A71" s="53">
        <f ca="1">IFERROR(__xludf.DUMMYFUNCTION("""COMPUTED_VALUE"""),65)</f>
        <v>65</v>
      </c>
      <c r="B71" s="66" t="str">
        <f ca="1">IFERROR(__xludf.DUMMYFUNCTION("""COMPUTED_VALUE"""),"Mầm Non Bình Thuận")</f>
        <v>Mầm Non Bình Thuận</v>
      </c>
      <c r="C71" s="66" t="str">
        <f ca="1">IFERROR(__xludf.DUMMYFUNCTION("""COMPUTED_VALUE"""),"MN")</f>
        <v>MN</v>
      </c>
      <c r="D71" s="66" t="str">
        <f ca="1">IFERROR(__xludf.DUMMYFUNCTION("""COMPUTED_VALUE"""),"QUẬN 7")</f>
        <v>QUẬN 7</v>
      </c>
      <c r="E71" s="67">
        <f ca="1">IFERROR(__xludf.DUMMYFUNCTION("""COMPUTED_VALUE"""),23)</f>
        <v>23</v>
      </c>
      <c r="F71" s="67">
        <f ca="1">IFERROR(__xludf.DUMMYFUNCTION("""COMPUTED_VALUE"""),23)</f>
        <v>23</v>
      </c>
      <c r="G71" s="51">
        <f t="shared" ca="1" si="9"/>
        <v>1</v>
      </c>
      <c r="H71" s="67">
        <f ca="1">IFERROR(__xludf.DUMMYFUNCTION("""COMPUTED_VALUE"""),22)</f>
        <v>22</v>
      </c>
      <c r="I71" s="51">
        <f t="shared" ca="1" si="10"/>
        <v>0.95652173913043481</v>
      </c>
      <c r="J71" s="67">
        <f ca="1">IFERROR(__xludf.DUMMYFUNCTION("""COMPUTED_VALUE"""),22)</f>
        <v>22</v>
      </c>
      <c r="K71" s="51">
        <f t="shared" ca="1" si="11"/>
        <v>0.95652173913043481</v>
      </c>
      <c r="L71" s="67">
        <f ca="1">IFERROR(__xludf.DUMMYFUNCTION("""COMPUTED_VALUE"""),16)</f>
        <v>16</v>
      </c>
      <c r="M71" s="51">
        <f t="shared" ca="1" si="12"/>
        <v>0.69565217391304346</v>
      </c>
      <c r="N71" s="67">
        <f ca="1">IFERROR(__xludf.DUMMYFUNCTION("""COMPUTED_VALUE"""),72)</f>
        <v>72</v>
      </c>
      <c r="O71" s="67">
        <f ca="1">IFERROR(__xludf.DUMMYFUNCTION("""COMPUTED_VALUE"""),12)</f>
        <v>12</v>
      </c>
      <c r="P71" s="51">
        <f t="shared" ca="1" si="13"/>
        <v>0.16666666666666666</v>
      </c>
      <c r="Q71" s="67">
        <f ca="1">IFERROR(__xludf.DUMMYFUNCTION("""COMPUTED_VALUE"""),2)</f>
        <v>2</v>
      </c>
      <c r="R71" s="51">
        <f t="shared" ca="1" si="14"/>
        <v>2.7777777777777776E-2</v>
      </c>
      <c r="S71" s="66"/>
      <c r="T71" s="66"/>
      <c r="U71" s="51" t="str">
        <f t="shared" si="15"/>
        <v/>
      </c>
      <c r="V71" s="66"/>
      <c r="W71" s="51" t="str">
        <f t="shared" si="16"/>
        <v/>
      </c>
      <c r="X71" s="66"/>
      <c r="Y71" s="51" t="str">
        <f t="shared" si="17"/>
        <v/>
      </c>
      <c r="Z71" s="2"/>
      <c r="AA71" s="2"/>
      <c r="AB71" s="2"/>
      <c r="AC71" s="2"/>
      <c r="AD71" s="2"/>
      <c r="AE71" s="2"/>
    </row>
    <row r="72" spans="1:31" ht="12.75" x14ac:dyDescent="0.2">
      <c r="A72" s="53">
        <f ca="1">IFERROR(__xludf.DUMMYFUNCTION("""COMPUTED_VALUE"""),66)</f>
        <v>66</v>
      </c>
      <c r="B72" s="66" t="str">
        <f ca="1">IFERROR(__xludf.DUMMYFUNCTION("""COMPUTED_VALUE"""),"Mầm Non Tân Phú")</f>
        <v>Mầm Non Tân Phú</v>
      </c>
      <c r="C72" s="66" t="str">
        <f ca="1">IFERROR(__xludf.DUMMYFUNCTION("""COMPUTED_VALUE"""),"MN")</f>
        <v>MN</v>
      </c>
      <c r="D72" s="66" t="str">
        <f ca="1">IFERROR(__xludf.DUMMYFUNCTION("""COMPUTED_VALUE"""),"QUẬN 7")</f>
        <v>QUẬN 7</v>
      </c>
      <c r="E72" s="67">
        <f ca="1">IFERROR(__xludf.DUMMYFUNCTION("""COMPUTED_VALUE"""),45)</f>
        <v>45</v>
      </c>
      <c r="F72" s="67">
        <f ca="1">IFERROR(__xludf.DUMMYFUNCTION("""COMPUTED_VALUE"""),45)</f>
        <v>45</v>
      </c>
      <c r="G72" s="51">
        <f t="shared" ca="1" si="9"/>
        <v>1</v>
      </c>
      <c r="H72" s="67">
        <f ca="1">IFERROR(__xludf.DUMMYFUNCTION("""COMPUTED_VALUE"""),45)</f>
        <v>45</v>
      </c>
      <c r="I72" s="51">
        <f t="shared" ca="1" si="10"/>
        <v>1</v>
      </c>
      <c r="J72" s="67">
        <f ca="1">IFERROR(__xludf.DUMMYFUNCTION("""COMPUTED_VALUE"""),44)</f>
        <v>44</v>
      </c>
      <c r="K72" s="51">
        <f t="shared" ca="1" si="11"/>
        <v>0.97777777777777775</v>
      </c>
      <c r="L72" s="67">
        <f ca="1">IFERROR(__xludf.DUMMYFUNCTION("""COMPUTED_VALUE"""),44)</f>
        <v>44</v>
      </c>
      <c r="M72" s="51">
        <f t="shared" ca="1" si="12"/>
        <v>0.97777777777777775</v>
      </c>
      <c r="N72" s="67">
        <f ca="1">IFERROR(__xludf.DUMMYFUNCTION("""COMPUTED_VALUE"""),88)</f>
        <v>88</v>
      </c>
      <c r="O72" s="67">
        <f ca="1">IFERROR(__xludf.DUMMYFUNCTION("""COMPUTED_VALUE"""),53)</f>
        <v>53</v>
      </c>
      <c r="P72" s="51">
        <f t="shared" ca="1" si="13"/>
        <v>0.60227272727272729</v>
      </c>
      <c r="Q72" s="67">
        <f ca="1">IFERROR(__xludf.DUMMYFUNCTION("""COMPUTED_VALUE"""),15)</f>
        <v>15</v>
      </c>
      <c r="R72" s="51">
        <f t="shared" ca="1" si="14"/>
        <v>0.17045454545454544</v>
      </c>
      <c r="S72" s="66"/>
      <c r="T72" s="66"/>
      <c r="U72" s="51" t="str">
        <f t="shared" si="15"/>
        <v/>
      </c>
      <c r="V72" s="66"/>
      <c r="W72" s="51" t="str">
        <f t="shared" si="16"/>
        <v/>
      </c>
      <c r="X72" s="66"/>
      <c r="Y72" s="51" t="str">
        <f t="shared" si="17"/>
        <v/>
      </c>
      <c r="Z72" s="2"/>
      <c r="AA72" s="2"/>
      <c r="AB72" s="2"/>
      <c r="AC72" s="2"/>
      <c r="AD72" s="2"/>
      <c r="AE72" s="2"/>
    </row>
    <row r="73" spans="1:31" ht="12.75" x14ac:dyDescent="0.2">
      <c r="A73" s="53">
        <f ca="1">IFERROR(__xludf.DUMMYFUNCTION("""COMPUTED_VALUE"""),67)</f>
        <v>67</v>
      </c>
      <c r="B73" s="66" t="str">
        <f ca="1">IFERROR(__xludf.DUMMYFUNCTION("""COMPUTED_VALUE"""),"Mầm Non Phú Mỹ")</f>
        <v>Mầm Non Phú Mỹ</v>
      </c>
      <c r="C73" s="66" t="str">
        <f ca="1">IFERROR(__xludf.DUMMYFUNCTION("""COMPUTED_VALUE"""),"MN")</f>
        <v>MN</v>
      </c>
      <c r="D73" s="66" t="str">
        <f ca="1">IFERROR(__xludf.DUMMYFUNCTION("""COMPUTED_VALUE"""),"QUẬN 7")</f>
        <v>QUẬN 7</v>
      </c>
      <c r="E73" s="67">
        <f ca="1">IFERROR(__xludf.DUMMYFUNCTION("""COMPUTED_VALUE"""),67)</f>
        <v>67</v>
      </c>
      <c r="F73" s="67">
        <f ca="1">IFERROR(__xludf.DUMMYFUNCTION("""COMPUTED_VALUE"""),67)</f>
        <v>67</v>
      </c>
      <c r="G73" s="51">
        <f t="shared" ca="1" si="9"/>
        <v>1</v>
      </c>
      <c r="H73" s="67">
        <f ca="1">IFERROR(__xludf.DUMMYFUNCTION("""COMPUTED_VALUE"""),67)</f>
        <v>67</v>
      </c>
      <c r="I73" s="51">
        <f t="shared" ca="1" si="10"/>
        <v>1</v>
      </c>
      <c r="J73" s="67">
        <f ca="1">IFERROR(__xludf.DUMMYFUNCTION("""COMPUTED_VALUE"""),67)</f>
        <v>67</v>
      </c>
      <c r="K73" s="51">
        <f t="shared" ca="1" si="11"/>
        <v>1</v>
      </c>
      <c r="L73" s="67">
        <f ca="1">IFERROR(__xludf.DUMMYFUNCTION("""COMPUTED_VALUE"""),59)</f>
        <v>59</v>
      </c>
      <c r="M73" s="51">
        <f t="shared" ca="1" si="12"/>
        <v>0.88059701492537312</v>
      </c>
      <c r="N73" s="67">
        <f ca="1">IFERROR(__xludf.DUMMYFUNCTION("""COMPUTED_VALUE"""),242)</f>
        <v>242</v>
      </c>
      <c r="O73" s="67">
        <f ca="1">IFERROR(__xludf.DUMMYFUNCTION("""COMPUTED_VALUE"""),19)</f>
        <v>19</v>
      </c>
      <c r="P73" s="51">
        <f t="shared" ca="1" si="13"/>
        <v>7.8512396694214878E-2</v>
      </c>
      <c r="Q73" s="67">
        <f ca="1">IFERROR(__xludf.DUMMYFUNCTION("""COMPUTED_VALUE"""),16)</f>
        <v>16</v>
      </c>
      <c r="R73" s="51">
        <f t="shared" ca="1" si="14"/>
        <v>6.6115702479338845E-2</v>
      </c>
      <c r="S73" s="66"/>
      <c r="T73" s="66"/>
      <c r="U73" s="51" t="str">
        <f t="shared" si="15"/>
        <v/>
      </c>
      <c r="V73" s="66"/>
      <c r="W73" s="51" t="str">
        <f t="shared" si="16"/>
        <v/>
      </c>
      <c r="X73" s="66"/>
      <c r="Y73" s="51" t="str">
        <f t="shared" si="17"/>
        <v/>
      </c>
      <c r="Z73" s="2"/>
      <c r="AA73" s="2"/>
      <c r="AB73" s="2"/>
      <c r="AC73" s="2"/>
      <c r="AD73" s="2"/>
      <c r="AE73" s="2"/>
    </row>
    <row r="74" spans="1:31" ht="12.75" x14ac:dyDescent="0.2">
      <c r="A74" s="53"/>
      <c r="B74" s="66"/>
      <c r="C74" s="66"/>
      <c r="D74" s="66"/>
      <c r="E74" s="67">
        <f ca="1">IFERROR(__xludf.DUMMYFUNCTION("""COMPUTED_VALUE"""),1941)</f>
        <v>1941</v>
      </c>
      <c r="F74" s="67">
        <f ca="1">IFERROR(__xludf.DUMMYFUNCTION("""COMPUTED_VALUE"""),1941)</f>
        <v>1941</v>
      </c>
      <c r="G74" s="51">
        <f t="shared" ca="1" si="9"/>
        <v>1</v>
      </c>
      <c r="H74" s="67">
        <f ca="1">IFERROR(__xludf.DUMMYFUNCTION("""COMPUTED_VALUE"""),1940)</f>
        <v>1940</v>
      </c>
      <c r="I74" s="51">
        <f t="shared" ca="1" si="10"/>
        <v>0.99948480164863474</v>
      </c>
      <c r="J74" s="67">
        <f ca="1">IFERROR(__xludf.DUMMYFUNCTION("""COMPUTED_VALUE"""),1847)</f>
        <v>1847</v>
      </c>
      <c r="K74" s="51">
        <f t="shared" ca="1" si="11"/>
        <v>0.95157135497166412</v>
      </c>
      <c r="L74" s="67">
        <f ca="1">IFERROR(__xludf.DUMMYFUNCTION("""COMPUTED_VALUE"""),1042)</f>
        <v>1042</v>
      </c>
      <c r="M74" s="51">
        <f t="shared" ca="1" si="12"/>
        <v>0.53683668212261726</v>
      </c>
      <c r="N74" s="67">
        <f ca="1">IFERROR(__xludf.DUMMYFUNCTION("""COMPUTED_VALUE"""),2988)</f>
        <v>2988</v>
      </c>
      <c r="O74" s="67">
        <f ca="1">IFERROR(__xludf.DUMMYFUNCTION("""COMPUTED_VALUE"""),393)</f>
        <v>393</v>
      </c>
      <c r="P74" s="51">
        <f t="shared" ca="1" si="13"/>
        <v>0.13152610441767068</v>
      </c>
      <c r="Q74" s="67">
        <f ca="1">IFERROR(__xludf.DUMMYFUNCTION("""COMPUTED_VALUE"""),143)</f>
        <v>143</v>
      </c>
      <c r="R74" s="51">
        <f t="shared" ca="1" si="14"/>
        <v>4.7858099062918338E-2</v>
      </c>
      <c r="S74" s="66"/>
      <c r="T74" s="66"/>
      <c r="U74" s="51" t="str">
        <f t="shared" si="15"/>
        <v/>
      </c>
      <c r="V74" s="66"/>
      <c r="W74" s="51" t="str">
        <f t="shared" si="16"/>
        <v/>
      </c>
      <c r="X74" s="66"/>
      <c r="Y74" s="51" t="str">
        <f t="shared" si="17"/>
        <v/>
      </c>
      <c r="Z74" s="2"/>
      <c r="AA74" s="2"/>
      <c r="AB74" s="2"/>
      <c r="AC74" s="2"/>
      <c r="AD74" s="2"/>
      <c r="AE74" s="2"/>
    </row>
    <row r="75" spans="1:31" ht="12.75" x14ac:dyDescent="0.2">
      <c r="A75" s="52" t="str">
        <f ca="1">IFERROR(__xludf.DUMMYFUNCTION("""COMPUTED_VALUE"""),"2.Tiểu học")</f>
        <v>2.Tiểu học</v>
      </c>
      <c r="B75" s="66"/>
      <c r="C75" s="66"/>
      <c r="D75" s="66"/>
      <c r="E75" s="66"/>
      <c r="F75" s="66"/>
      <c r="G75" s="51" t="str">
        <f t="shared" si="9"/>
        <v/>
      </c>
      <c r="H75" s="66"/>
      <c r="I75" s="51" t="str">
        <f t="shared" si="10"/>
        <v/>
      </c>
      <c r="J75" s="66"/>
      <c r="K75" s="51" t="str">
        <f t="shared" si="11"/>
        <v/>
      </c>
      <c r="L75" s="66"/>
      <c r="M75" s="51" t="str">
        <f t="shared" si="12"/>
        <v/>
      </c>
      <c r="N75" s="66"/>
      <c r="O75" s="66"/>
      <c r="P75" s="51" t="str">
        <f t="shared" si="13"/>
        <v/>
      </c>
      <c r="Q75" s="66"/>
      <c r="R75" s="51" t="str">
        <f t="shared" si="14"/>
        <v/>
      </c>
      <c r="S75" s="66"/>
      <c r="T75" s="66"/>
      <c r="U75" s="51" t="str">
        <f t="shared" si="15"/>
        <v/>
      </c>
      <c r="V75" s="66"/>
      <c r="W75" s="51" t="str">
        <f t="shared" si="16"/>
        <v/>
      </c>
      <c r="X75" s="66"/>
      <c r="Y75" s="51" t="str">
        <f t="shared" si="17"/>
        <v/>
      </c>
      <c r="Z75" s="2"/>
      <c r="AA75" s="2"/>
      <c r="AB75" s="2"/>
      <c r="AC75" s="2"/>
      <c r="AD75" s="2"/>
      <c r="AE75" s="2"/>
    </row>
    <row r="76" spans="1:31" ht="12.75" x14ac:dyDescent="0.2">
      <c r="A76" s="53">
        <f ca="1">IFERROR(__xludf.DUMMYFUNCTION("""COMPUTED_VALUE"""),1)</f>
        <v>1</v>
      </c>
      <c r="B76" s="66"/>
      <c r="C76" s="66"/>
      <c r="D76" s="66" t="str">
        <f ca="1">IFERROR(__xludf.DUMMYFUNCTION("""COMPUTED_VALUE"""),"QUẬN 7")</f>
        <v>QUẬN 7</v>
      </c>
      <c r="E76" s="67">
        <f ca="1">IFERROR(__xludf.DUMMYFUNCTION("""COMPUTED_VALUE"""),77)</f>
        <v>77</v>
      </c>
      <c r="F76" s="67">
        <f ca="1">IFERROR(__xludf.DUMMYFUNCTION("""COMPUTED_VALUE"""),77)</f>
        <v>77</v>
      </c>
      <c r="G76" s="51">
        <f t="shared" ca="1" si="9"/>
        <v>1</v>
      </c>
      <c r="H76" s="67">
        <f ca="1">IFERROR(__xludf.DUMMYFUNCTION("""COMPUTED_VALUE"""),77)</f>
        <v>77</v>
      </c>
      <c r="I76" s="51">
        <f t="shared" ca="1" si="10"/>
        <v>1</v>
      </c>
      <c r="J76" s="67">
        <f ca="1">IFERROR(__xludf.DUMMYFUNCTION("""COMPUTED_VALUE"""),77)</f>
        <v>77</v>
      </c>
      <c r="K76" s="51">
        <f t="shared" ca="1" si="11"/>
        <v>1</v>
      </c>
      <c r="L76" s="67">
        <f ca="1">IFERROR(__xludf.DUMMYFUNCTION("""COMPUTED_VALUE"""),59)</f>
        <v>59</v>
      </c>
      <c r="M76" s="51">
        <f t="shared" ca="1" si="12"/>
        <v>0.76623376623376627</v>
      </c>
      <c r="N76" s="67">
        <f ca="1">IFERROR(__xludf.DUMMYFUNCTION("""COMPUTED_VALUE"""),1725)</f>
        <v>1725</v>
      </c>
      <c r="O76" s="67">
        <f ca="1">IFERROR(__xludf.DUMMYFUNCTION("""COMPUTED_VALUE"""),1161)</f>
        <v>1161</v>
      </c>
      <c r="P76" s="51">
        <f t="shared" ca="1" si="13"/>
        <v>0.67304347826086952</v>
      </c>
      <c r="Q76" s="67">
        <f ca="1">IFERROR(__xludf.DUMMYFUNCTION("""COMPUTED_VALUE"""),765)</f>
        <v>765</v>
      </c>
      <c r="R76" s="51">
        <f t="shared" ca="1" si="14"/>
        <v>0.44347826086956521</v>
      </c>
      <c r="S76" s="66"/>
      <c r="T76" s="66"/>
      <c r="U76" s="51" t="str">
        <f t="shared" si="15"/>
        <v/>
      </c>
      <c r="V76" s="66"/>
      <c r="W76" s="51" t="str">
        <f t="shared" si="16"/>
        <v/>
      </c>
      <c r="X76" s="66"/>
      <c r="Y76" s="51" t="str">
        <f t="shared" si="17"/>
        <v/>
      </c>
      <c r="Z76" s="2"/>
      <c r="AA76" s="2"/>
      <c r="AB76" s="2"/>
      <c r="AC76" s="2"/>
      <c r="AD76" s="2"/>
      <c r="AE76" s="2"/>
    </row>
    <row r="77" spans="1:31" ht="12.75" x14ac:dyDescent="0.2">
      <c r="A77" s="53">
        <f ca="1">IFERROR(__xludf.DUMMYFUNCTION("""COMPUTED_VALUE"""),2)</f>
        <v>2</v>
      </c>
      <c r="B77" s="66" t="str">
        <f ca="1">IFERROR(__xludf.DUMMYFUNCTION("""COMPUTED_VALUE"""),"TIỂU HỌC TÂN HƯNG")</f>
        <v>TIỂU HỌC TÂN HƯNG</v>
      </c>
      <c r="C77" s="66" t="str">
        <f ca="1">IFERROR(__xludf.DUMMYFUNCTION("""COMPUTED_VALUE"""),"TH")</f>
        <v>TH</v>
      </c>
      <c r="D77" s="66" t="str">
        <f ca="1">IFERROR(__xludf.DUMMYFUNCTION("""COMPUTED_VALUE"""),"QUẬN 7")</f>
        <v>QUẬN 7</v>
      </c>
      <c r="E77" s="67">
        <f ca="1">IFERROR(__xludf.DUMMYFUNCTION("""COMPUTED_VALUE"""),89)</f>
        <v>89</v>
      </c>
      <c r="F77" s="67">
        <f ca="1">IFERROR(__xludf.DUMMYFUNCTION("""COMPUTED_VALUE"""),89)</f>
        <v>89</v>
      </c>
      <c r="G77" s="51">
        <f t="shared" ca="1" si="9"/>
        <v>1</v>
      </c>
      <c r="H77" s="67">
        <f ca="1">IFERROR(__xludf.DUMMYFUNCTION("""COMPUTED_VALUE"""),89)</f>
        <v>89</v>
      </c>
      <c r="I77" s="51">
        <f t="shared" ca="1" si="10"/>
        <v>1</v>
      </c>
      <c r="J77" s="67">
        <f ca="1">IFERROR(__xludf.DUMMYFUNCTION("""COMPUTED_VALUE"""),89)</f>
        <v>89</v>
      </c>
      <c r="K77" s="51">
        <f t="shared" ca="1" si="11"/>
        <v>1</v>
      </c>
      <c r="L77" s="67">
        <f ca="1">IFERROR(__xludf.DUMMYFUNCTION("""COMPUTED_VALUE"""),65)</f>
        <v>65</v>
      </c>
      <c r="M77" s="51">
        <f t="shared" ca="1" si="12"/>
        <v>0.7303370786516854</v>
      </c>
      <c r="N77" s="67">
        <f ca="1">IFERROR(__xludf.DUMMYFUNCTION("""COMPUTED_VALUE"""),1531)</f>
        <v>1531</v>
      </c>
      <c r="O77" s="67">
        <f ca="1">IFERROR(__xludf.DUMMYFUNCTION("""COMPUTED_VALUE"""),936)</f>
        <v>936</v>
      </c>
      <c r="P77" s="51">
        <f t="shared" ca="1" si="13"/>
        <v>0.61136512083605488</v>
      </c>
      <c r="Q77" s="67">
        <f ca="1">IFERROR(__xludf.DUMMYFUNCTION("""COMPUTED_VALUE"""),558)</f>
        <v>558</v>
      </c>
      <c r="R77" s="51">
        <f t="shared" ca="1" si="14"/>
        <v>0.36446766819072501</v>
      </c>
      <c r="S77" s="66"/>
      <c r="T77" s="66"/>
      <c r="U77" s="51" t="str">
        <f t="shared" si="15"/>
        <v/>
      </c>
      <c r="V77" s="66"/>
      <c r="W77" s="51" t="str">
        <f t="shared" si="16"/>
        <v/>
      </c>
      <c r="X77" s="66"/>
      <c r="Y77" s="51" t="str">
        <f t="shared" si="17"/>
        <v/>
      </c>
      <c r="Z77" s="2"/>
      <c r="AA77" s="2"/>
      <c r="AB77" s="2"/>
      <c r="AC77" s="2"/>
      <c r="AD77" s="2"/>
      <c r="AE77" s="2"/>
    </row>
    <row r="78" spans="1:31" ht="12.75" x14ac:dyDescent="0.2">
      <c r="A78" s="53">
        <f ca="1">IFERROR(__xludf.DUMMYFUNCTION("""COMPUTED_VALUE"""),3)</f>
        <v>3</v>
      </c>
      <c r="B78" s="66" t="str">
        <f ca="1">IFERROR(__xludf.DUMMYFUNCTION("""COMPUTED_VALUE"""),"TIỂU HỌC TÂN THUẬN ĐÔNG")</f>
        <v>TIỂU HỌC TÂN THUẬN ĐÔNG</v>
      </c>
      <c r="C78" s="66" t="str">
        <f ca="1">IFERROR(__xludf.DUMMYFUNCTION("""COMPUTED_VALUE"""),"TH")</f>
        <v>TH</v>
      </c>
      <c r="D78" s="66" t="str">
        <f ca="1">IFERROR(__xludf.DUMMYFUNCTION("""COMPUTED_VALUE"""),"QUẬN 7")</f>
        <v>QUẬN 7</v>
      </c>
      <c r="E78" s="67">
        <f ca="1">IFERROR(__xludf.DUMMYFUNCTION("""COMPUTED_VALUE"""),111)</f>
        <v>111</v>
      </c>
      <c r="F78" s="67">
        <f ca="1">IFERROR(__xludf.DUMMYFUNCTION("""COMPUTED_VALUE"""),111)</f>
        <v>111</v>
      </c>
      <c r="G78" s="51">
        <f t="shared" ca="1" si="9"/>
        <v>1</v>
      </c>
      <c r="H78" s="67">
        <f ca="1">IFERROR(__xludf.DUMMYFUNCTION("""COMPUTED_VALUE"""),111)</f>
        <v>111</v>
      </c>
      <c r="I78" s="51">
        <f t="shared" ca="1" si="10"/>
        <v>1</v>
      </c>
      <c r="J78" s="67">
        <f ca="1">IFERROR(__xludf.DUMMYFUNCTION("""COMPUTED_VALUE"""),111)</f>
        <v>111</v>
      </c>
      <c r="K78" s="51">
        <f t="shared" ca="1" si="11"/>
        <v>1</v>
      </c>
      <c r="L78" s="67">
        <f ca="1">IFERROR(__xludf.DUMMYFUNCTION("""COMPUTED_VALUE"""),73)</f>
        <v>73</v>
      </c>
      <c r="M78" s="51">
        <f t="shared" ca="1" si="12"/>
        <v>0.65765765765765771</v>
      </c>
      <c r="N78" s="67">
        <f ca="1">IFERROR(__xludf.DUMMYFUNCTION("""COMPUTED_VALUE"""),1855)</f>
        <v>1855</v>
      </c>
      <c r="O78" s="67">
        <f ca="1">IFERROR(__xludf.DUMMYFUNCTION("""COMPUTED_VALUE"""),1101)</f>
        <v>1101</v>
      </c>
      <c r="P78" s="51">
        <f t="shared" ca="1" si="13"/>
        <v>0.59353099730458225</v>
      </c>
      <c r="Q78" s="67">
        <f ca="1">IFERROR(__xludf.DUMMYFUNCTION("""COMPUTED_VALUE"""),672)</f>
        <v>672</v>
      </c>
      <c r="R78" s="51">
        <f t="shared" ca="1" si="14"/>
        <v>0.3622641509433962</v>
      </c>
      <c r="S78" s="66"/>
      <c r="T78" s="66"/>
      <c r="U78" s="51" t="str">
        <f t="shared" si="15"/>
        <v/>
      </c>
      <c r="V78" s="66"/>
      <c r="W78" s="51" t="str">
        <f t="shared" si="16"/>
        <v/>
      </c>
      <c r="X78" s="66"/>
      <c r="Y78" s="51" t="str">
        <f t="shared" si="17"/>
        <v/>
      </c>
      <c r="Z78" s="2"/>
      <c r="AA78" s="2"/>
      <c r="AB78" s="2"/>
      <c r="AC78" s="2"/>
      <c r="AD78" s="2"/>
      <c r="AE78" s="2"/>
    </row>
    <row r="79" spans="1:31" ht="12.75" x14ac:dyDescent="0.2">
      <c r="A79" s="53">
        <f ca="1">IFERROR(__xludf.DUMMYFUNCTION("""COMPUTED_VALUE"""),4)</f>
        <v>4</v>
      </c>
      <c r="B79" s="66" t="str">
        <f ca="1">IFERROR(__xludf.DUMMYFUNCTION("""COMPUTED_VALUE"""),"TIỂU HỌC ĐẶNG THÙY TRÂM")</f>
        <v>TIỂU HỌC ĐẶNG THÙY TRÂM</v>
      </c>
      <c r="C79" s="66" t="str">
        <f ca="1">IFERROR(__xludf.DUMMYFUNCTION("""COMPUTED_VALUE"""),"TH")</f>
        <v>TH</v>
      </c>
      <c r="D79" s="66" t="str">
        <f ca="1">IFERROR(__xludf.DUMMYFUNCTION("""COMPUTED_VALUE"""),"QUẬN 7")</f>
        <v>QUẬN 7</v>
      </c>
      <c r="E79" s="67">
        <f ca="1">IFERROR(__xludf.DUMMYFUNCTION("""COMPUTED_VALUE"""),66)</f>
        <v>66</v>
      </c>
      <c r="F79" s="67">
        <f ca="1">IFERROR(__xludf.DUMMYFUNCTION("""COMPUTED_VALUE"""),66)</f>
        <v>66</v>
      </c>
      <c r="G79" s="67"/>
      <c r="H79" s="67">
        <f ca="1">IFERROR(__xludf.DUMMYFUNCTION("""COMPUTED_VALUE"""),66)</f>
        <v>66</v>
      </c>
      <c r="I79" s="67"/>
      <c r="J79" s="67">
        <f ca="1">IFERROR(__xludf.DUMMYFUNCTION("""COMPUTED_VALUE"""),66)</f>
        <v>66</v>
      </c>
      <c r="K79" s="67"/>
      <c r="L79" s="67">
        <f ca="1">IFERROR(__xludf.DUMMYFUNCTION("""COMPUTED_VALUE"""),56)</f>
        <v>56</v>
      </c>
      <c r="M79" s="67"/>
      <c r="N79" s="67">
        <f ca="1">IFERROR(__xludf.DUMMYFUNCTION("""COMPUTED_VALUE"""),1240)</f>
        <v>1240</v>
      </c>
      <c r="O79" s="67">
        <f ca="1">IFERROR(__xludf.DUMMYFUNCTION("""COMPUTED_VALUE"""),788)</f>
        <v>788</v>
      </c>
      <c r="P79" s="67"/>
      <c r="Q79" s="67">
        <f ca="1">IFERROR(__xludf.DUMMYFUNCTION("""COMPUTED_VALUE"""),455)</f>
        <v>455</v>
      </c>
      <c r="R79" s="67"/>
      <c r="S79" s="66"/>
      <c r="T79" s="66"/>
      <c r="U79" s="66"/>
      <c r="V79" s="66"/>
      <c r="W79" s="66"/>
      <c r="X79" s="66"/>
      <c r="Y79" s="66"/>
      <c r="Z79" s="2"/>
      <c r="AA79" s="2"/>
      <c r="AB79" s="2"/>
      <c r="AC79" s="2"/>
      <c r="AD79" s="2"/>
      <c r="AE79" s="2"/>
    </row>
    <row r="80" spans="1:31" ht="12.75" x14ac:dyDescent="0.2">
      <c r="A80" s="53">
        <f ca="1">IFERROR(__xludf.DUMMYFUNCTION("""COMPUTED_VALUE"""),5)</f>
        <v>5</v>
      </c>
      <c r="B80" s="66" t="str">
        <f ca="1">IFERROR(__xludf.DUMMYFUNCTION("""COMPUTED_VALUE"""),"TIỂU HỌC ĐINH BỘ LĨNH")</f>
        <v>TIỂU HỌC ĐINH BỘ LĨNH</v>
      </c>
      <c r="C80" s="66" t="str">
        <f ca="1">IFERROR(__xludf.DUMMYFUNCTION("""COMPUTED_VALUE"""),"TH")</f>
        <v>TH</v>
      </c>
      <c r="D80" s="66" t="str">
        <f ca="1">IFERROR(__xludf.DUMMYFUNCTION("""COMPUTED_VALUE"""),"QUẬN 7")</f>
        <v>QUẬN 7</v>
      </c>
      <c r="E80" s="67">
        <f ca="1">IFERROR(__xludf.DUMMYFUNCTION("""COMPUTED_VALUE"""),92)</f>
        <v>92</v>
      </c>
      <c r="F80" s="67">
        <f ca="1">IFERROR(__xludf.DUMMYFUNCTION("""COMPUTED_VALUE"""),92)</f>
        <v>92</v>
      </c>
      <c r="G80" s="67"/>
      <c r="H80" s="67">
        <f ca="1">IFERROR(__xludf.DUMMYFUNCTION("""COMPUTED_VALUE"""),92)</f>
        <v>92</v>
      </c>
      <c r="I80" s="67"/>
      <c r="J80" s="67">
        <f ca="1">IFERROR(__xludf.DUMMYFUNCTION("""COMPUTED_VALUE"""),88)</f>
        <v>88</v>
      </c>
      <c r="K80" s="67"/>
      <c r="L80" s="67">
        <f ca="1">IFERROR(__xludf.DUMMYFUNCTION("""COMPUTED_VALUE"""),78)</f>
        <v>78</v>
      </c>
      <c r="M80" s="67"/>
      <c r="N80" s="67">
        <f ca="1">IFERROR(__xludf.DUMMYFUNCTION("""COMPUTED_VALUE"""),1430)</f>
        <v>1430</v>
      </c>
      <c r="O80" s="67">
        <f ca="1">IFERROR(__xludf.DUMMYFUNCTION("""COMPUTED_VALUE"""),760)</f>
        <v>760</v>
      </c>
      <c r="P80" s="67"/>
      <c r="Q80" s="67">
        <f ca="1">IFERROR(__xludf.DUMMYFUNCTION("""COMPUTED_VALUE"""),328)</f>
        <v>328</v>
      </c>
      <c r="R80" s="67"/>
      <c r="S80" s="66"/>
      <c r="T80" s="66"/>
      <c r="U80" s="66"/>
      <c r="V80" s="66"/>
      <c r="W80" s="66"/>
      <c r="X80" s="66"/>
      <c r="Y80" s="66"/>
      <c r="Z80" s="2"/>
      <c r="AA80" s="2"/>
      <c r="AB80" s="2"/>
      <c r="AC80" s="2"/>
      <c r="AD80" s="2"/>
      <c r="AE80" s="2"/>
    </row>
    <row r="81" spans="1:31" ht="12.75" x14ac:dyDescent="0.2">
      <c r="A81" s="53">
        <f ca="1">IFERROR(__xludf.DUMMYFUNCTION("""COMPUTED_VALUE"""),6)</f>
        <v>6</v>
      </c>
      <c r="B81" s="66" t="str">
        <f ca="1">IFERROR(__xludf.DUMMYFUNCTION("""COMPUTED_VALUE"""),"TIỂU HỌC PHẠM HỮU LẦU")</f>
        <v>TIỂU HỌC PHẠM HỮU LẦU</v>
      </c>
      <c r="C81" s="66" t="str">
        <f ca="1">IFERROR(__xludf.DUMMYFUNCTION("""COMPUTED_VALUE"""),"TH")</f>
        <v>TH</v>
      </c>
      <c r="D81" s="66" t="str">
        <f ca="1">IFERROR(__xludf.DUMMYFUNCTION("""COMPUTED_VALUE"""),"QUẬN 7")</f>
        <v>QUẬN 7</v>
      </c>
      <c r="E81" s="67">
        <f ca="1">IFERROR(__xludf.DUMMYFUNCTION("""COMPUTED_VALUE"""),77)</f>
        <v>77</v>
      </c>
      <c r="F81" s="67">
        <f ca="1">IFERROR(__xludf.DUMMYFUNCTION("""COMPUTED_VALUE"""),77)</f>
        <v>77</v>
      </c>
      <c r="G81" s="67"/>
      <c r="H81" s="67">
        <f ca="1">IFERROR(__xludf.DUMMYFUNCTION("""COMPUTED_VALUE"""),77)</f>
        <v>77</v>
      </c>
      <c r="I81" s="67"/>
      <c r="J81" s="67">
        <f ca="1">IFERROR(__xludf.DUMMYFUNCTION("""COMPUTED_VALUE"""),76)</f>
        <v>76</v>
      </c>
      <c r="K81" s="67"/>
      <c r="L81" s="67">
        <f ca="1">IFERROR(__xludf.DUMMYFUNCTION("""COMPUTED_VALUE"""),54)</f>
        <v>54</v>
      </c>
      <c r="M81" s="67"/>
      <c r="N81" s="67">
        <f ca="1">IFERROR(__xludf.DUMMYFUNCTION("""COMPUTED_VALUE"""),1612)</f>
        <v>1612</v>
      </c>
      <c r="O81" s="67">
        <f ca="1">IFERROR(__xludf.DUMMYFUNCTION("""COMPUTED_VALUE"""),478)</f>
        <v>478</v>
      </c>
      <c r="P81" s="67"/>
      <c r="Q81" s="67">
        <f ca="1">IFERROR(__xludf.DUMMYFUNCTION("""COMPUTED_VALUE"""),294)</f>
        <v>294</v>
      </c>
      <c r="R81" s="67"/>
      <c r="S81" s="66"/>
      <c r="T81" s="66"/>
      <c r="U81" s="66"/>
      <c r="V81" s="66"/>
      <c r="W81" s="66"/>
      <c r="X81" s="66"/>
      <c r="Y81" s="66"/>
      <c r="Z81" s="2"/>
      <c r="AA81" s="2"/>
      <c r="AB81" s="2"/>
      <c r="AC81" s="2"/>
      <c r="AD81" s="2"/>
      <c r="AE81" s="2"/>
    </row>
    <row r="82" spans="1:31" ht="12.75" x14ac:dyDescent="0.2">
      <c r="A82" s="53">
        <f ca="1">IFERROR(__xludf.DUMMYFUNCTION("""COMPUTED_VALUE"""),7)</f>
        <v>7</v>
      </c>
      <c r="B82" s="66" t="str">
        <f ca="1">IFERROR(__xludf.DUMMYFUNCTION("""COMPUTED_VALUE"""),"TIỂU HỌC NGUYỄN VĂN HƯỞNG")</f>
        <v>TIỂU HỌC NGUYỄN VĂN HƯỞNG</v>
      </c>
      <c r="C82" s="66" t="str">
        <f ca="1">IFERROR(__xludf.DUMMYFUNCTION("""COMPUTED_VALUE"""),"TH")</f>
        <v>TH</v>
      </c>
      <c r="D82" s="66" t="str">
        <f ca="1">IFERROR(__xludf.DUMMYFUNCTION("""COMPUTED_VALUE"""),"QUẬN 7")</f>
        <v>QUẬN 7</v>
      </c>
      <c r="E82" s="67">
        <f ca="1">IFERROR(__xludf.DUMMYFUNCTION("""COMPUTED_VALUE"""),80)</f>
        <v>80</v>
      </c>
      <c r="F82" s="67">
        <f ca="1">IFERROR(__xludf.DUMMYFUNCTION("""COMPUTED_VALUE"""),80)</f>
        <v>80</v>
      </c>
      <c r="G82" s="67"/>
      <c r="H82" s="67">
        <f ca="1">IFERROR(__xludf.DUMMYFUNCTION("""COMPUTED_VALUE"""),80)</f>
        <v>80</v>
      </c>
      <c r="I82" s="67"/>
      <c r="J82" s="67">
        <f ca="1">IFERROR(__xludf.DUMMYFUNCTION("""COMPUTED_VALUE"""),80)</f>
        <v>80</v>
      </c>
      <c r="K82" s="67"/>
      <c r="L82" s="67">
        <f ca="1">IFERROR(__xludf.DUMMYFUNCTION("""COMPUTED_VALUE"""),58)</f>
        <v>58</v>
      </c>
      <c r="M82" s="67"/>
      <c r="N82" s="67">
        <f ca="1">IFERROR(__xludf.DUMMYFUNCTION("""COMPUTED_VALUE"""),1307)</f>
        <v>1307</v>
      </c>
      <c r="O82" s="67">
        <f ca="1">IFERROR(__xludf.DUMMYFUNCTION("""COMPUTED_VALUE"""),726)</f>
        <v>726</v>
      </c>
      <c r="P82" s="67"/>
      <c r="Q82" s="67">
        <f ca="1">IFERROR(__xludf.DUMMYFUNCTION("""COMPUTED_VALUE"""),360)</f>
        <v>360</v>
      </c>
      <c r="R82" s="67"/>
      <c r="S82" s="66"/>
      <c r="T82" s="66"/>
      <c r="U82" s="66"/>
      <c r="V82" s="66"/>
      <c r="W82" s="66"/>
      <c r="X82" s="66"/>
      <c r="Y82" s="66"/>
      <c r="Z82" s="2"/>
      <c r="AA82" s="2"/>
      <c r="AB82" s="2"/>
      <c r="AC82" s="2"/>
      <c r="AD82" s="2"/>
      <c r="AE82" s="2"/>
    </row>
    <row r="83" spans="1:31" ht="12.75" x14ac:dyDescent="0.2">
      <c r="A83" s="53">
        <f ca="1">IFERROR(__xludf.DUMMYFUNCTION("""COMPUTED_VALUE"""),8)</f>
        <v>8</v>
      </c>
      <c r="B83" s="66" t="str">
        <f ca="1">IFERROR(__xludf.DUMMYFUNCTION("""COMPUTED_VALUE"""),"TIỂU HỌC PHÚ MỸ")</f>
        <v>TIỂU HỌC PHÚ MỸ</v>
      </c>
      <c r="C83" s="66" t="str">
        <f ca="1">IFERROR(__xludf.DUMMYFUNCTION("""COMPUTED_VALUE"""),"TH")</f>
        <v>TH</v>
      </c>
      <c r="D83" s="66" t="str">
        <f ca="1">IFERROR(__xludf.DUMMYFUNCTION("""COMPUTED_VALUE"""),"QUẬN 7")</f>
        <v>QUẬN 7</v>
      </c>
      <c r="E83" s="67">
        <f ca="1">IFERROR(__xludf.DUMMYFUNCTION("""COMPUTED_VALUE"""),81)</f>
        <v>81</v>
      </c>
      <c r="F83" s="67">
        <f ca="1">IFERROR(__xludf.DUMMYFUNCTION("""COMPUTED_VALUE"""),81)</f>
        <v>81</v>
      </c>
      <c r="G83" s="67"/>
      <c r="H83" s="67">
        <f ca="1">IFERROR(__xludf.DUMMYFUNCTION("""COMPUTED_VALUE"""),81)</f>
        <v>81</v>
      </c>
      <c r="I83" s="67"/>
      <c r="J83" s="67">
        <f ca="1">IFERROR(__xludf.DUMMYFUNCTION("""COMPUTED_VALUE"""),81)</f>
        <v>81</v>
      </c>
      <c r="K83" s="67"/>
      <c r="L83" s="67">
        <f ca="1">IFERROR(__xludf.DUMMYFUNCTION("""COMPUTED_VALUE"""),76)</f>
        <v>76</v>
      </c>
      <c r="M83" s="67"/>
      <c r="N83" s="67">
        <f ca="1">IFERROR(__xludf.DUMMYFUNCTION("""COMPUTED_VALUE"""),1061)</f>
        <v>1061</v>
      </c>
      <c r="O83" s="67">
        <f ca="1">IFERROR(__xludf.DUMMYFUNCTION("""COMPUTED_VALUE"""),727)</f>
        <v>727</v>
      </c>
      <c r="P83" s="67"/>
      <c r="Q83" s="67">
        <f ca="1">IFERROR(__xludf.DUMMYFUNCTION("""COMPUTED_VALUE"""),511)</f>
        <v>511</v>
      </c>
      <c r="R83" s="67"/>
      <c r="S83" s="66"/>
      <c r="T83" s="66"/>
      <c r="U83" s="66"/>
      <c r="V83" s="66"/>
      <c r="W83" s="66"/>
      <c r="X83" s="66"/>
      <c r="Y83" s="66"/>
      <c r="Z83" s="2"/>
      <c r="AA83" s="2"/>
      <c r="AB83" s="2"/>
      <c r="AC83" s="2"/>
      <c r="AD83" s="2"/>
      <c r="AE83" s="2"/>
    </row>
    <row r="84" spans="1:31" ht="12.75" x14ac:dyDescent="0.2">
      <c r="A84" s="53">
        <f ca="1">IFERROR(__xludf.DUMMYFUNCTION("""COMPUTED_VALUE"""),9)</f>
        <v>9</v>
      </c>
      <c r="B84" s="66" t="str">
        <f ca="1">IFERROR(__xludf.DUMMYFUNCTION("""COMPUTED_VALUE"""),"TIỂU HỌC LƯƠNG THẾ VINH")</f>
        <v>TIỂU HỌC LƯƠNG THẾ VINH</v>
      </c>
      <c r="C84" s="66" t="str">
        <f ca="1">IFERROR(__xludf.DUMMYFUNCTION("""COMPUTED_VALUE"""),"TH")</f>
        <v>TH</v>
      </c>
      <c r="D84" s="66" t="str">
        <f ca="1">IFERROR(__xludf.DUMMYFUNCTION("""COMPUTED_VALUE"""),"QUẬN 7")</f>
        <v>QUẬN 7</v>
      </c>
      <c r="E84" s="67">
        <f ca="1">IFERROR(__xludf.DUMMYFUNCTION("""COMPUTED_VALUE"""),138)</f>
        <v>138</v>
      </c>
      <c r="F84" s="67">
        <f ca="1">IFERROR(__xludf.DUMMYFUNCTION("""COMPUTED_VALUE"""),138)</f>
        <v>138</v>
      </c>
      <c r="G84" s="67"/>
      <c r="H84" s="67">
        <f ca="1">IFERROR(__xludf.DUMMYFUNCTION("""COMPUTED_VALUE"""),138)</f>
        <v>138</v>
      </c>
      <c r="I84" s="67"/>
      <c r="J84" s="67">
        <f ca="1">IFERROR(__xludf.DUMMYFUNCTION("""COMPUTED_VALUE"""),132)</f>
        <v>132</v>
      </c>
      <c r="K84" s="67"/>
      <c r="L84" s="67">
        <f ca="1">IFERROR(__xludf.DUMMYFUNCTION("""COMPUTED_VALUE"""),73)</f>
        <v>73</v>
      </c>
      <c r="M84" s="67"/>
      <c r="N84" s="67">
        <f ca="1">IFERROR(__xludf.DUMMYFUNCTION("""COMPUTED_VALUE"""),2332)</f>
        <v>2332</v>
      </c>
      <c r="O84" s="67">
        <f ca="1">IFERROR(__xludf.DUMMYFUNCTION("""COMPUTED_VALUE"""),685)</f>
        <v>685</v>
      </c>
      <c r="P84" s="67"/>
      <c r="Q84" s="67">
        <f ca="1">IFERROR(__xludf.DUMMYFUNCTION("""COMPUTED_VALUE"""),500)</f>
        <v>500</v>
      </c>
      <c r="R84" s="67"/>
      <c r="S84" s="66"/>
      <c r="T84" s="66"/>
      <c r="U84" s="66"/>
      <c r="V84" s="66"/>
      <c r="W84" s="66"/>
      <c r="X84" s="66"/>
      <c r="Y84" s="66"/>
      <c r="Z84" s="2"/>
      <c r="AA84" s="2"/>
      <c r="AB84" s="2"/>
      <c r="AC84" s="2"/>
      <c r="AD84" s="2"/>
      <c r="AE84" s="2"/>
    </row>
    <row r="85" spans="1:31" ht="12.75" x14ac:dyDescent="0.2">
      <c r="A85" s="53">
        <f ca="1">IFERROR(__xludf.DUMMYFUNCTION("""COMPUTED_VALUE"""),10)</f>
        <v>10</v>
      </c>
      <c r="B85" s="66" t="str">
        <f ca="1">IFERROR(__xludf.DUMMYFUNCTION("""COMPUTED_VALUE"""),"TIỂU HỌC KIM ĐỒNG")</f>
        <v>TIỂU HỌC KIM ĐỒNG</v>
      </c>
      <c r="C85" s="66" t="str">
        <f ca="1">IFERROR(__xludf.DUMMYFUNCTION("""COMPUTED_VALUE"""),"TH")</f>
        <v>TH</v>
      </c>
      <c r="D85" s="66" t="str">
        <f ca="1">IFERROR(__xludf.DUMMYFUNCTION("""COMPUTED_VALUE"""),"QUẬN 7")</f>
        <v>QUẬN 7</v>
      </c>
      <c r="E85" s="67">
        <f ca="1">IFERROR(__xludf.DUMMYFUNCTION("""COMPUTED_VALUE"""),95)</f>
        <v>95</v>
      </c>
      <c r="F85" s="67">
        <f ca="1">IFERROR(__xludf.DUMMYFUNCTION("""COMPUTED_VALUE"""),95)</f>
        <v>95</v>
      </c>
      <c r="G85" s="67"/>
      <c r="H85" s="67">
        <f ca="1">IFERROR(__xludf.DUMMYFUNCTION("""COMPUTED_VALUE"""),95)</f>
        <v>95</v>
      </c>
      <c r="I85" s="67"/>
      <c r="J85" s="67">
        <f ca="1">IFERROR(__xludf.DUMMYFUNCTION("""COMPUTED_VALUE"""),93)</f>
        <v>93</v>
      </c>
      <c r="K85" s="67"/>
      <c r="L85" s="67">
        <f ca="1">IFERROR(__xludf.DUMMYFUNCTION("""COMPUTED_VALUE"""),69)</f>
        <v>69</v>
      </c>
      <c r="M85" s="67"/>
      <c r="N85" s="67">
        <f ca="1">IFERROR(__xludf.DUMMYFUNCTION("""COMPUTED_VALUE"""),1478)</f>
        <v>1478</v>
      </c>
      <c r="O85" s="67">
        <f ca="1">IFERROR(__xludf.DUMMYFUNCTION("""COMPUTED_VALUE"""),1092)</f>
        <v>1092</v>
      </c>
      <c r="P85" s="67"/>
      <c r="Q85" s="67">
        <f ca="1">IFERROR(__xludf.DUMMYFUNCTION("""COMPUTED_VALUE"""),756)</f>
        <v>756</v>
      </c>
      <c r="R85" s="67"/>
      <c r="S85" s="66"/>
      <c r="T85" s="66"/>
      <c r="U85" s="66"/>
      <c r="V85" s="66"/>
      <c r="W85" s="66"/>
      <c r="X85" s="66"/>
      <c r="Y85" s="66"/>
      <c r="Z85" s="2"/>
      <c r="AA85" s="2"/>
      <c r="AB85" s="2"/>
      <c r="AC85" s="2"/>
      <c r="AD85" s="2"/>
      <c r="AE85" s="2"/>
    </row>
    <row r="86" spans="1:31" ht="12.75" x14ac:dyDescent="0.2">
      <c r="A86" s="53">
        <f ca="1">IFERROR(__xludf.DUMMYFUNCTION("""COMPUTED_VALUE"""),11)</f>
        <v>11</v>
      </c>
      <c r="B86" s="66" t="str">
        <f ca="1">IFERROR(__xludf.DUMMYFUNCTION("""COMPUTED_VALUE"""),"TIỂU HỌC LÊ VĂN TÁM")</f>
        <v>TIỂU HỌC LÊ VĂN TÁM</v>
      </c>
      <c r="C86" s="66" t="str">
        <f ca="1">IFERROR(__xludf.DUMMYFUNCTION("""COMPUTED_VALUE"""),"TH")</f>
        <v>TH</v>
      </c>
      <c r="D86" s="66" t="str">
        <f ca="1">IFERROR(__xludf.DUMMYFUNCTION("""COMPUTED_VALUE"""),"QUẬN 7")</f>
        <v>QUẬN 7</v>
      </c>
      <c r="E86" s="67">
        <f ca="1">IFERROR(__xludf.DUMMYFUNCTION("""COMPUTED_VALUE"""),93)</f>
        <v>93</v>
      </c>
      <c r="F86" s="67">
        <f ca="1">IFERROR(__xludf.DUMMYFUNCTION("""COMPUTED_VALUE"""),93)</f>
        <v>93</v>
      </c>
      <c r="G86" s="67"/>
      <c r="H86" s="67">
        <f ca="1">IFERROR(__xludf.DUMMYFUNCTION("""COMPUTED_VALUE"""),93)</f>
        <v>93</v>
      </c>
      <c r="I86" s="67"/>
      <c r="J86" s="67">
        <f ca="1">IFERROR(__xludf.DUMMYFUNCTION("""COMPUTED_VALUE"""),93)</f>
        <v>93</v>
      </c>
      <c r="K86" s="67"/>
      <c r="L86" s="67">
        <f ca="1">IFERROR(__xludf.DUMMYFUNCTION("""COMPUTED_VALUE"""),70)</f>
        <v>70</v>
      </c>
      <c r="M86" s="67"/>
      <c r="N86" s="67">
        <f ca="1">IFERROR(__xludf.DUMMYFUNCTION("""COMPUTED_VALUE"""),1294)</f>
        <v>1294</v>
      </c>
      <c r="O86" s="67">
        <f ca="1">IFERROR(__xludf.DUMMYFUNCTION("""COMPUTED_VALUE"""),620)</f>
        <v>620</v>
      </c>
      <c r="P86" s="67"/>
      <c r="Q86" s="67">
        <f ca="1">IFERROR(__xludf.DUMMYFUNCTION("""COMPUTED_VALUE"""),248)</f>
        <v>248</v>
      </c>
      <c r="R86" s="67"/>
      <c r="S86" s="66"/>
      <c r="T86" s="66"/>
      <c r="U86" s="66"/>
      <c r="V86" s="66"/>
      <c r="W86" s="66"/>
      <c r="X86" s="66"/>
      <c r="Y86" s="66"/>
      <c r="Z86" s="2"/>
      <c r="AA86" s="2"/>
      <c r="AB86" s="2"/>
      <c r="AC86" s="2"/>
      <c r="AD86" s="2"/>
      <c r="AE86" s="2"/>
    </row>
    <row r="87" spans="1:31" ht="12.75" x14ac:dyDescent="0.2">
      <c r="A87" s="53">
        <f ca="1">IFERROR(__xludf.DUMMYFUNCTION("""COMPUTED_VALUE"""),12)</f>
        <v>12</v>
      </c>
      <c r="B87" s="66" t="str">
        <f ca="1">IFERROR(__xludf.DUMMYFUNCTION("""COMPUTED_VALUE"""),"TIỂU HỌC VÕ THỊ SÁU")</f>
        <v>TIỂU HỌC VÕ THỊ SÁU</v>
      </c>
      <c r="C87" s="66" t="str">
        <f ca="1">IFERROR(__xludf.DUMMYFUNCTION("""COMPUTED_VALUE"""),"TH")</f>
        <v>TH</v>
      </c>
      <c r="D87" s="66" t="str">
        <f ca="1">IFERROR(__xludf.DUMMYFUNCTION("""COMPUTED_VALUE"""),"QUẬN 7")</f>
        <v>QUẬN 7</v>
      </c>
      <c r="E87" s="67">
        <f ca="1">IFERROR(__xludf.DUMMYFUNCTION("""COMPUTED_VALUE"""),130)</f>
        <v>130</v>
      </c>
      <c r="F87" s="67">
        <f ca="1">IFERROR(__xludf.DUMMYFUNCTION("""COMPUTED_VALUE"""),130)</f>
        <v>130</v>
      </c>
      <c r="G87" s="67"/>
      <c r="H87" s="67">
        <f ca="1">IFERROR(__xludf.DUMMYFUNCTION("""COMPUTED_VALUE"""),130)</f>
        <v>130</v>
      </c>
      <c r="I87" s="67"/>
      <c r="J87" s="67">
        <f ca="1">IFERROR(__xludf.DUMMYFUNCTION("""COMPUTED_VALUE"""),128)</f>
        <v>128</v>
      </c>
      <c r="K87" s="67"/>
      <c r="L87" s="67">
        <f ca="1">IFERROR(__xludf.DUMMYFUNCTION("""COMPUTED_VALUE"""),91)</f>
        <v>91</v>
      </c>
      <c r="M87" s="67"/>
      <c r="N87" s="67">
        <f ca="1">IFERROR(__xludf.DUMMYFUNCTION("""COMPUTED_VALUE"""),2024)</f>
        <v>2024</v>
      </c>
      <c r="O87" s="67">
        <f ca="1">IFERROR(__xludf.DUMMYFUNCTION("""COMPUTED_VALUE"""),477)</f>
        <v>477</v>
      </c>
      <c r="P87" s="67"/>
      <c r="Q87" s="67">
        <f ca="1">IFERROR(__xludf.DUMMYFUNCTION("""COMPUTED_VALUE"""),247)</f>
        <v>247</v>
      </c>
      <c r="R87" s="67"/>
      <c r="S87" s="66"/>
      <c r="T87" s="66"/>
      <c r="U87" s="66"/>
      <c r="V87" s="66"/>
      <c r="W87" s="66"/>
      <c r="X87" s="66"/>
      <c r="Y87" s="66"/>
      <c r="Z87" s="2"/>
      <c r="AA87" s="2"/>
      <c r="AB87" s="2"/>
      <c r="AC87" s="2"/>
      <c r="AD87" s="2"/>
      <c r="AE87" s="2"/>
    </row>
    <row r="88" spans="1:31" ht="12.75" x14ac:dyDescent="0.2">
      <c r="A88" s="53">
        <f ca="1">IFERROR(__xludf.DUMMYFUNCTION("""COMPUTED_VALUE"""),13)</f>
        <v>13</v>
      </c>
      <c r="B88" s="66" t="str">
        <f ca="1">IFERROR(__xludf.DUMMYFUNCTION("""COMPUTED_VALUE"""),"TIỂU HỌC PHÚ THUẬN")</f>
        <v>TIỂU HỌC PHÚ THUẬN</v>
      </c>
      <c r="C88" s="66" t="str">
        <f ca="1">IFERROR(__xludf.DUMMYFUNCTION("""COMPUTED_VALUE"""),"TH")</f>
        <v>TH</v>
      </c>
      <c r="D88" s="66" t="str">
        <f ca="1">IFERROR(__xludf.DUMMYFUNCTION("""COMPUTED_VALUE"""),"QUẬN 7")</f>
        <v>QUẬN 7</v>
      </c>
      <c r="E88" s="67">
        <f ca="1">IFERROR(__xludf.DUMMYFUNCTION("""COMPUTED_VALUE"""),79)</f>
        <v>79</v>
      </c>
      <c r="F88" s="67">
        <f ca="1">IFERROR(__xludf.DUMMYFUNCTION("""COMPUTED_VALUE"""),79)</f>
        <v>79</v>
      </c>
      <c r="G88" s="67"/>
      <c r="H88" s="67">
        <f ca="1">IFERROR(__xludf.DUMMYFUNCTION("""COMPUTED_VALUE"""),79)</f>
        <v>79</v>
      </c>
      <c r="I88" s="67"/>
      <c r="J88" s="67">
        <f ca="1">IFERROR(__xludf.DUMMYFUNCTION("""COMPUTED_VALUE"""),79)</f>
        <v>79</v>
      </c>
      <c r="K88" s="67"/>
      <c r="L88" s="67">
        <f ca="1">IFERROR(__xludf.DUMMYFUNCTION("""COMPUTED_VALUE"""),53)</f>
        <v>53</v>
      </c>
      <c r="M88" s="67"/>
      <c r="N88" s="67">
        <f ca="1">IFERROR(__xludf.DUMMYFUNCTION("""COMPUTED_VALUE"""),1169)</f>
        <v>1169</v>
      </c>
      <c r="O88" s="67">
        <f ca="1">IFERROR(__xludf.DUMMYFUNCTION("""COMPUTED_VALUE"""),708)</f>
        <v>708</v>
      </c>
      <c r="P88" s="67"/>
      <c r="Q88" s="67">
        <f ca="1">IFERROR(__xludf.DUMMYFUNCTION("""COMPUTED_VALUE"""),404)</f>
        <v>404</v>
      </c>
      <c r="R88" s="67"/>
      <c r="S88" s="66"/>
      <c r="T88" s="66"/>
      <c r="U88" s="66"/>
      <c r="V88" s="66"/>
      <c r="W88" s="66"/>
      <c r="X88" s="66"/>
      <c r="Y88" s="66"/>
      <c r="Z88" s="2"/>
      <c r="AA88" s="2"/>
      <c r="AB88" s="2"/>
      <c r="AC88" s="2"/>
      <c r="AD88" s="2"/>
      <c r="AE88" s="2"/>
    </row>
    <row r="89" spans="1:31" ht="12.75" x14ac:dyDescent="0.2">
      <c r="A89" s="53">
        <f ca="1">IFERROR(__xludf.DUMMYFUNCTION("""COMPUTED_VALUE"""),14)</f>
        <v>14</v>
      </c>
      <c r="B89" s="66" t="str">
        <f ca="1">IFERROR(__xludf.DUMMYFUNCTION("""COMPUTED_VALUE"""),"TIỂU HỌC LÊ ANH XUÂN")</f>
        <v>TIỂU HỌC LÊ ANH XUÂN</v>
      </c>
      <c r="C89" s="66" t="str">
        <f ca="1">IFERROR(__xludf.DUMMYFUNCTION("""COMPUTED_VALUE"""),"TH")</f>
        <v>TH</v>
      </c>
      <c r="D89" s="66" t="str">
        <f ca="1">IFERROR(__xludf.DUMMYFUNCTION("""COMPUTED_VALUE"""),"QUẬN 7")</f>
        <v>QUẬN 7</v>
      </c>
      <c r="E89" s="67">
        <f ca="1">IFERROR(__xludf.DUMMYFUNCTION("""COMPUTED_VALUE"""),84)</f>
        <v>84</v>
      </c>
      <c r="F89" s="67">
        <f ca="1">IFERROR(__xludf.DUMMYFUNCTION("""COMPUTED_VALUE"""),84)</f>
        <v>84</v>
      </c>
      <c r="G89" s="67"/>
      <c r="H89" s="67">
        <f ca="1">IFERROR(__xludf.DUMMYFUNCTION("""COMPUTED_VALUE"""),84)</f>
        <v>84</v>
      </c>
      <c r="I89" s="67"/>
      <c r="J89" s="67">
        <f ca="1">IFERROR(__xludf.DUMMYFUNCTION("""COMPUTED_VALUE"""),84)</f>
        <v>84</v>
      </c>
      <c r="K89" s="67"/>
      <c r="L89" s="67">
        <f ca="1">IFERROR(__xludf.DUMMYFUNCTION("""COMPUTED_VALUE"""),81)</f>
        <v>81</v>
      </c>
      <c r="M89" s="67"/>
      <c r="N89" s="67">
        <f ca="1">IFERROR(__xludf.DUMMYFUNCTION("""COMPUTED_VALUE"""),1098)</f>
        <v>1098</v>
      </c>
      <c r="O89" s="67">
        <f ca="1">IFERROR(__xludf.DUMMYFUNCTION("""COMPUTED_VALUE"""),715)</f>
        <v>715</v>
      </c>
      <c r="P89" s="67"/>
      <c r="Q89" s="67">
        <f ca="1">IFERROR(__xludf.DUMMYFUNCTION("""COMPUTED_VALUE"""),361)</f>
        <v>361</v>
      </c>
      <c r="R89" s="67"/>
      <c r="S89" s="66"/>
      <c r="T89" s="66"/>
      <c r="U89" s="66"/>
      <c r="V89" s="66"/>
      <c r="W89" s="66"/>
      <c r="X89" s="66"/>
      <c r="Y89" s="66"/>
      <c r="Z89" s="2"/>
      <c r="AA89" s="2"/>
      <c r="AB89" s="2"/>
      <c r="AC89" s="2"/>
      <c r="AD89" s="2"/>
      <c r="AE89" s="2"/>
    </row>
    <row r="90" spans="1:31" ht="12.75" x14ac:dyDescent="0.2">
      <c r="A90" s="53">
        <f ca="1">IFERROR(__xludf.DUMMYFUNCTION("""COMPUTED_VALUE"""),15)</f>
        <v>15</v>
      </c>
      <c r="B90" s="66" t="str">
        <f ca="1">IFERROR(__xludf.DUMMYFUNCTION("""COMPUTED_VALUE"""),"TIỂU HỌC NGUYỄN THỊ ĐỊNH")</f>
        <v>TIỂU HỌC NGUYỄN THỊ ĐỊNH</v>
      </c>
      <c r="C90" s="66" t="str">
        <f ca="1">IFERROR(__xludf.DUMMYFUNCTION("""COMPUTED_VALUE"""),"TH")</f>
        <v>TH</v>
      </c>
      <c r="D90" s="66" t="str">
        <f ca="1">IFERROR(__xludf.DUMMYFUNCTION("""COMPUTED_VALUE"""),"QUẬN 7")</f>
        <v>QUẬN 7</v>
      </c>
      <c r="E90" s="67">
        <f ca="1">IFERROR(__xludf.DUMMYFUNCTION("""COMPUTED_VALUE"""),124)</f>
        <v>124</v>
      </c>
      <c r="F90" s="67">
        <f ca="1">IFERROR(__xludf.DUMMYFUNCTION("""COMPUTED_VALUE"""),124)</f>
        <v>124</v>
      </c>
      <c r="G90" s="67"/>
      <c r="H90" s="67">
        <f ca="1">IFERROR(__xludf.DUMMYFUNCTION("""COMPUTED_VALUE"""),124)</f>
        <v>124</v>
      </c>
      <c r="I90" s="67"/>
      <c r="J90" s="67">
        <f ca="1">IFERROR(__xludf.DUMMYFUNCTION("""COMPUTED_VALUE"""),123)</f>
        <v>123</v>
      </c>
      <c r="K90" s="67"/>
      <c r="L90" s="67">
        <f ca="1">IFERROR(__xludf.DUMMYFUNCTION("""COMPUTED_VALUE"""),98)</f>
        <v>98</v>
      </c>
      <c r="M90" s="67"/>
      <c r="N90" s="67">
        <f ca="1">IFERROR(__xludf.DUMMYFUNCTION("""COMPUTED_VALUE"""),1880)</f>
        <v>1880</v>
      </c>
      <c r="O90" s="67">
        <f ca="1">IFERROR(__xludf.DUMMYFUNCTION("""COMPUTED_VALUE"""),1006)</f>
        <v>1006</v>
      </c>
      <c r="P90" s="67"/>
      <c r="Q90" s="67">
        <f ca="1">IFERROR(__xludf.DUMMYFUNCTION("""COMPUTED_VALUE"""),426)</f>
        <v>426</v>
      </c>
      <c r="R90" s="67"/>
      <c r="S90" s="66"/>
      <c r="T90" s="66"/>
      <c r="U90" s="66"/>
      <c r="V90" s="66"/>
      <c r="W90" s="66"/>
      <c r="X90" s="66"/>
      <c r="Y90" s="66"/>
      <c r="Z90" s="2"/>
      <c r="AA90" s="2"/>
      <c r="AB90" s="2"/>
      <c r="AC90" s="2"/>
      <c r="AD90" s="2"/>
      <c r="AE90" s="2"/>
    </row>
    <row r="91" spans="1:31" ht="12.75" x14ac:dyDescent="0.2">
      <c r="A91" s="53"/>
      <c r="B91" s="66"/>
      <c r="C91" s="66"/>
      <c r="D91" s="66"/>
      <c r="E91" s="67">
        <f ca="1">IFERROR(__xludf.DUMMYFUNCTION("""COMPUTED_VALUE"""),1416)</f>
        <v>1416</v>
      </c>
      <c r="F91" s="67">
        <f ca="1">IFERROR(__xludf.DUMMYFUNCTION("""COMPUTED_VALUE"""),1416)</f>
        <v>1416</v>
      </c>
      <c r="G91" s="67"/>
      <c r="H91" s="67">
        <f ca="1">IFERROR(__xludf.DUMMYFUNCTION("""COMPUTED_VALUE"""),1416)</f>
        <v>1416</v>
      </c>
      <c r="I91" s="67"/>
      <c r="J91" s="67">
        <f ca="1">IFERROR(__xludf.DUMMYFUNCTION("""COMPUTED_VALUE"""),1400)</f>
        <v>1400</v>
      </c>
      <c r="K91" s="67"/>
      <c r="L91" s="67">
        <f ca="1">IFERROR(__xludf.DUMMYFUNCTION("""COMPUTED_VALUE"""),1054)</f>
        <v>1054</v>
      </c>
      <c r="M91" s="67"/>
      <c r="N91" s="67">
        <f ca="1">IFERROR(__xludf.DUMMYFUNCTION("""COMPUTED_VALUE"""),23036)</f>
        <v>23036</v>
      </c>
      <c r="O91" s="67">
        <f ca="1">IFERROR(__xludf.DUMMYFUNCTION("""COMPUTED_VALUE"""),11980)</f>
        <v>11980</v>
      </c>
      <c r="P91" s="67"/>
      <c r="Q91" s="67">
        <f ca="1">IFERROR(__xludf.DUMMYFUNCTION("""COMPUTED_VALUE"""),6885)</f>
        <v>6885</v>
      </c>
      <c r="R91" s="67"/>
      <c r="S91" s="66"/>
      <c r="T91" s="66"/>
      <c r="U91" s="66"/>
      <c r="V91" s="66"/>
      <c r="W91" s="66"/>
      <c r="X91" s="66"/>
      <c r="Y91" s="66"/>
      <c r="Z91" s="2"/>
      <c r="AA91" s="2"/>
      <c r="AB91" s="2"/>
      <c r="AC91" s="2"/>
      <c r="AD91" s="2"/>
      <c r="AE91" s="2"/>
    </row>
    <row r="92" spans="1:31" ht="12.75" x14ac:dyDescent="0.2">
      <c r="A92" s="52" t="str">
        <f ca="1">IFERROR(__xludf.DUMMYFUNCTION("""COMPUTED_VALUE"""),"THCS")</f>
        <v>THCS</v>
      </c>
      <c r="B92" s="66"/>
      <c r="C92" s="66"/>
      <c r="D92" s="66"/>
      <c r="E92" s="66"/>
      <c r="F92" s="66"/>
      <c r="G92" s="66"/>
      <c r="H92" s="66"/>
      <c r="I92" s="66"/>
      <c r="J92" s="66"/>
      <c r="K92" s="66"/>
      <c r="L92" s="66"/>
      <c r="M92" s="66"/>
      <c r="N92" s="66"/>
      <c r="O92" s="66"/>
      <c r="P92" s="66"/>
      <c r="Q92" s="66"/>
      <c r="R92" s="66"/>
      <c r="S92" s="66"/>
      <c r="T92" s="66"/>
      <c r="U92" s="66"/>
      <c r="V92" s="66"/>
      <c r="W92" s="66"/>
      <c r="X92" s="66"/>
      <c r="Y92" s="66"/>
      <c r="Z92" s="2"/>
      <c r="AA92" s="2"/>
      <c r="AB92" s="2"/>
      <c r="AC92" s="2"/>
      <c r="AD92" s="2"/>
      <c r="AE92" s="2"/>
    </row>
    <row r="93" spans="1:31" ht="12.75" x14ac:dyDescent="0.2">
      <c r="A93" s="53">
        <f ca="1">IFERROR(__xludf.DUMMYFUNCTION("""COMPUTED_VALUE"""),1)</f>
        <v>1</v>
      </c>
      <c r="B93" s="66" t="str">
        <f ca="1">IFERROR(__xludf.DUMMYFUNCTION("""COMPUTED_VALUE"""),"THCS NGUYỄN HỮU THỌ")</f>
        <v>THCS NGUYỄN HỮU THỌ</v>
      </c>
      <c r="C93" s="66" t="str">
        <f ca="1">IFERROR(__xludf.DUMMYFUNCTION("""COMPUTED_VALUE"""),"THCS")</f>
        <v>THCS</v>
      </c>
      <c r="D93" s="66" t="str">
        <f ca="1">IFERROR(__xludf.DUMMYFUNCTION("""COMPUTED_VALUE"""),"QUẬN 7")</f>
        <v>QUẬN 7</v>
      </c>
      <c r="E93" s="67">
        <f ca="1">IFERROR(__xludf.DUMMYFUNCTION("""COMPUTED_VALUE"""),102)</f>
        <v>102</v>
      </c>
      <c r="F93" s="67">
        <f ca="1">IFERROR(__xludf.DUMMYFUNCTION("""COMPUTED_VALUE"""),102)</f>
        <v>102</v>
      </c>
      <c r="G93" s="67"/>
      <c r="H93" s="67">
        <f ca="1">IFERROR(__xludf.DUMMYFUNCTION("""COMPUTED_VALUE"""),102)</f>
        <v>102</v>
      </c>
      <c r="I93" s="67"/>
      <c r="J93" s="67">
        <f ca="1">IFERROR(__xludf.DUMMYFUNCTION("""COMPUTED_VALUE"""),97)</f>
        <v>97</v>
      </c>
      <c r="K93" s="67"/>
      <c r="L93" s="67">
        <f ca="1">IFERROR(__xludf.DUMMYFUNCTION("""COMPUTED_VALUE"""),76)</f>
        <v>76</v>
      </c>
      <c r="M93" s="67"/>
      <c r="N93" s="67">
        <f ca="1">IFERROR(__xludf.DUMMYFUNCTION("""COMPUTED_VALUE"""),668)</f>
        <v>668</v>
      </c>
      <c r="O93" s="67">
        <f ca="1">IFERROR(__xludf.DUMMYFUNCTION("""COMPUTED_VALUE"""),412)</f>
        <v>412</v>
      </c>
      <c r="P93" s="67"/>
      <c r="Q93" s="66">
        <f ca="1">IFERROR(__xludf.DUMMYFUNCTION("""COMPUTED_VALUE"""),272)</f>
        <v>272</v>
      </c>
      <c r="R93" s="66"/>
      <c r="S93" s="66">
        <f ca="1">IFERROR(__xludf.DUMMYFUNCTION("""COMPUTED_VALUE"""),1622)</f>
        <v>1622</v>
      </c>
      <c r="T93" s="66">
        <f ca="1">IFERROR(__xludf.DUMMYFUNCTION("""COMPUTED_VALUE"""),1529)</f>
        <v>1529</v>
      </c>
      <c r="U93" s="66"/>
      <c r="V93" s="66">
        <f ca="1">IFERROR(__xludf.DUMMYFUNCTION("""COMPUTED_VALUE"""),1356)</f>
        <v>1356</v>
      </c>
      <c r="W93" s="66"/>
      <c r="X93" s="66">
        <f ca="1">IFERROR(__xludf.DUMMYFUNCTION("""COMPUTED_VALUE"""),639)</f>
        <v>639</v>
      </c>
      <c r="Y93" s="66"/>
      <c r="Z93" s="2"/>
      <c r="AA93" s="2"/>
      <c r="AB93" s="2"/>
      <c r="AC93" s="2"/>
      <c r="AD93" s="2"/>
      <c r="AE93" s="2"/>
    </row>
    <row r="94" spans="1:31" ht="12.75" x14ac:dyDescent="0.2">
      <c r="A94" s="53">
        <f ca="1">IFERROR(__xludf.DUMMYFUNCTION("""COMPUTED_VALUE"""),2)</f>
        <v>2</v>
      </c>
      <c r="B94" s="66" t="str">
        <f ca="1">IFERROR(__xludf.DUMMYFUNCTION("""COMPUTED_VALUE"""),"THCS NGUYỄN THỊ THẬP")</f>
        <v>THCS NGUYỄN THỊ THẬP</v>
      </c>
      <c r="C94" s="66" t="str">
        <f ca="1">IFERROR(__xludf.DUMMYFUNCTION("""COMPUTED_VALUE"""),"THCS")</f>
        <v>THCS</v>
      </c>
      <c r="D94" s="66" t="str">
        <f ca="1">IFERROR(__xludf.DUMMYFUNCTION("""COMPUTED_VALUE"""),"QUẬN 7")</f>
        <v>QUẬN 7</v>
      </c>
      <c r="E94" s="67">
        <f ca="1">IFERROR(__xludf.DUMMYFUNCTION("""COMPUTED_VALUE"""),92)</f>
        <v>92</v>
      </c>
      <c r="F94" s="67">
        <f ca="1">IFERROR(__xludf.DUMMYFUNCTION("""COMPUTED_VALUE"""),91)</f>
        <v>91</v>
      </c>
      <c r="G94" s="67"/>
      <c r="H94" s="67">
        <f ca="1">IFERROR(__xludf.DUMMYFUNCTION("""COMPUTED_VALUE"""),91)</f>
        <v>91</v>
      </c>
      <c r="I94" s="67"/>
      <c r="J94" s="67">
        <f ca="1">IFERROR(__xludf.DUMMYFUNCTION("""COMPUTED_VALUE"""),73)</f>
        <v>73</v>
      </c>
      <c r="K94" s="67"/>
      <c r="L94" s="67">
        <f ca="1">IFERROR(__xludf.DUMMYFUNCTION("""COMPUTED_VALUE"""),21)</f>
        <v>21</v>
      </c>
      <c r="M94" s="67"/>
      <c r="N94" s="67">
        <f ca="1">IFERROR(__xludf.DUMMYFUNCTION("""COMPUTED_VALUE"""),417)</f>
        <v>417</v>
      </c>
      <c r="O94" s="67">
        <f ca="1">IFERROR(__xludf.DUMMYFUNCTION("""COMPUTED_VALUE"""),179)</f>
        <v>179</v>
      </c>
      <c r="P94" s="67"/>
      <c r="Q94" s="66">
        <f ca="1">IFERROR(__xludf.DUMMYFUNCTION("""COMPUTED_VALUE"""),140)</f>
        <v>140</v>
      </c>
      <c r="R94" s="66"/>
      <c r="S94" s="66">
        <f ca="1">IFERROR(__xludf.DUMMYFUNCTION("""COMPUTED_VALUE"""),1697)</f>
        <v>1697</v>
      </c>
      <c r="T94" s="66">
        <f ca="1">IFERROR(__xludf.DUMMYFUNCTION("""COMPUTED_VALUE"""),1687)</f>
        <v>1687</v>
      </c>
      <c r="U94" s="66"/>
      <c r="V94" s="66">
        <f ca="1">IFERROR(__xludf.DUMMYFUNCTION("""COMPUTED_VALUE"""),1610)</f>
        <v>1610</v>
      </c>
      <c r="W94" s="66"/>
      <c r="X94" s="66">
        <f ca="1">IFERROR(__xludf.DUMMYFUNCTION("""COMPUTED_VALUE"""),629)</f>
        <v>629</v>
      </c>
      <c r="Y94" s="66"/>
      <c r="Z94" s="2"/>
      <c r="AA94" s="2"/>
      <c r="AB94" s="2"/>
      <c r="AC94" s="2"/>
      <c r="AD94" s="2"/>
      <c r="AE94" s="2"/>
    </row>
    <row r="95" spans="1:31" ht="12.75" x14ac:dyDescent="0.2">
      <c r="A95" s="53">
        <f ca="1">IFERROR(__xludf.DUMMYFUNCTION("""COMPUTED_VALUE"""),3)</f>
        <v>3</v>
      </c>
      <c r="B95" s="66" t="str">
        <f ca="1">IFERROR(__xludf.DUMMYFUNCTION("""COMPUTED_VALUE"""),"THCS NGUYỄN HIỀN")</f>
        <v>THCS NGUYỄN HIỀN</v>
      </c>
      <c r="C95" s="66" t="str">
        <f ca="1">IFERROR(__xludf.DUMMYFUNCTION("""COMPUTED_VALUE"""),"THCS")</f>
        <v>THCS</v>
      </c>
      <c r="D95" s="66" t="str">
        <f ca="1">IFERROR(__xludf.DUMMYFUNCTION("""COMPUTED_VALUE"""),"QUẬN 7")</f>
        <v>QUẬN 7</v>
      </c>
      <c r="E95" s="67">
        <f ca="1">IFERROR(__xludf.DUMMYFUNCTION("""COMPUTED_VALUE"""),79)</f>
        <v>79</v>
      </c>
      <c r="F95" s="67">
        <f ca="1">IFERROR(__xludf.DUMMYFUNCTION("""COMPUTED_VALUE"""),79)</f>
        <v>79</v>
      </c>
      <c r="G95" s="67"/>
      <c r="H95" s="67">
        <f ca="1">IFERROR(__xludf.DUMMYFUNCTION("""COMPUTED_VALUE"""),79)</f>
        <v>79</v>
      </c>
      <c r="I95" s="67"/>
      <c r="J95" s="67">
        <f ca="1">IFERROR(__xludf.DUMMYFUNCTION("""COMPUTED_VALUE"""),79)</f>
        <v>79</v>
      </c>
      <c r="K95" s="67"/>
      <c r="L95" s="67">
        <f ca="1">IFERROR(__xludf.DUMMYFUNCTION("""COMPUTED_VALUE"""),47)</f>
        <v>47</v>
      </c>
      <c r="M95" s="67"/>
      <c r="N95" s="67">
        <f ca="1">IFERROR(__xludf.DUMMYFUNCTION("""COMPUTED_VALUE"""),582)</f>
        <v>582</v>
      </c>
      <c r="O95" s="67">
        <f ca="1">IFERROR(__xludf.DUMMYFUNCTION("""COMPUTED_VALUE"""),394)</f>
        <v>394</v>
      </c>
      <c r="P95" s="67"/>
      <c r="Q95" s="67">
        <f ca="1">IFERROR(__xludf.DUMMYFUNCTION("""COMPUTED_VALUE"""),234)</f>
        <v>234</v>
      </c>
      <c r="R95" s="67"/>
      <c r="S95" s="67">
        <f ca="1">IFERROR(__xludf.DUMMYFUNCTION("""COMPUTED_VALUE"""),1192)</f>
        <v>1192</v>
      </c>
      <c r="T95" s="66">
        <f ca="1">IFERROR(__xludf.DUMMYFUNCTION("""COMPUTED_VALUE"""),1081)</f>
        <v>1081</v>
      </c>
      <c r="U95" s="66"/>
      <c r="V95" s="67">
        <f ca="1">IFERROR(__xludf.DUMMYFUNCTION("""COMPUTED_VALUE"""),981)</f>
        <v>981</v>
      </c>
      <c r="W95" s="67"/>
      <c r="X95" s="67">
        <f ca="1">IFERROR(__xludf.DUMMYFUNCTION("""COMPUTED_VALUE"""),431)</f>
        <v>431</v>
      </c>
      <c r="Y95" s="67"/>
      <c r="Z95" s="2"/>
      <c r="AA95" s="2"/>
      <c r="AB95" s="2"/>
      <c r="AC95" s="2"/>
      <c r="AD95" s="2"/>
      <c r="AE95" s="2"/>
    </row>
    <row r="96" spans="1:31" ht="12.75" x14ac:dyDescent="0.2">
      <c r="A96" s="53">
        <f ca="1">IFERROR(__xludf.DUMMYFUNCTION("""COMPUTED_VALUE"""),4)</f>
        <v>4</v>
      </c>
      <c r="B96" s="66" t="str">
        <f ca="1">IFERROR(__xludf.DUMMYFUNCTION("""COMPUTED_VALUE"""),"THCS HUỲNH TẤN PHÁT")</f>
        <v>THCS HUỲNH TẤN PHÁT</v>
      </c>
      <c r="C96" s="66" t="str">
        <f ca="1">IFERROR(__xludf.DUMMYFUNCTION("""COMPUTED_VALUE"""),"THCS")</f>
        <v>THCS</v>
      </c>
      <c r="D96" s="66" t="str">
        <f ca="1">IFERROR(__xludf.DUMMYFUNCTION("""COMPUTED_VALUE"""),"QUẬN 7")</f>
        <v>QUẬN 7</v>
      </c>
      <c r="E96" s="67">
        <f ca="1">IFERROR(__xludf.DUMMYFUNCTION("""COMPUTED_VALUE"""),76)</f>
        <v>76</v>
      </c>
      <c r="F96" s="67">
        <f ca="1">IFERROR(__xludf.DUMMYFUNCTION("""COMPUTED_VALUE"""),76)</f>
        <v>76</v>
      </c>
      <c r="G96" s="67"/>
      <c r="H96" s="67">
        <f ca="1">IFERROR(__xludf.DUMMYFUNCTION("""COMPUTED_VALUE"""),76)</f>
        <v>76</v>
      </c>
      <c r="I96" s="67"/>
      <c r="J96" s="67">
        <f ca="1">IFERROR(__xludf.DUMMYFUNCTION("""COMPUTED_VALUE"""),75)</f>
        <v>75</v>
      </c>
      <c r="K96" s="67"/>
      <c r="L96" s="67">
        <f ca="1">IFERROR(__xludf.DUMMYFUNCTION("""COMPUTED_VALUE"""),63)</f>
        <v>63</v>
      </c>
      <c r="M96" s="67"/>
      <c r="N96" s="67">
        <f ca="1">IFERROR(__xludf.DUMMYFUNCTION("""COMPUTED_VALUE"""),434)</f>
        <v>434</v>
      </c>
      <c r="O96" s="67">
        <f ca="1">IFERROR(__xludf.DUMMYFUNCTION("""COMPUTED_VALUE"""),351)</f>
        <v>351</v>
      </c>
      <c r="P96" s="67"/>
      <c r="Q96" s="67">
        <f ca="1">IFERROR(__xludf.DUMMYFUNCTION("""COMPUTED_VALUE"""),190)</f>
        <v>190</v>
      </c>
      <c r="R96" s="67"/>
      <c r="S96" s="67">
        <f ca="1">IFERROR(__xludf.DUMMYFUNCTION("""COMPUTED_VALUE"""),1335)</f>
        <v>1335</v>
      </c>
      <c r="T96" s="67">
        <f ca="1">IFERROR(__xludf.DUMMYFUNCTION("""COMPUTED_VALUE"""),1252)</f>
        <v>1252</v>
      </c>
      <c r="U96" s="67"/>
      <c r="V96" s="67">
        <f ca="1">IFERROR(__xludf.DUMMYFUNCTION("""COMPUTED_VALUE"""),1163)</f>
        <v>1163</v>
      </c>
      <c r="W96" s="67"/>
      <c r="X96" s="67">
        <f ca="1">IFERROR(__xludf.DUMMYFUNCTION("""COMPUTED_VALUE"""),564)</f>
        <v>564</v>
      </c>
      <c r="Y96" s="67"/>
      <c r="Z96" s="2"/>
      <c r="AA96" s="2"/>
      <c r="AB96" s="2"/>
      <c r="AC96" s="2"/>
      <c r="AD96" s="2"/>
      <c r="AE96" s="2"/>
    </row>
    <row r="97" spans="1:31" ht="12.75" x14ac:dyDescent="0.2">
      <c r="A97" s="53">
        <f ca="1">IFERROR(__xludf.DUMMYFUNCTION("""COMPUTED_VALUE"""),5)</f>
        <v>5</v>
      </c>
      <c r="B97" s="66" t="str">
        <f ca="1">IFERROR(__xludf.DUMMYFUNCTION("""COMPUTED_VALUE"""),"THCS PHẠM HỮU LẦU")</f>
        <v>THCS PHẠM HỮU LẦU</v>
      </c>
      <c r="C97" s="66" t="str">
        <f ca="1">IFERROR(__xludf.DUMMYFUNCTION("""COMPUTED_VALUE"""),"THCS")</f>
        <v>THCS</v>
      </c>
      <c r="D97" s="66" t="str">
        <f ca="1">IFERROR(__xludf.DUMMYFUNCTION("""COMPUTED_VALUE"""),"QUẬN 7")</f>
        <v>QUẬN 7</v>
      </c>
      <c r="E97" s="67">
        <f ca="1">IFERROR(__xludf.DUMMYFUNCTION("""COMPUTED_VALUE"""),77)</f>
        <v>77</v>
      </c>
      <c r="F97" s="67">
        <f ca="1">IFERROR(__xludf.DUMMYFUNCTION("""COMPUTED_VALUE"""),77)</f>
        <v>77</v>
      </c>
      <c r="G97" s="67"/>
      <c r="H97" s="67">
        <f ca="1">IFERROR(__xludf.DUMMYFUNCTION("""COMPUTED_VALUE"""),77)</f>
        <v>77</v>
      </c>
      <c r="I97" s="67"/>
      <c r="J97" s="67">
        <f ca="1">IFERROR(__xludf.DUMMYFUNCTION("""COMPUTED_VALUE"""),70)</f>
        <v>70</v>
      </c>
      <c r="K97" s="67"/>
      <c r="L97" s="67">
        <f ca="1">IFERROR(__xludf.DUMMYFUNCTION("""COMPUTED_VALUE"""),41)</f>
        <v>41</v>
      </c>
      <c r="M97" s="67"/>
      <c r="N97" s="67">
        <f ca="1">IFERROR(__xludf.DUMMYFUNCTION("""COMPUTED_VALUE"""),545)</f>
        <v>545</v>
      </c>
      <c r="O97" s="67">
        <f ca="1">IFERROR(__xludf.DUMMYFUNCTION("""COMPUTED_VALUE"""),241)</f>
        <v>241</v>
      </c>
      <c r="P97" s="67"/>
      <c r="Q97" s="67">
        <f ca="1">IFERROR(__xludf.DUMMYFUNCTION("""COMPUTED_VALUE"""),190)</f>
        <v>190</v>
      </c>
      <c r="R97" s="67"/>
      <c r="S97" s="67">
        <f ca="1">IFERROR(__xludf.DUMMYFUNCTION("""COMPUTED_VALUE"""),1400)</f>
        <v>1400</v>
      </c>
      <c r="T97" s="67">
        <f ca="1">IFERROR(__xludf.DUMMYFUNCTION("""COMPUTED_VALUE"""),1067)</f>
        <v>1067</v>
      </c>
      <c r="U97" s="67"/>
      <c r="V97" s="67">
        <f ca="1">IFERROR(__xludf.DUMMYFUNCTION("""COMPUTED_VALUE"""),1052)</f>
        <v>1052</v>
      </c>
      <c r="W97" s="67"/>
      <c r="X97" s="67">
        <f ca="1">IFERROR(__xludf.DUMMYFUNCTION("""COMPUTED_VALUE"""),564)</f>
        <v>564</v>
      </c>
      <c r="Y97" s="67"/>
      <c r="Z97" s="2"/>
      <c r="AA97" s="2"/>
      <c r="AB97" s="2"/>
      <c r="AC97" s="2"/>
      <c r="AD97" s="2"/>
      <c r="AE97" s="2"/>
    </row>
    <row r="98" spans="1:31" ht="12.75" x14ac:dyDescent="0.2">
      <c r="A98" s="53">
        <f ca="1">IFERROR(__xludf.DUMMYFUNCTION("""COMPUTED_VALUE"""),6)</f>
        <v>6</v>
      </c>
      <c r="B98" s="66" t="str">
        <f ca="1">IFERROR(__xludf.DUMMYFUNCTION("""COMPUTED_VALUE"""),"THCS HOÀNG QUỐC VIỆT")</f>
        <v>THCS HOÀNG QUỐC VIỆT</v>
      </c>
      <c r="C98" s="66" t="str">
        <f ca="1">IFERROR(__xludf.DUMMYFUNCTION("""COMPUTED_VALUE"""),"THCS")</f>
        <v>THCS</v>
      </c>
      <c r="D98" s="66" t="str">
        <f ca="1">IFERROR(__xludf.DUMMYFUNCTION("""COMPUTED_VALUE"""),"QUẬN 7")</f>
        <v>QUẬN 7</v>
      </c>
      <c r="E98" s="67">
        <f ca="1">IFERROR(__xludf.DUMMYFUNCTION("""COMPUTED_VALUE"""),89)</f>
        <v>89</v>
      </c>
      <c r="F98" s="67">
        <f ca="1">IFERROR(__xludf.DUMMYFUNCTION("""COMPUTED_VALUE"""),89)</f>
        <v>89</v>
      </c>
      <c r="G98" s="67"/>
      <c r="H98" s="67">
        <f ca="1">IFERROR(__xludf.DUMMYFUNCTION("""COMPUTED_VALUE"""),89)</f>
        <v>89</v>
      </c>
      <c r="I98" s="67"/>
      <c r="J98" s="67">
        <f ca="1">IFERROR(__xludf.DUMMYFUNCTION("""COMPUTED_VALUE"""),88)</f>
        <v>88</v>
      </c>
      <c r="K98" s="67"/>
      <c r="L98" s="67">
        <f ca="1">IFERROR(__xludf.DUMMYFUNCTION("""COMPUTED_VALUE"""),50)</f>
        <v>50</v>
      </c>
      <c r="M98" s="67"/>
      <c r="N98" s="67">
        <f ca="1">IFERROR(__xludf.DUMMYFUNCTION("""COMPUTED_VALUE"""),501)</f>
        <v>501</v>
      </c>
      <c r="O98" s="67">
        <f ca="1">IFERROR(__xludf.DUMMYFUNCTION("""COMPUTED_VALUE"""),407)</f>
        <v>407</v>
      </c>
      <c r="P98" s="67"/>
      <c r="Q98" s="67">
        <f ca="1">IFERROR(__xludf.DUMMYFUNCTION("""COMPUTED_VALUE"""),223)</f>
        <v>223</v>
      </c>
      <c r="R98" s="67"/>
      <c r="S98" s="67">
        <f ca="1">IFERROR(__xludf.DUMMYFUNCTION("""COMPUTED_VALUE"""),1272)</f>
        <v>1272</v>
      </c>
      <c r="T98" s="66">
        <f ca="1">IFERROR(__xludf.DUMMYFUNCTION("""COMPUTED_VALUE"""),1186)</f>
        <v>1186</v>
      </c>
      <c r="U98" s="66"/>
      <c r="V98" s="67">
        <f ca="1">IFERROR(__xludf.DUMMYFUNCTION("""COMPUTED_VALUE"""),1059)</f>
        <v>1059</v>
      </c>
      <c r="W98" s="67"/>
      <c r="X98" s="67">
        <f ca="1">IFERROR(__xludf.DUMMYFUNCTION("""COMPUTED_VALUE"""),558)</f>
        <v>558</v>
      </c>
      <c r="Y98" s="67"/>
      <c r="Z98" s="2"/>
      <c r="AA98" s="2"/>
      <c r="AB98" s="2"/>
      <c r="AC98" s="2"/>
      <c r="AD98" s="2"/>
      <c r="AE98" s="2"/>
    </row>
    <row r="99" spans="1:31" ht="12.75" x14ac:dyDescent="0.2">
      <c r="A99" s="53">
        <f ca="1">IFERROR(__xludf.DUMMYFUNCTION("""COMPUTED_VALUE"""),7)</f>
        <v>7</v>
      </c>
      <c r="B99" s="66" t="str">
        <f ca="1">IFERROR(__xludf.DUMMYFUNCTION("""COMPUTED_VALUE"""),"THCS TRẦN QUỐC TUẤN")</f>
        <v>THCS TRẦN QUỐC TUẤN</v>
      </c>
      <c r="C99" s="66" t="str">
        <f ca="1">IFERROR(__xludf.DUMMYFUNCTION("""COMPUTED_VALUE"""),"THCS")</f>
        <v>THCS</v>
      </c>
      <c r="D99" s="66" t="str">
        <f ca="1">IFERROR(__xludf.DUMMYFUNCTION("""COMPUTED_VALUE"""),"QUẬN 7")</f>
        <v>QUẬN 7</v>
      </c>
      <c r="E99" s="67">
        <f ca="1">IFERROR(__xludf.DUMMYFUNCTION("""COMPUTED_VALUE"""),67)</f>
        <v>67</v>
      </c>
      <c r="F99" s="67">
        <f ca="1">IFERROR(__xludf.DUMMYFUNCTION("""COMPUTED_VALUE"""),67)</f>
        <v>67</v>
      </c>
      <c r="G99" s="67"/>
      <c r="H99" s="67">
        <f ca="1">IFERROR(__xludf.DUMMYFUNCTION("""COMPUTED_VALUE"""),67)</f>
        <v>67</v>
      </c>
      <c r="I99" s="67"/>
      <c r="J99" s="67">
        <f ca="1">IFERROR(__xludf.DUMMYFUNCTION("""COMPUTED_VALUE"""),67)</f>
        <v>67</v>
      </c>
      <c r="K99" s="67"/>
      <c r="L99" s="67">
        <f ca="1">IFERROR(__xludf.DUMMYFUNCTION("""COMPUTED_VALUE"""),62)</f>
        <v>62</v>
      </c>
      <c r="M99" s="67"/>
      <c r="N99" s="67">
        <f ca="1">IFERROR(__xludf.DUMMYFUNCTION("""COMPUTED_VALUE"""),390)</f>
        <v>390</v>
      </c>
      <c r="O99" s="67">
        <f ca="1">IFERROR(__xludf.DUMMYFUNCTION("""COMPUTED_VALUE"""),297)</f>
        <v>297</v>
      </c>
      <c r="P99" s="67"/>
      <c r="Q99" s="67">
        <f ca="1">IFERROR(__xludf.DUMMYFUNCTION("""COMPUTED_VALUE"""),295)</f>
        <v>295</v>
      </c>
      <c r="R99" s="67"/>
      <c r="S99" s="66">
        <f ca="1">IFERROR(__xludf.DUMMYFUNCTION("""COMPUTED_VALUE"""),1000)</f>
        <v>1000</v>
      </c>
      <c r="T99" s="66">
        <f ca="1">IFERROR(__xludf.DUMMYFUNCTION("""COMPUTED_VALUE"""),960)</f>
        <v>960</v>
      </c>
      <c r="U99" s="66"/>
      <c r="V99" s="66">
        <f ca="1">IFERROR(__xludf.DUMMYFUNCTION("""COMPUTED_VALUE"""),932)</f>
        <v>932</v>
      </c>
      <c r="W99" s="66"/>
      <c r="X99" s="66">
        <f ca="1">IFERROR(__xludf.DUMMYFUNCTION("""COMPUTED_VALUE"""),590)</f>
        <v>590</v>
      </c>
      <c r="Y99" s="66"/>
      <c r="Z99" s="2"/>
      <c r="AA99" s="2"/>
      <c r="AB99" s="2"/>
      <c r="AC99" s="2"/>
      <c r="AD99" s="2"/>
      <c r="AE99" s="2"/>
    </row>
    <row r="100" spans="1:31" ht="12.75" x14ac:dyDescent="0.2">
      <c r="A100" s="53"/>
      <c r="B100" s="66"/>
      <c r="C100" s="66"/>
      <c r="D100" s="66"/>
      <c r="E100" s="67">
        <f ca="1">IFERROR(__xludf.DUMMYFUNCTION("""COMPUTED_VALUE"""),582)</f>
        <v>582</v>
      </c>
      <c r="F100" s="67">
        <f ca="1">IFERROR(__xludf.DUMMYFUNCTION("""COMPUTED_VALUE"""),581)</f>
        <v>581</v>
      </c>
      <c r="G100" s="67"/>
      <c r="H100" s="67">
        <f ca="1">IFERROR(__xludf.DUMMYFUNCTION("""COMPUTED_VALUE"""),581)</f>
        <v>581</v>
      </c>
      <c r="I100" s="67"/>
      <c r="J100" s="67">
        <f ca="1">IFERROR(__xludf.DUMMYFUNCTION("""COMPUTED_VALUE"""),549)</f>
        <v>549</v>
      </c>
      <c r="K100" s="67"/>
      <c r="L100" s="67">
        <f ca="1">IFERROR(__xludf.DUMMYFUNCTION("""COMPUTED_VALUE"""),360)</f>
        <v>360</v>
      </c>
      <c r="M100" s="67"/>
      <c r="N100" s="67">
        <f ca="1">IFERROR(__xludf.DUMMYFUNCTION("""COMPUTED_VALUE"""),3537)</f>
        <v>3537</v>
      </c>
      <c r="O100" s="67">
        <f ca="1">IFERROR(__xludf.DUMMYFUNCTION("""COMPUTED_VALUE"""),2281)</f>
        <v>2281</v>
      </c>
      <c r="P100" s="67"/>
      <c r="Q100" s="67">
        <f ca="1">IFERROR(__xludf.DUMMYFUNCTION("""COMPUTED_VALUE"""),1544)</f>
        <v>1544</v>
      </c>
      <c r="R100" s="67"/>
      <c r="S100" s="67">
        <f ca="1">IFERROR(__xludf.DUMMYFUNCTION("""COMPUTED_VALUE"""),9518)</f>
        <v>9518</v>
      </c>
      <c r="T100" s="66">
        <f ca="1">IFERROR(__xludf.DUMMYFUNCTION("""COMPUTED_VALUE"""),8762)</f>
        <v>8762</v>
      </c>
      <c r="U100" s="66"/>
      <c r="V100" s="67">
        <f ca="1">IFERROR(__xludf.DUMMYFUNCTION("""COMPUTED_VALUE"""),8153)</f>
        <v>8153</v>
      </c>
      <c r="W100" s="67"/>
      <c r="X100" s="67">
        <f ca="1">IFERROR(__xludf.DUMMYFUNCTION("""COMPUTED_VALUE"""),3975)</f>
        <v>3975</v>
      </c>
      <c r="Y100" s="67"/>
      <c r="Z100" s="2"/>
      <c r="AA100" s="2"/>
      <c r="AB100" s="2"/>
      <c r="AC100" s="2"/>
      <c r="AD100" s="2"/>
      <c r="AE100" s="2"/>
    </row>
    <row r="101" spans="1:31" ht="12.75" x14ac:dyDescent="0.2">
      <c r="A101" s="52" t="str">
        <f ca="1">IFERROR(__xludf.DUMMYFUNCTION("""COMPUTED_VALUE"""),"4.THPT")</f>
        <v>4.THPT</v>
      </c>
      <c r="B101" s="66"/>
      <c r="C101" s="66"/>
      <c r="D101" s="66"/>
      <c r="E101" s="66"/>
      <c r="F101" s="66"/>
      <c r="G101" s="66"/>
      <c r="H101" s="66"/>
      <c r="I101" s="66"/>
      <c r="J101" s="66"/>
      <c r="K101" s="66"/>
      <c r="L101" s="66"/>
      <c r="M101" s="66"/>
      <c r="N101" s="66"/>
      <c r="O101" s="66"/>
      <c r="P101" s="66"/>
      <c r="Q101" s="66"/>
      <c r="R101" s="66"/>
      <c r="S101" s="66"/>
      <c r="T101" s="66"/>
      <c r="U101" s="66"/>
      <c r="V101" s="66"/>
      <c r="W101" s="66"/>
      <c r="X101" s="66"/>
      <c r="Y101" s="66"/>
      <c r="Z101" s="2"/>
      <c r="AA101" s="2"/>
      <c r="AB101" s="2"/>
      <c r="AC101" s="2"/>
      <c r="AD101" s="2"/>
      <c r="AE101" s="2"/>
    </row>
    <row r="102" spans="1:31" ht="12.75" x14ac:dyDescent="0.2">
      <c r="A102" s="53">
        <f ca="1">IFERROR(__xludf.DUMMYFUNCTION("""COMPUTED_VALUE"""),1)</f>
        <v>1</v>
      </c>
      <c r="B102" s="66" t="str">
        <f ca="1">IFERROR(__xludf.DUMMYFUNCTION("""COMPUTED_VALUE"""),"Ngô Quyền")</f>
        <v>Ngô Quyền</v>
      </c>
      <c r="C102" s="66" t="str">
        <f ca="1">IFERROR(__xludf.DUMMYFUNCTION("""COMPUTED_VALUE"""),"THPT")</f>
        <v>THPT</v>
      </c>
      <c r="D102" s="66" t="str">
        <f ca="1">IFERROR(__xludf.DUMMYFUNCTION("""COMPUTED_VALUE"""),"QUẬN 7")</f>
        <v>QUẬN 7</v>
      </c>
      <c r="E102" s="67">
        <f ca="1">IFERROR(__xludf.DUMMYFUNCTION("""COMPUTED_VALUE"""),106)</f>
        <v>106</v>
      </c>
      <c r="F102" s="67">
        <f ca="1">IFERROR(__xludf.DUMMYFUNCTION("""COMPUTED_VALUE"""),105)</f>
        <v>105</v>
      </c>
      <c r="G102" s="67"/>
      <c r="H102" s="67">
        <f ca="1">IFERROR(__xludf.DUMMYFUNCTION("""COMPUTED_VALUE"""),105)</f>
        <v>105</v>
      </c>
      <c r="I102" s="67"/>
      <c r="J102" s="67">
        <f ca="1">IFERROR(__xludf.DUMMYFUNCTION("""COMPUTED_VALUE"""),102)</f>
        <v>102</v>
      </c>
      <c r="K102" s="67"/>
      <c r="L102" s="67">
        <f ca="1">IFERROR(__xludf.DUMMYFUNCTION("""COMPUTED_VALUE"""),40)</f>
        <v>40</v>
      </c>
      <c r="M102" s="67"/>
      <c r="N102" s="67">
        <f ca="1">IFERROR(__xludf.DUMMYFUNCTION("""COMPUTED_VALUE"""),0)</f>
        <v>0</v>
      </c>
      <c r="O102" s="67">
        <f ca="1">IFERROR(__xludf.DUMMYFUNCTION("""COMPUTED_VALUE"""),0)</f>
        <v>0</v>
      </c>
      <c r="P102" s="67"/>
      <c r="Q102" s="67">
        <f ca="1">IFERROR(__xludf.DUMMYFUNCTION("""COMPUTED_VALUE"""),0)</f>
        <v>0</v>
      </c>
      <c r="R102" s="67"/>
      <c r="S102" s="67">
        <f ca="1">IFERROR(__xludf.DUMMYFUNCTION("""COMPUTED_VALUE"""),1893)</f>
        <v>1893</v>
      </c>
      <c r="T102" s="66">
        <f ca="1">IFERROR(__xludf.DUMMYFUNCTION("""COMPUTED_VALUE"""),1889)</f>
        <v>1889</v>
      </c>
      <c r="U102" s="66"/>
      <c r="V102" s="67">
        <f ca="1">IFERROR(__xludf.DUMMYFUNCTION("""COMPUTED_VALUE"""),1886)</f>
        <v>1886</v>
      </c>
      <c r="W102" s="67"/>
      <c r="X102" s="67">
        <f ca="1">IFERROR(__xludf.DUMMYFUNCTION("""COMPUTED_VALUE"""),932)</f>
        <v>932</v>
      </c>
      <c r="Y102" s="67"/>
      <c r="Z102" s="2"/>
      <c r="AA102" s="2"/>
      <c r="AB102" s="2"/>
      <c r="AC102" s="2"/>
      <c r="AD102" s="2"/>
      <c r="AE102" s="2"/>
    </row>
    <row r="103" spans="1:31" ht="12.75" x14ac:dyDescent="0.2">
      <c r="A103" s="53">
        <f ca="1">IFERROR(__xludf.DUMMYFUNCTION("""COMPUTED_VALUE"""),2)</f>
        <v>2</v>
      </c>
      <c r="B103" s="66" t="str">
        <f ca="1">IFERROR(__xludf.DUMMYFUNCTION("""COMPUTED_VALUE"""),"Lê Thánh Tôn")</f>
        <v>Lê Thánh Tôn</v>
      </c>
      <c r="C103" s="66" t="str">
        <f ca="1">IFERROR(__xludf.DUMMYFUNCTION("""COMPUTED_VALUE"""),"THPT")</f>
        <v>THPT</v>
      </c>
      <c r="D103" s="66" t="str">
        <f ca="1">IFERROR(__xludf.DUMMYFUNCTION("""COMPUTED_VALUE"""),"QUẬN 7")</f>
        <v>QUẬN 7</v>
      </c>
      <c r="E103" s="67">
        <f ca="1">IFERROR(__xludf.DUMMYFUNCTION("""COMPUTED_VALUE"""),95)</f>
        <v>95</v>
      </c>
      <c r="F103" s="67">
        <f ca="1">IFERROR(__xludf.DUMMYFUNCTION("""COMPUTED_VALUE"""),94)</f>
        <v>94</v>
      </c>
      <c r="G103" s="67"/>
      <c r="H103" s="67">
        <f ca="1">IFERROR(__xludf.DUMMYFUNCTION("""COMPUTED_VALUE"""),94)</f>
        <v>94</v>
      </c>
      <c r="I103" s="67"/>
      <c r="J103" s="67">
        <f ca="1">IFERROR(__xludf.DUMMYFUNCTION("""COMPUTED_VALUE"""),93)</f>
        <v>93</v>
      </c>
      <c r="K103" s="67"/>
      <c r="L103" s="67">
        <f ca="1">IFERROR(__xludf.DUMMYFUNCTION("""COMPUTED_VALUE"""),58)</f>
        <v>58</v>
      </c>
      <c r="M103" s="67"/>
      <c r="N103" s="67">
        <f ca="1">IFERROR(__xludf.DUMMYFUNCTION("""COMPUTED_VALUE"""),0)</f>
        <v>0</v>
      </c>
      <c r="O103" s="67">
        <f ca="1">IFERROR(__xludf.DUMMYFUNCTION("""COMPUTED_VALUE"""),0)</f>
        <v>0</v>
      </c>
      <c r="P103" s="67"/>
      <c r="Q103" s="67">
        <f ca="1">IFERROR(__xludf.DUMMYFUNCTION("""COMPUTED_VALUE"""),0)</f>
        <v>0</v>
      </c>
      <c r="R103" s="67"/>
      <c r="S103" s="66">
        <f ca="1">IFERROR(__xludf.DUMMYFUNCTION("""COMPUTED_VALUE"""),1718)</f>
        <v>1718</v>
      </c>
      <c r="T103" s="66">
        <f ca="1">IFERROR(__xludf.DUMMYFUNCTION("""COMPUTED_VALUE"""),1710)</f>
        <v>1710</v>
      </c>
      <c r="U103" s="66"/>
      <c r="V103" s="66">
        <f ca="1">IFERROR(__xludf.DUMMYFUNCTION("""COMPUTED_VALUE"""),1698)</f>
        <v>1698</v>
      </c>
      <c r="W103" s="66"/>
      <c r="X103" s="66">
        <f ca="1">IFERROR(__xludf.DUMMYFUNCTION("""COMPUTED_VALUE"""),966)</f>
        <v>966</v>
      </c>
      <c r="Y103" s="66"/>
      <c r="Z103" s="2"/>
      <c r="AA103" s="2"/>
      <c r="AB103" s="2"/>
      <c r="AC103" s="2"/>
      <c r="AD103" s="2"/>
      <c r="AE103" s="2"/>
    </row>
    <row r="104" spans="1:31" ht="12.75" x14ac:dyDescent="0.2">
      <c r="A104" s="53">
        <f ca="1">IFERROR(__xludf.DUMMYFUNCTION("""COMPUTED_VALUE"""),3)</f>
        <v>3</v>
      </c>
      <c r="B104" s="66" t="str">
        <f ca="1">IFERROR(__xludf.DUMMYFUNCTION("""COMPUTED_VALUE"""),"Tân Phong")</f>
        <v>Tân Phong</v>
      </c>
      <c r="C104" s="66" t="str">
        <f ca="1">IFERROR(__xludf.DUMMYFUNCTION("""COMPUTED_VALUE"""),"THPT")</f>
        <v>THPT</v>
      </c>
      <c r="D104" s="66" t="str">
        <f ca="1">IFERROR(__xludf.DUMMYFUNCTION("""COMPUTED_VALUE"""),"QUẬN 7")</f>
        <v>QUẬN 7</v>
      </c>
      <c r="E104" s="67">
        <f ca="1">IFERROR(__xludf.DUMMYFUNCTION("""COMPUTED_VALUE"""),89)</f>
        <v>89</v>
      </c>
      <c r="F104" s="67">
        <f ca="1">IFERROR(__xludf.DUMMYFUNCTION("""COMPUTED_VALUE"""),89)</f>
        <v>89</v>
      </c>
      <c r="G104" s="67"/>
      <c r="H104" s="67">
        <f ca="1">IFERROR(__xludf.DUMMYFUNCTION("""COMPUTED_VALUE"""),89)</f>
        <v>89</v>
      </c>
      <c r="I104" s="67"/>
      <c r="J104" s="67">
        <f ca="1">IFERROR(__xludf.DUMMYFUNCTION("""COMPUTED_VALUE"""),81)</f>
        <v>81</v>
      </c>
      <c r="K104" s="67"/>
      <c r="L104" s="67">
        <f ca="1">IFERROR(__xludf.DUMMYFUNCTION("""COMPUTED_VALUE"""),27)</f>
        <v>27</v>
      </c>
      <c r="M104" s="67"/>
      <c r="N104" s="67">
        <f ca="1">IFERROR(__xludf.DUMMYFUNCTION("""COMPUTED_VALUE"""),0)</f>
        <v>0</v>
      </c>
      <c r="O104" s="67">
        <f ca="1">IFERROR(__xludf.DUMMYFUNCTION("""COMPUTED_VALUE"""),0)</f>
        <v>0</v>
      </c>
      <c r="P104" s="67"/>
      <c r="Q104" s="67">
        <f ca="1">IFERROR(__xludf.DUMMYFUNCTION("""COMPUTED_VALUE"""),0)</f>
        <v>0</v>
      </c>
      <c r="R104" s="67"/>
      <c r="S104" s="67">
        <f ca="1">IFERROR(__xludf.DUMMYFUNCTION("""COMPUTED_VALUE"""),1646)</f>
        <v>1646</v>
      </c>
      <c r="T104" s="66">
        <f ca="1">IFERROR(__xludf.DUMMYFUNCTION("""COMPUTED_VALUE"""),1642)</f>
        <v>1642</v>
      </c>
      <c r="U104" s="66"/>
      <c r="V104" s="67">
        <f ca="1">IFERROR(__xludf.DUMMYFUNCTION("""COMPUTED_VALUE"""),1642)</f>
        <v>1642</v>
      </c>
      <c r="W104" s="67"/>
      <c r="X104" s="67">
        <f ca="1">IFERROR(__xludf.DUMMYFUNCTION("""COMPUTED_VALUE"""),800)</f>
        <v>800</v>
      </c>
      <c r="Y104" s="67"/>
      <c r="Z104" s="2"/>
      <c r="AA104" s="2"/>
      <c r="AB104" s="2"/>
      <c r="AC104" s="2"/>
      <c r="AD104" s="2"/>
      <c r="AE104" s="2"/>
    </row>
    <row r="105" spans="1:31" ht="12.75" x14ac:dyDescent="0.2">
      <c r="A105" s="53">
        <f ca="1">IFERROR(__xludf.DUMMYFUNCTION("""COMPUTED_VALUE"""),4)</f>
        <v>4</v>
      </c>
      <c r="B105" s="66" t="str">
        <f ca="1">IFERROR(__xludf.DUMMYFUNCTION("""COMPUTED_VALUE"""),"Trường Nhật Bản")</f>
        <v>Trường Nhật Bản</v>
      </c>
      <c r="C105" s="66" t="str">
        <f ca="1">IFERROR(__xludf.DUMMYFUNCTION("""COMPUTED_VALUE"""),"THPT")</f>
        <v>THPT</v>
      </c>
      <c r="D105" s="66" t="str">
        <f ca="1">IFERROR(__xludf.DUMMYFUNCTION("""COMPUTED_VALUE"""),"QUẬN 7")</f>
        <v>QUẬN 7</v>
      </c>
      <c r="E105" s="67">
        <f ca="1">IFERROR(__xludf.DUMMYFUNCTION("""COMPUTED_VALUE"""),152)</f>
        <v>152</v>
      </c>
      <c r="F105" s="67">
        <f ca="1">IFERROR(__xludf.DUMMYFUNCTION("""COMPUTED_VALUE"""),152)</f>
        <v>152</v>
      </c>
      <c r="G105" s="67"/>
      <c r="H105" s="67">
        <f ca="1">IFERROR(__xludf.DUMMYFUNCTION("""COMPUTED_VALUE"""),152)</f>
        <v>152</v>
      </c>
      <c r="I105" s="67"/>
      <c r="J105" s="67">
        <f ca="1">IFERROR(__xludf.DUMMYFUNCTION("""COMPUTED_VALUE"""),122)</f>
        <v>122</v>
      </c>
      <c r="K105" s="67"/>
      <c r="L105" s="67">
        <f ca="1">IFERROR(__xludf.DUMMYFUNCTION("""COMPUTED_VALUE"""),35)</f>
        <v>35</v>
      </c>
      <c r="M105" s="67"/>
      <c r="N105" s="67">
        <f ca="1">IFERROR(__xludf.DUMMYFUNCTION("""COMPUTED_VALUE"""),428)</f>
        <v>428</v>
      </c>
      <c r="O105" s="67">
        <f ca="1">IFERROR(__xludf.DUMMYFUNCTION("""COMPUTED_VALUE"""),82)</f>
        <v>82</v>
      </c>
      <c r="P105" s="67"/>
      <c r="Q105" s="67">
        <f ca="1">IFERROR(__xludf.DUMMYFUNCTION("""COMPUTED_VALUE"""),58)</f>
        <v>58</v>
      </c>
      <c r="R105" s="67"/>
      <c r="S105" s="66">
        <f ca="1">IFERROR(__xludf.DUMMYFUNCTION("""COMPUTED_VALUE"""),128)</f>
        <v>128</v>
      </c>
      <c r="T105" s="66">
        <f ca="1">IFERROR(__xludf.DUMMYFUNCTION("""COMPUTED_VALUE"""),70)</f>
        <v>70</v>
      </c>
      <c r="U105" s="66"/>
      <c r="V105" s="66">
        <f ca="1">IFERROR(__xludf.DUMMYFUNCTION("""COMPUTED_VALUE"""),67)</f>
        <v>67</v>
      </c>
      <c r="W105" s="66"/>
      <c r="X105" s="66">
        <f ca="1">IFERROR(__xludf.DUMMYFUNCTION("""COMPUTED_VALUE"""),35)</f>
        <v>35</v>
      </c>
      <c r="Y105" s="66"/>
      <c r="Z105" s="2"/>
      <c r="AA105" s="2"/>
      <c r="AB105" s="2"/>
      <c r="AC105" s="2"/>
      <c r="AD105" s="2"/>
      <c r="AE105" s="2"/>
    </row>
    <row r="106" spans="1:31" ht="12.75" x14ac:dyDescent="0.2">
      <c r="A106" s="53">
        <f ca="1">IFERROR(__xludf.DUMMYFUNCTION("""COMPUTED_VALUE"""),5)</f>
        <v>5</v>
      </c>
      <c r="B106" s="66" t="str">
        <f ca="1">IFERROR(__xludf.DUMMYFUNCTION("""COMPUTED_VALUE"""),"EMASI Nam Long")</f>
        <v>EMASI Nam Long</v>
      </c>
      <c r="C106" s="66" t="str">
        <f ca="1">IFERROR(__xludf.DUMMYFUNCTION("""COMPUTED_VALUE"""),"THPT")</f>
        <v>THPT</v>
      </c>
      <c r="D106" s="66" t="str">
        <f ca="1">IFERROR(__xludf.DUMMYFUNCTION("""COMPUTED_VALUE"""),"QUẬN 7")</f>
        <v>QUẬN 7</v>
      </c>
      <c r="E106" s="67">
        <f ca="1">IFERROR(__xludf.DUMMYFUNCTION("""COMPUTED_VALUE"""),147)</f>
        <v>147</v>
      </c>
      <c r="F106" s="67">
        <f ca="1">IFERROR(__xludf.DUMMYFUNCTION("""COMPUTED_VALUE"""),147)</f>
        <v>147</v>
      </c>
      <c r="G106" s="67"/>
      <c r="H106" s="67">
        <f ca="1">IFERROR(__xludf.DUMMYFUNCTION("""COMPUTED_VALUE"""),147)</f>
        <v>147</v>
      </c>
      <c r="I106" s="67"/>
      <c r="J106" s="67">
        <f ca="1">IFERROR(__xludf.DUMMYFUNCTION("""COMPUTED_VALUE"""),107)</f>
        <v>107</v>
      </c>
      <c r="K106" s="67"/>
      <c r="L106" s="67">
        <f ca="1">IFERROR(__xludf.DUMMYFUNCTION("""COMPUTED_VALUE"""),23)</f>
        <v>23</v>
      </c>
      <c r="M106" s="67"/>
      <c r="N106" s="67">
        <f ca="1">IFERROR(__xludf.DUMMYFUNCTION("""COMPUTED_VALUE"""),532)</f>
        <v>532</v>
      </c>
      <c r="O106" s="67">
        <f ca="1">IFERROR(__xludf.DUMMYFUNCTION("""COMPUTED_VALUE"""),45)</f>
        <v>45</v>
      </c>
      <c r="P106" s="67"/>
      <c r="Q106" s="67">
        <f ca="1">IFERROR(__xludf.DUMMYFUNCTION("""COMPUTED_VALUE"""),30)</f>
        <v>30</v>
      </c>
      <c r="R106" s="67"/>
      <c r="S106" s="67">
        <f ca="1">IFERROR(__xludf.DUMMYFUNCTION("""COMPUTED_VALUE"""),175)</f>
        <v>175</v>
      </c>
      <c r="T106" s="66">
        <f ca="1">IFERROR(__xludf.DUMMYFUNCTION("""COMPUTED_VALUE"""),138)</f>
        <v>138</v>
      </c>
      <c r="U106" s="66"/>
      <c r="V106" s="67">
        <f ca="1">IFERROR(__xludf.DUMMYFUNCTION("""COMPUTED_VALUE"""),135)</f>
        <v>135</v>
      </c>
      <c r="W106" s="67"/>
      <c r="X106" s="67">
        <f ca="1">IFERROR(__xludf.DUMMYFUNCTION("""COMPUTED_VALUE"""),32)</f>
        <v>32</v>
      </c>
      <c r="Y106" s="67"/>
      <c r="Z106" s="2"/>
      <c r="AA106" s="2"/>
      <c r="AB106" s="2"/>
      <c r="AC106" s="2"/>
      <c r="AD106" s="2"/>
      <c r="AE106" s="2"/>
    </row>
    <row r="107" spans="1:31" ht="12.75" x14ac:dyDescent="0.2">
      <c r="A107" s="53">
        <f ca="1">IFERROR(__xludf.DUMMYFUNCTION("""COMPUTED_VALUE"""),6)</f>
        <v>6</v>
      </c>
      <c r="B107" s="66" t="str">
        <f ca="1">IFERROR(__xludf.DUMMYFUNCTION("""COMPUTED_VALUE"""),"QT Canada")</f>
        <v>QT Canada</v>
      </c>
      <c r="C107" s="66" t="str">
        <f ca="1">IFERROR(__xludf.DUMMYFUNCTION("""COMPUTED_VALUE"""),"THPT")</f>
        <v>THPT</v>
      </c>
      <c r="D107" s="66" t="str">
        <f ca="1">IFERROR(__xludf.DUMMYFUNCTION("""COMPUTED_VALUE"""),"QUẬN 7")</f>
        <v>QUẬN 7</v>
      </c>
      <c r="E107" s="67">
        <f ca="1">IFERROR(__xludf.DUMMYFUNCTION("""COMPUTED_VALUE"""),363)</f>
        <v>363</v>
      </c>
      <c r="F107" s="67">
        <f ca="1">IFERROR(__xludf.DUMMYFUNCTION("""COMPUTED_VALUE"""),363)</f>
        <v>363</v>
      </c>
      <c r="G107" s="67"/>
      <c r="H107" s="67">
        <f ca="1">IFERROR(__xludf.DUMMYFUNCTION("""COMPUTED_VALUE"""),363)</f>
        <v>363</v>
      </c>
      <c r="I107" s="67"/>
      <c r="J107" s="67">
        <f ca="1">IFERROR(__xludf.DUMMYFUNCTION("""COMPUTED_VALUE"""),348)</f>
        <v>348</v>
      </c>
      <c r="K107" s="67"/>
      <c r="L107" s="67">
        <f ca="1">IFERROR(__xludf.DUMMYFUNCTION("""COMPUTED_VALUE"""),162)</f>
        <v>162</v>
      </c>
      <c r="M107" s="67"/>
      <c r="N107" s="67">
        <f ca="1">IFERROR(__xludf.DUMMYFUNCTION("""COMPUTED_VALUE"""),700)</f>
        <v>700</v>
      </c>
      <c r="O107" s="67">
        <f ca="1">IFERROR(__xludf.DUMMYFUNCTION("""COMPUTED_VALUE"""),147)</f>
        <v>147</v>
      </c>
      <c r="P107" s="67"/>
      <c r="Q107" s="67">
        <f ca="1">IFERROR(__xludf.DUMMYFUNCTION("""COMPUTED_VALUE"""),81)</f>
        <v>81</v>
      </c>
      <c r="R107" s="67"/>
      <c r="S107" s="67">
        <f ca="1">IFERROR(__xludf.DUMMYFUNCTION("""COMPUTED_VALUE"""),859)</f>
        <v>859</v>
      </c>
      <c r="T107" s="66">
        <f ca="1">IFERROR(__xludf.DUMMYFUNCTION("""COMPUTED_VALUE"""),852)</f>
        <v>852</v>
      </c>
      <c r="U107" s="66"/>
      <c r="V107" s="67">
        <f ca="1">IFERROR(__xludf.DUMMYFUNCTION("""COMPUTED_VALUE"""),852)</f>
        <v>852</v>
      </c>
      <c r="W107" s="67"/>
      <c r="X107" s="67">
        <f ca="1">IFERROR(__xludf.DUMMYFUNCTION("""COMPUTED_VALUE"""),96)</f>
        <v>96</v>
      </c>
      <c r="Y107" s="67"/>
      <c r="Z107" s="2"/>
      <c r="AA107" s="2"/>
      <c r="AB107" s="2"/>
      <c r="AC107" s="2"/>
      <c r="AD107" s="2"/>
      <c r="AE107" s="2"/>
    </row>
    <row r="108" spans="1:31" ht="12.75" x14ac:dyDescent="0.2">
      <c r="A108" s="53">
        <f ca="1">IFERROR(__xludf.DUMMYFUNCTION("""COMPUTED_VALUE"""),7)</f>
        <v>7</v>
      </c>
      <c r="B108" s="66" t="str">
        <f ca="1">IFERROR(__xludf.DUMMYFUNCTION("""COMPUTED_VALUE"""),"TH-THCS-THPT Việt Úc (CS1)")</f>
        <v>TH-THCS-THPT Việt Úc (CS1)</v>
      </c>
      <c r="C108" s="66" t="str">
        <f ca="1">IFERROR(__xludf.DUMMYFUNCTION("""COMPUTED_VALUE"""),"THPT")</f>
        <v>THPT</v>
      </c>
      <c r="D108" s="66" t="str">
        <f ca="1">IFERROR(__xludf.DUMMYFUNCTION("""COMPUTED_VALUE"""),"QUẬN 7")</f>
        <v>QUẬN 7</v>
      </c>
      <c r="E108" s="67">
        <f ca="1">IFERROR(__xludf.DUMMYFUNCTION("""COMPUTED_VALUE"""),185)</f>
        <v>185</v>
      </c>
      <c r="F108" s="67">
        <f ca="1">IFERROR(__xludf.DUMMYFUNCTION("""COMPUTED_VALUE"""),185)</f>
        <v>185</v>
      </c>
      <c r="G108" s="67"/>
      <c r="H108" s="67">
        <f ca="1">IFERROR(__xludf.DUMMYFUNCTION("""COMPUTED_VALUE"""),185)</f>
        <v>185</v>
      </c>
      <c r="I108" s="67"/>
      <c r="J108" s="67">
        <f ca="1">IFERROR(__xludf.DUMMYFUNCTION("""COMPUTED_VALUE"""),147)</f>
        <v>147</v>
      </c>
      <c r="K108" s="67"/>
      <c r="L108" s="67">
        <f ca="1">IFERROR(__xludf.DUMMYFUNCTION("""COMPUTED_VALUE"""),64)</f>
        <v>64</v>
      </c>
      <c r="M108" s="67"/>
      <c r="N108" s="67">
        <f ca="1">IFERROR(__xludf.DUMMYFUNCTION("""COMPUTED_VALUE"""),393)</f>
        <v>393</v>
      </c>
      <c r="O108" s="67">
        <f ca="1">IFERROR(__xludf.DUMMYFUNCTION("""COMPUTED_VALUE"""),156)</f>
        <v>156</v>
      </c>
      <c r="P108" s="67"/>
      <c r="Q108" s="67">
        <f ca="1">IFERROR(__xludf.DUMMYFUNCTION("""COMPUTED_VALUE"""),61)</f>
        <v>61</v>
      </c>
      <c r="R108" s="67"/>
      <c r="S108" s="67">
        <f ca="1">IFERROR(__xludf.DUMMYFUNCTION("""COMPUTED_VALUE"""),236)</f>
        <v>236</v>
      </c>
      <c r="T108" s="66">
        <f ca="1">IFERROR(__xludf.DUMMYFUNCTION("""COMPUTED_VALUE"""),224)</f>
        <v>224</v>
      </c>
      <c r="U108" s="66"/>
      <c r="V108" s="67">
        <f ca="1">IFERROR(__xludf.DUMMYFUNCTION("""COMPUTED_VALUE"""),219)</f>
        <v>219</v>
      </c>
      <c r="W108" s="67"/>
      <c r="X108" s="67">
        <f ca="1">IFERROR(__xludf.DUMMYFUNCTION("""COMPUTED_VALUE"""),74)</f>
        <v>74</v>
      </c>
      <c r="Y108" s="67"/>
      <c r="Z108" s="2"/>
      <c r="AA108" s="2"/>
      <c r="AB108" s="2"/>
      <c r="AC108" s="2"/>
      <c r="AD108" s="2"/>
      <c r="AE108" s="2"/>
    </row>
    <row r="109" spans="1:31" ht="12.75" x14ac:dyDescent="0.2">
      <c r="A109" s="53">
        <f ca="1">IFERROR(__xludf.DUMMYFUNCTION("""COMPUTED_VALUE"""),8)</f>
        <v>8</v>
      </c>
      <c r="B109" s="66" t="str">
        <f ca="1">IFERROR(__xludf.DUMMYFUNCTION("""COMPUTED_VALUE"""),"QT Việt Nam - Phần Lan")</f>
        <v>QT Việt Nam - Phần Lan</v>
      </c>
      <c r="C109" s="66" t="str">
        <f ca="1">IFERROR(__xludf.DUMMYFUNCTION("""COMPUTED_VALUE"""),"THPT")</f>
        <v>THPT</v>
      </c>
      <c r="D109" s="66" t="str">
        <f ca="1">IFERROR(__xludf.DUMMYFUNCTION("""COMPUTED_VALUE"""),"QUẬN 7")</f>
        <v>QUẬN 7</v>
      </c>
      <c r="E109" s="67">
        <f ca="1">IFERROR(__xludf.DUMMYFUNCTION("""COMPUTED_VALUE"""),87)</f>
        <v>87</v>
      </c>
      <c r="F109" s="67">
        <f ca="1">IFERROR(__xludf.DUMMYFUNCTION("""COMPUTED_VALUE"""),87)</f>
        <v>87</v>
      </c>
      <c r="G109" s="67"/>
      <c r="H109" s="67">
        <f ca="1">IFERROR(__xludf.DUMMYFUNCTION("""COMPUTED_VALUE"""),87)</f>
        <v>87</v>
      </c>
      <c r="I109" s="67"/>
      <c r="J109" s="67">
        <f ca="1">IFERROR(__xludf.DUMMYFUNCTION("""COMPUTED_VALUE"""),74)</f>
        <v>74</v>
      </c>
      <c r="K109" s="67"/>
      <c r="L109" s="67">
        <f ca="1">IFERROR(__xludf.DUMMYFUNCTION("""COMPUTED_VALUE"""),44)</f>
        <v>44</v>
      </c>
      <c r="M109" s="67"/>
      <c r="N109" s="67">
        <f ca="1">IFERROR(__xludf.DUMMYFUNCTION("""COMPUTED_VALUE"""),267)</f>
        <v>267</v>
      </c>
      <c r="O109" s="67">
        <f ca="1">IFERROR(__xludf.DUMMYFUNCTION("""COMPUTED_VALUE"""),82)</f>
        <v>82</v>
      </c>
      <c r="P109" s="67"/>
      <c r="Q109" s="67">
        <f ca="1">IFERROR(__xludf.DUMMYFUNCTION("""COMPUTED_VALUE"""),28)</f>
        <v>28</v>
      </c>
      <c r="R109" s="67"/>
      <c r="S109" s="67">
        <f ca="1">IFERROR(__xludf.DUMMYFUNCTION("""COMPUTED_VALUE"""),147)</f>
        <v>147</v>
      </c>
      <c r="T109" s="66">
        <f ca="1">IFERROR(__xludf.DUMMYFUNCTION("""COMPUTED_VALUE"""),105)</f>
        <v>105</v>
      </c>
      <c r="U109" s="66"/>
      <c r="V109" s="67">
        <f ca="1">IFERROR(__xludf.DUMMYFUNCTION("""COMPUTED_VALUE"""),103)</f>
        <v>103</v>
      </c>
      <c r="W109" s="67"/>
      <c r="X109" s="67">
        <f ca="1">IFERROR(__xludf.DUMMYFUNCTION("""COMPUTED_VALUE"""),51)</f>
        <v>51</v>
      </c>
      <c r="Y109" s="67"/>
      <c r="Z109" s="2"/>
      <c r="AA109" s="2"/>
      <c r="AB109" s="2"/>
      <c r="AC109" s="2"/>
      <c r="AD109" s="2"/>
      <c r="AE109" s="2"/>
    </row>
    <row r="110" spans="1:31" ht="12.75" x14ac:dyDescent="0.2">
      <c r="A110" s="53">
        <f ca="1">IFERROR(__xludf.DUMMYFUNCTION("""COMPUTED_VALUE"""),9)</f>
        <v>9</v>
      </c>
      <c r="B110" s="66" t="str">
        <f ca="1">IFERROR(__xludf.DUMMYFUNCTION("""COMPUTED_VALUE"""),"THCS-THPT Đức Trí")</f>
        <v>THCS-THPT Đức Trí</v>
      </c>
      <c r="C110" s="66" t="str">
        <f ca="1">IFERROR(__xludf.DUMMYFUNCTION("""COMPUTED_VALUE"""),"THPT")</f>
        <v>THPT</v>
      </c>
      <c r="D110" s="66" t="str">
        <f ca="1">IFERROR(__xludf.DUMMYFUNCTION("""COMPUTED_VALUE"""),"QUẬN 7")</f>
        <v>QUẬN 7</v>
      </c>
      <c r="E110" s="67">
        <f ca="1">IFERROR(__xludf.DUMMYFUNCTION("""COMPUTED_VALUE"""),103)</f>
        <v>103</v>
      </c>
      <c r="F110" s="67">
        <f ca="1">IFERROR(__xludf.DUMMYFUNCTION("""COMPUTED_VALUE"""),103)</f>
        <v>103</v>
      </c>
      <c r="G110" s="67"/>
      <c r="H110" s="67">
        <f ca="1">IFERROR(__xludf.DUMMYFUNCTION("""COMPUTED_VALUE"""),103)</f>
        <v>103</v>
      </c>
      <c r="I110" s="67"/>
      <c r="J110" s="67">
        <f ca="1">IFERROR(__xludf.DUMMYFUNCTION("""COMPUTED_VALUE"""),98)</f>
        <v>98</v>
      </c>
      <c r="K110" s="67"/>
      <c r="L110" s="67">
        <f ca="1">IFERROR(__xludf.DUMMYFUNCTION("""COMPUTED_VALUE"""),44)</f>
        <v>44</v>
      </c>
      <c r="M110" s="67"/>
      <c r="N110" s="67">
        <f ca="1">IFERROR(__xludf.DUMMYFUNCTION("""COMPUTED_VALUE"""),70)</f>
        <v>70</v>
      </c>
      <c r="O110" s="67">
        <f ca="1">IFERROR(__xludf.DUMMYFUNCTION("""COMPUTED_VALUE"""),48)</f>
        <v>48</v>
      </c>
      <c r="P110" s="67"/>
      <c r="Q110" s="67">
        <f ca="1">IFERROR(__xludf.DUMMYFUNCTION("""COMPUTED_VALUE"""),20)</f>
        <v>20</v>
      </c>
      <c r="R110" s="67"/>
      <c r="S110" s="67">
        <f ca="1">IFERROR(__xludf.DUMMYFUNCTION("""COMPUTED_VALUE"""),855)</f>
        <v>855</v>
      </c>
      <c r="T110" s="66">
        <f ca="1">IFERROR(__xludf.DUMMYFUNCTION("""COMPUTED_VALUE"""),836)</f>
        <v>836</v>
      </c>
      <c r="U110" s="66"/>
      <c r="V110" s="67">
        <f ca="1">IFERROR(__xludf.DUMMYFUNCTION("""COMPUTED_VALUE"""),725)</f>
        <v>725</v>
      </c>
      <c r="W110" s="67"/>
      <c r="X110" s="67">
        <f ca="1">IFERROR(__xludf.DUMMYFUNCTION("""COMPUTED_VALUE"""),340)</f>
        <v>340</v>
      </c>
      <c r="Y110" s="67"/>
      <c r="Z110" s="2"/>
      <c r="AA110" s="2"/>
      <c r="AB110" s="2"/>
      <c r="AC110" s="2"/>
      <c r="AD110" s="2"/>
      <c r="AE110" s="2"/>
    </row>
    <row r="111" spans="1:31" ht="12.75" x14ac:dyDescent="0.2">
      <c r="A111" s="53">
        <f ca="1">IFERROR(__xludf.DUMMYFUNCTION("""COMPUTED_VALUE"""),10)</f>
        <v>10</v>
      </c>
      <c r="B111" s="66" t="str">
        <f ca="1">IFERROR(__xludf.DUMMYFUNCTION("""COMPUTED_VALUE"""),"THCS-THPT Đinh Thiện Lý")</f>
        <v>THCS-THPT Đinh Thiện Lý</v>
      </c>
      <c r="C111" s="66" t="str">
        <f ca="1">IFERROR(__xludf.DUMMYFUNCTION("""COMPUTED_VALUE"""),"THPT")</f>
        <v>THPT</v>
      </c>
      <c r="D111" s="66" t="str">
        <f ca="1">IFERROR(__xludf.DUMMYFUNCTION("""COMPUTED_VALUE"""),"QUẬN 7")</f>
        <v>QUẬN 7</v>
      </c>
      <c r="E111" s="67">
        <f ca="1">IFERROR(__xludf.DUMMYFUNCTION("""COMPUTED_VALUE"""),157)</f>
        <v>157</v>
      </c>
      <c r="F111" s="67">
        <f ca="1">IFERROR(__xludf.DUMMYFUNCTION("""COMPUTED_VALUE"""),157)</f>
        <v>157</v>
      </c>
      <c r="G111" s="67"/>
      <c r="H111" s="67">
        <f ca="1">IFERROR(__xludf.DUMMYFUNCTION("""COMPUTED_VALUE"""),157)</f>
        <v>157</v>
      </c>
      <c r="I111" s="67"/>
      <c r="J111" s="67">
        <f ca="1">IFERROR(__xludf.DUMMYFUNCTION("""COMPUTED_VALUE"""),130)</f>
        <v>130</v>
      </c>
      <c r="K111" s="67"/>
      <c r="L111" s="67">
        <f ca="1">IFERROR(__xludf.DUMMYFUNCTION("""COMPUTED_VALUE"""),23)</f>
        <v>23</v>
      </c>
      <c r="M111" s="67"/>
      <c r="N111" s="67">
        <f ca="1">IFERROR(__xludf.DUMMYFUNCTION("""COMPUTED_VALUE"""),320)</f>
        <v>320</v>
      </c>
      <c r="O111" s="67">
        <f ca="1">IFERROR(__xludf.DUMMYFUNCTION("""COMPUTED_VALUE"""),153)</f>
        <v>153</v>
      </c>
      <c r="P111" s="67"/>
      <c r="Q111" s="67">
        <f ca="1">IFERROR(__xludf.DUMMYFUNCTION("""COMPUTED_VALUE"""),140)</f>
        <v>140</v>
      </c>
      <c r="R111" s="67"/>
      <c r="S111" s="67">
        <f ca="1">IFERROR(__xludf.DUMMYFUNCTION("""COMPUTED_VALUE"""),1436)</f>
        <v>1436</v>
      </c>
      <c r="T111" s="67">
        <f ca="1">IFERROR(__xludf.DUMMYFUNCTION("""COMPUTED_VALUE"""),1120)</f>
        <v>1120</v>
      </c>
      <c r="U111" s="67"/>
      <c r="V111" s="67">
        <f ca="1">IFERROR(__xludf.DUMMYFUNCTION("""COMPUTED_VALUE"""),1107)</f>
        <v>1107</v>
      </c>
      <c r="W111" s="67"/>
      <c r="X111" s="67">
        <f ca="1">IFERROR(__xludf.DUMMYFUNCTION("""COMPUTED_VALUE"""),95)</f>
        <v>95</v>
      </c>
      <c r="Y111" s="67"/>
      <c r="Z111" s="2"/>
      <c r="AA111" s="2"/>
      <c r="AB111" s="2"/>
      <c r="AC111" s="2"/>
      <c r="AD111" s="2"/>
      <c r="AE111" s="2"/>
    </row>
    <row r="112" spans="1:31" ht="12.75" x14ac:dyDescent="0.2">
      <c r="A112" s="53">
        <f ca="1">IFERROR(__xludf.DUMMYFUNCTION("""COMPUTED_VALUE"""),11)</f>
        <v>11</v>
      </c>
      <c r="B112" s="66" t="str">
        <f ca="1">IFERROR(__xludf.DUMMYFUNCTION("""COMPUTED_VALUE"""),"Trường Hàn Quốc")</f>
        <v>Trường Hàn Quốc</v>
      </c>
      <c r="C112" s="66" t="str">
        <f ca="1">IFERROR(__xludf.DUMMYFUNCTION("""COMPUTED_VALUE"""),"THPT")</f>
        <v>THPT</v>
      </c>
      <c r="D112" s="66" t="str">
        <f ca="1">IFERROR(__xludf.DUMMYFUNCTION("""COMPUTED_VALUE"""),"QUẬN 7")</f>
        <v>QUẬN 7</v>
      </c>
      <c r="E112" s="67">
        <f ca="1">IFERROR(__xludf.DUMMYFUNCTION("""COMPUTED_VALUE"""),353)</f>
        <v>353</v>
      </c>
      <c r="F112" s="67">
        <f ca="1">IFERROR(__xludf.DUMMYFUNCTION("""COMPUTED_VALUE"""),353)</f>
        <v>353</v>
      </c>
      <c r="G112" s="67"/>
      <c r="H112" s="67">
        <f ca="1">IFERROR(__xludf.DUMMYFUNCTION("""COMPUTED_VALUE"""),353)</f>
        <v>353</v>
      </c>
      <c r="I112" s="67"/>
      <c r="J112" s="67">
        <f ca="1">IFERROR(__xludf.DUMMYFUNCTION("""COMPUTED_VALUE"""),346)</f>
        <v>346</v>
      </c>
      <c r="K112" s="67"/>
      <c r="L112" s="67">
        <f ca="1">IFERROR(__xludf.DUMMYFUNCTION("""COMPUTED_VALUE"""),90)</f>
        <v>90</v>
      </c>
      <c r="M112" s="67"/>
      <c r="N112" s="67">
        <f ca="1">IFERROR(__xludf.DUMMYFUNCTION("""COMPUTED_VALUE"""),1050)</f>
        <v>1050</v>
      </c>
      <c r="O112" s="67">
        <f ca="1">IFERROR(__xludf.DUMMYFUNCTION("""COMPUTED_VALUE"""),198)</f>
        <v>198</v>
      </c>
      <c r="P112" s="67"/>
      <c r="Q112" s="67">
        <f ca="1">IFERROR(__xludf.DUMMYFUNCTION("""COMPUTED_VALUE"""),96)</f>
        <v>96</v>
      </c>
      <c r="R112" s="67"/>
      <c r="S112" s="66">
        <f ca="1">IFERROR(__xludf.DUMMYFUNCTION("""COMPUTED_VALUE"""),975)</f>
        <v>975</v>
      </c>
      <c r="T112" s="66">
        <f ca="1">IFERROR(__xludf.DUMMYFUNCTION("""COMPUTED_VALUE"""),967)</f>
        <v>967</v>
      </c>
      <c r="U112" s="66"/>
      <c r="V112" s="66">
        <f ca="1">IFERROR(__xludf.DUMMYFUNCTION("""COMPUTED_VALUE"""),967)</f>
        <v>967</v>
      </c>
      <c r="W112" s="66"/>
      <c r="X112" s="66">
        <f ca="1">IFERROR(__xludf.DUMMYFUNCTION("""COMPUTED_VALUE"""),272)</f>
        <v>272</v>
      </c>
      <c r="Y112" s="66"/>
      <c r="Z112" s="2"/>
      <c r="AA112" s="2"/>
      <c r="AB112" s="2"/>
      <c r="AC112" s="2"/>
      <c r="AD112" s="2"/>
      <c r="AE112" s="2"/>
    </row>
    <row r="113" spans="1:31" ht="12.75" x14ac:dyDescent="0.2">
      <c r="A113" s="53">
        <f ca="1">IFERROR(__xludf.DUMMYFUNCTION("""COMPUTED_VALUE"""),12)</f>
        <v>12</v>
      </c>
      <c r="B113" s="66" t="str">
        <f ca="1">IFERROR(__xludf.DUMMYFUNCTION("""COMPUTED_VALUE"""),"Trường Sao Việt")</f>
        <v>Trường Sao Việt</v>
      </c>
      <c r="C113" s="66" t="str">
        <f ca="1">IFERROR(__xludf.DUMMYFUNCTION("""COMPUTED_VALUE"""),"THPT")</f>
        <v>THPT</v>
      </c>
      <c r="D113" s="66" t="str">
        <f ca="1">IFERROR(__xludf.DUMMYFUNCTION("""COMPUTED_VALUE"""),"QUẬN 7")</f>
        <v>QUẬN 7</v>
      </c>
      <c r="E113" s="67">
        <f ca="1">IFERROR(__xludf.DUMMYFUNCTION("""COMPUTED_VALUE"""),440)</f>
        <v>440</v>
      </c>
      <c r="F113" s="67">
        <f ca="1">IFERROR(__xludf.DUMMYFUNCTION("""COMPUTED_VALUE"""),440)</f>
        <v>440</v>
      </c>
      <c r="G113" s="67"/>
      <c r="H113" s="67">
        <f ca="1">IFERROR(__xludf.DUMMYFUNCTION("""COMPUTED_VALUE"""),440)</f>
        <v>440</v>
      </c>
      <c r="I113" s="67"/>
      <c r="J113" s="67">
        <f ca="1">IFERROR(__xludf.DUMMYFUNCTION("""COMPUTED_VALUE"""),361)</f>
        <v>361</v>
      </c>
      <c r="K113" s="67"/>
      <c r="L113" s="67">
        <f ca="1">IFERROR(__xludf.DUMMYFUNCTION("""COMPUTED_VALUE"""),141)</f>
        <v>141</v>
      </c>
      <c r="M113" s="67"/>
      <c r="N113" s="67">
        <f ca="1">IFERROR(__xludf.DUMMYFUNCTION("""COMPUTED_VALUE"""),1171)</f>
        <v>1171</v>
      </c>
      <c r="O113" s="67">
        <f ca="1">IFERROR(__xludf.DUMMYFUNCTION("""COMPUTED_VALUE"""),363)</f>
        <v>363</v>
      </c>
      <c r="P113" s="67"/>
      <c r="Q113" s="67">
        <f ca="1">IFERROR(__xludf.DUMMYFUNCTION("""COMPUTED_VALUE"""),269)</f>
        <v>269</v>
      </c>
      <c r="R113" s="67"/>
      <c r="S113" s="67">
        <f ca="1">IFERROR(__xludf.DUMMYFUNCTION("""COMPUTED_VALUE"""),715)</f>
        <v>715</v>
      </c>
      <c r="T113" s="66">
        <f ca="1">IFERROR(__xludf.DUMMYFUNCTION("""COMPUTED_VALUE"""),693)</f>
        <v>693</v>
      </c>
      <c r="U113" s="66"/>
      <c r="V113" s="67">
        <f ca="1">IFERROR(__xludf.DUMMYFUNCTION("""COMPUTED_VALUE"""),679)</f>
        <v>679</v>
      </c>
      <c r="W113" s="67"/>
      <c r="X113" s="67">
        <f ca="1">IFERROR(__xludf.DUMMYFUNCTION("""COMPUTED_VALUE"""),208)</f>
        <v>208</v>
      </c>
      <c r="Y113" s="67"/>
      <c r="Z113" s="2"/>
      <c r="AA113" s="2"/>
      <c r="AB113" s="2"/>
      <c r="AC113" s="2"/>
      <c r="AD113" s="2"/>
      <c r="AE113" s="2"/>
    </row>
    <row r="114" spans="1:31" ht="12.75" x14ac:dyDescent="0.2">
      <c r="A114" s="53">
        <f ca="1">IFERROR(__xludf.DUMMYFUNCTION("""COMPUTED_VALUE"""),13)</f>
        <v>13</v>
      </c>
      <c r="B114" s="66" t="str">
        <f ca="1">IFERROR(__xludf.DUMMYFUNCTION("""COMPUTED_VALUE"""),"QT Nam Sài Gòn")</f>
        <v>QT Nam Sài Gòn</v>
      </c>
      <c r="C114" s="66" t="str">
        <f ca="1">IFERROR(__xludf.DUMMYFUNCTION("""COMPUTED_VALUE"""),"THPT")</f>
        <v>THPT</v>
      </c>
      <c r="D114" s="66" t="str">
        <f ca="1">IFERROR(__xludf.DUMMYFUNCTION("""COMPUTED_VALUE"""),"QUẬN 7")</f>
        <v>QUẬN 7</v>
      </c>
      <c r="E114" s="67">
        <f ca="1">IFERROR(__xludf.DUMMYFUNCTION("""COMPUTED_VALUE"""),342)</f>
        <v>342</v>
      </c>
      <c r="F114" s="67">
        <f ca="1">IFERROR(__xludf.DUMMYFUNCTION("""COMPUTED_VALUE"""),342)</f>
        <v>342</v>
      </c>
      <c r="G114" s="67"/>
      <c r="H114" s="67">
        <f ca="1">IFERROR(__xludf.DUMMYFUNCTION("""COMPUTED_VALUE"""),342)</f>
        <v>342</v>
      </c>
      <c r="I114" s="67"/>
      <c r="J114" s="67">
        <f ca="1">IFERROR(__xludf.DUMMYFUNCTION("""COMPUTED_VALUE"""),222)</f>
        <v>222</v>
      </c>
      <c r="K114" s="67"/>
      <c r="L114" s="67">
        <f ca="1">IFERROR(__xludf.DUMMYFUNCTION("""COMPUTED_VALUE"""),49)</f>
        <v>49</v>
      </c>
      <c r="M114" s="67"/>
      <c r="N114" s="67">
        <f ca="1">IFERROR(__xludf.DUMMYFUNCTION("""COMPUTED_VALUE"""),611)</f>
        <v>611</v>
      </c>
      <c r="O114" s="67">
        <f ca="1">IFERROR(__xludf.DUMMYFUNCTION("""COMPUTED_VALUE"""),163)</f>
        <v>163</v>
      </c>
      <c r="P114" s="67"/>
      <c r="Q114" s="67">
        <f ca="1">IFERROR(__xludf.DUMMYFUNCTION("""COMPUTED_VALUE"""),83)</f>
        <v>83</v>
      </c>
      <c r="R114" s="67"/>
      <c r="S114" s="67">
        <f ca="1">IFERROR(__xludf.DUMMYFUNCTION("""COMPUTED_VALUE"""),609)</f>
        <v>609</v>
      </c>
      <c r="T114" s="67">
        <f ca="1">IFERROR(__xludf.DUMMYFUNCTION("""COMPUTED_VALUE"""),517)</f>
        <v>517</v>
      </c>
      <c r="U114" s="67"/>
      <c r="V114" s="67">
        <f ca="1">IFERROR(__xludf.DUMMYFUNCTION("""COMPUTED_VALUE"""),504)</f>
        <v>504</v>
      </c>
      <c r="W114" s="67"/>
      <c r="X114" s="67">
        <f ca="1">IFERROR(__xludf.DUMMYFUNCTION("""COMPUTED_VALUE"""),154)</f>
        <v>154</v>
      </c>
      <c r="Y114" s="67"/>
      <c r="Z114" s="2"/>
      <c r="AA114" s="2"/>
      <c r="AB114" s="2"/>
      <c r="AC114" s="2"/>
      <c r="AD114" s="2"/>
      <c r="AE114" s="2"/>
    </row>
    <row r="115" spans="1:31" ht="12.75" x14ac:dyDescent="0.2">
      <c r="A115" s="53">
        <f ca="1">IFERROR(__xludf.DUMMYFUNCTION("""COMPUTED_VALUE"""),14)</f>
        <v>14</v>
      </c>
      <c r="B115" s="66" t="str">
        <f ca="1">IFERROR(__xludf.DUMMYFUNCTION("""COMPUTED_VALUE"""),"TH-THCS-THPT Nam Sài Gòn")</f>
        <v>TH-THCS-THPT Nam Sài Gòn</v>
      </c>
      <c r="C115" s="66" t="str">
        <f ca="1">IFERROR(__xludf.DUMMYFUNCTION("""COMPUTED_VALUE"""),"THPT")</f>
        <v>THPT</v>
      </c>
      <c r="D115" s="66" t="str">
        <f ca="1">IFERROR(__xludf.DUMMYFUNCTION("""COMPUTED_VALUE"""),"QUẬN 7")</f>
        <v>QUẬN 7</v>
      </c>
      <c r="E115" s="67">
        <f ca="1">IFERROR(__xludf.DUMMYFUNCTION("""COMPUTED_VALUE"""),190)</f>
        <v>190</v>
      </c>
      <c r="F115" s="67">
        <f ca="1">IFERROR(__xludf.DUMMYFUNCTION("""COMPUTED_VALUE"""),190)</f>
        <v>190</v>
      </c>
      <c r="G115" s="67"/>
      <c r="H115" s="67">
        <f ca="1">IFERROR(__xludf.DUMMYFUNCTION("""COMPUTED_VALUE"""),190)</f>
        <v>190</v>
      </c>
      <c r="I115" s="67"/>
      <c r="J115" s="67">
        <f ca="1">IFERROR(__xludf.DUMMYFUNCTION("""COMPUTED_VALUE"""),176)</f>
        <v>176</v>
      </c>
      <c r="K115" s="67"/>
      <c r="L115" s="67">
        <f ca="1">IFERROR(__xludf.DUMMYFUNCTION("""COMPUTED_VALUE"""),105)</f>
        <v>105</v>
      </c>
      <c r="M115" s="67"/>
      <c r="N115" s="67">
        <f ca="1">IFERROR(__xludf.DUMMYFUNCTION("""COMPUTED_VALUE"""),1471)</f>
        <v>1471</v>
      </c>
      <c r="O115" s="67">
        <f ca="1">IFERROR(__xludf.DUMMYFUNCTION("""COMPUTED_VALUE"""),420)</f>
        <v>420</v>
      </c>
      <c r="P115" s="67"/>
      <c r="Q115" s="67">
        <f ca="1">IFERROR(__xludf.DUMMYFUNCTION("""COMPUTED_VALUE"""),206)</f>
        <v>206</v>
      </c>
      <c r="R115" s="67"/>
      <c r="S115" s="67">
        <f ca="1">IFERROR(__xludf.DUMMYFUNCTION("""COMPUTED_VALUE"""),1435)</f>
        <v>1435</v>
      </c>
      <c r="T115" s="66">
        <f ca="1">IFERROR(__xludf.DUMMYFUNCTION("""COMPUTED_VALUE"""),1232)</f>
        <v>1232</v>
      </c>
      <c r="U115" s="66"/>
      <c r="V115" s="67">
        <f ca="1">IFERROR(__xludf.DUMMYFUNCTION("""COMPUTED_VALUE"""),1158)</f>
        <v>1158</v>
      </c>
      <c r="W115" s="67"/>
      <c r="X115" s="67">
        <f ca="1">IFERROR(__xludf.DUMMYFUNCTION("""COMPUTED_VALUE"""),403)</f>
        <v>403</v>
      </c>
      <c r="Y115" s="67"/>
      <c r="Z115" s="2"/>
      <c r="AA115" s="2"/>
      <c r="AB115" s="2"/>
      <c r="AC115" s="2"/>
      <c r="AD115" s="2"/>
      <c r="AE115" s="2"/>
    </row>
    <row r="116" spans="1:31" ht="12.75" x14ac:dyDescent="0.2">
      <c r="A116" s="53">
        <f ca="1">IFERROR(__xludf.DUMMYFUNCTION("""COMPUTED_VALUE"""),15)</f>
        <v>15</v>
      </c>
      <c r="B116" s="66" t="str">
        <f ca="1">IFERROR(__xludf.DUMMYFUNCTION("""COMPUTED_VALUE"""),"TH-THCS-THPT Hoàng Gia")</f>
        <v>TH-THCS-THPT Hoàng Gia</v>
      </c>
      <c r="C116" s="66" t="str">
        <f ca="1">IFERROR(__xludf.DUMMYFUNCTION("""COMPUTED_VALUE"""),"THPT")</f>
        <v>THPT</v>
      </c>
      <c r="D116" s="66" t="str">
        <f ca="1">IFERROR(__xludf.DUMMYFUNCTION("""COMPUTED_VALUE"""),"QUẬN 7")</f>
        <v>QUẬN 7</v>
      </c>
      <c r="E116" s="67">
        <f ca="1">IFERROR(__xludf.DUMMYFUNCTION("""COMPUTED_VALUE"""),249)</f>
        <v>249</v>
      </c>
      <c r="F116" s="67">
        <f ca="1">IFERROR(__xludf.DUMMYFUNCTION("""COMPUTED_VALUE"""),249)</f>
        <v>249</v>
      </c>
      <c r="G116" s="67"/>
      <c r="H116" s="67">
        <f ca="1">IFERROR(__xludf.DUMMYFUNCTION("""COMPUTED_VALUE"""),249)</f>
        <v>249</v>
      </c>
      <c r="I116" s="67"/>
      <c r="J116" s="67">
        <f ca="1">IFERROR(__xludf.DUMMYFUNCTION("""COMPUTED_VALUE"""),206)</f>
        <v>206</v>
      </c>
      <c r="K116" s="67"/>
      <c r="L116" s="67">
        <f ca="1">IFERROR(__xludf.DUMMYFUNCTION("""COMPUTED_VALUE"""),142)</f>
        <v>142</v>
      </c>
      <c r="M116" s="67"/>
      <c r="N116" s="67">
        <f ca="1">IFERROR(__xludf.DUMMYFUNCTION("""COMPUTED_VALUE"""),904)</f>
        <v>904</v>
      </c>
      <c r="O116" s="67">
        <f ca="1">IFERROR(__xludf.DUMMYFUNCTION("""COMPUTED_VALUE"""),159)</f>
        <v>159</v>
      </c>
      <c r="P116" s="67"/>
      <c r="Q116" s="67">
        <f ca="1">IFERROR(__xludf.DUMMYFUNCTION("""COMPUTED_VALUE"""),147)</f>
        <v>147</v>
      </c>
      <c r="R116" s="67"/>
      <c r="S116" s="67">
        <f ca="1">IFERROR(__xludf.DUMMYFUNCTION("""COMPUTED_VALUE"""),274)</f>
        <v>274</v>
      </c>
      <c r="T116" s="67">
        <f ca="1">IFERROR(__xludf.DUMMYFUNCTION("""COMPUTED_VALUE"""),267)</f>
        <v>267</v>
      </c>
      <c r="U116" s="67"/>
      <c r="V116" s="67">
        <f ca="1">IFERROR(__xludf.DUMMYFUNCTION("""COMPUTED_VALUE"""),267)</f>
        <v>267</v>
      </c>
      <c r="W116" s="67"/>
      <c r="X116" s="67">
        <f ca="1">IFERROR(__xludf.DUMMYFUNCTION("""COMPUTED_VALUE"""),84)</f>
        <v>84</v>
      </c>
      <c r="Y116" s="67"/>
      <c r="Z116" s="2"/>
      <c r="AA116" s="2"/>
      <c r="AB116" s="2"/>
      <c r="AC116" s="2"/>
      <c r="AD116" s="2"/>
      <c r="AE116" s="2"/>
    </row>
    <row r="117" spans="1:31" ht="12.75" x14ac:dyDescent="0.2">
      <c r="A117" s="53">
        <f ca="1">IFERROR(__xludf.DUMMYFUNCTION("""COMPUTED_VALUE"""),16)</f>
        <v>16</v>
      </c>
      <c r="B117" s="66" t="str">
        <f ca="1">IFERROR(__xludf.DUMMYFUNCTION("""COMPUTED_VALUE"""),"Trường Đài Bắc")</f>
        <v>Trường Đài Bắc</v>
      </c>
      <c r="C117" s="66" t="str">
        <f ca="1">IFERROR(__xludf.DUMMYFUNCTION("""COMPUTED_VALUE"""),"THPT")</f>
        <v>THPT</v>
      </c>
      <c r="D117" s="66" t="str">
        <f ca="1">IFERROR(__xludf.DUMMYFUNCTION("""COMPUTED_VALUE"""),"QUẬN 7")</f>
        <v>QUẬN 7</v>
      </c>
      <c r="E117" s="67">
        <f ca="1">IFERROR(__xludf.DUMMYFUNCTION("""COMPUTED_VALUE"""),115)</f>
        <v>115</v>
      </c>
      <c r="F117" s="67">
        <f ca="1">IFERROR(__xludf.DUMMYFUNCTION("""COMPUTED_VALUE"""),114)</f>
        <v>114</v>
      </c>
      <c r="G117" s="67"/>
      <c r="H117" s="67">
        <f ca="1">IFERROR(__xludf.DUMMYFUNCTION("""COMPUTED_VALUE"""),114)</f>
        <v>114</v>
      </c>
      <c r="I117" s="67"/>
      <c r="J117" s="67">
        <f ca="1">IFERROR(__xludf.DUMMYFUNCTION("""COMPUTED_VALUE"""),109)</f>
        <v>109</v>
      </c>
      <c r="K117" s="67"/>
      <c r="L117" s="67">
        <f ca="1">IFERROR(__xludf.DUMMYFUNCTION("""COMPUTED_VALUE"""),33)</f>
        <v>33</v>
      </c>
      <c r="M117" s="67"/>
      <c r="N117" s="67">
        <f ca="1">IFERROR(__xludf.DUMMYFUNCTION("""COMPUTED_VALUE"""),595)</f>
        <v>595</v>
      </c>
      <c r="O117" s="67">
        <f ca="1">IFERROR(__xludf.DUMMYFUNCTION("""COMPUTED_VALUE"""),495)</f>
        <v>495</v>
      </c>
      <c r="P117" s="67"/>
      <c r="Q117" s="67">
        <f ca="1">IFERROR(__xludf.DUMMYFUNCTION("""COMPUTED_VALUE"""),361)</f>
        <v>361</v>
      </c>
      <c r="R117" s="67"/>
      <c r="S117" s="67">
        <f ca="1">IFERROR(__xludf.DUMMYFUNCTION("""COMPUTED_VALUE"""),481)</f>
        <v>481</v>
      </c>
      <c r="T117" s="67">
        <f ca="1">IFERROR(__xludf.DUMMYFUNCTION("""COMPUTED_VALUE"""),481)</f>
        <v>481</v>
      </c>
      <c r="U117" s="67"/>
      <c r="V117" s="67">
        <f ca="1">IFERROR(__xludf.DUMMYFUNCTION("""COMPUTED_VALUE"""),477)</f>
        <v>477</v>
      </c>
      <c r="W117" s="67"/>
      <c r="X117" s="67">
        <f ca="1">IFERROR(__xludf.DUMMYFUNCTION("""COMPUTED_VALUE"""),246)</f>
        <v>246</v>
      </c>
      <c r="Y117" s="67"/>
      <c r="Z117" s="2"/>
      <c r="AA117" s="2"/>
      <c r="AB117" s="2"/>
      <c r="AC117" s="2"/>
      <c r="AD117" s="2"/>
      <c r="AE117" s="2"/>
    </row>
    <row r="118" spans="1:31" ht="12.75" x14ac:dyDescent="0.2">
      <c r="A118" s="53">
        <f ca="1">IFERROR(__xludf.DUMMYFUNCTION("""COMPUTED_VALUE"""),17)</f>
        <v>17</v>
      </c>
      <c r="B118" s="66" t="str">
        <f ca="1">IFERROR(__xludf.DUMMYFUNCTION("""COMPUTED_VALUE"""),"Quốc tế Khai Sáng")</f>
        <v>Quốc tế Khai Sáng</v>
      </c>
      <c r="C118" s="66" t="str">
        <f ca="1">IFERROR(__xludf.DUMMYFUNCTION("""COMPUTED_VALUE"""),"THPT")</f>
        <v>THPT</v>
      </c>
      <c r="D118" s="66" t="str">
        <f ca="1">IFERROR(__xludf.DUMMYFUNCTION("""COMPUTED_VALUE"""),"QUẬN 7")</f>
        <v>QUẬN 7</v>
      </c>
      <c r="E118" s="67">
        <f ca="1">IFERROR(__xludf.DUMMYFUNCTION("""COMPUTED_VALUE"""),166)</f>
        <v>166</v>
      </c>
      <c r="F118" s="67">
        <f ca="1">IFERROR(__xludf.DUMMYFUNCTION("""COMPUTED_VALUE"""),166)</f>
        <v>166</v>
      </c>
      <c r="G118" s="67"/>
      <c r="H118" s="67">
        <f ca="1">IFERROR(__xludf.DUMMYFUNCTION("""COMPUTED_VALUE"""),166)</f>
        <v>166</v>
      </c>
      <c r="I118" s="67"/>
      <c r="J118" s="67">
        <f ca="1">IFERROR(__xludf.DUMMYFUNCTION("""COMPUTED_VALUE"""),110)</f>
        <v>110</v>
      </c>
      <c r="K118" s="67"/>
      <c r="L118" s="67">
        <f ca="1">IFERROR(__xludf.DUMMYFUNCTION("""COMPUTED_VALUE"""),68)</f>
        <v>68</v>
      </c>
      <c r="M118" s="67"/>
      <c r="N118" s="67">
        <f ca="1">IFERROR(__xludf.DUMMYFUNCTION("""COMPUTED_VALUE"""),171)</f>
        <v>171</v>
      </c>
      <c r="O118" s="67">
        <f ca="1">IFERROR(__xludf.DUMMYFUNCTION("""COMPUTED_VALUE"""),30)</f>
        <v>30</v>
      </c>
      <c r="P118" s="67"/>
      <c r="Q118" s="67">
        <f ca="1">IFERROR(__xludf.DUMMYFUNCTION("""COMPUTED_VALUE"""),20)</f>
        <v>20</v>
      </c>
      <c r="R118" s="67"/>
      <c r="S118" s="67">
        <f ca="1">IFERROR(__xludf.DUMMYFUNCTION("""COMPUTED_VALUE"""),226)</f>
        <v>226</v>
      </c>
      <c r="T118" s="66">
        <f ca="1">IFERROR(__xludf.DUMMYFUNCTION("""COMPUTED_VALUE"""),157)</f>
        <v>157</v>
      </c>
      <c r="U118" s="66"/>
      <c r="V118" s="67">
        <f ca="1">IFERROR(__xludf.DUMMYFUNCTION("""COMPUTED_VALUE"""),157)</f>
        <v>157</v>
      </c>
      <c r="W118" s="67"/>
      <c r="X118" s="67">
        <f ca="1">IFERROR(__xludf.DUMMYFUNCTION("""COMPUTED_VALUE"""),47)</f>
        <v>47</v>
      </c>
      <c r="Y118" s="67"/>
      <c r="Z118" s="2"/>
      <c r="AA118" s="2"/>
      <c r="AB118" s="2"/>
      <c r="AC118" s="2"/>
      <c r="AD118" s="2"/>
      <c r="AE118" s="2"/>
    </row>
    <row r="119" spans="1:31" ht="12.75" x14ac:dyDescent="0.2">
      <c r="A119" s="53">
        <f ca="1">IFERROR(__xludf.DUMMYFUNCTION("""COMPUTED_VALUE"""),18)</f>
        <v>18</v>
      </c>
      <c r="B119" s="66" t="str">
        <f ca="1">IFERROR(__xludf.DUMMYFUNCTION("""COMPUTED_VALUE"""),"TH.THCS.THPT Việt Úc (CS2)")</f>
        <v>TH.THCS.THPT Việt Úc (CS2)</v>
      </c>
      <c r="C119" s="66" t="str">
        <f ca="1">IFERROR(__xludf.DUMMYFUNCTION("""COMPUTED_VALUE"""),"THPT")</f>
        <v>THPT</v>
      </c>
      <c r="D119" s="66" t="str">
        <f ca="1">IFERROR(__xludf.DUMMYFUNCTION("""COMPUTED_VALUE"""),"QUẬN 7")</f>
        <v>QUẬN 7</v>
      </c>
      <c r="E119" s="67">
        <f ca="1">IFERROR(__xludf.DUMMYFUNCTION("""COMPUTED_VALUE"""),127)</f>
        <v>127</v>
      </c>
      <c r="F119" s="67">
        <f ca="1">IFERROR(__xludf.DUMMYFUNCTION("""COMPUTED_VALUE"""),127)</f>
        <v>127</v>
      </c>
      <c r="G119" s="67"/>
      <c r="H119" s="67">
        <f ca="1">IFERROR(__xludf.DUMMYFUNCTION("""COMPUTED_VALUE"""),127)</f>
        <v>127</v>
      </c>
      <c r="I119" s="67"/>
      <c r="J119" s="67">
        <f ca="1">IFERROR(__xludf.DUMMYFUNCTION("""COMPUTED_VALUE"""),88)</f>
        <v>88</v>
      </c>
      <c r="K119" s="67"/>
      <c r="L119" s="67">
        <f ca="1">IFERROR(__xludf.DUMMYFUNCTION("""COMPUTED_VALUE"""),10)</f>
        <v>10</v>
      </c>
      <c r="M119" s="67"/>
      <c r="N119" s="67">
        <f ca="1">IFERROR(__xludf.DUMMYFUNCTION("""COMPUTED_VALUE"""),336)</f>
        <v>336</v>
      </c>
      <c r="O119" s="67">
        <f ca="1">IFERROR(__xludf.DUMMYFUNCTION("""COMPUTED_VALUE"""),49)</f>
        <v>49</v>
      </c>
      <c r="P119" s="67"/>
      <c r="Q119" s="67">
        <f ca="1">IFERROR(__xludf.DUMMYFUNCTION("""COMPUTED_VALUE"""),22)</f>
        <v>22</v>
      </c>
      <c r="R119" s="67"/>
      <c r="S119" s="67">
        <f ca="1">IFERROR(__xludf.DUMMYFUNCTION("""COMPUTED_VALUE"""),173)</f>
        <v>173</v>
      </c>
      <c r="T119" s="66">
        <f ca="1">IFERROR(__xludf.DUMMYFUNCTION("""COMPUTED_VALUE"""),123)</f>
        <v>123</v>
      </c>
      <c r="U119" s="66"/>
      <c r="V119" s="67">
        <f ca="1">IFERROR(__xludf.DUMMYFUNCTION("""COMPUTED_VALUE"""),121)</f>
        <v>121</v>
      </c>
      <c r="W119" s="67"/>
      <c r="X119" s="67">
        <f ca="1">IFERROR(__xludf.DUMMYFUNCTION("""COMPUTED_VALUE"""),24)</f>
        <v>24</v>
      </c>
      <c r="Y119" s="67"/>
      <c r="Z119" s="2"/>
      <c r="AA119" s="2"/>
      <c r="AB119" s="2"/>
      <c r="AC119" s="2"/>
      <c r="AD119" s="2"/>
      <c r="AE119" s="2"/>
    </row>
    <row r="120" spans="1:31" ht="12.75" x14ac:dyDescent="0.2">
      <c r="A120" s="53">
        <f ca="1">IFERROR(__xludf.DUMMYFUNCTION("""COMPUTED_VALUE"""),19)</f>
        <v>19</v>
      </c>
      <c r="B120" s="66" t="str">
        <f ca="1">IFERROR(__xludf.DUMMYFUNCTION("""COMPUTED_VALUE"""),"Trung tâm GDNN-GDTX")</f>
        <v>Trung tâm GDNN-GDTX</v>
      </c>
      <c r="C120" s="66" t="str">
        <f ca="1">IFERROR(__xludf.DUMMYFUNCTION("""COMPUTED_VALUE"""),"THPT")</f>
        <v>THPT</v>
      </c>
      <c r="D120" s="66" t="str">
        <f ca="1">IFERROR(__xludf.DUMMYFUNCTION("""COMPUTED_VALUE"""),"QUẬN 7")</f>
        <v>QUẬN 7</v>
      </c>
      <c r="E120" s="67">
        <f ca="1">IFERROR(__xludf.DUMMYFUNCTION("""COMPUTED_VALUE"""),36)</f>
        <v>36</v>
      </c>
      <c r="F120" s="67">
        <f ca="1">IFERROR(__xludf.DUMMYFUNCTION("""COMPUTED_VALUE"""),36)</f>
        <v>36</v>
      </c>
      <c r="G120" s="67"/>
      <c r="H120" s="67">
        <f ca="1">IFERROR(__xludf.DUMMYFUNCTION("""COMPUTED_VALUE"""),36)</f>
        <v>36</v>
      </c>
      <c r="I120" s="67"/>
      <c r="J120" s="67">
        <f ca="1">IFERROR(__xludf.DUMMYFUNCTION("""COMPUTED_VALUE"""),35)</f>
        <v>35</v>
      </c>
      <c r="K120" s="67"/>
      <c r="L120" s="67">
        <f ca="1">IFERROR(__xludf.DUMMYFUNCTION("""COMPUTED_VALUE"""),33)</f>
        <v>33</v>
      </c>
      <c r="M120" s="67"/>
      <c r="N120" s="67">
        <f ca="1">IFERROR(__xludf.DUMMYFUNCTION("""COMPUTED_VALUE"""),13)</f>
        <v>13</v>
      </c>
      <c r="O120" s="67">
        <f ca="1">IFERROR(__xludf.DUMMYFUNCTION("""COMPUTED_VALUE"""),13)</f>
        <v>13</v>
      </c>
      <c r="P120" s="67"/>
      <c r="Q120" s="67">
        <f ca="1">IFERROR(__xludf.DUMMYFUNCTION("""COMPUTED_VALUE"""),13)</f>
        <v>13</v>
      </c>
      <c r="R120" s="67"/>
      <c r="S120" s="66">
        <f ca="1">IFERROR(__xludf.DUMMYFUNCTION("""COMPUTED_VALUE"""),849)</f>
        <v>849</v>
      </c>
      <c r="T120" s="66">
        <f ca="1">IFERROR(__xludf.DUMMYFUNCTION("""COMPUTED_VALUE"""),849)</f>
        <v>849</v>
      </c>
      <c r="U120" s="66"/>
      <c r="V120" s="66">
        <f ca="1">IFERROR(__xludf.DUMMYFUNCTION("""COMPUTED_VALUE"""),837)</f>
        <v>837</v>
      </c>
      <c r="W120" s="66"/>
      <c r="X120" s="66">
        <f ca="1">IFERROR(__xludf.DUMMYFUNCTION("""COMPUTED_VALUE"""),313)</f>
        <v>313</v>
      </c>
      <c r="Y120" s="66"/>
      <c r="Z120" s="2"/>
      <c r="AA120" s="2"/>
      <c r="AB120" s="2"/>
      <c r="AC120" s="2"/>
      <c r="AD120" s="2"/>
      <c r="AE120" s="2"/>
    </row>
    <row r="121" spans="1:31" ht="12.75" x14ac:dyDescent="0.2">
      <c r="A121" s="53">
        <f ca="1">IFERROR(__xludf.DUMMYFUNCTION("""COMPUTED_VALUE"""),20)</f>
        <v>20</v>
      </c>
      <c r="B121" s="66" t="str">
        <f ca="1">IFERROR(__xludf.DUMMYFUNCTION("""COMPUTED_VALUE"""),"Trường Nguyễn Hữu Cảnh")</f>
        <v>Trường Nguyễn Hữu Cảnh</v>
      </c>
      <c r="C121" s="66" t="str">
        <f ca="1">IFERROR(__xludf.DUMMYFUNCTION("""COMPUTED_VALUE"""),"THPT")</f>
        <v>THPT</v>
      </c>
      <c r="D121" s="66" t="str">
        <f ca="1">IFERROR(__xludf.DUMMYFUNCTION("""COMPUTED_VALUE"""),"QUẬN 7")</f>
        <v>QUẬN 7</v>
      </c>
      <c r="E121" s="67">
        <f ca="1">IFERROR(__xludf.DUMMYFUNCTION("""COMPUTED_VALUE"""),100)</f>
        <v>100</v>
      </c>
      <c r="F121" s="67">
        <f ca="1">IFERROR(__xludf.DUMMYFUNCTION("""COMPUTED_VALUE"""),100)</f>
        <v>100</v>
      </c>
      <c r="G121" s="67"/>
      <c r="H121" s="67">
        <f ca="1">IFERROR(__xludf.DUMMYFUNCTION("""COMPUTED_VALUE"""),100)</f>
        <v>100</v>
      </c>
      <c r="I121" s="67"/>
      <c r="J121" s="67">
        <f ca="1">IFERROR(__xludf.DUMMYFUNCTION("""COMPUTED_VALUE"""),96)</f>
        <v>96</v>
      </c>
      <c r="K121" s="67"/>
      <c r="L121" s="67">
        <f ca="1">IFERROR(__xludf.DUMMYFUNCTION("""COMPUTED_VALUE"""),53)</f>
        <v>53</v>
      </c>
      <c r="M121" s="67"/>
      <c r="N121" s="67">
        <f ca="1">IFERROR(__xludf.DUMMYFUNCTION("""COMPUTED_VALUE"""),0)</f>
        <v>0</v>
      </c>
      <c r="O121" s="67">
        <f ca="1">IFERROR(__xludf.DUMMYFUNCTION("""COMPUTED_VALUE"""),0)</f>
        <v>0</v>
      </c>
      <c r="P121" s="67"/>
      <c r="Q121" s="67">
        <f ca="1">IFERROR(__xludf.DUMMYFUNCTION("""COMPUTED_VALUE"""),0)</f>
        <v>0</v>
      </c>
      <c r="R121" s="67"/>
      <c r="S121" s="67">
        <f ca="1">IFERROR(__xludf.DUMMYFUNCTION("""COMPUTED_VALUE"""),968)</f>
        <v>968</v>
      </c>
      <c r="T121" s="66">
        <f ca="1">IFERROR(__xludf.DUMMYFUNCTION("""COMPUTED_VALUE"""),963)</f>
        <v>963</v>
      </c>
      <c r="U121" s="66"/>
      <c r="V121" s="67">
        <f ca="1">IFERROR(__xludf.DUMMYFUNCTION("""COMPUTED_VALUE"""),960)</f>
        <v>960</v>
      </c>
      <c r="W121" s="67"/>
      <c r="X121" s="67">
        <f ca="1">IFERROR(__xludf.DUMMYFUNCTION("""COMPUTED_VALUE"""),493)</f>
        <v>493</v>
      </c>
      <c r="Y121" s="67"/>
      <c r="Z121" s="2"/>
      <c r="AA121" s="2"/>
      <c r="AB121" s="2"/>
      <c r="AC121" s="2"/>
      <c r="AD121" s="2"/>
      <c r="AE121" s="2"/>
    </row>
    <row r="122" spans="1:31" ht="12.75" x14ac:dyDescent="0.2">
      <c r="A122" s="53">
        <f ca="1">IFERROR(__xludf.DUMMYFUNCTION("""COMPUTED_VALUE"""),21)</f>
        <v>21</v>
      </c>
      <c r="B122" s="66" t="str">
        <f ca="1">IFERROR(__xludf.DUMMYFUNCTION("""COMPUTED_VALUE"""),"Trường Cao đẳng Đường Thủy 2")</f>
        <v>Trường Cao đẳng Đường Thủy 2</v>
      </c>
      <c r="C122" s="66" t="str">
        <f ca="1">IFERROR(__xludf.DUMMYFUNCTION("""COMPUTED_VALUE"""),"THPT")</f>
        <v>THPT</v>
      </c>
      <c r="D122" s="66" t="str">
        <f ca="1">IFERROR(__xludf.DUMMYFUNCTION("""COMPUTED_VALUE"""),"QUẬN 7")</f>
        <v>QUẬN 7</v>
      </c>
      <c r="E122" s="67">
        <f ca="1">IFERROR(__xludf.DUMMYFUNCTION("""COMPUTED_VALUE"""),84)</f>
        <v>84</v>
      </c>
      <c r="F122" s="67">
        <f ca="1">IFERROR(__xludf.DUMMYFUNCTION("""COMPUTED_VALUE"""),84)</f>
        <v>84</v>
      </c>
      <c r="G122" s="67"/>
      <c r="H122" s="67">
        <f ca="1">IFERROR(__xludf.DUMMYFUNCTION("""COMPUTED_VALUE"""),84)</f>
        <v>84</v>
      </c>
      <c r="I122" s="67"/>
      <c r="J122" s="67">
        <f ca="1">IFERROR(__xludf.DUMMYFUNCTION("""COMPUTED_VALUE"""),80)</f>
        <v>80</v>
      </c>
      <c r="K122" s="67"/>
      <c r="L122" s="67">
        <f ca="1">IFERROR(__xludf.DUMMYFUNCTION("""COMPUTED_VALUE"""),25)</f>
        <v>25</v>
      </c>
      <c r="M122" s="67"/>
      <c r="N122" s="67">
        <f ca="1">IFERROR(__xludf.DUMMYFUNCTION("""COMPUTED_VALUE"""),0)</f>
        <v>0</v>
      </c>
      <c r="O122" s="67">
        <f ca="1">IFERROR(__xludf.DUMMYFUNCTION("""COMPUTED_VALUE"""),0)</f>
        <v>0</v>
      </c>
      <c r="P122" s="67"/>
      <c r="Q122" s="67">
        <f ca="1">IFERROR(__xludf.DUMMYFUNCTION("""COMPUTED_VALUE"""),0)</f>
        <v>0</v>
      </c>
      <c r="R122" s="67"/>
      <c r="S122" s="67">
        <f ca="1">IFERROR(__xludf.DUMMYFUNCTION("""COMPUTED_VALUE"""),79)</f>
        <v>79</v>
      </c>
      <c r="T122" s="67">
        <f ca="1">IFERROR(__xludf.DUMMYFUNCTION("""COMPUTED_VALUE"""),79)</f>
        <v>79</v>
      </c>
      <c r="U122" s="67"/>
      <c r="V122" s="67">
        <f ca="1">IFERROR(__xludf.DUMMYFUNCTION("""COMPUTED_VALUE"""),79)</f>
        <v>79</v>
      </c>
      <c r="W122" s="67"/>
      <c r="X122" s="67">
        <f ca="1">IFERROR(__xludf.DUMMYFUNCTION("""COMPUTED_VALUE"""),25)</f>
        <v>25</v>
      </c>
      <c r="Y122" s="67"/>
      <c r="Z122" s="2"/>
      <c r="AA122" s="2"/>
      <c r="AB122" s="2"/>
      <c r="AC122" s="2"/>
      <c r="AD122" s="2"/>
      <c r="AE122" s="2"/>
    </row>
    <row r="123" spans="1:31" ht="12.75" x14ac:dyDescent="0.2">
      <c r="A123" s="73"/>
      <c r="B123" s="2"/>
      <c r="C123" s="2"/>
      <c r="D123" s="2"/>
      <c r="E123" s="74">
        <f ca="1">IFERROR(__xludf.DUMMYFUNCTION("""COMPUTED_VALUE"""),3686)</f>
        <v>3686</v>
      </c>
      <c r="F123" s="74">
        <f ca="1">IFERROR(__xludf.DUMMYFUNCTION("""COMPUTED_VALUE"""),3683)</f>
        <v>3683</v>
      </c>
      <c r="G123" s="74"/>
      <c r="H123" s="74">
        <f ca="1">IFERROR(__xludf.DUMMYFUNCTION("""COMPUTED_VALUE"""),3683)</f>
        <v>3683</v>
      </c>
      <c r="I123" s="74"/>
      <c r="J123" s="74">
        <f ca="1">IFERROR(__xludf.DUMMYFUNCTION("""COMPUTED_VALUE"""),3131)</f>
        <v>3131</v>
      </c>
      <c r="K123" s="74"/>
      <c r="L123" s="74">
        <f ca="1">IFERROR(__xludf.DUMMYFUNCTION("""COMPUTED_VALUE"""),1269)</f>
        <v>1269</v>
      </c>
      <c r="M123" s="74"/>
      <c r="N123" s="74">
        <f ca="1">IFERROR(__xludf.DUMMYFUNCTION("""COMPUTED_VALUE"""),9032)</f>
        <v>9032</v>
      </c>
      <c r="O123" s="74">
        <f ca="1">IFERROR(__xludf.DUMMYFUNCTION("""COMPUTED_VALUE"""),2603)</f>
        <v>2603</v>
      </c>
      <c r="P123" s="74"/>
      <c r="Q123" s="74">
        <f ca="1">IFERROR(__xludf.DUMMYFUNCTION("""COMPUTED_VALUE"""),1635)</f>
        <v>1635</v>
      </c>
      <c r="R123" s="74"/>
      <c r="S123" s="74">
        <f ca="1">IFERROR(__xludf.DUMMYFUNCTION("""COMPUTED_VALUE"""),15877)</f>
        <v>15877</v>
      </c>
      <c r="T123" s="2">
        <f ca="1">IFERROR(__xludf.DUMMYFUNCTION("""COMPUTED_VALUE"""),14914)</f>
        <v>14914</v>
      </c>
      <c r="U123" s="2"/>
      <c r="V123" s="74">
        <f ca="1">IFERROR(__xludf.DUMMYFUNCTION("""COMPUTED_VALUE"""),14640)</f>
        <v>14640</v>
      </c>
      <c r="W123" s="74"/>
      <c r="X123" s="74">
        <f ca="1">IFERROR(__xludf.DUMMYFUNCTION("""COMPUTED_VALUE"""),5690)</f>
        <v>5690</v>
      </c>
      <c r="Y123" s="74"/>
      <c r="Z123" s="2"/>
      <c r="AA123" s="2"/>
      <c r="AB123" s="2"/>
      <c r="AC123" s="2"/>
      <c r="AD123" s="2"/>
      <c r="AE123" s="2"/>
    </row>
    <row r="124" spans="1:31" ht="12.75" x14ac:dyDescent="0.2">
      <c r="A124" s="73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 ht="12.75" x14ac:dyDescent="0.2">
      <c r="A125" s="73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ht="12.75" x14ac:dyDescent="0.2">
      <c r="A126" s="73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ht="12.75" x14ac:dyDescent="0.2">
      <c r="A127" s="73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ht="12.75" x14ac:dyDescent="0.2">
      <c r="A128" s="73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ht="12.75" x14ac:dyDescent="0.2">
      <c r="A129" s="73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ht="12.75" x14ac:dyDescent="0.2">
      <c r="A130" s="73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ht="12.75" x14ac:dyDescent="0.2">
      <c r="A131" s="73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ht="12.75" x14ac:dyDescent="0.2">
      <c r="A132" s="73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ht="12.75" x14ac:dyDescent="0.2">
      <c r="A133" s="73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ht="12.75" x14ac:dyDescent="0.2">
      <c r="A134" s="73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ht="12.75" x14ac:dyDescent="0.2">
      <c r="A135" s="73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ht="12.75" x14ac:dyDescent="0.2">
      <c r="A136" s="73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ht="12.75" x14ac:dyDescent="0.2">
      <c r="A137" s="73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ht="12.75" x14ac:dyDescent="0.2">
      <c r="A138" s="73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ht="12.75" x14ac:dyDescent="0.2">
      <c r="A139" s="73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ht="12.75" x14ac:dyDescent="0.2">
      <c r="A140" s="73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2.75" x14ac:dyDescent="0.2">
      <c r="A141" s="73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2.75" x14ac:dyDescent="0.2">
      <c r="A142" s="73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2.75" x14ac:dyDescent="0.2">
      <c r="A143" s="73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2.75" x14ac:dyDescent="0.2">
      <c r="A144" s="73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2.75" x14ac:dyDescent="0.2">
      <c r="A145" s="73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2.75" x14ac:dyDescent="0.2">
      <c r="A146" s="73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2.75" x14ac:dyDescent="0.2">
      <c r="A147" s="73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2.75" x14ac:dyDescent="0.2">
      <c r="A148" s="73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2.75" x14ac:dyDescent="0.2">
      <c r="A149" s="73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2.75" x14ac:dyDescent="0.2">
      <c r="A150" s="73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2.75" x14ac:dyDescent="0.2">
      <c r="A151" s="73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2.75" x14ac:dyDescent="0.2">
      <c r="A152" s="73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2.75" x14ac:dyDescent="0.2">
      <c r="A153" s="73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2.75" x14ac:dyDescent="0.2">
      <c r="A154" s="73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2.75" x14ac:dyDescent="0.2">
      <c r="A155" s="73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2.75" x14ac:dyDescent="0.2">
      <c r="A156" s="73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2.75" x14ac:dyDescent="0.2">
      <c r="A157" s="73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2.75" x14ac:dyDescent="0.2">
      <c r="A158" s="73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2.75" x14ac:dyDescent="0.2">
      <c r="A159" s="73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2.75" x14ac:dyDescent="0.2">
      <c r="A160" s="73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2.75" x14ac:dyDescent="0.2">
      <c r="A161" s="73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2.75" x14ac:dyDescent="0.2">
      <c r="A162" s="73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2.75" x14ac:dyDescent="0.2">
      <c r="A163" s="73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2.75" x14ac:dyDescent="0.2">
      <c r="A164" s="73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2.75" x14ac:dyDescent="0.2">
      <c r="A165" s="73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2.75" x14ac:dyDescent="0.2">
      <c r="A166" s="73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2.75" x14ac:dyDescent="0.2">
      <c r="A167" s="73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2.75" x14ac:dyDescent="0.2">
      <c r="A168" s="73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2.75" x14ac:dyDescent="0.2">
      <c r="A169" s="73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2.75" x14ac:dyDescent="0.2">
      <c r="A170" s="73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2.75" x14ac:dyDescent="0.2">
      <c r="A171" s="73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2.75" x14ac:dyDescent="0.2">
      <c r="A172" s="73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2.75" x14ac:dyDescent="0.2">
      <c r="A173" s="73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2.75" x14ac:dyDescent="0.2">
      <c r="A174" s="73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2.75" x14ac:dyDescent="0.2">
      <c r="A175" s="73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2.75" x14ac:dyDescent="0.2">
      <c r="A176" s="73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2.75" x14ac:dyDescent="0.2">
      <c r="A177" s="73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2.75" x14ac:dyDescent="0.2">
      <c r="A178" s="73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2.75" x14ac:dyDescent="0.2">
      <c r="A179" s="73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2.75" x14ac:dyDescent="0.2">
      <c r="A180" s="73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2.75" x14ac:dyDescent="0.2">
      <c r="A181" s="73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2.75" x14ac:dyDescent="0.2">
      <c r="A182" s="73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2.75" x14ac:dyDescent="0.2">
      <c r="A183" s="73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2.75" x14ac:dyDescent="0.2">
      <c r="A184" s="73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2.75" x14ac:dyDescent="0.2">
      <c r="A185" s="73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2.75" x14ac:dyDescent="0.2">
      <c r="A186" s="73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2.75" x14ac:dyDescent="0.2">
      <c r="A187" s="73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2.75" x14ac:dyDescent="0.2">
      <c r="A188" s="73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2.75" x14ac:dyDescent="0.2">
      <c r="A189" s="73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2.75" x14ac:dyDescent="0.2">
      <c r="A190" s="73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2.75" x14ac:dyDescent="0.2">
      <c r="A191" s="73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2.75" x14ac:dyDescent="0.2">
      <c r="A192" s="73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2.75" x14ac:dyDescent="0.2">
      <c r="A193" s="73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2.75" x14ac:dyDescent="0.2">
      <c r="A194" s="73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2.75" x14ac:dyDescent="0.2">
      <c r="A195" s="73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2.75" x14ac:dyDescent="0.2">
      <c r="A196" s="73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2.75" x14ac:dyDescent="0.2">
      <c r="A197" s="73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2.75" x14ac:dyDescent="0.2">
      <c r="A198" s="73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2.75" x14ac:dyDescent="0.2">
      <c r="A199" s="73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2.75" x14ac:dyDescent="0.2">
      <c r="A200" s="73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2.75" x14ac:dyDescent="0.2">
      <c r="A201" s="73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2.75" x14ac:dyDescent="0.2">
      <c r="A202" s="73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2.75" x14ac:dyDescent="0.2">
      <c r="A203" s="73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2.75" x14ac:dyDescent="0.2">
      <c r="A204" s="73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2.75" x14ac:dyDescent="0.2">
      <c r="A205" s="73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2.75" x14ac:dyDescent="0.2">
      <c r="A206" s="73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2.75" x14ac:dyDescent="0.2">
      <c r="A207" s="73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2.75" x14ac:dyDescent="0.2">
      <c r="A208" s="73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2.75" x14ac:dyDescent="0.2">
      <c r="A209" s="73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2.75" x14ac:dyDescent="0.2">
      <c r="A210" s="73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2.75" x14ac:dyDescent="0.2">
      <c r="A211" s="73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2.75" x14ac:dyDescent="0.2">
      <c r="A212" s="73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2.75" x14ac:dyDescent="0.2">
      <c r="A213" s="73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2.75" x14ac:dyDescent="0.2">
      <c r="A214" s="73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2.75" x14ac:dyDescent="0.2">
      <c r="A215" s="73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2.75" x14ac:dyDescent="0.2">
      <c r="A216" s="73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2.75" x14ac:dyDescent="0.2">
      <c r="A217" s="73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2.75" x14ac:dyDescent="0.2">
      <c r="A218" s="73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2.75" x14ac:dyDescent="0.2">
      <c r="A219" s="73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2.75" x14ac:dyDescent="0.2">
      <c r="A220" s="73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2.75" x14ac:dyDescent="0.2">
      <c r="A221" s="73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2.75" x14ac:dyDescent="0.2">
      <c r="A222" s="73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2.75" x14ac:dyDescent="0.2">
      <c r="A223" s="73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2.75" x14ac:dyDescent="0.2">
      <c r="A224" s="73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2.75" x14ac:dyDescent="0.2">
      <c r="A225" s="73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2.75" x14ac:dyDescent="0.2">
      <c r="A226" s="73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2.75" x14ac:dyDescent="0.2">
      <c r="A227" s="73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2.75" x14ac:dyDescent="0.2">
      <c r="A228" s="73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2.75" x14ac:dyDescent="0.2">
      <c r="A229" s="73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2.75" x14ac:dyDescent="0.2">
      <c r="A230" s="73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2.75" x14ac:dyDescent="0.2">
      <c r="A231" s="73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2.75" x14ac:dyDescent="0.2">
      <c r="A232" s="73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2.75" x14ac:dyDescent="0.2">
      <c r="A233" s="73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2.75" x14ac:dyDescent="0.2">
      <c r="A234" s="73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2.75" x14ac:dyDescent="0.2">
      <c r="A235" s="73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2.75" x14ac:dyDescent="0.2">
      <c r="A236" s="73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2.75" x14ac:dyDescent="0.2">
      <c r="A237" s="73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2.75" x14ac:dyDescent="0.2">
      <c r="A238" s="73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2.75" x14ac:dyDescent="0.2">
      <c r="A239" s="73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2.75" x14ac:dyDescent="0.2">
      <c r="A240" s="73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2.75" x14ac:dyDescent="0.2">
      <c r="A241" s="73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2.75" x14ac:dyDescent="0.2">
      <c r="A242" s="73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2.75" x14ac:dyDescent="0.2">
      <c r="A243" s="73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2.75" x14ac:dyDescent="0.2">
      <c r="A244" s="73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2.75" x14ac:dyDescent="0.2">
      <c r="A245" s="73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2.75" x14ac:dyDescent="0.2">
      <c r="A246" s="73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2.75" x14ac:dyDescent="0.2">
      <c r="A247" s="73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2.75" x14ac:dyDescent="0.2">
      <c r="A248" s="73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2.75" x14ac:dyDescent="0.2">
      <c r="A249" s="73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2.75" x14ac:dyDescent="0.2">
      <c r="A250" s="73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2.75" x14ac:dyDescent="0.2">
      <c r="A251" s="73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2.75" x14ac:dyDescent="0.2">
      <c r="A252" s="73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2.75" x14ac:dyDescent="0.2">
      <c r="A253" s="73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2.75" x14ac:dyDescent="0.2">
      <c r="A254" s="73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2.75" x14ac:dyDescent="0.2">
      <c r="A255" s="73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2.75" x14ac:dyDescent="0.2">
      <c r="A256" s="73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2.75" x14ac:dyDescent="0.2">
      <c r="A257" s="73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2.75" x14ac:dyDescent="0.2">
      <c r="A258" s="73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2.75" x14ac:dyDescent="0.2">
      <c r="A259" s="73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2.75" x14ac:dyDescent="0.2">
      <c r="A260" s="73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2.75" x14ac:dyDescent="0.2">
      <c r="A261" s="73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2.75" x14ac:dyDescent="0.2">
      <c r="A262" s="73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2.75" x14ac:dyDescent="0.2">
      <c r="A263" s="73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2.75" x14ac:dyDescent="0.2">
      <c r="A264" s="73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2.75" x14ac:dyDescent="0.2">
      <c r="A265" s="73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2.75" x14ac:dyDescent="0.2">
      <c r="A266" s="73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2.75" x14ac:dyDescent="0.2">
      <c r="A267" s="73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2.75" x14ac:dyDescent="0.2">
      <c r="A268" s="73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2.75" x14ac:dyDescent="0.2">
      <c r="A269" s="73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2.75" x14ac:dyDescent="0.2">
      <c r="A270" s="73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2.75" x14ac:dyDescent="0.2">
      <c r="A271" s="73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2.75" x14ac:dyDescent="0.2">
      <c r="A272" s="73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2.75" x14ac:dyDescent="0.2">
      <c r="A273" s="73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2.75" x14ac:dyDescent="0.2">
      <c r="A274" s="73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2.75" x14ac:dyDescent="0.2">
      <c r="A275" s="73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2.75" x14ac:dyDescent="0.2">
      <c r="A276" s="73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2.75" x14ac:dyDescent="0.2">
      <c r="A277" s="73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2.75" x14ac:dyDescent="0.2">
      <c r="A278" s="73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2.75" x14ac:dyDescent="0.2">
      <c r="A279" s="73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2.75" x14ac:dyDescent="0.2">
      <c r="A280" s="73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2.75" x14ac:dyDescent="0.2">
      <c r="A281" s="73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2.75" x14ac:dyDescent="0.2">
      <c r="A282" s="73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2.75" x14ac:dyDescent="0.2">
      <c r="A283" s="73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2.75" x14ac:dyDescent="0.2">
      <c r="A284" s="73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2.75" x14ac:dyDescent="0.2">
      <c r="A285" s="73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2.75" x14ac:dyDescent="0.2">
      <c r="A286" s="73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2.75" x14ac:dyDescent="0.2">
      <c r="A287" s="73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2.75" x14ac:dyDescent="0.2">
      <c r="A288" s="73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2.75" x14ac:dyDescent="0.2">
      <c r="A289" s="73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2.75" x14ac:dyDescent="0.2">
      <c r="A290" s="73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2.75" x14ac:dyDescent="0.2">
      <c r="A291" s="73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2.75" x14ac:dyDescent="0.2">
      <c r="A292" s="73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2.75" x14ac:dyDescent="0.2">
      <c r="A293" s="73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2.75" x14ac:dyDescent="0.2">
      <c r="A294" s="73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2.75" x14ac:dyDescent="0.2">
      <c r="A295" s="73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2.75" x14ac:dyDescent="0.2">
      <c r="A296" s="73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2.75" x14ac:dyDescent="0.2">
      <c r="A297" s="73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2.75" x14ac:dyDescent="0.2">
      <c r="A298" s="73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2.75" x14ac:dyDescent="0.2">
      <c r="A299" s="73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2.75" x14ac:dyDescent="0.2">
      <c r="A300" s="73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2.75" x14ac:dyDescent="0.2">
      <c r="A301" s="73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2.75" x14ac:dyDescent="0.2">
      <c r="A302" s="73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2.75" x14ac:dyDescent="0.2">
      <c r="A303" s="73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2.75" x14ac:dyDescent="0.2">
      <c r="A304" s="73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2.75" x14ac:dyDescent="0.2">
      <c r="A305" s="73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2.75" x14ac:dyDescent="0.2">
      <c r="A306" s="73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2.75" x14ac:dyDescent="0.2">
      <c r="A307" s="73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2.75" x14ac:dyDescent="0.2">
      <c r="A308" s="73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2.75" x14ac:dyDescent="0.2">
      <c r="A309" s="73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2.75" x14ac:dyDescent="0.2">
      <c r="A310" s="73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2.75" x14ac:dyDescent="0.2">
      <c r="A311" s="73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2.75" x14ac:dyDescent="0.2">
      <c r="A312" s="73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2.75" x14ac:dyDescent="0.2">
      <c r="A313" s="73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2.75" x14ac:dyDescent="0.2">
      <c r="A314" s="73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2.75" x14ac:dyDescent="0.2">
      <c r="A315" s="73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2.75" x14ac:dyDescent="0.2">
      <c r="A316" s="73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2.75" x14ac:dyDescent="0.2">
      <c r="A317" s="73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2.75" x14ac:dyDescent="0.2">
      <c r="A318" s="73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2.75" x14ac:dyDescent="0.2">
      <c r="A319" s="73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2.75" x14ac:dyDescent="0.2">
      <c r="A320" s="73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2.75" x14ac:dyDescent="0.2">
      <c r="A321" s="73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2.75" x14ac:dyDescent="0.2">
      <c r="A322" s="73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2.75" x14ac:dyDescent="0.2">
      <c r="A323" s="73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2.75" x14ac:dyDescent="0.2">
      <c r="A324" s="73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2.75" x14ac:dyDescent="0.2">
      <c r="A325" s="73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2.75" x14ac:dyDescent="0.2">
      <c r="A326" s="73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2.75" x14ac:dyDescent="0.2">
      <c r="A327" s="73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2.75" x14ac:dyDescent="0.2">
      <c r="A328" s="73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2.75" x14ac:dyDescent="0.2">
      <c r="A329" s="73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2.75" x14ac:dyDescent="0.2">
      <c r="A330" s="73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2.75" x14ac:dyDescent="0.2">
      <c r="A331" s="73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2.75" x14ac:dyDescent="0.2">
      <c r="A332" s="73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2.75" x14ac:dyDescent="0.2">
      <c r="A333" s="73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2.75" x14ac:dyDescent="0.2">
      <c r="A334" s="73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2.75" x14ac:dyDescent="0.2">
      <c r="A335" s="73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2.75" x14ac:dyDescent="0.2">
      <c r="A336" s="73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2.75" x14ac:dyDescent="0.2">
      <c r="A337" s="73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2.75" x14ac:dyDescent="0.2">
      <c r="A338" s="73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2.75" x14ac:dyDescent="0.2">
      <c r="A339" s="73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2.75" x14ac:dyDescent="0.2">
      <c r="A340" s="73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2.75" x14ac:dyDescent="0.2">
      <c r="A341" s="73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2.75" x14ac:dyDescent="0.2">
      <c r="A342" s="73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2.75" x14ac:dyDescent="0.2">
      <c r="A343" s="73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2.75" x14ac:dyDescent="0.2">
      <c r="A344" s="73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2.75" x14ac:dyDescent="0.2">
      <c r="A345" s="73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2.75" x14ac:dyDescent="0.2">
      <c r="A346" s="73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2.75" x14ac:dyDescent="0.2">
      <c r="A347" s="73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2.75" x14ac:dyDescent="0.2">
      <c r="A348" s="73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2.75" x14ac:dyDescent="0.2">
      <c r="A349" s="73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2.75" x14ac:dyDescent="0.2">
      <c r="A350" s="73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2.75" x14ac:dyDescent="0.2">
      <c r="A351" s="73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2.75" x14ac:dyDescent="0.2">
      <c r="A352" s="73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2.75" x14ac:dyDescent="0.2">
      <c r="A353" s="73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2.75" x14ac:dyDescent="0.2">
      <c r="A354" s="73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2.75" x14ac:dyDescent="0.2">
      <c r="A355" s="73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2.75" x14ac:dyDescent="0.2">
      <c r="A356" s="73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2.75" x14ac:dyDescent="0.2">
      <c r="A357" s="73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2.75" x14ac:dyDescent="0.2">
      <c r="A358" s="73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2.75" x14ac:dyDescent="0.2">
      <c r="A359" s="73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2.75" x14ac:dyDescent="0.2">
      <c r="A360" s="73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2.75" x14ac:dyDescent="0.2">
      <c r="A361" s="73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2.75" x14ac:dyDescent="0.2">
      <c r="A362" s="73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2.75" x14ac:dyDescent="0.2">
      <c r="A363" s="73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2.75" x14ac:dyDescent="0.2">
      <c r="A364" s="73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2.75" x14ac:dyDescent="0.2">
      <c r="A365" s="73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2.75" x14ac:dyDescent="0.2">
      <c r="A366" s="73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2.75" x14ac:dyDescent="0.2">
      <c r="A367" s="73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2.75" x14ac:dyDescent="0.2">
      <c r="A368" s="73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2.75" x14ac:dyDescent="0.2">
      <c r="A369" s="73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2.75" x14ac:dyDescent="0.2">
      <c r="A370" s="73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2.75" x14ac:dyDescent="0.2">
      <c r="A371" s="73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2.75" x14ac:dyDescent="0.2">
      <c r="A372" s="73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2.75" x14ac:dyDescent="0.2">
      <c r="A373" s="73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2.75" x14ac:dyDescent="0.2">
      <c r="A374" s="73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2.75" x14ac:dyDescent="0.2">
      <c r="A375" s="73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2.75" x14ac:dyDescent="0.2">
      <c r="A376" s="73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2.75" x14ac:dyDescent="0.2">
      <c r="A377" s="73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2.75" x14ac:dyDescent="0.2">
      <c r="A378" s="73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2.75" x14ac:dyDescent="0.2">
      <c r="A379" s="73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2.75" x14ac:dyDescent="0.2">
      <c r="A380" s="73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2.75" x14ac:dyDescent="0.2">
      <c r="A381" s="73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2.75" x14ac:dyDescent="0.2">
      <c r="A382" s="73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2.75" x14ac:dyDescent="0.2">
      <c r="A383" s="73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2.75" x14ac:dyDescent="0.2">
      <c r="A384" s="73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2.75" x14ac:dyDescent="0.2">
      <c r="A385" s="73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2.75" x14ac:dyDescent="0.2">
      <c r="A386" s="73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2.75" x14ac:dyDescent="0.2">
      <c r="A387" s="73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2.75" x14ac:dyDescent="0.2">
      <c r="A388" s="73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2.75" x14ac:dyDescent="0.2">
      <c r="A389" s="73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2.75" x14ac:dyDescent="0.2">
      <c r="A390" s="73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2.75" x14ac:dyDescent="0.2">
      <c r="A391" s="73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2.75" x14ac:dyDescent="0.2">
      <c r="A392" s="73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2.75" x14ac:dyDescent="0.2">
      <c r="A393" s="73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2.75" x14ac:dyDescent="0.2">
      <c r="A394" s="73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2.75" x14ac:dyDescent="0.2">
      <c r="A395" s="73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2.75" x14ac:dyDescent="0.2">
      <c r="A396" s="73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2.75" x14ac:dyDescent="0.2">
      <c r="A397" s="73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2.75" x14ac:dyDescent="0.2">
      <c r="A398" s="73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2.75" x14ac:dyDescent="0.2">
      <c r="A399" s="73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2.75" x14ac:dyDescent="0.2">
      <c r="A400" s="73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2.75" x14ac:dyDescent="0.2">
      <c r="A401" s="73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2.75" x14ac:dyDescent="0.2">
      <c r="A402" s="73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2.75" x14ac:dyDescent="0.2">
      <c r="A403" s="73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2.75" x14ac:dyDescent="0.2">
      <c r="A404" s="73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2.75" x14ac:dyDescent="0.2">
      <c r="A405" s="73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2.75" x14ac:dyDescent="0.2">
      <c r="A406" s="73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2.75" x14ac:dyDescent="0.2">
      <c r="A407" s="73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2.75" x14ac:dyDescent="0.2">
      <c r="A408" s="73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2.75" x14ac:dyDescent="0.2">
      <c r="A409" s="73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2.75" x14ac:dyDescent="0.2">
      <c r="A410" s="73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2.75" x14ac:dyDescent="0.2">
      <c r="A411" s="73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2.75" x14ac:dyDescent="0.2">
      <c r="A412" s="73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2.75" x14ac:dyDescent="0.2">
      <c r="A413" s="73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2.75" x14ac:dyDescent="0.2">
      <c r="A414" s="73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2.75" x14ac:dyDescent="0.2">
      <c r="A415" s="73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2.75" x14ac:dyDescent="0.2">
      <c r="A416" s="73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2.75" x14ac:dyDescent="0.2">
      <c r="A417" s="73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2.75" x14ac:dyDescent="0.2">
      <c r="A418" s="73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2.75" x14ac:dyDescent="0.2">
      <c r="A419" s="73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2.75" x14ac:dyDescent="0.2">
      <c r="A420" s="73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2.75" x14ac:dyDescent="0.2">
      <c r="A421" s="73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2.75" x14ac:dyDescent="0.2">
      <c r="A422" s="73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2.75" x14ac:dyDescent="0.2">
      <c r="A423" s="73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2.75" x14ac:dyDescent="0.2">
      <c r="A424" s="73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2.75" x14ac:dyDescent="0.2">
      <c r="A425" s="73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2.75" x14ac:dyDescent="0.2">
      <c r="A426" s="73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2.75" x14ac:dyDescent="0.2">
      <c r="A427" s="73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2.75" x14ac:dyDescent="0.2">
      <c r="A428" s="73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2.75" x14ac:dyDescent="0.2">
      <c r="A429" s="73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2.75" x14ac:dyDescent="0.2">
      <c r="A430" s="73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2.75" x14ac:dyDescent="0.2">
      <c r="A431" s="73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2.75" x14ac:dyDescent="0.2">
      <c r="A432" s="73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2.75" x14ac:dyDescent="0.2">
      <c r="A433" s="73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2.75" x14ac:dyDescent="0.2">
      <c r="A434" s="73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2.75" x14ac:dyDescent="0.2">
      <c r="A435" s="73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2.75" x14ac:dyDescent="0.2">
      <c r="A436" s="73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2.75" x14ac:dyDescent="0.2">
      <c r="A437" s="73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2.75" x14ac:dyDescent="0.2">
      <c r="A438" s="73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2.75" x14ac:dyDescent="0.2">
      <c r="A439" s="73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2.75" x14ac:dyDescent="0.2">
      <c r="A440" s="73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2.75" x14ac:dyDescent="0.2">
      <c r="A441" s="73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2.75" x14ac:dyDescent="0.2">
      <c r="A442" s="73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2.75" x14ac:dyDescent="0.2">
      <c r="A443" s="73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2.75" x14ac:dyDescent="0.2">
      <c r="A444" s="73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2.75" x14ac:dyDescent="0.2">
      <c r="A445" s="73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2.75" x14ac:dyDescent="0.2">
      <c r="A446" s="73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2.75" x14ac:dyDescent="0.2">
      <c r="A447" s="73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2.75" x14ac:dyDescent="0.2">
      <c r="A448" s="73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2.75" x14ac:dyDescent="0.2">
      <c r="A449" s="73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2.75" x14ac:dyDescent="0.2">
      <c r="A450" s="73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2.75" x14ac:dyDescent="0.2">
      <c r="A451" s="73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2.75" x14ac:dyDescent="0.2">
      <c r="A452" s="73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2.75" x14ac:dyDescent="0.2">
      <c r="A453" s="73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2.75" x14ac:dyDescent="0.2">
      <c r="A454" s="73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2.75" x14ac:dyDescent="0.2">
      <c r="A455" s="73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2.75" x14ac:dyDescent="0.2">
      <c r="A456" s="73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2.75" x14ac:dyDescent="0.2">
      <c r="A457" s="73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2.75" x14ac:dyDescent="0.2">
      <c r="A458" s="73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2.75" x14ac:dyDescent="0.2">
      <c r="A459" s="73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2.75" x14ac:dyDescent="0.2">
      <c r="A460" s="73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2.75" x14ac:dyDescent="0.2">
      <c r="A461" s="73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2.75" x14ac:dyDescent="0.2">
      <c r="A462" s="73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2.75" x14ac:dyDescent="0.2">
      <c r="A463" s="73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2.75" x14ac:dyDescent="0.2">
      <c r="A464" s="73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2.75" x14ac:dyDescent="0.2">
      <c r="A465" s="73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2.75" x14ac:dyDescent="0.2">
      <c r="A466" s="73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2.75" x14ac:dyDescent="0.2">
      <c r="A467" s="73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2.75" x14ac:dyDescent="0.2">
      <c r="A468" s="73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2.75" x14ac:dyDescent="0.2">
      <c r="A469" s="73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2.75" x14ac:dyDescent="0.2">
      <c r="A470" s="73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2.75" x14ac:dyDescent="0.2">
      <c r="A471" s="73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2.75" x14ac:dyDescent="0.2">
      <c r="A472" s="73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2.75" x14ac:dyDescent="0.2">
      <c r="A473" s="73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2.75" x14ac:dyDescent="0.2">
      <c r="A474" s="73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2.75" x14ac:dyDescent="0.2">
      <c r="A475" s="73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2.75" x14ac:dyDescent="0.2">
      <c r="A476" s="73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2.75" x14ac:dyDescent="0.2">
      <c r="A477" s="73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2.75" x14ac:dyDescent="0.2">
      <c r="A478" s="73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2.75" x14ac:dyDescent="0.2">
      <c r="A479" s="73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2.75" x14ac:dyDescent="0.2">
      <c r="A480" s="73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2.75" x14ac:dyDescent="0.2">
      <c r="A481" s="73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2.75" x14ac:dyDescent="0.2">
      <c r="A482" s="73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2.75" x14ac:dyDescent="0.2">
      <c r="A483" s="73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2.75" x14ac:dyDescent="0.2">
      <c r="A484" s="73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2.75" x14ac:dyDescent="0.2">
      <c r="A485" s="73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2.75" x14ac:dyDescent="0.2">
      <c r="A486" s="73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2.75" x14ac:dyDescent="0.2">
      <c r="A487" s="73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2.75" x14ac:dyDescent="0.2">
      <c r="A488" s="73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2.75" x14ac:dyDescent="0.2">
      <c r="A489" s="73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2.75" x14ac:dyDescent="0.2">
      <c r="A490" s="73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2.75" x14ac:dyDescent="0.2">
      <c r="A491" s="73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2.75" x14ac:dyDescent="0.2">
      <c r="A492" s="73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2.75" x14ac:dyDescent="0.2">
      <c r="A493" s="73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2.75" x14ac:dyDescent="0.2">
      <c r="A494" s="73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2.75" x14ac:dyDescent="0.2">
      <c r="A495" s="73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2.75" x14ac:dyDescent="0.2">
      <c r="A496" s="73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2.75" x14ac:dyDescent="0.2">
      <c r="A497" s="73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2.75" x14ac:dyDescent="0.2">
      <c r="A498" s="73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2.75" x14ac:dyDescent="0.2">
      <c r="A499" s="73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2.75" x14ac:dyDescent="0.2">
      <c r="A500" s="73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2.75" x14ac:dyDescent="0.2">
      <c r="A501" s="73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2.75" x14ac:dyDescent="0.2">
      <c r="A502" s="73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2.75" x14ac:dyDescent="0.2">
      <c r="A503" s="73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2.75" x14ac:dyDescent="0.2">
      <c r="A504" s="73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2.75" x14ac:dyDescent="0.2">
      <c r="A505" s="73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2.75" x14ac:dyDescent="0.2">
      <c r="A506" s="73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2.75" x14ac:dyDescent="0.2">
      <c r="A507" s="73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2.75" x14ac:dyDescent="0.2">
      <c r="A508" s="73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2.75" x14ac:dyDescent="0.2">
      <c r="A509" s="73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2.75" x14ac:dyDescent="0.2">
      <c r="A510" s="73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2.75" x14ac:dyDescent="0.2">
      <c r="A511" s="73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2.75" x14ac:dyDescent="0.2">
      <c r="A512" s="73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2.75" x14ac:dyDescent="0.2">
      <c r="A513" s="73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2.75" x14ac:dyDescent="0.2">
      <c r="A514" s="73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2.75" x14ac:dyDescent="0.2">
      <c r="A515" s="73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2.75" x14ac:dyDescent="0.2">
      <c r="A516" s="73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2.75" x14ac:dyDescent="0.2">
      <c r="A517" s="73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2.75" x14ac:dyDescent="0.2">
      <c r="A518" s="73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2.75" x14ac:dyDescent="0.2">
      <c r="A519" s="73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2.75" x14ac:dyDescent="0.2">
      <c r="A520" s="73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2.75" x14ac:dyDescent="0.2">
      <c r="A521" s="73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2.75" x14ac:dyDescent="0.2">
      <c r="A522" s="73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2.75" x14ac:dyDescent="0.2">
      <c r="A523" s="73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2.75" x14ac:dyDescent="0.2">
      <c r="A524" s="73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2.75" x14ac:dyDescent="0.2">
      <c r="A525" s="73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2.75" x14ac:dyDescent="0.2">
      <c r="A526" s="73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2.75" x14ac:dyDescent="0.2">
      <c r="A527" s="73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2.75" x14ac:dyDescent="0.2">
      <c r="A528" s="73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2.75" x14ac:dyDescent="0.2">
      <c r="A529" s="73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2.75" x14ac:dyDescent="0.2">
      <c r="A530" s="73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2.75" x14ac:dyDescent="0.2">
      <c r="A531" s="73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2.75" x14ac:dyDescent="0.2">
      <c r="A532" s="73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2.75" x14ac:dyDescent="0.2">
      <c r="A533" s="73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2.75" x14ac:dyDescent="0.2">
      <c r="A534" s="73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2.75" x14ac:dyDescent="0.2">
      <c r="A535" s="73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2.75" x14ac:dyDescent="0.2">
      <c r="A536" s="73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2.75" x14ac:dyDescent="0.2">
      <c r="A537" s="73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2.75" x14ac:dyDescent="0.2">
      <c r="A538" s="73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2.75" x14ac:dyDescent="0.2">
      <c r="A539" s="73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2.75" x14ac:dyDescent="0.2">
      <c r="A540" s="73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2.75" x14ac:dyDescent="0.2">
      <c r="A541" s="73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2.75" x14ac:dyDescent="0.2">
      <c r="A542" s="73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2.75" x14ac:dyDescent="0.2">
      <c r="A543" s="73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2.75" x14ac:dyDescent="0.2">
      <c r="A544" s="73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2.75" x14ac:dyDescent="0.2">
      <c r="A545" s="73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2.75" x14ac:dyDescent="0.2">
      <c r="A546" s="73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2.75" x14ac:dyDescent="0.2">
      <c r="A547" s="73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2.75" x14ac:dyDescent="0.2">
      <c r="A548" s="73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2.75" x14ac:dyDescent="0.2">
      <c r="A549" s="73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2.75" x14ac:dyDescent="0.2">
      <c r="A550" s="73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2.75" x14ac:dyDescent="0.2">
      <c r="A551" s="73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2.75" x14ac:dyDescent="0.2">
      <c r="A552" s="73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2.75" x14ac:dyDescent="0.2">
      <c r="A553" s="73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2.75" x14ac:dyDescent="0.2">
      <c r="A554" s="73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2.75" x14ac:dyDescent="0.2">
      <c r="A555" s="73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2.75" x14ac:dyDescent="0.2">
      <c r="A556" s="73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2.75" x14ac:dyDescent="0.2">
      <c r="A557" s="73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2.75" x14ac:dyDescent="0.2">
      <c r="A558" s="73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2.75" x14ac:dyDescent="0.2">
      <c r="A559" s="73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2.75" x14ac:dyDescent="0.2">
      <c r="A560" s="73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2.75" x14ac:dyDescent="0.2">
      <c r="A561" s="73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2.75" x14ac:dyDescent="0.2">
      <c r="A562" s="73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2.75" x14ac:dyDescent="0.2">
      <c r="A563" s="73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2.75" x14ac:dyDescent="0.2">
      <c r="A564" s="73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2.75" x14ac:dyDescent="0.2">
      <c r="A565" s="73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2.75" x14ac:dyDescent="0.2">
      <c r="A566" s="73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2.75" x14ac:dyDescent="0.2">
      <c r="A567" s="73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2.75" x14ac:dyDescent="0.2">
      <c r="A568" s="73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2.75" x14ac:dyDescent="0.2">
      <c r="A569" s="73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2.75" x14ac:dyDescent="0.2">
      <c r="A570" s="73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2.75" x14ac:dyDescent="0.2">
      <c r="A571" s="73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2.75" x14ac:dyDescent="0.2">
      <c r="A572" s="73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2.75" x14ac:dyDescent="0.2">
      <c r="A573" s="73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2.75" x14ac:dyDescent="0.2">
      <c r="A574" s="73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2.75" x14ac:dyDescent="0.2">
      <c r="A575" s="73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2.75" x14ac:dyDescent="0.2">
      <c r="A576" s="73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2.75" x14ac:dyDescent="0.2">
      <c r="A577" s="73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2.75" x14ac:dyDescent="0.2">
      <c r="A578" s="73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2.75" x14ac:dyDescent="0.2">
      <c r="A579" s="73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2.75" x14ac:dyDescent="0.2">
      <c r="A580" s="73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2.75" x14ac:dyDescent="0.2">
      <c r="A581" s="73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2.75" x14ac:dyDescent="0.2">
      <c r="A582" s="73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2.75" x14ac:dyDescent="0.2">
      <c r="A583" s="73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2.75" x14ac:dyDescent="0.2">
      <c r="A584" s="73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2.75" x14ac:dyDescent="0.2">
      <c r="A585" s="73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2.75" x14ac:dyDescent="0.2">
      <c r="A586" s="73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2.75" x14ac:dyDescent="0.2">
      <c r="A587" s="73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2.75" x14ac:dyDescent="0.2">
      <c r="A588" s="73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2.75" x14ac:dyDescent="0.2">
      <c r="A589" s="73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2.75" x14ac:dyDescent="0.2">
      <c r="A590" s="73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2.75" x14ac:dyDescent="0.2">
      <c r="A591" s="73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2.75" x14ac:dyDescent="0.2">
      <c r="A592" s="73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2.75" x14ac:dyDescent="0.2">
      <c r="A593" s="73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2.75" x14ac:dyDescent="0.2">
      <c r="A594" s="73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2.75" x14ac:dyDescent="0.2">
      <c r="A595" s="73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2.75" x14ac:dyDescent="0.2">
      <c r="A596" s="73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2.75" x14ac:dyDescent="0.2">
      <c r="A597" s="73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2.75" x14ac:dyDescent="0.2">
      <c r="A598" s="73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2.75" x14ac:dyDescent="0.2">
      <c r="A599" s="73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2.75" x14ac:dyDescent="0.2">
      <c r="A600" s="73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2.75" x14ac:dyDescent="0.2">
      <c r="A601" s="73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2.75" x14ac:dyDescent="0.2">
      <c r="A602" s="73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2.75" x14ac:dyDescent="0.2">
      <c r="A603" s="73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2.75" x14ac:dyDescent="0.2">
      <c r="A604" s="73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2.75" x14ac:dyDescent="0.2">
      <c r="A605" s="73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2.75" x14ac:dyDescent="0.2">
      <c r="A606" s="73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2.75" x14ac:dyDescent="0.2">
      <c r="A607" s="73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2.75" x14ac:dyDescent="0.2">
      <c r="A608" s="73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2.75" x14ac:dyDescent="0.2">
      <c r="A609" s="73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2.75" x14ac:dyDescent="0.2">
      <c r="A610" s="73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2.75" x14ac:dyDescent="0.2">
      <c r="A611" s="73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2.75" x14ac:dyDescent="0.2">
      <c r="A612" s="73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2.75" x14ac:dyDescent="0.2">
      <c r="A613" s="73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2.75" x14ac:dyDescent="0.2">
      <c r="A614" s="73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2.75" x14ac:dyDescent="0.2">
      <c r="A615" s="73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2.75" x14ac:dyDescent="0.2">
      <c r="A616" s="73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2.75" x14ac:dyDescent="0.2">
      <c r="A617" s="73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2.75" x14ac:dyDescent="0.2">
      <c r="A618" s="73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2.75" x14ac:dyDescent="0.2">
      <c r="A619" s="73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2.75" x14ac:dyDescent="0.2">
      <c r="A620" s="73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2.75" x14ac:dyDescent="0.2">
      <c r="A621" s="73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2.75" x14ac:dyDescent="0.2">
      <c r="A622" s="73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2.75" x14ac:dyDescent="0.2">
      <c r="A623" s="73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2.75" x14ac:dyDescent="0.2">
      <c r="A624" s="73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2.75" x14ac:dyDescent="0.2">
      <c r="A625" s="73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2.75" x14ac:dyDescent="0.2">
      <c r="A626" s="73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2.75" x14ac:dyDescent="0.2">
      <c r="A627" s="73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2.75" x14ac:dyDescent="0.2">
      <c r="A628" s="73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2.75" x14ac:dyDescent="0.2">
      <c r="A629" s="73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2.75" x14ac:dyDescent="0.2">
      <c r="A630" s="73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2.75" x14ac:dyDescent="0.2">
      <c r="A631" s="73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2.75" x14ac:dyDescent="0.2">
      <c r="A632" s="73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2.75" x14ac:dyDescent="0.2">
      <c r="A633" s="73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2.75" x14ac:dyDescent="0.2">
      <c r="A634" s="73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2.75" x14ac:dyDescent="0.2">
      <c r="A635" s="73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2.75" x14ac:dyDescent="0.2">
      <c r="A636" s="73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2.75" x14ac:dyDescent="0.2">
      <c r="A637" s="73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2.75" x14ac:dyDescent="0.2">
      <c r="A638" s="73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2.75" x14ac:dyDescent="0.2">
      <c r="A639" s="73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2.75" x14ac:dyDescent="0.2">
      <c r="A640" s="73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2.75" x14ac:dyDescent="0.2">
      <c r="A641" s="73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2.75" x14ac:dyDescent="0.2">
      <c r="A642" s="73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2.75" x14ac:dyDescent="0.2">
      <c r="A643" s="73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2.75" x14ac:dyDescent="0.2">
      <c r="A644" s="73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2.75" x14ac:dyDescent="0.2">
      <c r="A645" s="73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2.75" x14ac:dyDescent="0.2">
      <c r="A646" s="73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2.75" x14ac:dyDescent="0.2">
      <c r="A647" s="73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2.75" x14ac:dyDescent="0.2">
      <c r="A648" s="73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2.75" x14ac:dyDescent="0.2">
      <c r="A649" s="73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2.75" x14ac:dyDescent="0.2">
      <c r="A650" s="73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2.75" x14ac:dyDescent="0.2">
      <c r="A651" s="73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2.75" x14ac:dyDescent="0.2">
      <c r="A652" s="73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2.75" x14ac:dyDescent="0.2">
      <c r="A653" s="73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2.75" x14ac:dyDescent="0.2">
      <c r="A654" s="73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2.75" x14ac:dyDescent="0.2">
      <c r="A655" s="73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2.75" x14ac:dyDescent="0.2">
      <c r="A656" s="73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2.75" x14ac:dyDescent="0.2">
      <c r="A657" s="73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2.75" x14ac:dyDescent="0.2">
      <c r="A658" s="73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2.75" x14ac:dyDescent="0.2">
      <c r="A659" s="73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2.75" x14ac:dyDescent="0.2">
      <c r="A660" s="73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2.75" x14ac:dyDescent="0.2">
      <c r="A661" s="73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2.75" x14ac:dyDescent="0.2">
      <c r="A662" s="73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2.75" x14ac:dyDescent="0.2">
      <c r="A663" s="73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2.75" x14ac:dyDescent="0.2">
      <c r="A664" s="73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2.75" x14ac:dyDescent="0.2">
      <c r="A665" s="73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2.75" x14ac:dyDescent="0.2">
      <c r="A666" s="73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2.75" x14ac:dyDescent="0.2">
      <c r="A667" s="73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2.75" x14ac:dyDescent="0.2">
      <c r="A668" s="73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2.75" x14ac:dyDescent="0.2">
      <c r="A669" s="73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2.75" x14ac:dyDescent="0.2">
      <c r="A670" s="73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2.75" x14ac:dyDescent="0.2">
      <c r="A671" s="73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2.75" x14ac:dyDescent="0.2">
      <c r="A672" s="73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2.75" x14ac:dyDescent="0.2">
      <c r="A673" s="73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2.75" x14ac:dyDescent="0.2">
      <c r="A674" s="73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2.75" x14ac:dyDescent="0.2">
      <c r="A675" s="73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2.75" x14ac:dyDescent="0.2">
      <c r="A676" s="73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2.75" x14ac:dyDescent="0.2">
      <c r="A677" s="73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2.75" x14ac:dyDescent="0.2">
      <c r="A678" s="73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2.75" x14ac:dyDescent="0.2">
      <c r="A679" s="73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2.75" x14ac:dyDescent="0.2">
      <c r="A680" s="73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2.75" x14ac:dyDescent="0.2">
      <c r="A681" s="73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2.75" x14ac:dyDescent="0.2">
      <c r="A682" s="73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2.75" x14ac:dyDescent="0.2">
      <c r="A683" s="73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2.75" x14ac:dyDescent="0.2">
      <c r="A684" s="73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2.75" x14ac:dyDescent="0.2">
      <c r="A685" s="73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2.75" x14ac:dyDescent="0.2">
      <c r="A686" s="73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2.75" x14ac:dyDescent="0.2">
      <c r="A687" s="73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2.75" x14ac:dyDescent="0.2">
      <c r="A688" s="73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2.75" x14ac:dyDescent="0.2">
      <c r="A689" s="73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2.75" x14ac:dyDescent="0.2">
      <c r="A690" s="73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2.75" x14ac:dyDescent="0.2">
      <c r="A691" s="73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2.75" x14ac:dyDescent="0.2">
      <c r="A692" s="73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2.75" x14ac:dyDescent="0.2">
      <c r="A693" s="73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2.75" x14ac:dyDescent="0.2">
      <c r="A694" s="73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2.75" x14ac:dyDescent="0.2">
      <c r="A695" s="73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2.75" x14ac:dyDescent="0.2">
      <c r="A696" s="73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2.75" x14ac:dyDescent="0.2">
      <c r="A697" s="73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2.75" x14ac:dyDescent="0.2">
      <c r="A698" s="73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2.75" x14ac:dyDescent="0.2">
      <c r="A699" s="73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2.75" x14ac:dyDescent="0.2">
      <c r="A700" s="73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2.75" x14ac:dyDescent="0.2">
      <c r="A701" s="73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2.75" x14ac:dyDescent="0.2">
      <c r="A702" s="73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2.75" x14ac:dyDescent="0.2">
      <c r="A703" s="73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2.75" x14ac:dyDescent="0.2">
      <c r="A704" s="73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2.75" x14ac:dyDescent="0.2">
      <c r="A705" s="73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2.75" x14ac:dyDescent="0.2">
      <c r="A706" s="73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2.75" x14ac:dyDescent="0.2">
      <c r="A707" s="73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2.75" x14ac:dyDescent="0.2">
      <c r="A708" s="73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2.75" x14ac:dyDescent="0.2">
      <c r="A709" s="73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2.75" x14ac:dyDescent="0.2">
      <c r="A710" s="73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2.75" x14ac:dyDescent="0.2">
      <c r="A711" s="73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2.75" x14ac:dyDescent="0.2">
      <c r="A712" s="73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2.75" x14ac:dyDescent="0.2">
      <c r="A713" s="73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2.75" x14ac:dyDescent="0.2">
      <c r="A714" s="73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2.75" x14ac:dyDescent="0.2">
      <c r="A715" s="73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2.75" x14ac:dyDescent="0.2">
      <c r="A716" s="73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2.75" x14ac:dyDescent="0.2">
      <c r="A717" s="73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2.75" x14ac:dyDescent="0.2">
      <c r="A718" s="73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2.75" x14ac:dyDescent="0.2">
      <c r="A719" s="73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2.75" x14ac:dyDescent="0.2">
      <c r="A720" s="73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2.75" x14ac:dyDescent="0.2">
      <c r="A721" s="73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2.75" x14ac:dyDescent="0.2">
      <c r="A722" s="73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2.75" x14ac:dyDescent="0.2">
      <c r="A723" s="73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2.75" x14ac:dyDescent="0.2">
      <c r="A724" s="73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2.75" x14ac:dyDescent="0.2">
      <c r="A725" s="73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2.75" x14ac:dyDescent="0.2">
      <c r="A726" s="73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2.75" x14ac:dyDescent="0.2">
      <c r="A727" s="73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2.75" x14ac:dyDescent="0.2">
      <c r="A728" s="73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2.75" x14ac:dyDescent="0.2">
      <c r="A729" s="73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2.75" x14ac:dyDescent="0.2">
      <c r="A730" s="73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2.75" x14ac:dyDescent="0.2">
      <c r="A731" s="73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2.75" x14ac:dyDescent="0.2">
      <c r="A732" s="73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2.75" x14ac:dyDescent="0.2">
      <c r="A733" s="73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2.75" x14ac:dyDescent="0.2">
      <c r="A734" s="73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2.75" x14ac:dyDescent="0.2">
      <c r="A735" s="73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2.75" x14ac:dyDescent="0.2">
      <c r="A736" s="73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2.75" x14ac:dyDescent="0.2">
      <c r="A737" s="73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2.75" x14ac:dyDescent="0.2">
      <c r="A738" s="73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2.75" x14ac:dyDescent="0.2">
      <c r="A739" s="73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2.75" x14ac:dyDescent="0.2">
      <c r="A740" s="73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2.75" x14ac:dyDescent="0.2">
      <c r="A741" s="73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2.75" x14ac:dyDescent="0.2">
      <c r="A742" s="73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2.75" x14ac:dyDescent="0.2">
      <c r="A743" s="73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2.75" x14ac:dyDescent="0.2">
      <c r="A744" s="73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2.75" x14ac:dyDescent="0.2">
      <c r="A745" s="73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2.75" x14ac:dyDescent="0.2">
      <c r="A746" s="73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2.75" x14ac:dyDescent="0.2">
      <c r="A747" s="73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2.75" x14ac:dyDescent="0.2">
      <c r="A748" s="73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2.75" x14ac:dyDescent="0.2">
      <c r="A749" s="73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2.75" x14ac:dyDescent="0.2">
      <c r="A750" s="73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2.75" x14ac:dyDescent="0.2">
      <c r="A751" s="73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2.75" x14ac:dyDescent="0.2">
      <c r="A752" s="73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2.75" x14ac:dyDescent="0.2">
      <c r="A753" s="73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2.75" x14ac:dyDescent="0.2">
      <c r="A754" s="73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2.75" x14ac:dyDescent="0.2">
      <c r="A755" s="73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2.75" x14ac:dyDescent="0.2">
      <c r="A756" s="73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2.75" x14ac:dyDescent="0.2">
      <c r="A757" s="73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2.75" x14ac:dyDescent="0.2">
      <c r="A758" s="73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2.75" x14ac:dyDescent="0.2">
      <c r="A759" s="73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2.75" x14ac:dyDescent="0.2">
      <c r="A760" s="73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2.75" x14ac:dyDescent="0.2">
      <c r="A761" s="73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2.75" x14ac:dyDescent="0.2">
      <c r="A762" s="73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2.75" x14ac:dyDescent="0.2">
      <c r="A763" s="73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2.75" x14ac:dyDescent="0.2">
      <c r="A764" s="73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2.75" x14ac:dyDescent="0.2">
      <c r="A765" s="73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2.75" x14ac:dyDescent="0.2">
      <c r="A766" s="73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2.75" x14ac:dyDescent="0.2">
      <c r="A767" s="73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2.75" x14ac:dyDescent="0.2">
      <c r="A768" s="73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2.75" x14ac:dyDescent="0.2">
      <c r="A769" s="73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2.75" x14ac:dyDescent="0.2">
      <c r="A770" s="73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2.75" x14ac:dyDescent="0.2">
      <c r="A771" s="73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2.75" x14ac:dyDescent="0.2">
      <c r="A772" s="73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2.75" x14ac:dyDescent="0.2">
      <c r="A773" s="73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2.75" x14ac:dyDescent="0.2">
      <c r="A774" s="73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2.75" x14ac:dyDescent="0.2">
      <c r="A775" s="73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2.75" x14ac:dyDescent="0.2">
      <c r="A776" s="73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2.75" x14ac:dyDescent="0.2">
      <c r="A777" s="73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2.75" x14ac:dyDescent="0.2">
      <c r="A778" s="73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2.75" x14ac:dyDescent="0.2">
      <c r="A779" s="73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2.75" x14ac:dyDescent="0.2">
      <c r="A780" s="73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2.75" x14ac:dyDescent="0.2">
      <c r="A781" s="73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2.75" x14ac:dyDescent="0.2">
      <c r="A782" s="73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2.75" x14ac:dyDescent="0.2">
      <c r="A783" s="73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2.75" x14ac:dyDescent="0.2">
      <c r="A784" s="73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2.75" x14ac:dyDescent="0.2">
      <c r="A785" s="73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2.75" x14ac:dyDescent="0.2">
      <c r="A786" s="73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2.75" x14ac:dyDescent="0.2">
      <c r="A787" s="73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2.75" x14ac:dyDescent="0.2">
      <c r="A788" s="73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2.75" x14ac:dyDescent="0.2">
      <c r="A789" s="73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2.75" x14ac:dyDescent="0.2">
      <c r="A790" s="73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2.75" x14ac:dyDescent="0.2">
      <c r="A791" s="73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2.75" x14ac:dyDescent="0.2">
      <c r="A792" s="73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2.75" x14ac:dyDescent="0.2">
      <c r="A793" s="73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2.75" x14ac:dyDescent="0.2">
      <c r="A794" s="73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2.75" x14ac:dyDescent="0.2">
      <c r="A795" s="73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2.75" x14ac:dyDescent="0.2">
      <c r="A796" s="73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2.75" x14ac:dyDescent="0.2">
      <c r="A797" s="73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2.75" x14ac:dyDescent="0.2">
      <c r="A798" s="73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2.75" x14ac:dyDescent="0.2">
      <c r="A799" s="73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2.75" x14ac:dyDescent="0.2">
      <c r="A800" s="73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2.75" x14ac:dyDescent="0.2">
      <c r="A801" s="73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2.75" x14ac:dyDescent="0.2">
      <c r="A802" s="73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2.75" x14ac:dyDescent="0.2">
      <c r="A803" s="73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2.75" x14ac:dyDescent="0.2">
      <c r="A804" s="73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2.75" x14ac:dyDescent="0.2">
      <c r="A805" s="73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2.75" x14ac:dyDescent="0.2">
      <c r="A806" s="73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2.75" x14ac:dyDescent="0.2">
      <c r="A807" s="73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2.75" x14ac:dyDescent="0.2">
      <c r="A808" s="73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2.75" x14ac:dyDescent="0.2">
      <c r="A809" s="73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2.75" x14ac:dyDescent="0.2">
      <c r="A810" s="73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2.75" x14ac:dyDescent="0.2">
      <c r="A811" s="73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2.75" x14ac:dyDescent="0.2">
      <c r="A812" s="73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2.75" x14ac:dyDescent="0.2">
      <c r="A813" s="73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2.75" x14ac:dyDescent="0.2">
      <c r="A814" s="73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2.75" x14ac:dyDescent="0.2">
      <c r="A815" s="73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2.75" x14ac:dyDescent="0.2">
      <c r="A816" s="73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2.75" x14ac:dyDescent="0.2">
      <c r="A817" s="73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2.75" x14ac:dyDescent="0.2">
      <c r="A818" s="73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2.75" x14ac:dyDescent="0.2">
      <c r="A819" s="73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2.75" x14ac:dyDescent="0.2">
      <c r="A820" s="73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2.75" x14ac:dyDescent="0.2">
      <c r="A821" s="73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2.75" x14ac:dyDescent="0.2">
      <c r="A822" s="73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2.75" x14ac:dyDescent="0.2">
      <c r="A823" s="73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2.75" x14ac:dyDescent="0.2">
      <c r="A824" s="73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2.75" x14ac:dyDescent="0.2">
      <c r="A825" s="73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2.75" x14ac:dyDescent="0.2">
      <c r="A826" s="73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2.75" x14ac:dyDescent="0.2">
      <c r="A827" s="73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2.75" x14ac:dyDescent="0.2">
      <c r="A828" s="73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2.75" x14ac:dyDescent="0.2">
      <c r="A829" s="73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2.75" x14ac:dyDescent="0.2">
      <c r="A830" s="73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2.75" x14ac:dyDescent="0.2">
      <c r="A831" s="73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2.75" x14ac:dyDescent="0.2">
      <c r="A832" s="73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2.75" x14ac:dyDescent="0.2">
      <c r="A833" s="73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2.75" x14ac:dyDescent="0.2">
      <c r="A834" s="73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2.75" x14ac:dyDescent="0.2">
      <c r="A835" s="73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2.75" x14ac:dyDescent="0.2">
      <c r="A836" s="73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2.75" x14ac:dyDescent="0.2">
      <c r="A837" s="73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2.75" x14ac:dyDescent="0.2">
      <c r="A838" s="73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2.75" x14ac:dyDescent="0.2">
      <c r="A839" s="73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2.75" x14ac:dyDescent="0.2">
      <c r="A840" s="73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2.75" x14ac:dyDescent="0.2">
      <c r="A841" s="73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2.75" x14ac:dyDescent="0.2">
      <c r="A842" s="73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2.75" x14ac:dyDescent="0.2">
      <c r="A843" s="73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2.75" x14ac:dyDescent="0.2">
      <c r="A844" s="73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2.75" x14ac:dyDescent="0.2">
      <c r="A845" s="73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2.75" x14ac:dyDescent="0.2">
      <c r="A846" s="73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2.75" x14ac:dyDescent="0.2">
      <c r="A847" s="73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2.75" x14ac:dyDescent="0.2">
      <c r="A848" s="73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2.75" x14ac:dyDescent="0.2">
      <c r="A849" s="73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2.75" x14ac:dyDescent="0.2">
      <c r="A850" s="73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2.75" x14ac:dyDescent="0.2">
      <c r="A851" s="73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2.75" x14ac:dyDescent="0.2">
      <c r="A852" s="73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2.75" x14ac:dyDescent="0.2">
      <c r="A853" s="73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2.75" x14ac:dyDescent="0.2">
      <c r="A854" s="73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2.75" x14ac:dyDescent="0.2">
      <c r="A855" s="73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2.75" x14ac:dyDescent="0.2">
      <c r="A856" s="73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2.75" x14ac:dyDescent="0.2">
      <c r="A857" s="73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2.75" x14ac:dyDescent="0.2">
      <c r="A858" s="73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2.75" x14ac:dyDescent="0.2">
      <c r="A859" s="73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2.75" x14ac:dyDescent="0.2">
      <c r="A860" s="73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2.75" x14ac:dyDescent="0.2">
      <c r="A861" s="73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2.75" x14ac:dyDescent="0.2">
      <c r="A862" s="73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2.75" x14ac:dyDescent="0.2">
      <c r="A863" s="73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2.75" x14ac:dyDescent="0.2">
      <c r="A864" s="73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2.75" x14ac:dyDescent="0.2">
      <c r="A865" s="73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2.75" x14ac:dyDescent="0.2">
      <c r="A866" s="73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2.75" x14ac:dyDescent="0.2">
      <c r="A867" s="73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2.75" x14ac:dyDescent="0.2">
      <c r="A868" s="73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2.75" x14ac:dyDescent="0.2">
      <c r="A869" s="73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2.75" x14ac:dyDescent="0.2">
      <c r="A870" s="73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2.75" x14ac:dyDescent="0.2">
      <c r="A871" s="73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2.75" x14ac:dyDescent="0.2">
      <c r="A872" s="73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2.75" x14ac:dyDescent="0.2">
      <c r="A873" s="73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2.75" x14ac:dyDescent="0.2">
      <c r="A874" s="73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2.75" x14ac:dyDescent="0.2">
      <c r="A875" s="73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2.75" x14ac:dyDescent="0.2">
      <c r="A876" s="73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2.75" x14ac:dyDescent="0.2">
      <c r="A877" s="73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2.75" x14ac:dyDescent="0.2">
      <c r="A878" s="73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2.75" x14ac:dyDescent="0.2">
      <c r="A879" s="73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2.75" x14ac:dyDescent="0.2">
      <c r="A880" s="73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2.75" x14ac:dyDescent="0.2">
      <c r="A881" s="73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2.75" x14ac:dyDescent="0.2">
      <c r="A882" s="73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2.75" x14ac:dyDescent="0.2">
      <c r="A883" s="73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2.75" x14ac:dyDescent="0.2">
      <c r="A884" s="73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2.75" x14ac:dyDescent="0.2">
      <c r="A885" s="73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2.75" x14ac:dyDescent="0.2">
      <c r="A886" s="73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2.75" x14ac:dyDescent="0.2">
      <c r="A887" s="73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2.75" x14ac:dyDescent="0.2">
      <c r="A888" s="73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2.75" x14ac:dyDescent="0.2">
      <c r="A889" s="73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2.75" x14ac:dyDescent="0.2">
      <c r="A890" s="73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2.75" x14ac:dyDescent="0.2">
      <c r="A891" s="73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2.75" x14ac:dyDescent="0.2">
      <c r="A892" s="73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2.75" x14ac:dyDescent="0.2">
      <c r="A893" s="73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2.75" x14ac:dyDescent="0.2">
      <c r="A894" s="73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2.75" x14ac:dyDescent="0.2">
      <c r="A895" s="73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2.75" x14ac:dyDescent="0.2">
      <c r="A896" s="73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2.75" x14ac:dyDescent="0.2">
      <c r="A897" s="73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2.75" x14ac:dyDescent="0.2">
      <c r="A898" s="73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2.75" x14ac:dyDescent="0.2">
      <c r="A899" s="73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2.75" x14ac:dyDescent="0.2">
      <c r="A900" s="73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2.75" x14ac:dyDescent="0.2">
      <c r="A901" s="73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2.75" x14ac:dyDescent="0.2">
      <c r="A902" s="73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2.75" x14ac:dyDescent="0.2">
      <c r="A903" s="73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2.75" x14ac:dyDescent="0.2">
      <c r="A904" s="73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2.75" x14ac:dyDescent="0.2">
      <c r="A905" s="73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2.75" x14ac:dyDescent="0.2">
      <c r="A906" s="73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2.75" x14ac:dyDescent="0.2">
      <c r="A907" s="73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2.75" x14ac:dyDescent="0.2">
      <c r="A908" s="73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2.75" x14ac:dyDescent="0.2">
      <c r="A909" s="73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2.75" x14ac:dyDescent="0.2">
      <c r="A910" s="73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2.75" x14ac:dyDescent="0.2">
      <c r="A911" s="73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2.75" x14ac:dyDescent="0.2">
      <c r="A912" s="73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2.75" x14ac:dyDescent="0.2">
      <c r="A913" s="73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2.75" x14ac:dyDescent="0.2">
      <c r="A914" s="73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2.75" x14ac:dyDescent="0.2">
      <c r="A915" s="73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2.75" x14ac:dyDescent="0.2">
      <c r="A916" s="73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2.75" x14ac:dyDescent="0.2">
      <c r="A917" s="73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2.75" x14ac:dyDescent="0.2">
      <c r="A918" s="73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2.75" x14ac:dyDescent="0.2">
      <c r="A919" s="73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2.75" x14ac:dyDescent="0.2">
      <c r="A920" s="73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2.75" x14ac:dyDescent="0.2">
      <c r="A921" s="73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2.75" x14ac:dyDescent="0.2">
      <c r="A922" s="73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2.75" x14ac:dyDescent="0.2">
      <c r="A923" s="73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2.75" x14ac:dyDescent="0.2">
      <c r="A924" s="73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2.75" x14ac:dyDescent="0.2">
      <c r="A925" s="73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2.75" x14ac:dyDescent="0.2">
      <c r="A926" s="73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2.75" x14ac:dyDescent="0.2">
      <c r="A927" s="73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2.75" x14ac:dyDescent="0.2">
      <c r="A928" s="73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2.75" x14ac:dyDescent="0.2">
      <c r="A929" s="73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2.75" x14ac:dyDescent="0.2">
      <c r="A930" s="73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2.75" x14ac:dyDescent="0.2">
      <c r="A931" s="73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2.75" x14ac:dyDescent="0.2">
      <c r="A932" s="73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2.75" x14ac:dyDescent="0.2">
      <c r="A933" s="73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2.75" x14ac:dyDescent="0.2">
      <c r="A934" s="73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2.75" x14ac:dyDescent="0.2">
      <c r="A935" s="73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2.75" x14ac:dyDescent="0.2">
      <c r="A936" s="73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2.75" x14ac:dyDescent="0.2">
      <c r="A937" s="73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2.75" x14ac:dyDescent="0.2">
      <c r="A938" s="73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2.75" x14ac:dyDescent="0.2">
      <c r="A939" s="73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2.75" x14ac:dyDescent="0.2">
      <c r="A940" s="73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2.75" x14ac:dyDescent="0.2">
      <c r="A941" s="73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2.75" x14ac:dyDescent="0.2">
      <c r="A942" s="73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2.75" x14ac:dyDescent="0.2">
      <c r="A943" s="73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2.75" x14ac:dyDescent="0.2">
      <c r="A944" s="73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2.75" x14ac:dyDescent="0.2">
      <c r="A945" s="73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2.75" x14ac:dyDescent="0.2">
      <c r="A946" s="73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2.75" x14ac:dyDescent="0.2">
      <c r="A947" s="73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2.75" x14ac:dyDescent="0.2">
      <c r="A948" s="73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2.75" x14ac:dyDescent="0.2">
      <c r="A949" s="73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2.75" x14ac:dyDescent="0.2">
      <c r="A950" s="73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2.75" x14ac:dyDescent="0.2">
      <c r="A951" s="73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2.75" x14ac:dyDescent="0.2">
      <c r="A952" s="73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2.75" x14ac:dyDescent="0.2">
      <c r="A953" s="73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2.75" x14ac:dyDescent="0.2">
      <c r="A954" s="73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2.75" x14ac:dyDescent="0.2">
      <c r="A955" s="73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2.75" x14ac:dyDescent="0.2">
      <c r="A956" s="73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2.75" x14ac:dyDescent="0.2">
      <c r="A957" s="73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2.75" x14ac:dyDescent="0.2">
      <c r="A958" s="73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2.75" x14ac:dyDescent="0.2">
      <c r="A959" s="73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2.75" x14ac:dyDescent="0.2">
      <c r="A960" s="73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2.75" x14ac:dyDescent="0.2">
      <c r="A961" s="73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2.75" x14ac:dyDescent="0.2">
      <c r="A962" s="73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2.75" x14ac:dyDescent="0.2">
      <c r="A963" s="73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2.75" x14ac:dyDescent="0.2">
      <c r="A964" s="73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2.75" x14ac:dyDescent="0.2">
      <c r="A965" s="73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2.75" x14ac:dyDescent="0.2">
      <c r="A966" s="73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2.75" x14ac:dyDescent="0.2">
      <c r="A967" s="73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2.75" x14ac:dyDescent="0.2">
      <c r="A968" s="73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2.75" x14ac:dyDescent="0.2">
      <c r="A969" s="73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2.75" x14ac:dyDescent="0.2">
      <c r="A970" s="73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2.75" x14ac:dyDescent="0.2">
      <c r="A971" s="73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2.75" x14ac:dyDescent="0.2">
      <c r="A972" s="73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2.75" x14ac:dyDescent="0.2">
      <c r="A973" s="73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2.75" x14ac:dyDescent="0.2">
      <c r="A974" s="73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2.75" x14ac:dyDescent="0.2">
      <c r="A975" s="73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2.75" x14ac:dyDescent="0.2">
      <c r="A976" s="73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2.75" x14ac:dyDescent="0.2">
      <c r="A977" s="73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2.75" x14ac:dyDescent="0.2">
      <c r="A978" s="73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2.75" x14ac:dyDescent="0.2">
      <c r="A979" s="73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2.75" x14ac:dyDescent="0.2">
      <c r="A980" s="73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2.75" x14ac:dyDescent="0.2">
      <c r="A981" s="73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2.75" x14ac:dyDescent="0.2">
      <c r="A982" s="73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2.75" x14ac:dyDescent="0.2">
      <c r="A983" s="73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2.75" x14ac:dyDescent="0.2">
      <c r="A984" s="73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2.75" x14ac:dyDescent="0.2">
      <c r="A985" s="73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2.75" x14ac:dyDescent="0.2">
      <c r="A986" s="73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2.75" x14ac:dyDescent="0.2">
      <c r="A987" s="73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2.75" x14ac:dyDescent="0.2">
      <c r="A988" s="73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2.75" x14ac:dyDescent="0.2">
      <c r="A989" s="73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2.75" x14ac:dyDescent="0.2">
      <c r="A990" s="73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2.75" x14ac:dyDescent="0.2">
      <c r="A991" s="73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2.75" x14ac:dyDescent="0.2">
      <c r="A992" s="73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2.75" x14ac:dyDescent="0.2">
      <c r="A993" s="73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2.75" x14ac:dyDescent="0.2">
      <c r="A994" s="73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2.75" x14ac:dyDescent="0.2">
      <c r="A995" s="73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2.75" x14ac:dyDescent="0.2">
      <c r="A996" s="73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2.75" x14ac:dyDescent="0.2">
      <c r="A997" s="73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 ht="12.75" x14ac:dyDescent="0.2">
      <c r="A998" s="73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 ht="12.75" x14ac:dyDescent="0.2">
      <c r="A999" s="73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  <row r="1000" spans="1:31" ht="12.75" x14ac:dyDescent="0.2">
      <c r="A1000" s="73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</row>
  </sheetData>
  <mergeCells count="16">
    <mergeCell ref="N3:R3"/>
    <mergeCell ref="S3:Y3"/>
    <mergeCell ref="F4:G4"/>
    <mergeCell ref="H4:I4"/>
    <mergeCell ref="J4:K4"/>
    <mergeCell ref="L4:M4"/>
    <mergeCell ref="O4:P4"/>
    <mergeCell ref="Q4:R4"/>
    <mergeCell ref="T4:U4"/>
    <mergeCell ref="V4:W4"/>
    <mergeCell ref="X4:Y4"/>
    <mergeCell ref="A3:A4"/>
    <mergeCell ref="B3:B4"/>
    <mergeCell ref="C3:C4"/>
    <mergeCell ref="D3:D4"/>
    <mergeCell ref="E3:M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E1000"/>
  <sheetViews>
    <sheetView zoomScale="85" zoomScaleNormal="85" workbookViewId="0">
      <selection activeCell="B21" sqref="B21"/>
    </sheetView>
  </sheetViews>
  <sheetFormatPr defaultColWidth="12.5703125" defaultRowHeight="15.75" customHeight="1" x14ac:dyDescent="0.2"/>
  <cols>
    <col min="1" max="1" width="9" style="3" customWidth="1"/>
    <col min="2" max="2" width="31.140625" style="3" customWidth="1"/>
    <col min="3" max="4" width="12.5703125" style="3"/>
    <col min="5" max="5" width="10.42578125" style="3" customWidth="1"/>
    <col min="6" max="13" width="8.85546875" style="3" customWidth="1"/>
    <col min="14" max="14" width="10.42578125" style="3" customWidth="1"/>
    <col min="15" max="18" width="8.85546875" style="3" customWidth="1"/>
    <col min="19" max="19" width="10.42578125" style="3" customWidth="1"/>
    <col min="20" max="25" width="8.85546875" style="3" customWidth="1"/>
    <col min="26" max="16384" width="12.5703125" style="3"/>
  </cols>
  <sheetData>
    <row r="1" spans="1:31" ht="26.25" customHeight="1" x14ac:dyDescent="0.2">
      <c r="A1" s="49" t="s">
        <v>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ht="35.25" customHeight="1" x14ac:dyDescent="0.2">
      <c r="A2" s="4" t="s">
        <v>26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</row>
    <row r="3" spans="1:31" ht="30.75" customHeight="1" x14ac:dyDescent="0.2">
      <c r="A3" s="89" t="str">
        <f ca="1">IFERROR(__xludf.DUMMYFUNCTION("IMPORTRANGE(""https://docs.google.com/spreadsheets/d/1giFCfPZvq6d2WPbrXwJ7ksTcnSjmuNbU5G4IRrh5hOk/edit#gid=0"",""Q8!A14:T300"")"),"STT")</f>
        <v>STT</v>
      </c>
      <c r="B3" s="101" t="str">
        <f ca="1">IFERROR(__xludf.DUMMYFUNCTION("""COMPUTED_VALUE"""),"TRƯỜNG")</f>
        <v>TRƯỜNG</v>
      </c>
      <c r="C3" s="101" t="str">
        <f ca="1">IFERROR(__xludf.DUMMYFUNCTION("""COMPUTED_VALUE"""),"BẬC HỌC (MN, TH, THCS, THPT, CB, GDTX)")</f>
        <v>BẬC HỌC (MN, TH, THCS, THPT, CB, GDTX)</v>
      </c>
      <c r="D3" s="101" t="str">
        <f ca="1">IFERROR(__xludf.DUMMYFUNCTION("""COMPUTED_VALUE"""),"THÀNH PHỐ, QUẬN, HUYỆN")</f>
        <v>THÀNH PHỐ, QUẬN, HUYỆN</v>
      </c>
      <c r="E3" s="91" t="str">
        <f ca="1">IFERROR(__xludf.DUMMYFUNCTION("""COMPUTED_VALUE"""),"Cán bộ - Giáo viên - Nhân viên")</f>
        <v>Cán bộ - Giáo viên - Nhân viên</v>
      </c>
      <c r="F3" s="92"/>
      <c r="G3" s="92"/>
      <c r="H3" s="92"/>
      <c r="I3" s="92"/>
      <c r="J3" s="92"/>
      <c r="K3" s="92"/>
      <c r="L3" s="92"/>
      <c r="M3" s="92"/>
      <c r="N3" s="93" t="str">
        <f ca="1">IFERROR(__xludf.DUMMYFUNCTION("""COMPUTED_VALUE"""),"Học sinh từ 5 đến dưới 12 tuổi")</f>
        <v>Học sinh từ 5 đến dưới 12 tuổi</v>
      </c>
      <c r="O3" s="92"/>
      <c r="P3" s="92"/>
      <c r="Q3" s="92"/>
      <c r="R3" s="92"/>
      <c r="S3" s="94" t="str">
        <f ca="1">IFERROR(__xludf.DUMMYFUNCTION("""COMPUTED_VALUE"""),"Học sinh từ 12 đến dưới 18 tuổi")</f>
        <v>Học sinh từ 12 đến dưới 18 tuổi</v>
      </c>
      <c r="T3" s="95"/>
      <c r="U3" s="95"/>
      <c r="V3" s="95"/>
      <c r="W3" s="95"/>
      <c r="X3" s="95"/>
      <c r="Y3" s="95"/>
      <c r="Z3" s="2"/>
      <c r="AA3" s="2"/>
      <c r="AB3" s="2"/>
      <c r="AC3" s="2"/>
      <c r="AD3" s="2"/>
      <c r="AE3" s="2"/>
    </row>
    <row r="4" spans="1:31" ht="27" customHeight="1" x14ac:dyDescent="0.2">
      <c r="A4" s="90"/>
      <c r="B4" s="88"/>
      <c r="C4" s="88"/>
      <c r="D4" s="88"/>
      <c r="E4" s="58" t="str">
        <f ca="1">IFERROR(__xludf.DUMMYFUNCTION("""COMPUTED_VALUE"""),"Tổng CB-GV-NV")</f>
        <v>Tổng CB-GV-NV</v>
      </c>
      <c r="F4" s="96" t="s">
        <v>22</v>
      </c>
      <c r="G4" s="97"/>
      <c r="H4" s="96" t="s">
        <v>23</v>
      </c>
      <c r="I4" s="97"/>
      <c r="J4" s="96" t="s">
        <v>24</v>
      </c>
      <c r="K4" s="97"/>
      <c r="L4" s="96" t="s">
        <v>25</v>
      </c>
      <c r="M4" s="97"/>
      <c r="N4" s="58" t="str">
        <f ca="1">IFERROR(__xludf.DUMMYFUNCTION("""COMPUTED_VALUE"""),"Tổng học sinh")</f>
        <v>Tổng học sinh</v>
      </c>
      <c r="O4" s="96" t="s">
        <v>22</v>
      </c>
      <c r="P4" s="97"/>
      <c r="Q4" s="96" t="s">
        <v>23</v>
      </c>
      <c r="R4" s="97"/>
      <c r="S4" s="58" t="str">
        <f ca="1">IFERROR(__xludf.DUMMYFUNCTION("""COMPUTED_VALUE"""),"Tổng học sinh")</f>
        <v>Tổng học sinh</v>
      </c>
      <c r="T4" s="98" t="s">
        <v>22</v>
      </c>
      <c r="U4" s="99"/>
      <c r="V4" s="98" t="s">
        <v>23</v>
      </c>
      <c r="W4" s="99"/>
      <c r="X4" s="98" t="s">
        <v>24</v>
      </c>
      <c r="Y4" s="99"/>
      <c r="Z4" s="2"/>
      <c r="AA4" s="2"/>
      <c r="AB4" s="2"/>
      <c r="AC4" s="2"/>
      <c r="AD4" s="2"/>
      <c r="AE4" s="2"/>
    </row>
    <row r="5" spans="1:31" ht="12.75" x14ac:dyDescent="0.2">
      <c r="A5" s="59" t="str">
        <f ca="1">IFERROR(__xludf.DUMMYFUNCTION("""COMPUTED_VALUE"""),"TỔNG TOÀN QUẬN/HUYỆN/TP")</f>
        <v>TỔNG TOÀN QUẬN/HUYỆN/TP</v>
      </c>
      <c r="B5" s="60"/>
      <c r="C5" s="61"/>
      <c r="D5" s="61" t="str">
        <f ca="1">IFERROR(__xludf.DUMMYFUNCTION("""COMPUTED_VALUE"""),"QUẬN 8")</f>
        <v>QUẬN 8</v>
      </c>
      <c r="E5" s="15">
        <f ca="1">IFERROR(__xludf.DUMMYFUNCTION("""COMPUTED_VALUE"""),3900)</f>
        <v>3900</v>
      </c>
      <c r="F5" s="15">
        <f ca="1">IFERROR(__xludf.DUMMYFUNCTION("""COMPUTED_VALUE"""),3835)</f>
        <v>3835</v>
      </c>
      <c r="G5" s="51">
        <f ca="1">IFERROR(F5/E5,"")</f>
        <v>0.98333333333333328</v>
      </c>
      <c r="H5" s="15">
        <f ca="1">IFERROR(__xludf.DUMMYFUNCTION("""COMPUTED_VALUE"""),3881)</f>
        <v>3881</v>
      </c>
      <c r="I5" s="51">
        <f ca="1">IFERROR(H5/E5,"")</f>
        <v>0.9951282051282051</v>
      </c>
      <c r="J5" s="15">
        <f ca="1">IFERROR(__xludf.DUMMYFUNCTION("""COMPUTED_VALUE"""),3708)</f>
        <v>3708</v>
      </c>
      <c r="K5" s="51">
        <f ca="1">IFERROR(J5/E5,"")</f>
        <v>0.95076923076923081</v>
      </c>
      <c r="L5" s="15">
        <f ca="1">IFERROR(__xludf.DUMMYFUNCTION("""COMPUTED_VALUE"""),2132)</f>
        <v>2132</v>
      </c>
      <c r="M5" s="51">
        <f ca="1">IFERROR(L5/E5,"")</f>
        <v>0.54666666666666663</v>
      </c>
      <c r="N5" s="15">
        <f ca="1">IFERROR(__xludf.DUMMYFUNCTION("""COMPUTED_VALUE"""),29351)</f>
        <v>29351</v>
      </c>
      <c r="O5" s="15">
        <f ca="1">IFERROR(__xludf.DUMMYFUNCTION("""COMPUTED_VALUE"""),16240)</f>
        <v>16240</v>
      </c>
      <c r="P5" s="51">
        <f ca="1">IFERROR(O5/N5,"")</f>
        <v>0.55330312425471018</v>
      </c>
      <c r="Q5" s="15">
        <f ca="1">IFERROR(__xludf.DUMMYFUNCTION("""COMPUTED_VALUE"""),7974)</f>
        <v>7974</v>
      </c>
      <c r="R5" s="51">
        <f ca="1">IFERROR(Q5/N5,"")</f>
        <v>0.27167728527137064</v>
      </c>
      <c r="S5" s="15">
        <f ca="1">IFERROR(__xludf.DUMMYFUNCTION("""COMPUTED_VALUE"""),24473)</f>
        <v>24473</v>
      </c>
      <c r="T5" s="15">
        <f ca="1">IFERROR(__xludf.DUMMYFUNCTION("""COMPUTED_VALUE"""),23303)</f>
        <v>23303</v>
      </c>
      <c r="U5" s="51">
        <f ca="1">IFERROR(T5/S5,"")</f>
        <v>0.9521922118252768</v>
      </c>
      <c r="V5" s="15">
        <f ca="1">IFERROR(__xludf.DUMMYFUNCTION("""COMPUTED_VALUE"""),22878)</f>
        <v>22878</v>
      </c>
      <c r="W5" s="51">
        <f ca="1">IFERROR(V5/S5,"")</f>
        <v>0.93482613492420219</v>
      </c>
      <c r="X5" s="15">
        <f ca="1">IFERROR(__xludf.DUMMYFUNCTION("""COMPUTED_VALUE"""),5080)</f>
        <v>5080</v>
      </c>
      <c r="Y5" s="51">
        <f ca="1">IFERROR(X5/S5,"")</f>
        <v>0.20757569566460998</v>
      </c>
      <c r="Z5" s="2"/>
      <c r="AA5" s="2"/>
      <c r="AB5" s="2"/>
      <c r="AC5" s="2"/>
      <c r="AD5" s="2"/>
      <c r="AE5" s="2"/>
    </row>
    <row r="6" spans="1:31" ht="12.75" x14ac:dyDescent="0.2">
      <c r="A6" s="66" t="str">
        <f ca="1">IFERROR(__xludf.DUMMYFUNCTION("""COMPUTED_VALUE"""),"Mầm non")</f>
        <v>Mầm non</v>
      </c>
      <c r="B6" s="66"/>
      <c r="C6" s="66"/>
      <c r="D6" s="66">
        <f ca="1">IFERROR(__xludf.DUMMYFUNCTION("""COMPUTED_VALUE"""),8)</f>
        <v>8</v>
      </c>
      <c r="E6" s="67">
        <f ca="1">IFERROR(__xludf.DUMMYFUNCTION("""COMPUTED_VALUE"""),1338)</f>
        <v>1338</v>
      </c>
      <c r="F6" s="67">
        <f ca="1">IFERROR(__xludf.DUMMYFUNCTION("""COMPUTED_VALUE"""),1318)</f>
        <v>1318</v>
      </c>
      <c r="G6" s="51">
        <f t="shared" ref="G6:G69" ca="1" si="0">IFERROR(F6/E6,"")</f>
        <v>0.98505231689088191</v>
      </c>
      <c r="H6" s="67">
        <f ca="1">IFERROR(__xludf.DUMMYFUNCTION("""COMPUTED_VALUE"""),1316)</f>
        <v>1316</v>
      </c>
      <c r="I6" s="51">
        <f t="shared" ref="I6:I69" ca="1" si="1">IFERROR(H6/E6,"")</f>
        <v>0.98355754857997013</v>
      </c>
      <c r="J6" s="67">
        <f ca="1">IFERROR(__xludf.DUMMYFUNCTION("""COMPUTED_VALUE"""),1294)</f>
        <v>1294</v>
      </c>
      <c r="K6" s="51">
        <f t="shared" ref="K6:K69" ca="1" si="2">IFERROR(J6/E6,"")</f>
        <v>0.96711509715994026</v>
      </c>
      <c r="L6" s="67">
        <f ca="1">IFERROR(__xludf.DUMMYFUNCTION("""COMPUTED_VALUE"""),692)</f>
        <v>692</v>
      </c>
      <c r="M6" s="51">
        <f t="shared" ref="M6:M69" ca="1" si="3">IFERROR(L6/E6,"")</f>
        <v>0.51718983557548581</v>
      </c>
      <c r="N6" s="67">
        <f ca="1">IFERROR(__xludf.DUMMYFUNCTION("""COMPUTED_VALUE"""),3366)</f>
        <v>3366</v>
      </c>
      <c r="O6" s="67">
        <f ca="1">IFERROR(__xludf.DUMMYFUNCTION("""COMPUTED_VALUE"""),1068)</f>
        <v>1068</v>
      </c>
      <c r="P6" s="51">
        <f t="shared" ref="P6:P69" ca="1" si="4">IFERROR(O6/N6,"")</f>
        <v>0.3172905525846702</v>
      </c>
      <c r="Q6" s="67">
        <f ca="1">IFERROR(__xludf.DUMMYFUNCTION("""COMPUTED_VALUE"""),489)</f>
        <v>489</v>
      </c>
      <c r="R6" s="51">
        <f t="shared" ref="R6:R69" ca="1" si="5">IFERROR(Q6/N6,"")</f>
        <v>0.14527629233511585</v>
      </c>
      <c r="S6" s="67">
        <f ca="1">IFERROR(__xludf.DUMMYFUNCTION("""COMPUTED_VALUE"""),0)</f>
        <v>0</v>
      </c>
      <c r="T6" s="67">
        <f ca="1">IFERROR(__xludf.DUMMYFUNCTION("""COMPUTED_VALUE"""),0)</f>
        <v>0</v>
      </c>
      <c r="U6" s="51" t="str">
        <f t="shared" ref="U6:U69" ca="1" si="6">IFERROR(T6/S6,"")</f>
        <v/>
      </c>
      <c r="V6" s="67">
        <f ca="1">IFERROR(__xludf.DUMMYFUNCTION("""COMPUTED_VALUE"""),0)</f>
        <v>0</v>
      </c>
      <c r="W6" s="51" t="str">
        <f t="shared" ref="W6:W69" ca="1" si="7">IFERROR(V6/S6,"")</f>
        <v/>
      </c>
      <c r="X6" s="67">
        <f ca="1">IFERROR(__xludf.DUMMYFUNCTION("""COMPUTED_VALUE"""),0)</f>
        <v>0</v>
      </c>
      <c r="Y6" s="51" t="str">
        <f t="shared" ref="Y6:Y69" ca="1" si="8">IFERROR(X6/S6,"")</f>
        <v/>
      </c>
      <c r="Z6" s="2"/>
      <c r="AA6" s="2"/>
      <c r="AB6" s="2"/>
      <c r="AC6" s="2"/>
      <c r="AD6" s="2"/>
      <c r="AE6" s="2"/>
    </row>
    <row r="7" spans="1:31" ht="12.75" x14ac:dyDescent="0.2">
      <c r="A7" s="53">
        <f ca="1">IFERROR(__xludf.DUMMYFUNCTION("""COMPUTED_VALUE"""),1)</f>
        <v>1</v>
      </c>
      <c r="B7" s="66" t="str">
        <f ca="1">IFERROR(__xludf.DUMMYFUNCTION("""COMPUTED_VALUE"""),"MN Vườn Hồng")</f>
        <v>MN Vườn Hồng</v>
      </c>
      <c r="C7" s="66" t="str">
        <f ca="1">IFERROR(__xludf.DUMMYFUNCTION("""COMPUTED_VALUE"""),"Mầm non")</f>
        <v>Mầm non</v>
      </c>
      <c r="D7" s="66">
        <f ca="1">IFERROR(__xludf.DUMMYFUNCTION("""COMPUTED_VALUE"""),8)</f>
        <v>8</v>
      </c>
      <c r="E7" s="67">
        <f ca="1">IFERROR(__xludf.DUMMYFUNCTION("""COMPUTED_VALUE"""),59)</f>
        <v>59</v>
      </c>
      <c r="F7" s="67">
        <f ca="1">IFERROR(__xludf.DUMMYFUNCTION("""COMPUTED_VALUE"""),59)</f>
        <v>59</v>
      </c>
      <c r="G7" s="51">
        <f t="shared" ca="1" si="0"/>
        <v>1</v>
      </c>
      <c r="H7" s="67">
        <f ca="1">IFERROR(__xludf.DUMMYFUNCTION("""COMPUTED_VALUE"""),59)</f>
        <v>59</v>
      </c>
      <c r="I7" s="51">
        <f t="shared" ca="1" si="1"/>
        <v>1</v>
      </c>
      <c r="J7" s="67">
        <f ca="1">IFERROR(__xludf.DUMMYFUNCTION("""COMPUTED_VALUE"""),56)</f>
        <v>56</v>
      </c>
      <c r="K7" s="51">
        <f t="shared" ca="1" si="2"/>
        <v>0.94915254237288138</v>
      </c>
      <c r="L7" s="67">
        <f ca="1">IFERROR(__xludf.DUMMYFUNCTION("""COMPUTED_VALUE"""),43)</f>
        <v>43</v>
      </c>
      <c r="M7" s="51">
        <f t="shared" ca="1" si="3"/>
        <v>0.72881355932203384</v>
      </c>
      <c r="N7" s="67">
        <f ca="1">IFERROR(__xludf.DUMMYFUNCTION("""COMPUTED_VALUE"""),191)</f>
        <v>191</v>
      </c>
      <c r="O7" s="67">
        <f ca="1">IFERROR(__xludf.DUMMYFUNCTION("""COMPUTED_VALUE"""),94)</f>
        <v>94</v>
      </c>
      <c r="P7" s="51">
        <f t="shared" ca="1" si="4"/>
        <v>0.49214659685863876</v>
      </c>
      <c r="Q7" s="67">
        <f ca="1">IFERROR(__xludf.DUMMYFUNCTION("""COMPUTED_VALUE"""),54)</f>
        <v>54</v>
      </c>
      <c r="R7" s="51">
        <f t="shared" ca="1" si="5"/>
        <v>0.28272251308900526</v>
      </c>
      <c r="S7" s="67">
        <f ca="1">IFERROR(__xludf.DUMMYFUNCTION("""COMPUTED_VALUE"""),0)</f>
        <v>0</v>
      </c>
      <c r="T7" s="66">
        <f ca="1">IFERROR(__xludf.DUMMYFUNCTION("""COMPUTED_VALUE"""),0)</f>
        <v>0</v>
      </c>
      <c r="U7" s="51" t="str">
        <f t="shared" ca="1" si="6"/>
        <v/>
      </c>
      <c r="V7" s="67">
        <f ca="1">IFERROR(__xludf.DUMMYFUNCTION("""COMPUTED_VALUE"""),0)</f>
        <v>0</v>
      </c>
      <c r="W7" s="51" t="str">
        <f t="shared" ca="1" si="7"/>
        <v/>
      </c>
      <c r="X7" s="66"/>
      <c r="Y7" s="51" t="str">
        <f t="shared" ca="1" si="8"/>
        <v/>
      </c>
      <c r="Z7" s="2"/>
      <c r="AA7" s="2"/>
      <c r="AB7" s="2"/>
      <c r="AC7" s="2"/>
      <c r="AD7" s="2"/>
      <c r="AE7" s="2"/>
    </row>
    <row r="8" spans="1:31" ht="12.75" x14ac:dyDescent="0.2">
      <c r="A8" s="53">
        <f ca="1">IFERROR(__xludf.DUMMYFUNCTION("""COMPUTED_VALUE"""),2)</f>
        <v>2</v>
      </c>
      <c r="B8" s="66" t="str">
        <f ca="1">IFERROR(__xludf.DUMMYFUNCTION("""COMPUTED_VALUE"""),"MN Việt Nhi")</f>
        <v>MN Việt Nhi</v>
      </c>
      <c r="C8" s="66" t="str">
        <f ca="1">IFERROR(__xludf.DUMMYFUNCTION("""COMPUTED_VALUE"""),"Mầm non")</f>
        <v>Mầm non</v>
      </c>
      <c r="D8" s="66">
        <f ca="1">IFERROR(__xludf.DUMMYFUNCTION("""COMPUTED_VALUE"""),8)</f>
        <v>8</v>
      </c>
      <c r="E8" s="67">
        <f ca="1">IFERROR(__xludf.DUMMYFUNCTION("""COMPUTED_VALUE"""),44)</f>
        <v>44</v>
      </c>
      <c r="F8" s="67">
        <f ca="1">IFERROR(__xludf.DUMMYFUNCTION("""COMPUTED_VALUE"""),44)</f>
        <v>44</v>
      </c>
      <c r="G8" s="51">
        <f t="shared" ca="1" si="0"/>
        <v>1</v>
      </c>
      <c r="H8" s="66">
        <f ca="1">IFERROR(__xludf.DUMMYFUNCTION("""COMPUTED_VALUE"""),44)</f>
        <v>44</v>
      </c>
      <c r="I8" s="51">
        <f t="shared" ca="1" si="1"/>
        <v>1</v>
      </c>
      <c r="J8" s="67">
        <f ca="1">IFERROR(__xludf.DUMMYFUNCTION("""COMPUTED_VALUE"""),44)</f>
        <v>44</v>
      </c>
      <c r="K8" s="51">
        <f t="shared" ca="1" si="2"/>
        <v>1</v>
      </c>
      <c r="L8" s="67">
        <f ca="1">IFERROR(__xludf.DUMMYFUNCTION("""COMPUTED_VALUE"""),35)</f>
        <v>35</v>
      </c>
      <c r="M8" s="51">
        <f t="shared" ca="1" si="3"/>
        <v>0.79545454545454541</v>
      </c>
      <c r="N8" s="67">
        <f ca="1">IFERROR(__xludf.DUMMYFUNCTION("""COMPUTED_VALUE"""),153)</f>
        <v>153</v>
      </c>
      <c r="O8" s="67">
        <f ca="1">IFERROR(__xludf.DUMMYFUNCTION("""COMPUTED_VALUE"""),30)</f>
        <v>30</v>
      </c>
      <c r="P8" s="51">
        <f t="shared" ca="1" si="4"/>
        <v>0.19607843137254902</v>
      </c>
      <c r="Q8" s="67">
        <f ca="1">IFERROR(__xludf.DUMMYFUNCTION("""COMPUTED_VALUE"""),26)</f>
        <v>26</v>
      </c>
      <c r="R8" s="51">
        <f t="shared" ca="1" si="5"/>
        <v>0.16993464052287582</v>
      </c>
      <c r="S8" s="67">
        <f ca="1">IFERROR(__xludf.DUMMYFUNCTION("""COMPUTED_VALUE"""),0)</f>
        <v>0</v>
      </c>
      <c r="T8" s="67">
        <f ca="1">IFERROR(__xludf.DUMMYFUNCTION("""COMPUTED_VALUE"""),0)</f>
        <v>0</v>
      </c>
      <c r="U8" s="51" t="str">
        <f t="shared" ca="1" si="6"/>
        <v/>
      </c>
      <c r="V8" s="67">
        <f ca="1">IFERROR(__xludf.DUMMYFUNCTION("""COMPUTED_VALUE"""),0)</f>
        <v>0</v>
      </c>
      <c r="W8" s="51" t="str">
        <f t="shared" ca="1" si="7"/>
        <v/>
      </c>
      <c r="X8" s="66"/>
      <c r="Y8" s="51" t="str">
        <f t="shared" ca="1" si="8"/>
        <v/>
      </c>
      <c r="Z8" s="2"/>
      <c r="AA8" s="2"/>
      <c r="AB8" s="2"/>
      <c r="AC8" s="2"/>
      <c r="AD8" s="2"/>
      <c r="AE8" s="2"/>
    </row>
    <row r="9" spans="1:31" ht="12.75" x14ac:dyDescent="0.2">
      <c r="A9" s="53">
        <f ca="1">IFERROR(__xludf.DUMMYFUNCTION("""COMPUTED_VALUE"""),3)</f>
        <v>3</v>
      </c>
      <c r="B9" s="66" t="str">
        <f ca="1">IFERROR(__xludf.DUMMYFUNCTION("""COMPUTED_VALUE"""),"MN Bình Minh")</f>
        <v>MN Bình Minh</v>
      </c>
      <c r="C9" s="66" t="str">
        <f ca="1">IFERROR(__xludf.DUMMYFUNCTION("""COMPUTED_VALUE"""),"Mầm non")</f>
        <v>Mầm non</v>
      </c>
      <c r="D9" s="66">
        <f ca="1">IFERROR(__xludf.DUMMYFUNCTION("""COMPUTED_VALUE"""),8)</f>
        <v>8</v>
      </c>
      <c r="E9" s="67">
        <f ca="1">IFERROR(__xludf.DUMMYFUNCTION("""COMPUTED_VALUE"""),28)</f>
        <v>28</v>
      </c>
      <c r="F9" s="67">
        <f ca="1">IFERROR(__xludf.DUMMYFUNCTION("""COMPUTED_VALUE"""),28)</f>
        <v>28</v>
      </c>
      <c r="G9" s="51">
        <f t="shared" ca="1" si="0"/>
        <v>1</v>
      </c>
      <c r="H9" s="67">
        <f ca="1">IFERROR(__xludf.DUMMYFUNCTION("""COMPUTED_VALUE"""),28)</f>
        <v>28</v>
      </c>
      <c r="I9" s="51">
        <f t="shared" ca="1" si="1"/>
        <v>1</v>
      </c>
      <c r="J9" s="67">
        <f ca="1">IFERROR(__xludf.DUMMYFUNCTION("""COMPUTED_VALUE"""),28)</f>
        <v>28</v>
      </c>
      <c r="K9" s="51">
        <f t="shared" ca="1" si="2"/>
        <v>1</v>
      </c>
      <c r="L9" s="67">
        <f ca="1">IFERROR(__xludf.DUMMYFUNCTION("""COMPUTED_VALUE"""),28)</f>
        <v>28</v>
      </c>
      <c r="M9" s="51">
        <f t="shared" ca="1" si="3"/>
        <v>1</v>
      </c>
      <c r="N9" s="67">
        <f ca="1">IFERROR(__xludf.DUMMYFUNCTION("""COMPUTED_VALUE"""),147)</f>
        <v>147</v>
      </c>
      <c r="O9" s="67">
        <f ca="1">IFERROR(__xludf.DUMMYFUNCTION("""COMPUTED_VALUE"""),32)</f>
        <v>32</v>
      </c>
      <c r="P9" s="51">
        <f t="shared" ca="1" si="4"/>
        <v>0.21768707482993196</v>
      </c>
      <c r="Q9" s="67">
        <f ca="1">IFERROR(__xludf.DUMMYFUNCTION("""COMPUTED_VALUE"""),28)</f>
        <v>28</v>
      </c>
      <c r="R9" s="51">
        <f t="shared" ca="1" si="5"/>
        <v>0.19047619047619047</v>
      </c>
      <c r="S9" s="67">
        <f ca="1">IFERROR(__xludf.DUMMYFUNCTION("""COMPUTED_VALUE"""),0)</f>
        <v>0</v>
      </c>
      <c r="T9" s="67">
        <f ca="1">IFERROR(__xludf.DUMMYFUNCTION("""COMPUTED_VALUE"""),0)</f>
        <v>0</v>
      </c>
      <c r="U9" s="51" t="str">
        <f t="shared" ca="1" si="6"/>
        <v/>
      </c>
      <c r="V9" s="67">
        <f ca="1">IFERROR(__xludf.DUMMYFUNCTION("""COMPUTED_VALUE"""),0)</f>
        <v>0</v>
      </c>
      <c r="W9" s="51" t="str">
        <f t="shared" ca="1" si="7"/>
        <v/>
      </c>
      <c r="X9" s="66"/>
      <c r="Y9" s="51" t="str">
        <f t="shared" ca="1" si="8"/>
        <v/>
      </c>
      <c r="Z9" s="2"/>
      <c r="AA9" s="2"/>
      <c r="AB9" s="2"/>
      <c r="AC9" s="2"/>
      <c r="AD9" s="2"/>
      <c r="AE9" s="2"/>
    </row>
    <row r="10" spans="1:31" ht="12.75" x14ac:dyDescent="0.2">
      <c r="A10" s="53">
        <f ca="1">IFERROR(__xludf.DUMMYFUNCTION("""COMPUTED_VALUE"""),4)</f>
        <v>4</v>
      </c>
      <c r="B10" s="66" t="str">
        <f ca="1">IFERROR(__xludf.DUMMYFUNCTION("""COMPUTED_VALUE"""),"MN Tuổi Hoa")</f>
        <v>MN Tuổi Hoa</v>
      </c>
      <c r="C10" s="66" t="str">
        <f ca="1">IFERROR(__xludf.DUMMYFUNCTION("""COMPUTED_VALUE"""),"Mầm non")</f>
        <v>Mầm non</v>
      </c>
      <c r="D10" s="66">
        <f ca="1">IFERROR(__xludf.DUMMYFUNCTION("""COMPUTED_VALUE"""),8)</f>
        <v>8</v>
      </c>
      <c r="E10" s="67">
        <f ca="1">IFERROR(__xludf.DUMMYFUNCTION("""COMPUTED_VALUE"""),43)</f>
        <v>43</v>
      </c>
      <c r="F10" s="67">
        <f ca="1">IFERROR(__xludf.DUMMYFUNCTION("""COMPUTED_VALUE"""),43)</f>
        <v>43</v>
      </c>
      <c r="G10" s="51">
        <f t="shared" ca="1" si="0"/>
        <v>1</v>
      </c>
      <c r="H10" s="67">
        <f ca="1">IFERROR(__xludf.DUMMYFUNCTION("""COMPUTED_VALUE"""),43)</f>
        <v>43</v>
      </c>
      <c r="I10" s="51">
        <f t="shared" ca="1" si="1"/>
        <v>1</v>
      </c>
      <c r="J10" s="67">
        <f ca="1">IFERROR(__xludf.DUMMYFUNCTION("""COMPUTED_VALUE"""),42)</f>
        <v>42</v>
      </c>
      <c r="K10" s="51">
        <f t="shared" ca="1" si="2"/>
        <v>0.97674418604651159</v>
      </c>
      <c r="L10" s="67">
        <f ca="1">IFERROR(__xludf.DUMMYFUNCTION("""COMPUTED_VALUE"""),16)</f>
        <v>16</v>
      </c>
      <c r="M10" s="51">
        <f t="shared" ca="1" si="3"/>
        <v>0.37209302325581395</v>
      </c>
      <c r="N10" s="67">
        <f ca="1">IFERROR(__xludf.DUMMYFUNCTION("""COMPUTED_VALUE"""),179)</f>
        <v>179</v>
      </c>
      <c r="O10" s="67">
        <f ca="1">IFERROR(__xludf.DUMMYFUNCTION("""COMPUTED_VALUE"""),52)</f>
        <v>52</v>
      </c>
      <c r="P10" s="51">
        <f t="shared" ca="1" si="4"/>
        <v>0.29050279329608941</v>
      </c>
      <c r="Q10" s="67">
        <f ca="1">IFERROR(__xludf.DUMMYFUNCTION("""COMPUTED_VALUE"""),36)</f>
        <v>36</v>
      </c>
      <c r="R10" s="51">
        <f t="shared" ca="1" si="5"/>
        <v>0.2011173184357542</v>
      </c>
      <c r="S10" s="67">
        <f ca="1">IFERROR(__xludf.DUMMYFUNCTION("""COMPUTED_VALUE"""),0)</f>
        <v>0</v>
      </c>
      <c r="T10" s="67">
        <f ca="1">IFERROR(__xludf.DUMMYFUNCTION("""COMPUTED_VALUE"""),0)</f>
        <v>0</v>
      </c>
      <c r="U10" s="51" t="str">
        <f t="shared" ca="1" si="6"/>
        <v/>
      </c>
      <c r="V10" s="67">
        <f ca="1">IFERROR(__xludf.DUMMYFUNCTION("""COMPUTED_VALUE"""),0)</f>
        <v>0</v>
      </c>
      <c r="W10" s="51" t="str">
        <f t="shared" ca="1" si="7"/>
        <v/>
      </c>
      <c r="X10" s="66"/>
      <c r="Y10" s="51" t="str">
        <f t="shared" ca="1" si="8"/>
        <v/>
      </c>
      <c r="Z10" s="2"/>
      <c r="AA10" s="2"/>
      <c r="AB10" s="2"/>
      <c r="AC10" s="2"/>
      <c r="AD10" s="2"/>
      <c r="AE10" s="2"/>
    </row>
    <row r="11" spans="1:31" ht="12.75" x14ac:dyDescent="0.2">
      <c r="A11" s="53">
        <f ca="1">IFERROR(__xludf.DUMMYFUNCTION("""COMPUTED_VALUE"""),5)</f>
        <v>5</v>
      </c>
      <c r="B11" s="66" t="str">
        <f ca="1">IFERROR(__xludf.DUMMYFUNCTION("""COMPUTED_VALUE"""),"MN 19/5")</f>
        <v>MN 19/5</v>
      </c>
      <c r="C11" s="66" t="str">
        <f ca="1">IFERROR(__xludf.DUMMYFUNCTION("""COMPUTED_VALUE"""),"Mầm non")</f>
        <v>Mầm non</v>
      </c>
      <c r="D11" s="66">
        <f ca="1">IFERROR(__xludf.DUMMYFUNCTION("""COMPUTED_VALUE"""),8)</f>
        <v>8</v>
      </c>
      <c r="E11" s="67">
        <f ca="1">IFERROR(__xludf.DUMMYFUNCTION("""COMPUTED_VALUE"""),63)</f>
        <v>63</v>
      </c>
      <c r="F11" s="67">
        <f ca="1">IFERROR(__xludf.DUMMYFUNCTION("""COMPUTED_VALUE"""),63)</f>
        <v>63</v>
      </c>
      <c r="G11" s="51">
        <f t="shared" ca="1" si="0"/>
        <v>1</v>
      </c>
      <c r="H11" s="67">
        <f ca="1">IFERROR(__xludf.DUMMYFUNCTION("""COMPUTED_VALUE"""),63)</f>
        <v>63</v>
      </c>
      <c r="I11" s="51">
        <f t="shared" ca="1" si="1"/>
        <v>1</v>
      </c>
      <c r="J11" s="67">
        <f ca="1">IFERROR(__xludf.DUMMYFUNCTION("""COMPUTED_VALUE"""),63)</f>
        <v>63</v>
      </c>
      <c r="K11" s="51">
        <f t="shared" ca="1" si="2"/>
        <v>1</v>
      </c>
      <c r="L11" s="67">
        <f ca="1">IFERROR(__xludf.DUMMYFUNCTION("""COMPUTED_VALUE"""),56)</f>
        <v>56</v>
      </c>
      <c r="M11" s="51">
        <f t="shared" ca="1" si="3"/>
        <v>0.88888888888888884</v>
      </c>
      <c r="N11" s="67">
        <f ca="1">IFERROR(__xludf.DUMMYFUNCTION("""COMPUTED_VALUE"""),267)</f>
        <v>267</v>
      </c>
      <c r="O11" s="67">
        <f ca="1">IFERROR(__xludf.DUMMYFUNCTION("""COMPUTED_VALUE"""),33)</f>
        <v>33</v>
      </c>
      <c r="P11" s="51">
        <f t="shared" ca="1" si="4"/>
        <v>0.12359550561797752</v>
      </c>
      <c r="Q11" s="67">
        <f ca="1">IFERROR(__xludf.DUMMYFUNCTION("""COMPUTED_VALUE"""),17)</f>
        <v>17</v>
      </c>
      <c r="R11" s="51">
        <f t="shared" ca="1" si="5"/>
        <v>6.3670411985018729E-2</v>
      </c>
      <c r="S11" s="67">
        <f ca="1">IFERROR(__xludf.DUMMYFUNCTION("""COMPUTED_VALUE"""),0)</f>
        <v>0</v>
      </c>
      <c r="T11" s="66">
        <f ca="1">IFERROR(__xludf.DUMMYFUNCTION("""COMPUTED_VALUE"""),0)</f>
        <v>0</v>
      </c>
      <c r="U11" s="51" t="str">
        <f t="shared" ca="1" si="6"/>
        <v/>
      </c>
      <c r="V11" s="67">
        <f ca="1">IFERROR(__xludf.DUMMYFUNCTION("""COMPUTED_VALUE"""),0)</f>
        <v>0</v>
      </c>
      <c r="W11" s="51" t="str">
        <f t="shared" ca="1" si="7"/>
        <v/>
      </c>
      <c r="X11" s="66"/>
      <c r="Y11" s="51" t="str">
        <f t="shared" ca="1" si="8"/>
        <v/>
      </c>
      <c r="Z11" s="2"/>
      <c r="AA11" s="2"/>
      <c r="AB11" s="2"/>
      <c r="AC11" s="2"/>
      <c r="AD11" s="2"/>
      <c r="AE11" s="2"/>
    </row>
    <row r="12" spans="1:31" ht="12.75" x14ac:dyDescent="0.2">
      <c r="A12" s="53">
        <f ca="1">IFERROR(__xludf.DUMMYFUNCTION("""COMPUTED_VALUE"""),6)</f>
        <v>6</v>
      </c>
      <c r="B12" s="66" t="str">
        <f ca="1">IFERROR(__xludf.DUMMYFUNCTION("""COMPUTED_VALUE"""),"MN Tuổi Thơ")</f>
        <v>MN Tuổi Thơ</v>
      </c>
      <c r="C12" s="66" t="str">
        <f ca="1">IFERROR(__xludf.DUMMYFUNCTION("""COMPUTED_VALUE"""),"Mầm non")</f>
        <v>Mầm non</v>
      </c>
      <c r="D12" s="66">
        <f ca="1">IFERROR(__xludf.DUMMYFUNCTION("""COMPUTED_VALUE"""),8)</f>
        <v>8</v>
      </c>
      <c r="E12" s="67">
        <f ca="1">IFERROR(__xludf.DUMMYFUNCTION("""COMPUTED_VALUE"""),59)</f>
        <v>59</v>
      </c>
      <c r="F12" s="67">
        <f ca="1">IFERROR(__xludf.DUMMYFUNCTION("""COMPUTED_VALUE"""),59)</f>
        <v>59</v>
      </c>
      <c r="G12" s="51">
        <f t="shared" ca="1" si="0"/>
        <v>1</v>
      </c>
      <c r="H12" s="67">
        <f ca="1">IFERROR(__xludf.DUMMYFUNCTION("""COMPUTED_VALUE"""),59)</f>
        <v>59</v>
      </c>
      <c r="I12" s="51">
        <f t="shared" ca="1" si="1"/>
        <v>1</v>
      </c>
      <c r="J12" s="67">
        <f ca="1">IFERROR(__xludf.DUMMYFUNCTION("""COMPUTED_VALUE"""),59)</f>
        <v>59</v>
      </c>
      <c r="K12" s="51">
        <f t="shared" ca="1" si="2"/>
        <v>1</v>
      </c>
      <c r="L12" s="67">
        <f ca="1">IFERROR(__xludf.DUMMYFUNCTION("""COMPUTED_VALUE"""),46)</f>
        <v>46</v>
      </c>
      <c r="M12" s="51">
        <f t="shared" ca="1" si="3"/>
        <v>0.77966101694915257</v>
      </c>
      <c r="N12" s="67">
        <f ca="1">IFERROR(__xludf.DUMMYFUNCTION("""COMPUTED_VALUE"""),230)</f>
        <v>230</v>
      </c>
      <c r="O12" s="67">
        <f ca="1">IFERROR(__xludf.DUMMYFUNCTION("""COMPUTED_VALUE"""),83)</f>
        <v>83</v>
      </c>
      <c r="P12" s="51">
        <f t="shared" ca="1" si="4"/>
        <v>0.36086956521739133</v>
      </c>
      <c r="Q12" s="67">
        <f ca="1">IFERROR(__xludf.DUMMYFUNCTION("""COMPUTED_VALUE"""),57)</f>
        <v>57</v>
      </c>
      <c r="R12" s="51">
        <f t="shared" ca="1" si="5"/>
        <v>0.24782608695652175</v>
      </c>
      <c r="S12" s="67">
        <f ca="1">IFERROR(__xludf.DUMMYFUNCTION("""COMPUTED_VALUE"""),0)</f>
        <v>0</v>
      </c>
      <c r="T12" s="67">
        <f ca="1">IFERROR(__xludf.DUMMYFUNCTION("""COMPUTED_VALUE"""),0)</f>
        <v>0</v>
      </c>
      <c r="U12" s="51" t="str">
        <f t="shared" ca="1" si="6"/>
        <v/>
      </c>
      <c r="V12" s="67">
        <f ca="1">IFERROR(__xludf.DUMMYFUNCTION("""COMPUTED_VALUE"""),0)</f>
        <v>0</v>
      </c>
      <c r="W12" s="51" t="str">
        <f t="shared" ca="1" si="7"/>
        <v/>
      </c>
      <c r="X12" s="66"/>
      <c r="Y12" s="51" t="str">
        <f t="shared" ca="1" si="8"/>
        <v/>
      </c>
      <c r="Z12" s="2"/>
      <c r="AA12" s="2"/>
      <c r="AB12" s="2"/>
      <c r="AC12" s="2"/>
      <c r="AD12" s="2"/>
      <c r="AE12" s="2"/>
    </row>
    <row r="13" spans="1:31" ht="12.75" x14ac:dyDescent="0.2">
      <c r="A13" s="53">
        <f ca="1">IFERROR(__xludf.DUMMYFUNCTION("""COMPUTED_VALUE"""),7)</f>
        <v>7</v>
      </c>
      <c r="B13" s="66" t="str">
        <f ca="1">IFERROR(__xludf.DUMMYFUNCTION("""COMPUTED_VALUE"""),"MN Tuổi Ngọc")</f>
        <v>MN Tuổi Ngọc</v>
      </c>
      <c r="C13" s="66" t="str">
        <f ca="1">IFERROR(__xludf.DUMMYFUNCTION("""COMPUTED_VALUE"""),"Mầm non")</f>
        <v>Mầm non</v>
      </c>
      <c r="D13" s="66">
        <f ca="1">IFERROR(__xludf.DUMMYFUNCTION("""COMPUTED_VALUE"""),8)</f>
        <v>8</v>
      </c>
      <c r="E13" s="67">
        <f ca="1">IFERROR(__xludf.DUMMYFUNCTION("""COMPUTED_VALUE"""),67)</f>
        <v>67</v>
      </c>
      <c r="F13" s="67">
        <f ca="1">IFERROR(__xludf.DUMMYFUNCTION("""COMPUTED_VALUE"""),67)</f>
        <v>67</v>
      </c>
      <c r="G13" s="51">
        <f t="shared" ca="1" si="0"/>
        <v>1</v>
      </c>
      <c r="H13" s="67">
        <f ca="1">IFERROR(__xludf.DUMMYFUNCTION("""COMPUTED_VALUE"""),67)</f>
        <v>67</v>
      </c>
      <c r="I13" s="51">
        <f t="shared" ca="1" si="1"/>
        <v>1</v>
      </c>
      <c r="J13" s="67">
        <f ca="1">IFERROR(__xludf.DUMMYFUNCTION("""COMPUTED_VALUE"""),67)</f>
        <v>67</v>
      </c>
      <c r="K13" s="51">
        <f t="shared" ca="1" si="2"/>
        <v>1</v>
      </c>
      <c r="L13" s="67">
        <f ca="1">IFERROR(__xludf.DUMMYFUNCTION("""COMPUTED_VALUE"""),60)</f>
        <v>60</v>
      </c>
      <c r="M13" s="51">
        <f t="shared" ca="1" si="3"/>
        <v>0.89552238805970152</v>
      </c>
      <c r="N13" s="67">
        <f ca="1">IFERROR(__xludf.DUMMYFUNCTION("""COMPUTED_VALUE"""),184)</f>
        <v>184</v>
      </c>
      <c r="O13" s="67">
        <f ca="1">IFERROR(__xludf.DUMMYFUNCTION("""COMPUTED_VALUE"""),39)</f>
        <v>39</v>
      </c>
      <c r="P13" s="51">
        <f t="shared" ca="1" si="4"/>
        <v>0.21195652173913043</v>
      </c>
      <c r="Q13" s="67">
        <f ca="1">IFERROR(__xludf.DUMMYFUNCTION("""COMPUTED_VALUE"""),20)</f>
        <v>20</v>
      </c>
      <c r="R13" s="51">
        <f t="shared" ca="1" si="5"/>
        <v>0.10869565217391304</v>
      </c>
      <c r="S13" s="67">
        <f ca="1">IFERROR(__xludf.DUMMYFUNCTION("""COMPUTED_VALUE"""),0)</f>
        <v>0</v>
      </c>
      <c r="T13" s="67">
        <f ca="1">IFERROR(__xludf.DUMMYFUNCTION("""COMPUTED_VALUE"""),0)</f>
        <v>0</v>
      </c>
      <c r="U13" s="51" t="str">
        <f t="shared" ca="1" si="6"/>
        <v/>
      </c>
      <c r="V13" s="67">
        <f ca="1">IFERROR(__xludf.DUMMYFUNCTION("""COMPUTED_VALUE"""),0)</f>
        <v>0</v>
      </c>
      <c r="W13" s="51" t="str">
        <f t="shared" ca="1" si="7"/>
        <v/>
      </c>
      <c r="X13" s="66"/>
      <c r="Y13" s="51" t="str">
        <f t="shared" ca="1" si="8"/>
        <v/>
      </c>
      <c r="Z13" s="2"/>
      <c r="AA13" s="2"/>
      <c r="AB13" s="2"/>
      <c r="AC13" s="2"/>
      <c r="AD13" s="2"/>
      <c r="AE13" s="2"/>
    </row>
    <row r="14" spans="1:31" ht="12.75" x14ac:dyDescent="0.2">
      <c r="A14" s="53">
        <f ca="1">IFERROR(__xludf.DUMMYFUNCTION("""COMPUTED_VALUE"""),8)</f>
        <v>8</v>
      </c>
      <c r="B14" s="66" t="str">
        <f ca="1">IFERROR(__xludf.DUMMYFUNCTION("""COMPUTED_VALUE"""),"MN Thỏ Ngọc")</f>
        <v>MN Thỏ Ngọc</v>
      </c>
      <c r="C14" s="66" t="str">
        <f ca="1">IFERROR(__xludf.DUMMYFUNCTION("""COMPUTED_VALUE"""),"Mầm non")</f>
        <v>Mầm non</v>
      </c>
      <c r="D14" s="66">
        <f ca="1">IFERROR(__xludf.DUMMYFUNCTION("""COMPUTED_VALUE"""),8)</f>
        <v>8</v>
      </c>
      <c r="E14" s="67">
        <f ca="1">IFERROR(__xludf.DUMMYFUNCTION("""COMPUTED_VALUE"""),37)</f>
        <v>37</v>
      </c>
      <c r="F14" s="67">
        <f ca="1">IFERROR(__xludf.DUMMYFUNCTION("""COMPUTED_VALUE"""),37)</f>
        <v>37</v>
      </c>
      <c r="G14" s="51">
        <f t="shared" ca="1" si="0"/>
        <v>1</v>
      </c>
      <c r="H14" s="67">
        <f ca="1">IFERROR(__xludf.DUMMYFUNCTION("""COMPUTED_VALUE"""),37)</f>
        <v>37</v>
      </c>
      <c r="I14" s="51">
        <f t="shared" ca="1" si="1"/>
        <v>1</v>
      </c>
      <c r="J14" s="67">
        <f ca="1">IFERROR(__xludf.DUMMYFUNCTION("""COMPUTED_VALUE"""),37)</f>
        <v>37</v>
      </c>
      <c r="K14" s="51">
        <f t="shared" ca="1" si="2"/>
        <v>1</v>
      </c>
      <c r="L14" s="67">
        <f ca="1">IFERROR(__xludf.DUMMYFUNCTION("""COMPUTED_VALUE"""),23)</f>
        <v>23</v>
      </c>
      <c r="M14" s="51">
        <f t="shared" ca="1" si="3"/>
        <v>0.6216216216216216</v>
      </c>
      <c r="N14" s="67">
        <f ca="1">IFERROR(__xludf.DUMMYFUNCTION("""COMPUTED_VALUE"""),133)</f>
        <v>133</v>
      </c>
      <c r="O14" s="67">
        <f ca="1">IFERROR(__xludf.DUMMYFUNCTION("""COMPUTED_VALUE"""),33)</f>
        <v>33</v>
      </c>
      <c r="P14" s="51">
        <f t="shared" ca="1" si="4"/>
        <v>0.24812030075187969</v>
      </c>
      <c r="Q14" s="67">
        <f ca="1">IFERROR(__xludf.DUMMYFUNCTION("""COMPUTED_VALUE"""),28)</f>
        <v>28</v>
      </c>
      <c r="R14" s="51">
        <f t="shared" ca="1" si="5"/>
        <v>0.21052631578947367</v>
      </c>
      <c r="S14" s="67">
        <f ca="1">IFERROR(__xludf.DUMMYFUNCTION("""COMPUTED_VALUE"""),0)</f>
        <v>0</v>
      </c>
      <c r="T14" s="67">
        <f ca="1">IFERROR(__xludf.DUMMYFUNCTION("""COMPUTED_VALUE"""),0)</f>
        <v>0</v>
      </c>
      <c r="U14" s="51" t="str">
        <f t="shared" ca="1" si="6"/>
        <v/>
      </c>
      <c r="V14" s="67">
        <f ca="1">IFERROR(__xludf.DUMMYFUNCTION("""COMPUTED_VALUE"""),0)</f>
        <v>0</v>
      </c>
      <c r="W14" s="51" t="str">
        <f t="shared" ca="1" si="7"/>
        <v/>
      </c>
      <c r="X14" s="67">
        <f ca="1">IFERROR(__xludf.DUMMYFUNCTION("""COMPUTED_VALUE"""),0)</f>
        <v>0</v>
      </c>
      <c r="Y14" s="51" t="str">
        <f t="shared" ca="1" si="8"/>
        <v/>
      </c>
      <c r="Z14" s="2"/>
      <c r="AA14" s="2"/>
      <c r="AB14" s="2"/>
      <c r="AC14" s="2"/>
      <c r="AD14" s="2"/>
      <c r="AE14" s="2"/>
    </row>
    <row r="15" spans="1:31" ht="12.75" x14ac:dyDescent="0.2">
      <c r="A15" s="53">
        <f ca="1">IFERROR(__xludf.DUMMYFUNCTION("""COMPUTED_VALUE"""),9)</f>
        <v>9</v>
      </c>
      <c r="B15" s="66" t="str">
        <f ca="1">IFERROR(__xludf.DUMMYFUNCTION("""COMPUTED_VALUE"""),"MN Vành Khuyên")</f>
        <v>MN Vành Khuyên</v>
      </c>
      <c r="C15" s="66" t="str">
        <f ca="1">IFERROR(__xludf.DUMMYFUNCTION("""COMPUTED_VALUE"""),"Mầm non")</f>
        <v>Mầm non</v>
      </c>
      <c r="D15" s="66">
        <f ca="1">IFERROR(__xludf.DUMMYFUNCTION("""COMPUTED_VALUE"""),8)</f>
        <v>8</v>
      </c>
      <c r="E15" s="67">
        <f ca="1">IFERROR(__xludf.DUMMYFUNCTION("""COMPUTED_VALUE"""),32)</f>
        <v>32</v>
      </c>
      <c r="F15" s="67">
        <f ca="1">IFERROR(__xludf.DUMMYFUNCTION("""COMPUTED_VALUE"""),32)</f>
        <v>32</v>
      </c>
      <c r="G15" s="51">
        <f t="shared" ca="1" si="0"/>
        <v>1</v>
      </c>
      <c r="H15" s="67">
        <f ca="1">IFERROR(__xludf.DUMMYFUNCTION("""COMPUTED_VALUE"""),32)</f>
        <v>32</v>
      </c>
      <c r="I15" s="51">
        <f t="shared" ca="1" si="1"/>
        <v>1</v>
      </c>
      <c r="J15" s="67">
        <f ca="1">IFERROR(__xludf.DUMMYFUNCTION("""COMPUTED_VALUE"""),32)</f>
        <v>32</v>
      </c>
      <c r="K15" s="51">
        <f t="shared" ca="1" si="2"/>
        <v>1</v>
      </c>
      <c r="L15" s="67">
        <f ca="1">IFERROR(__xludf.DUMMYFUNCTION("""COMPUTED_VALUE"""),15)</f>
        <v>15</v>
      </c>
      <c r="M15" s="51">
        <f t="shared" ca="1" si="3"/>
        <v>0.46875</v>
      </c>
      <c r="N15" s="67">
        <f ca="1">IFERROR(__xludf.DUMMYFUNCTION("""COMPUTED_VALUE"""),95)</f>
        <v>95</v>
      </c>
      <c r="O15" s="67">
        <f ca="1">IFERROR(__xludf.DUMMYFUNCTION("""COMPUTED_VALUE"""),25)</f>
        <v>25</v>
      </c>
      <c r="P15" s="51">
        <f t="shared" ca="1" si="4"/>
        <v>0.26315789473684209</v>
      </c>
      <c r="Q15" s="67">
        <f ca="1">IFERROR(__xludf.DUMMYFUNCTION("""COMPUTED_VALUE"""),15)</f>
        <v>15</v>
      </c>
      <c r="R15" s="51">
        <f t="shared" ca="1" si="5"/>
        <v>0.15789473684210525</v>
      </c>
      <c r="S15" s="67">
        <f ca="1">IFERROR(__xludf.DUMMYFUNCTION("""COMPUTED_VALUE"""),0)</f>
        <v>0</v>
      </c>
      <c r="T15" s="67">
        <f ca="1">IFERROR(__xludf.DUMMYFUNCTION("""COMPUTED_VALUE"""),0)</f>
        <v>0</v>
      </c>
      <c r="U15" s="51" t="str">
        <f t="shared" ca="1" si="6"/>
        <v/>
      </c>
      <c r="V15" s="67">
        <f ca="1">IFERROR(__xludf.DUMMYFUNCTION("""COMPUTED_VALUE"""),0)</f>
        <v>0</v>
      </c>
      <c r="W15" s="51" t="str">
        <f t="shared" ca="1" si="7"/>
        <v/>
      </c>
      <c r="X15" s="66"/>
      <c r="Y15" s="51" t="str">
        <f t="shared" ca="1" si="8"/>
        <v/>
      </c>
      <c r="Z15" s="2"/>
      <c r="AA15" s="2"/>
      <c r="AB15" s="2"/>
      <c r="AC15" s="2"/>
      <c r="AD15" s="2"/>
      <c r="AE15" s="2"/>
    </row>
    <row r="16" spans="1:31" ht="12.75" x14ac:dyDescent="0.2">
      <c r="A16" s="53">
        <f ca="1">IFERROR(__xludf.DUMMYFUNCTION("""COMPUTED_VALUE"""),10)</f>
        <v>10</v>
      </c>
      <c r="B16" s="66" t="str">
        <f ca="1">IFERROR(__xludf.DUMMYFUNCTION("""COMPUTED_VALUE"""),"MN Vàng Anh")</f>
        <v>MN Vàng Anh</v>
      </c>
      <c r="C16" s="66" t="str">
        <f ca="1">IFERROR(__xludf.DUMMYFUNCTION("""COMPUTED_VALUE"""),"Mầm non")</f>
        <v>Mầm non</v>
      </c>
      <c r="D16" s="66">
        <f ca="1">IFERROR(__xludf.DUMMYFUNCTION("""COMPUTED_VALUE"""),8)</f>
        <v>8</v>
      </c>
      <c r="E16" s="67">
        <f ca="1">IFERROR(__xludf.DUMMYFUNCTION("""COMPUTED_VALUE"""),37)</f>
        <v>37</v>
      </c>
      <c r="F16" s="67">
        <f ca="1">IFERROR(__xludf.DUMMYFUNCTION("""COMPUTED_VALUE"""),37)</f>
        <v>37</v>
      </c>
      <c r="G16" s="51">
        <f t="shared" ca="1" si="0"/>
        <v>1</v>
      </c>
      <c r="H16" s="67">
        <f ca="1">IFERROR(__xludf.DUMMYFUNCTION("""COMPUTED_VALUE"""),37)</f>
        <v>37</v>
      </c>
      <c r="I16" s="51">
        <f t="shared" ca="1" si="1"/>
        <v>1</v>
      </c>
      <c r="J16" s="67">
        <f ca="1">IFERROR(__xludf.DUMMYFUNCTION("""COMPUTED_VALUE"""),37)</f>
        <v>37</v>
      </c>
      <c r="K16" s="51">
        <f t="shared" ca="1" si="2"/>
        <v>1</v>
      </c>
      <c r="L16" s="67">
        <f ca="1">IFERROR(__xludf.DUMMYFUNCTION("""COMPUTED_VALUE"""),34)</f>
        <v>34</v>
      </c>
      <c r="M16" s="51">
        <f t="shared" ca="1" si="3"/>
        <v>0.91891891891891897</v>
      </c>
      <c r="N16" s="67">
        <f ca="1">IFERROR(__xludf.DUMMYFUNCTION("""COMPUTED_VALUE"""),113)</f>
        <v>113</v>
      </c>
      <c r="O16" s="67">
        <f ca="1">IFERROR(__xludf.DUMMYFUNCTION("""COMPUTED_VALUE"""),54)</f>
        <v>54</v>
      </c>
      <c r="P16" s="51">
        <f t="shared" ca="1" si="4"/>
        <v>0.47787610619469029</v>
      </c>
      <c r="Q16" s="67">
        <f ca="1">IFERROR(__xludf.DUMMYFUNCTION("""COMPUTED_VALUE"""),37)</f>
        <v>37</v>
      </c>
      <c r="R16" s="51">
        <f t="shared" ca="1" si="5"/>
        <v>0.32743362831858408</v>
      </c>
      <c r="S16" s="67">
        <f ca="1">IFERROR(__xludf.DUMMYFUNCTION("""COMPUTED_VALUE"""),0)</f>
        <v>0</v>
      </c>
      <c r="T16" s="66">
        <f ca="1">IFERROR(__xludf.DUMMYFUNCTION("""COMPUTED_VALUE"""),0)</f>
        <v>0</v>
      </c>
      <c r="U16" s="51" t="str">
        <f t="shared" ca="1" si="6"/>
        <v/>
      </c>
      <c r="V16" s="67">
        <f ca="1">IFERROR(__xludf.DUMMYFUNCTION("""COMPUTED_VALUE"""),0)</f>
        <v>0</v>
      </c>
      <c r="W16" s="51" t="str">
        <f t="shared" ca="1" si="7"/>
        <v/>
      </c>
      <c r="X16" s="66"/>
      <c r="Y16" s="51" t="str">
        <f t="shared" ca="1" si="8"/>
        <v/>
      </c>
      <c r="Z16" s="2"/>
      <c r="AA16" s="2"/>
      <c r="AB16" s="2"/>
      <c r="AC16" s="2"/>
      <c r="AD16" s="2"/>
      <c r="AE16" s="2"/>
    </row>
    <row r="17" spans="1:31" ht="12.75" x14ac:dyDescent="0.2">
      <c r="A17" s="53">
        <f ca="1">IFERROR(__xludf.DUMMYFUNCTION("""COMPUTED_VALUE"""),11)</f>
        <v>11</v>
      </c>
      <c r="B17" s="66" t="str">
        <f ca="1">IFERROR(__xludf.DUMMYFUNCTION("""COMPUTED_VALUE"""),"MN Nắng Mai")</f>
        <v>MN Nắng Mai</v>
      </c>
      <c r="C17" s="66" t="str">
        <f ca="1">IFERROR(__xludf.DUMMYFUNCTION("""COMPUTED_VALUE"""),"Mầm non")</f>
        <v>Mầm non</v>
      </c>
      <c r="D17" s="66">
        <f ca="1">IFERROR(__xludf.DUMMYFUNCTION("""COMPUTED_VALUE"""),8)</f>
        <v>8</v>
      </c>
      <c r="E17" s="67">
        <f ca="1">IFERROR(__xludf.DUMMYFUNCTION("""COMPUTED_VALUE"""),28)</f>
        <v>28</v>
      </c>
      <c r="F17" s="67">
        <f ca="1">IFERROR(__xludf.DUMMYFUNCTION("""COMPUTED_VALUE"""),28)</f>
        <v>28</v>
      </c>
      <c r="G17" s="51">
        <f t="shared" ca="1" si="0"/>
        <v>1</v>
      </c>
      <c r="H17" s="67">
        <f ca="1">IFERROR(__xludf.DUMMYFUNCTION("""COMPUTED_VALUE"""),28)</f>
        <v>28</v>
      </c>
      <c r="I17" s="51">
        <f t="shared" ca="1" si="1"/>
        <v>1</v>
      </c>
      <c r="J17" s="67">
        <f ca="1">IFERROR(__xludf.DUMMYFUNCTION("""COMPUTED_VALUE"""),28)</f>
        <v>28</v>
      </c>
      <c r="K17" s="51">
        <f t="shared" ca="1" si="2"/>
        <v>1</v>
      </c>
      <c r="L17" s="67">
        <f ca="1">IFERROR(__xludf.DUMMYFUNCTION("""COMPUTED_VALUE"""),24)</f>
        <v>24</v>
      </c>
      <c r="M17" s="51">
        <f t="shared" ca="1" si="3"/>
        <v>0.8571428571428571</v>
      </c>
      <c r="N17" s="67">
        <f ca="1">IFERROR(__xludf.DUMMYFUNCTION("""COMPUTED_VALUE"""),114)</f>
        <v>114</v>
      </c>
      <c r="O17" s="67">
        <f ca="1">IFERROR(__xludf.DUMMYFUNCTION("""COMPUTED_VALUE"""),11)</f>
        <v>11</v>
      </c>
      <c r="P17" s="51">
        <f t="shared" ca="1" si="4"/>
        <v>9.6491228070175433E-2</v>
      </c>
      <c r="Q17" s="67">
        <f ca="1">IFERROR(__xludf.DUMMYFUNCTION("""COMPUTED_VALUE"""),8)</f>
        <v>8</v>
      </c>
      <c r="R17" s="51">
        <f t="shared" ca="1" si="5"/>
        <v>7.0175438596491224E-2</v>
      </c>
      <c r="S17" s="67">
        <f ca="1">IFERROR(__xludf.DUMMYFUNCTION("""COMPUTED_VALUE"""),0)</f>
        <v>0</v>
      </c>
      <c r="T17" s="67">
        <f ca="1">IFERROR(__xludf.DUMMYFUNCTION("""COMPUTED_VALUE"""),0)</f>
        <v>0</v>
      </c>
      <c r="U17" s="51" t="str">
        <f t="shared" ca="1" si="6"/>
        <v/>
      </c>
      <c r="V17" s="67">
        <f ca="1">IFERROR(__xludf.DUMMYFUNCTION("""COMPUTED_VALUE"""),0)</f>
        <v>0</v>
      </c>
      <c r="W17" s="51" t="str">
        <f t="shared" ca="1" si="7"/>
        <v/>
      </c>
      <c r="X17" s="66"/>
      <c r="Y17" s="51" t="str">
        <f t="shared" ca="1" si="8"/>
        <v/>
      </c>
      <c r="Z17" s="2"/>
      <c r="AA17" s="2"/>
      <c r="AB17" s="2"/>
      <c r="AC17" s="2"/>
      <c r="AD17" s="2"/>
      <c r="AE17" s="2"/>
    </row>
    <row r="18" spans="1:31" ht="12.75" x14ac:dyDescent="0.2">
      <c r="A18" s="53">
        <f ca="1">IFERROR(__xludf.DUMMYFUNCTION("""COMPUTED_VALUE"""),12)</f>
        <v>12</v>
      </c>
      <c r="B18" s="66" t="str">
        <f ca="1">IFERROR(__xludf.DUMMYFUNCTION("""COMPUTED_VALUE"""),"MN Họa Mi")</f>
        <v>MN Họa Mi</v>
      </c>
      <c r="C18" s="66" t="str">
        <f ca="1">IFERROR(__xludf.DUMMYFUNCTION("""COMPUTED_VALUE"""),"Mầm non")</f>
        <v>Mầm non</v>
      </c>
      <c r="D18" s="66">
        <f ca="1">IFERROR(__xludf.DUMMYFUNCTION("""COMPUTED_VALUE"""),8)</f>
        <v>8</v>
      </c>
      <c r="E18" s="67">
        <f ca="1">IFERROR(__xludf.DUMMYFUNCTION("""COMPUTED_VALUE"""),28)</f>
        <v>28</v>
      </c>
      <c r="F18" s="67">
        <f ca="1">IFERROR(__xludf.DUMMYFUNCTION("""COMPUTED_VALUE"""),28)</f>
        <v>28</v>
      </c>
      <c r="G18" s="51">
        <f t="shared" ca="1" si="0"/>
        <v>1</v>
      </c>
      <c r="H18" s="67">
        <f ca="1">IFERROR(__xludf.DUMMYFUNCTION("""COMPUTED_VALUE"""),28)</f>
        <v>28</v>
      </c>
      <c r="I18" s="51">
        <f t="shared" ca="1" si="1"/>
        <v>1</v>
      </c>
      <c r="J18" s="67">
        <f ca="1">IFERROR(__xludf.DUMMYFUNCTION("""COMPUTED_VALUE"""),28)</f>
        <v>28</v>
      </c>
      <c r="K18" s="51">
        <f t="shared" ca="1" si="2"/>
        <v>1</v>
      </c>
      <c r="L18" s="67">
        <f ca="1">IFERROR(__xludf.DUMMYFUNCTION("""COMPUTED_VALUE"""),21)</f>
        <v>21</v>
      </c>
      <c r="M18" s="51">
        <f t="shared" ca="1" si="3"/>
        <v>0.75</v>
      </c>
      <c r="N18" s="67">
        <f ca="1">IFERROR(__xludf.DUMMYFUNCTION("""COMPUTED_VALUE"""),154)</f>
        <v>154</v>
      </c>
      <c r="O18" s="67">
        <f ca="1">IFERROR(__xludf.DUMMYFUNCTION("""COMPUTED_VALUE"""),35)</f>
        <v>35</v>
      </c>
      <c r="P18" s="51">
        <f t="shared" ca="1" si="4"/>
        <v>0.22727272727272727</v>
      </c>
      <c r="Q18" s="67">
        <f ca="1">IFERROR(__xludf.DUMMYFUNCTION("""COMPUTED_VALUE"""),23)</f>
        <v>23</v>
      </c>
      <c r="R18" s="51">
        <f t="shared" ca="1" si="5"/>
        <v>0.14935064935064934</v>
      </c>
      <c r="S18" s="67">
        <f ca="1">IFERROR(__xludf.DUMMYFUNCTION("""COMPUTED_VALUE"""),0)</f>
        <v>0</v>
      </c>
      <c r="T18" s="66">
        <f ca="1">IFERROR(__xludf.DUMMYFUNCTION("""COMPUTED_VALUE"""),0)</f>
        <v>0</v>
      </c>
      <c r="U18" s="51" t="str">
        <f t="shared" ca="1" si="6"/>
        <v/>
      </c>
      <c r="V18" s="67">
        <f ca="1">IFERROR(__xludf.DUMMYFUNCTION("""COMPUTED_VALUE"""),0)</f>
        <v>0</v>
      </c>
      <c r="W18" s="51" t="str">
        <f t="shared" ca="1" si="7"/>
        <v/>
      </c>
      <c r="X18" s="66"/>
      <c r="Y18" s="51" t="str">
        <f t="shared" ca="1" si="8"/>
        <v/>
      </c>
      <c r="Z18" s="2"/>
      <c r="AA18" s="2"/>
      <c r="AB18" s="2"/>
      <c r="AC18" s="2"/>
      <c r="AD18" s="2"/>
      <c r="AE18" s="2"/>
    </row>
    <row r="19" spans="1:31" ht="12.75" x14ac:dyDescent="0.2">
      <c r="A19" s="53">
        <f ca="1">IFERROR(__xludf.DUMMYFUNCTION("""COMPUTED_VALUE"""),13)</f>
        <v>13</v>
      </c>
      <c r="B19" s="66" t="str">
        <f ca="1">IFERROR(__xludf.DUMMYFUNCTION("""COMPUTED_VALUE"""),"MN Sơn Ca")</f>
        <v>MN Sơn Ca</v>
      </c>
      <c r="C19" s="66" t="str">
        <f ca="1">IFERROR(__xludf.DUMMYFUNCTION("""COMPUTED_VALUE"""),"Mầm non")</f>
        <v>Mầm non</v>
      </c>
      <c r="D19" s="66">
        <f ca="1">IFERROR(__xludf.DUMMYFUNCTION("""COMPUTED_VALUE"""),8)</f>
        <v>8</v>
      </c>
      <c r="E19" s="67">
        <f ca="1">IFERROR(__xludf.DUMMYFUNCTION("""COMPUTED_VALUE"""),29)</f>
        <v>29</v>
      </c>
      <c r="F19" s="67">
        <f ca="1">IFERROR(__xludf.DUMMYFUNCTION("""COMPUTED_VALUE"""),29)</f>
        <v>29</v>
      </c>
      <c r="G19" s="51">
        <f t="shared" ca="1" si="0"/>
        <v>1</v>
      </c>
      <c r="H19" s="67">
        <f ca="1">IFERROR(__xludf.DUMMYFUNCTION("""COMPUTED_VALUE"""),29)</f>
        <v>29</v>
      </c>
      <c r="I19" s="51">
        <f t="shared" ca="1" si="1"/>
        <v>1</v>
      </c>
      <c r="J19" s="67">
        <f ca="1">IFERROR(__xludf.DUMMYFUNCTION("""COMPUTED_VALUE"""),28)</f>
        <v>28</v>
      </c>
      <c r="K19" s="51">
        <f t="shared" ca="1" si="2"/>
        <v>0.96551724137931039</v>
      </c>
      <c r="L19" s="67">
        <f ca="1">IFERROR(__xludf.DUMMYFUNCTION("""COMPUTED_VALUE"""),19)</f>
        <v>19</v>
      </c>
      <c r="M19" s="51">
        <f t="shared" ca="1" si="3"/>
        <v>0.65517241379310343</v>
      </c>
      <c r="N19" s="67">
        <f ca="1">IFERROR(__xludf.DUMMYFUNCTION("""COMPUTED_VALUE"""),63)</f>
        <v>63</v>
      </c>
      <c r="O19" s="67">
        <f ca="1">IFERROR(__xludf.DUMMYFUNCTION("""COMPUTED_VALUE"""),21)</f>
        <v>21</v>
      </c>
      <c r="P19" s="51">
        <f t="shared" ca="1" si="4"/>
        <v>0.33333333333333331</v>
      </c>
      <c r="Q19" s="67">
        <f ca="1">IFERROR(__xludf.DUMMYFUNCTION("""COMPUTED_VALUE"""),18)</f>
        <v>18</v>
      </c>
      <c r="R19" s="51">
        <f t="shared" ca="1" si="5"/>
        <v>0.2857142857142857</v>
      </c>
      <c r="S19" s="67">
        <f ca="1">IFERROR(__xludf.DUMMYFUNCTION("""COMPUTED_VALUE"""),0)</f>
        <v>0</v>
      </c>
      <c r="T19" s="67">
        <f ca="1">IFERROR(__xludf.DUMMYFUNCTION("""COMPUTED_VALUE"""),0)</f>
        <v>0</v>
      </c>
      <c r="U19" s="51" t="str">
        <f t="shared" ca="1" si="6"/>
        <v/>
      </c>
      <c r="V19" s="67">
        <f ca="1">IFERROR(__xludf.DUMMYFUNCTION("""COMPUTED_VALUE"""),0)</f>
        <v>0</v>
      </c>
      <c r="W19" s="51" t="str">
        <f t="shared" ca="1" si="7"/>
        <v/>
      </c>
      <c r="X19" s="66"/>
      <c r="Y19" s="51" t="str">
        <f t="shared" ca="1" si="8"/>
        <v/>
      </c>
      <c r="Z19" s="2"/>
      <c r="AA19" s="2"/>
      <c r="AB19" s="2"/>
      <c r="AC19" s="2"/>
      <c r="AD19" s="2"/>
      <c r="AE19" s="2"/>
    </row>
    <row r="20" spans="1:31" ht="12.75" x14ac:dyDescent="0.2">
      <c r="A20" s="53">
        <f ca="1">IFERROR(__xludf.DUMMYFUNCTION("""COMPUTED_VALUE"""),14)</f>
        <v>14</v>
      </c>
      <c r="B20" s="66" t="str">
        <f ca="1">IFERROR(__xludf.DUMMYFUNCTION("""COMPUTED_VALUE"""),"MN Kim Đồng")</f>
        <v>MN Kim Đồng</v>
      </c>
      <c r="C20" s="66" t="str">
        <f ca="1">IFERROR(__xludf.DUMMYFUNCTION("""COMPUTED_VALUE"""),"Mầm non")</f>
        <v>Mầm non</v>
      </c>
      <c r="D20" s="66">
        <f ca="1">IFERROR(__xludf.DUMMYFUNCTION("""COMPUTED_VALUE"""),8)</f>
        <v>8</v>
      </c>
      <c r="E20" s="67">
        <f ca="1">IFERROR(__xludf.DUMMYFUNCTION("""COMPUTED_VALUE"""),31)</f>
        <v>31</v>
      </c>
      <c r="F20" s="67">
        <f ca="1">IFERROR(__xludf.DUMMYFUNCTION("""COMPUTED_VALUE"""),31)</f>
        <v>31</v>
      </c>
      <c r="G20" s="51">
        <f t="shared" ca="1" si="0"/>
        <v>1</v>
      </c>
      <c r="H20" s="67">
        <f ca="1">IFERROR(__xludf.DUMMYFUNCTION("""COMPUTED_VALUE"""),31)</f>
        <v>31</v>
      </c>
      <c r="I20" s="51">
        <f t="shared" ca="1" si="1"/>
        <v>1</v>
      </c>
      <c r="J20" s="67">
        <f ca="1">IFERROR(__xludf.DUMMYFUNCTION("""COMPUTED_VALUE"""),31)</f>
        <v>31</v>
      </c>
      <c r="K20" s="51">
        <f t="shared" ca="1" si="2"/>
        <v>1</v>
      </c>
      <c r="L20" s="67">
        <f ca="1">IFERROR(__xludf.DUMMYFUNCTION("""COMPUTED_VALUE"""),30)</f>
        <v>30</v>
      </c>
      <c r="M20" s="51">
        <f t="shared" ca="1" si="3"/>
        <v>0.967741935483871</v>
      </c>
      <c r="N20" s="67">
        <f ca="1">IFERROR(__xludf.DUMMYFUNCTION("""COMPUTED_VALUE"""),146)</f>
        <v>146</v>
      </c>
      <c r="O20" s="67">
        <f ca="1">IFERROR(__xludf.DUMMYFUNCTION("""COMPUTED_VALUE"""),26)</f>
        <v>26</v>
      </c>
      <c r="P20" s="51">
        <f t="shared" ca="1" si="4"/>
        <v>0.17808219178082191</v>
      </c>
      <c r="Q20" s="67">
        <f ca="1">IFERROR(__xludf.DUMMYFUNCTION("""COMPUTED_VALUE"""),21)</f>
        <v>21</v>
      </c>
      <c r="R20" s="51">
        <f t="shared" ca="1" si="5"/>
        <v>0.14383561643835616</v>
      </c>
      <c r="S20" s="67">
        <f ca="1">IFERROR(__xludf.DUMMYFUNCTION("""COMPUTED_VALUE"""),0)</f>
        <v>0</v>
      </c>
      <c r="T20" s="66">
        <f ca="1">IFERROR(__xludf.DUMMYFUNCTION("""COMPUTED_VALUE"""),0)</f>
        <v>0</v>
      </c>
      <c r="U20" s="51" t="str">
        <f t="shared" ca="1" si="6"/>
        <v/>
      </c>
      <c r="V20" s="67">
        <f ca="1">IFERROR(__xludf.DUMMYFUNCTION("""COMPUTED_VALUE"""),0)</f>
        <v>0</v>
      </c>
      <c r="W20" s="51" t="str">
        <f t="shared" ca="1" si="7"/>
        <v/>
      </c>
      <c r="X20" s="66"/>
      <c r="Y20" s="51" t="str">
        <f t="shared" ca="1" si="8"/>
        <v/>
      </c>
      <c r="Z20" s="2"/>
      <c r="AA20" s="2"/>
      <c r="AB20" s="2"/>
      <c r="AC20" s="2"/>
      <c r="AD20" s="2"/>
      <c r="AE20" s="2"/>
    </row>
    <row r="21" spans="1:31" ht="12.75" x14ac:dyDescent="0.2">
      <c r="A21" s="53">
        <f ca="1">IFERROR(__xludf.DUMMYFUNCTION("""COMPUTED_VALUE"""),15)</f>
        <v>15</v>
      </c>
      <c r="B21" s="66" t="str">
        <f ca="1">IFERROR(__xludf.DUMMYFUNCTION("""COMPUTED_VALUE"""),"MN Bông Hồng")</f>
        <v>MN Bông Hồng</v>
      </c>
      <c r="C21" s="66" t="str">
        <f ca="1">IFERROR(__xludf.DUMMYFUNCTION("""COMPUTED_VALUE"""),"Mầm non")</f>
        <v>Mầm non</v>
      </c>
      <c r="D21" s="66">
        <f ca="1">IFERROR(__xludf.DUMMYFUNCTION("""COMPUTED_VALUE"""),8)</f>
        <v>8</v>
      </c>
      <c r="E21" s="67">
        <f ca="1">IFERROR(__xludf.DUMMYFUNCTION("""COMPUTED_VALUE"""),31)</f>
        <v>31</v>
      </c>
      <c r="F21" s="67">
        <f ca="1">IFERROR(__xludf.DUMMYFUNCTION("""COMPUTED_VALUE"""),31)</f>
        <v>31</v>
      </c>
      <c r="G21" s="51">
        <f t="shared" ca="1" si="0"/>
        <v>1</v>
      </c>
      <c r="H21" s="67">
        <f ca="1">IFERROR(__xludf.DUMMYFUNCTION("""COMPUTED_VALUE"""),31)</f>
        <v>31</v>
      </c>
      <c r="I21" s="51">
        <f t="shared" ca="1" si="1"/>
        <v>1</v>
      </c>
      <c r="J21" s="67">
        <f ca="1">IFERROR(__xludf.DUMMYFUNCTION("""COMPUTED_VALUE"""),31)</f>
        <v>31</v>
      </c>
      <c r="K21" s="51">
        <f t="shared" ca="1" si="2"/>
        <v>1</v>
      </c>
      <c r="L21" s="67">
        <f ca="1">IFERROR(__xludf.DUMMYFUNCTION("""COMPUTED_VALUE"""),16)</f>
        <v>16</v>
      </c>
      <c r="M21" s="51">
        <f t="shared" ca="1" si="3"/>
        <v>0.5161290322580645</v>
      </c>
      <c r="N21" s="67">
        <f ca="1">IFERROR(__xludf.DUMMYFUNCTION("""COMPUTED_VALUE"""),78)</f>
        <v>78</v>
      </c>
      <c r="O21" s="67">
        <f ca="1">IFERROR(__xludf.DUMMYFUNCTION("""COMPUTED_VALUE"""),25)</f>
        <v>25</v>
      </c>
      <c r="P21" s="51">
        <f t="shared" ca="1" si="4"/>
        <v>0.32051282051282054</v>
      </c>
      <c r="Q21" s="67">
        <f ca="1">IFERROR(__xludf.DUMMYFUNCTION("""COMPUTED_VALUE"""),18)</f>
        <v>18</v>
      </c>
      <c r="R21" s="51">
        <f t="shared" ca="1" si="5"/>
        <v>0.23076923076923078</v>
      </c>
      <c r="S21" s="67">
        <f ca="1">IFERROR(__xludf.DUMMYFUNCTION("""COMPUTED_VALUE"""),0)</f>
        <v>0</v>
      </c>
      <c r="T21" s="67">
        <f ca="1">IFERROR(__xludf.DUMMYFUNCTION("""COMPUTED_VALUE"""),0)</f>
        <v>0</v>
      </c>
      <c r="U21" s="51" t="str">
        <f t="shared" ca="1" si="6"/>
        <v/>
      </c>
      <c r="V21" s="67">
        <f ca="1">IFERROR(__xludf.DUMMYFUNCTION("""COMPUTED_VALUE"""),0)</f>
        <v>0</v>
      </c>
      <c r="W21" s="51" t="str">
        <f t="shared" ca="1" si="7"/>
        <v/>
      </c>
      <c r="X21" s="66"/>
      <c r="Y21" s="51" t="str">
        <f t="shared" ca="1" si="8"/>
        <v/>
      </c>
      <c r="Z21" s="2"/>
      <c r="AA21" s="2"/>
      <c r="AB21" s="2"/>
      <c r="AC21" s="2"/>
      <c r="AD21" s="2"/>
      <c r="AE21" s="2"/>
    </row>
    <row r="22" spans="1:31" ht="12.75" x14ac:dyDescent="0.2">
      <c r="A22" s="53">
        <f ca="1">IFERROR(__xludf.DUMMYFUNCTION("""COMPUTED_VALUE"""),16)</f>
        <v>16</v>
      </c>
      <c r="B22" s="66" t="str">
        <f ca="1">IFERROR(__xludf.DUMMYFUNCTION("""COMPUTED_VALUE"""),"MN Hoa Phượng")</f>
        <v>MN Hoa Phượng</v>
      </c>
      <c r="C22" s="66" t="str">
        <f ca="1">IFERROR(__xludf.DUMMYFUNCTION("""COMPUTED_VALUE"""),"Mầm non")</f>
        <v>Mầm non</v>
      </c>
      <c r="D22" s="66">
        <f ca="1">IFERROR(__xludf.DUMMYFUNCTION("""COMPUTED_VALUE"""),8)</f>
        <v>8</v>
      </c>
      <c r="E22" s="67">
        <f ca="1">IFERROR(__xludf.DUMMYFUNCTION("""COMPUTED_VALUE"""),35)</f>
        <v>35</v>
      </c>
      <c r="F22" s="67">
        <f ca="1">IFERROR(__xludf.DUMMYFUNCTION("""COMPUTED_VALUE"""),35)</f>
        <v>35</v>
      </c>
      <c r="G22" s="51">
        <f t="shared" ca="1" si="0"/>
        <v>1</v>
      </c>
      <c r="H22" s="67">
        <f ca="1">IFERROR(__xludf.DUMMYFUNCTION("""COMPUTED_VALUE"""),35)</f>
        <v>35</v>
      </c>
      <c r="I22" s="51">
        <f t="shared" ca="1" si="1"/>
        <v>1</v>
      </c>
      <c r="J22" s="67">
        <f ca="1">IFERROR(__xludf.DUMMYFUNCTION("""COMPUTED_VALUE"""),35)</f>
        <v>35</v>
      </c>
      <c r="K22" s="51">
        <f t="shared" ca="1" si="2"/>
        <v>1</v>
      </c>
      <c r="L22" s="67">
        <f ca="1">IFERROR(__xludf.DUMMYFUNCTION("""COMPUTED_VALUE"""),33)</f>
        <v>33</v>
      </c>
      <c r="M22" s="51">
        <f t="shared" ca="1" si="3"/>
        <v>0.94285714285714284</v>
      </c>
      <c r="N22" s="67">
        <f ca="1">IFERROR(__xludf.DUMMYFUNCTION("""COMPUTED_VALUE"""),101)</f>
        <v>101</v>
      </c>
      <c r="O22" s="67">
        <f ca="1">IFERROR(__xludf.DUMMYFUNCTION("""COMPUTED_VALUE"""),26)</f>
        <v>26</v>
      </c>
      <c r="P22" s="51">
        <f t="shared" ca="1" si="4"/>
        <v>0.25742574257425743</v>
      </c>
      <c r="Q22" s="67">
        <f ca="1">IFERROR(__xludf.DUMMYFUNCTION("""COMPUTED_VALUE"""),18)</f>
        <v>18</v>
      </c>
      <c r="R22" s="51">
        <f t="shared" ca="1" si="5"/>
        <v>0.17821782178217821</v>
      </c>
      <c r="S22" s="67">
        <f ca="1">IFERROR(__xludf.DUMMYFUNCTION("""COMPUTED_VALUE"""),0)</f>
        <v>0</v>
      </c>
      <c r="T22" s="67">
        <f ca="1">IFERROR(__xludf.DUMMYFUNCTION("""COMPUTED_VALUE"""),0)</f>
        <v>0</v>
      </c>
      <c r="U22" s="51" t="str">
        <f t="shared" ca="1" si="6"/>
        <v/>
      </c>
      <c r="V22" s="67">
        <f ca="1">IFERROR(__xludf.DUMMYFUNCTION("""COMPUTED_VALUE"""),0)</f>
        <v>0</v>
      </c>
      <c r="W22" s="51" t="str">
        <f t="shared" ca="1" si="7"/>
        <v/>
      </c>
      <c r="X22" s="66"/>
      <c r="Y22" s="51" t="str">
        <f t="shared" ca="1" si="8"/>
        <v/>
      </c>
      <c r="Z22" s="2"/>
      <c r="AA22" s="2"/>
      <c r="AB22" s="2"/>
      <c r="AC22" s="2"/>
      <c r="AD22" s="2"/>
      <c r="AE22" s="2"/>
    </row>
    <row r="23" spans="1:31" ht="12.75" x14ac:dyDescent="0.2">
      <c r="A23" s="53">
        <f ca="1">IFERROR(__xludf.DUMMYFUNCTION("""COMPUTED_VALUE"""),17)</f>
        <v>17</v>
      </c>
      <c r="B23" s="66" t="str">
        <f ca="1">IFERROR(__xludf.DUMMYFUNCTION("""COMPUTED_VALUE"""),"MN Bé Ngoan")</f>
        <v>MN Bé Ngoan</v>
      </c>
      <c r="C23" s="66" t="str">
        <f ca="1">IFERROR(__xludf.DUMMYFUNCTION("""COMPUTED_VALUE"""),"Mầm non")</f>
        <v>Mầm non</v>
      </c>
      <c r="D23" s="66">
        <f ca="1">IFERROR(__xludf.DUMMYFUNCTION("""COMPUTED_VALUE"""),8)</f>
        <v>8</v>
      </c>
      <c r="E23" s="67">
        <f ca="1">IFERROR(__xludf.DUMMYFUNCTION("""COMPUTED_VALUE"""),41)</f>
        <v>41</v>
      </c>
      <c r="F23" s="67">
        <f ca="1">IFERROR(__xludf.DUMMYFUNCTION("""COMPUTED_VALUE"""),41)</f>
        <v>41</v>
      </c>
      <c r="G23" s="51">
        <f t="shared" ca="1" si="0"/>
        <v>1</v>
      </c>
      <c r="H23" s="67">
        <f ca="1">IFERROR(__xludf.DUMMYFUNCTION("""COMPUTED_VALUE"""),41)</f>
        <v>41</v>
      </c>
      <c r="I23" s="51">
        <f t="shared" ca="1" si="1"/>
        <v>1</v>
      </c>
      <c r="J23" s="67">
        <f ca="1">IFERROR(__xludf.DUMMYFUNCTION("""COMPUTED_VALUE"""),39)</f>
        <v>39</v>
      </c>
      <c r="K23" s="51">
        <f t="shared" ca="1" si="2"/>
        <v>0.95121951219512191</v>
      </c>
      <c r="L23" s="67">
        <f ca="1">IFERROR(__xludf.DUMMYFUNCTION("""COMPUTED_VALUE"""),23)</f>
        <v>23</v>
      </c>
      <c r="M23" s="51">
        <f t="shared" ca="1" si="3"/>
        <v>0.56097560975609762</v>
      </c>
      <c r="N23" s="67">
        <f ca="1">IFERROR(__xludf.DUMMYFUNCTION("""COMPUTED_VALUE"""),108)</f>
        <v>108</v>
      </c>
      <c r="O23" s="67">
        <f ca="1">IFERROR(__xludf.DUMMYFUNCTION("""COMPUTED_VALUE"""),27)</f>
        <v>27</v>
      </c>
      <c r="P23" s="51">
        <f t="shared" ca="1" si="4"/>
        <v>0.25</v>
      </c>
      <c r="Q23" s="67">
        <f ca="1">IFERROR(__xludf.DUMMYFUNCTION("""COMPUTED_VALUE"""),21)</f>
        <v>21</v>
      </c>
      <c r="R23" s="51">
        <f t="shared" ca="1" si="5"/>
        <v>0.19444444444444445</v>
      </c>
      <c r="S23" s="67">
        <f ca="1">IFERROR(__xludf.DUMMYFUNCTION("""COMPUTED_VALUE"""),0)</f>
        <v>0</v>
      </c>
      <c r="T23" s="66">
        <f ca="1">IFERROR(__xludf.DUMMYFUNCTION("""COMPUTED_VALUE"""),0)</f>
        <v>0</v>
      </c>
      <c r="U23" s="51" t="str">
        <f t="shared" ca="1" si="6"/>
        <v/>
      </c>
      <c r="V23" s="67">
        <f ca="1">IFERROR(__xludf.DUMMYFUNCTION("""COMPUTED_VALUE"""),0)</f>
        <v>0</v>
      </c>
      <c r="W23" s="51" t="str">
        <f t="shared" ca="1" si="7"/>
        <v/>
      </c>
      <c r="X23" s="66"/>
      <c r="Y23" s="51" t="str">
        <f t="shared" ca="1" si="8"/>
        <v/>
      </c>
      <c r="Z23" s="2"/>
      <c r="AA23" s="2"/>
      <c r="AB23" s="2"/>
      <c r="AC23" s="2"/>
      <c r="AD23" s="2"/>
      <c r="AE23" s="2"/>
    </row>
    <row r="24" spans="1:31" ht="12.75" x14ac:dyDescent="0.2">
      <c r="A24" s="53">
        <f ca="1">IFERROR(__xludf.DUMMYFUNCTION("""COMPUTED_VALUE"""),18)</f>
        <v>18</v>
      </c>
      <c r="B24" s="66" t="str">
        <f ca="1">IFERROR(__xludf.DUMMYFUNCTION("""COMPUTED_VALUE"""),"MN Bông Sen")</f>
        <v>MN Bông Sen</v>
      </c>
      <c r="C24" s="66" t="str">
        <f ca="1">IFERROR(__xludf.DUMMYFUNCTION("""COMPUTED_VALUE"""),"Mầm non")</f>
        <v>Mầm non</v>
      </c>
      <c r="D24" s="66">
        <f ca="1">IFERROR(__xludf.DUMMYFUNCTION("""COMPUTED_VALUE"""),8)</f>
        <v>8</v>
      </c>
      <c r="E24" s="67">
        <f ca="1">IFERROR(__xludf.DUMMYFUNCTION("""COMPUTED_VALUE"""),44)</f>
        <v>44</v>
      </c>
      <c r="F24" s="67">
        <f ca="1">IFERROR(__xludf.DUMMYFUNCTION("""COMPUTED_VALUE"""),44)</f>
        <v>44</v>
      </c>
      <c r="G24" s="51">
        <f t="shared" ca="1" si="0"/>
        <v>1</v>
      </c>
      <c r="H24" s="67">
        <f ca="1">IFERROR(__xludf.DUMMYFUNCTION("""COMPUTED_VALUE"""),44)</f>
        <v>44</v>
      </c>
      <c r="I24" s="51">
        <f t="shared" ca="1" si="1"/>
        <v>1</v>
      </c>
      <c r="J24" s="67">
        <f ca="1">IFERROR(__xludf.DUMMYFUNCTION("""COMPUTED_VALUE"""),43)</f>
        <v>43</v>
      </c>
      <c r="K24" s="51">
        <f t="shared" ca="1" si="2"/>
        <v>0.97727272727272729</v>
      </c>
      <c r="L24" s="67">
        <f ca="1">IFERROR(__xludf.DUMMYFUNCTION("""COMPUTED_VALUE"""),33)</f>
        <v>33</v>
      </c>
      <c r="M24" s="51">
        <f t="shared" ca="1" si="3"/>
        <v>0.75</v>
      </c>
      <c r="N24" s="67">
        <f ca="1">IFERROR(__xludf.DUMMYFUNCTION("""COMPUTED_VALUE"""),212)</f>
        <v>212</v>
      </c>
      <c r="O24" s="67">
        <f ca="1">IFERROR(__xludf.DUMMYFUNCTION("""COMPUTED_VALUE"""),31)</f>
        <v>31</v>
      </c>
      <c r="P24" s="51">
        <f t="shared" ca="1" si="4"/>
        <v>0.14622641509433962</v>
      </c>
      <c r="Q24" s="67">
        <f ca="1">IFERROR(__xludf.DUMMYFUNCTION("""COMPUTED_VALUE"""),20)</f>
        <v>20</v>
      </c>
      <c r="R24" s="51">
        <f t="shared" ca="1" si="5"/>
        <v>9.4339622641509441E-2</v>
      </c>
      <c r="S24" s="67">
        <f ca="1">IFERROR(__xludf.DUMMYFUNCTION("""COMPUTED_VALUE"""),0)</f>
        <v>0</v>
      </c>
      <c r="T24" s="66">
        <f ca="1">IFERROR(__xludf.DUMMYFUNCTION("""COMPUTED_VALUE"""),0)</f>
        <v>0</v>
      </c>
      <c r="U24" s="51" t="str">
        <f t="shared" ca="1" si="6"/>
        <v/>
      </c>
      <c r="V24" s="67">
        <f ca="1">IFERROR(__xludf.DUMMYFUNCTION("""COMPUTED_VALUE"""),0)</f>
        <v>0</v>
      </c>
      <c r="W24" s="51" t="str">
        <f t="shared" ca="1" si="7"/>
        <v/>
      </c>
      <c r="X24" s="66"/>
      <c r="Y24" s="51" t="str">
        <f t="shared" ca="1" si="8"/>
        <v/>
      </c>
      <c r="Z24" s="2"/>
      <c r="AA24" s="2"/>
      <c r="AB24" s="2"/>
      <c r="AC24" s="2"/>
      <c r="AD24" s="2"/>
      <c r="AE24" s="2"/>
    </row>
    <row r="25" spans="1:31" ht="12.75" x14ac:dyDescent="0.2">
      <c r="A25" s="53">
        <f ca="1">IFERROR(__xludf.DUMMYFUNCTION("""COMPUTED_VALUE"""),19)</f>
        <v>19</v>
      </c>
      <c r="B25" s="66" t="str">
        <f ca="1">IFERROR(__xludf.DUMMYFUNCTION("""COMPUTED_VALUE"""),"MN Hoàng Mai 1")</f>
        <v>MN Hoàng Mai 1</v>
      </c>
      <c r="C25" s="66" t="str">
        <f ca="1">IFERROR(__xludf.DUMMYFUNCTION("""COMPUTED_VALUE"""),"Mầm non")</f>
        <v>Mầm non</v>
      </c>
      <c r="D25" s="66">
        <f ca="1">IFERROR(__xludf.DUMMYFUNCTION("""COMPUTED_VALUE"""),8)</f>
        <v>8</v>
      </c>
      <c r="E25" s="67">
        <f ca="1">IFERROR(__xludf.DUMMYFUNCTION("""COMPUTED_VALUE"""),48)</f>
        <v>48</v>
      </c>
      <c r="F25" s="67">
        <f ca="1">IFERROR(__xludf.DUMMYFUNCTION("""COMPUTED_VALUE"""),48)</f>
        <v>48</v>
      </c>
      <c r="G25" s="51">
        <f t="shared" ca="1" si="0"/>
        <v>1</v>
      </c>
      <c r="H25" s="67">
        <f ca="1">IFERROR(__xludf.DUMMYFUNCTION("""COMPUTED_VALUE"""),48)</f>
        <v>48</v>
      </c>
      <c r="I25" s="51">
        <f t="shared" ca="1" si="1"/>
        <v>1</v>
      </c>
      <c r="J25" s="67">
        <f ca="1">IFERROR(__xludf.DUMMYFUNCTION("""COMPUTED_VALUE"""),48)</f>
        <v>48</v>
      </c>
      <c r="K25" s="51">
        <f t="shared" ca="1" si="2"/>
        <v>1</v>
      </c>
      <c r="L25" s="67">
        <f ca="1">IFERROR(__xludf.DUMMYFUNCTION("""COMPUTED_VALUE"""),9)</f>
        <v>9</v>
      </c>
      <c r="M25" s="51">
        <f t="shared" ca="1" si="3"/>
        <v>0.1875</v>
      </c>
      <c r="N25" s="67">
        <f ca="1">IFERROR(__xludf.DUMMYFUNCTION("""COMPUTED_VALUE"""),127)</f>
        <v>127</v>
      </c>
      <c r="O25" s="67">
        <f ca="1">IFERROR(__xludf.DUMMYFUNCTION("""COMPUTED_VALUE"""),32)</f>
        <v>32</v>
      </c>
      <c r="P25" s="51">
        <f t="shared" ca="1" si="4"/>
        <v>0.25196850393700787</v>
      </c>
      <c r="Q25" s="67">
        <f ca="1">IFERROR(__xludf.DUMMYFUNCTION("""COMPUTED_VALUE"""),8)</f>
        <v>8</v>
      </c>
      <c r="R25" s="51">
        <f t="shared" ca="1" si="5"/>
        <v>6.2992125984251968E-2</v>
      </c>
      <c r="S25" s="67">
        <f ca="1">IFERROR(__xludf.DUMMYFUNCTION("""COMPUTED_VALUE"""),0)</f>
        <v>0</v>
      </c>
      <c r="T25" s="67">
        <f ca="1">IFERROR(__xludf.DUMMYFUNCTION("""COMPUTED_VALUE"""),0)</f>
        <v>0</v>
      </c>
      <c r="U25" s="51" t="str">
        <f t="shared" ca="1" si="6"/>
        <v/>
      </c>
      <c r="V25" s="67">
        <f ca="1">IFERROR(__xludf.DUMMYFUNCTION("""COMPUTED_VALUE"""),0)</f>
        <v>0</v>
      </c>
      <c r="W25" s="51" t="str">
        <f t="shared" ca="1" si="7"/>
        <v/>
      </c>
      <c r="X25" s="66"/>
      <c r="Y25" s="51" t="str">
        <f t="shared" ca="1" si="8"/>
        <v/>
      </c>
      <c r="Z25" s="2"/>
      <c r="AA25" s="2"/>
      <c r="AB25" s="2"/>
      <c r="AC25" s="2"/>
      <c r="AD25" s="2"/>
      <c r="AE25" s="2"/>
    </row>
    <row r="26" spans="1:31" ht="12.75" x14ac:dyDescent="0.2">
      <c r="A26" s="53">
        <f ca="1">IFERROR(__xludf.DUMMYFUNCTION("""COMPUTED_VALUE"""),20)</f>
        <v>20</v>
      </c>
      <c r="B26" s="66" t="str">
        <f ca="1">IFERROR(__xludf.DUMMYFUNCTION("""COMPUTED_VALUE"""),"MN Hoa Anh Đào")</f>
        <v>MN Hoa Anh Đào</v>
      </c>
      <c r="C26" s="66" t="str">
        <f ca="1">IFERROR(__xludf.DUMMYFUNCTION("""COMPUTED_VALUE"""),"Mầm non")</f>
        <v>Mầm non</v>
      </c>
      <c r="D26" s="66">
        <f ca="1">IFERROR(__xludf.DUMMYFUNCTION("""COMPUTED_VALUE"""),8)</f>
        <v>8</v>
      </c>
      <c r="E26" s="67">
        <f ca="1">IFERROR(__xludf.DUMMYFUNCTION("""COMPUTED_VALUE"""),11)</f>
        <v>11</v>
      </c>
      <c r="F26" s="67">
        <f ca="1">IFERROR(__xludf.DUMMYFUNCTION("""COMPUTED_VALUE"""),11)</f>
        <v>11</v>
      </c>
      <c r="G26" s="51">
        <f t="shared" ca="1" si="0"/>
        <v>1</v>
      </c>
      <c r="H26" s="67">
        <f ca="1">IFERROR(__xludf.DUMMYFUNCTION("""COMPUTED_VALUE"""),11)</f>
        <v>11</v>
      </c>
      <c r="I26" s="51">
        <f t="shared" ca="1" si="1"/>
        <v>1</v>
      </c>
      <c r="J26" s="67">
        <f ca="1">IFERROR(__xludf.DUMMYFUNCTION("""COMPUTED_VALUE"""),11)</f>
        <v>11</v>
      </c>
      <c r="K26" s="51">
        <f t="shared" ca="1" si="2"/>
        <v>1</v>
      </c>
      <c r="L26" s="67">
        <f ca="1">IFERROR(__xludf.DUMMYFUNCTION("""COMPUTED_VALUE"""),6)</f>
        <v>6</v>
      </c>
      <c r="M26" s="51">
        <f t="shared" ca="1" si="3"/>
        <v>0.54545454545454541</v>
      </c>
      <c r="N26" s="67">
        <f ca="1">IFERROR(__xludf.DUMMYFUNCTION("""COMPUTED_VALUE"""),18)</f>
        <v>18</v>
      </c>
      <c r="O26" s="67">
        <f ca="1">IFERROR(__xludf.DUMMYFUNCTION("""COMPUTED_VALUE"""),4)</f>
        <v>4</v>
      </c>
      <c r="P26" s="51">
        <f t="shared" ca="1" si="4"/>
        <v>0.22222222222222221</v>
      </c>
      <c r="Q26" s="67">
        <f ca="1">IFERROR(__xludf.DUMMYFUNCTION("""COMPUTED_VALUE"""),1)</f>
        <v>1</v>
      </c>
      <c r="R26" s="51">
        <f t="shared" ca="1" si="5"/>
        <v>5.5555555555555552E-2</v>
      </c>
      <c r="S26" s="67">
        <f ca="1">IFERROR(__xludf.DUMMYFUNCTION("""COMPUTED_VALUE"""),0)</f>
        <v>0</v>
      </c>
      <c r="T26" s="67">
        <f ca="1">IFERROR(__xludf.DUMMYFUNCTION("""COMPUTED_VALUE"""),0)</f>
        <v>0</v>
      </c>
      <c r="U26" s="51" t="str">
        <f t="shared" ca="1" si="6"/>
        <v/>
      </c>
      <c r="V26" s="67">
        <f ca="1">IFERROR(__xludf.DUMMYFUNCTION("""COMPUTED_VALUE"""),0)</f>
        <v>0</v>
      </c>
      <c r="W26" s="51" t="str">
        <f t="shared" ca="1" si="7"/>
        <v/>
      </c>
      <c r="X26" s="66"/>
      <c r="Y26" s="51" t="str">
        <f t="shared" ca="1" si="8"/>
        <v/>
      </c>
      <c r="Z26" s="2"/>
      <c r="AA26" s="2"/>
      <c r="AB26" s="2"/>
      <c r="AC26" s="2"/>
      <c r="AD26" s="2"/>
      <c r="AE26" s="2"/>
    </row>
    <row r="27" spans="1:31" ht="12.75" x14ac:dyDescent="0.2">
      <c r="A27" s="53">
        <f ca="1">IFERROR(__xludf.DUMMYFUNCTION("""COMPUTED_VALUE"""),21)</f>
        <v>21</v>
      </c>
      <c r="B27" s="66" t="str">
        <f ca="1">IFERROR(__xludf.DUMMYFUNCTION("""COMPUTED_VALUE"""),"MN Ngôi Sao")</f>
        <v>MN Ngôi Sao</v>
      </c>
      <c r="C27" s="66" t="str">
        <f ca="1">IFERROR(__xludf.DUMMYFUNCTION("""COMPUTED_VALUE"""),"Mầm non")</f>
        <v>Mầm non</v>
      </c>
      <c r="D27" s="66">
        <f ca="1">IFERROR(__xludf.DUMMYFUNCTION("""COMPUTED_VALUE"""),8)</f>
        <v>8</v>
      </c>
      <c r="E27" s="67">
        <f ca="1">IFERROR(__xludf.DUMMYFUNCTION("""COMPUTED_VALUE"""),9)</f>
        <v>9</v>
      </c>
      <c r="F27" s="67">
        <f ca="1">IFERROR(__xludf.DUMMYFUNCTION("""COMPUTED_VALUE"""),9)</f>
        <v>9</v>
      </c>
      <c r="G27" s="51">
        <f t="shared" ca="1" si="0"/>
        <v>1</v>
      </c>
      <c r="H27" s="67">
        <f ca="1">IFERROR(__xludf.DUMMYFUNCTION("""COMPUTED_VALUE"""),9)</f>
        <v>9</v>
      </c>
      <c r="I27" s="51">
        <f t="shared" ca="1" si="1"/>
        <v>1</v>
      </c>
      <c r="J27" s="67">
        <f ca="1">IFERROR(__xludf.DUMMYFUNCTION("""COMPUTED_VALUE"""),9)</f>
        <v>9</v>
      </c>
      <c r="K27" s="51">
        <f t="shared" ca="1" si="2"/>
        <v>1</v>
      </c>
      <c r="L27" s="67">
        <f ca="1">IFERROR(__xludf.DUMMYFUNCTION("""COMPUTED_VALUE"""),0)</f>
        <v>0</v>
      </c>
      <c r="M27" s="51">
        <f t="shared" ca="1" si="3"/>
        <v>0</v>
      </c>
      <c r="N27" s="67">
        <f ca="1">IFERROR(__xludf.DUMMYFUNCTION("""COMPUTED_VALUE"""),9)</f>
        <v>9</v>
      </c>
      <c r="O27" s="67">
        <f ca="1">IFERROR(__xludf.DUMMYFUNCTION("""COMPUTED_VALUE"""),6)</f>
        <v>6</v>
      </c>
      <c r="P27" s="51">
        <f t="shared" ca="1" si="4"/>
        <v>0.66666666666666663</v>
      </c>
      <c r="Q27" s="67">
        <f ca="1">IFERROR(__xludf.DUMMYFUNCTION("""COMPUTED_VALUE"""),0)</f>
        <v>0</v>
      </c>
      <c r="R27" s="51">
        <f t="shared" ca="1" si="5"/>
        <v>0</v>
      </c>
      <c r="S27" s="67">
        <f ca="1">IFERROR(__xludf.DUMMYFUNCTION("""COMPUTED_VALUE"""),0)</f>
        <v>0</v>
      </c>
      <c r="T27" s="66">
        <f ca="1">IFERROR(__xludf.DUMMYFUNCTION("""COMPUTED_VALUE"""),0)</f>
        <v>0</v>
      </c>
      <c r="U27" s="51" t="str">
        <f t="shared" ca="1" si="6"/>
        <v/>
      </c>
      <c r="V27" s="67">
        <f ca="1">IFERROR(__xludf.DUMMYFUNCTION("""COMPUTED_VALUE"""),0)</f>
        <v>0</v>
      </c>
      <c r="W27" s="51" t="str">
        <f t="shared" ca="1" si="7"/>
        <v/>
      </c>
      <c r="X27" s="66"/>
      <c r="Y27" s="51" t="str">
        <f t="shared" ca="1" si="8"/>
        <v/>
      </c>
      <c r="Z27" s="2"/>
      <c r="AA27" s="2"/>
      <c r="AB27" s="2"/>
      <c r="AC27" s="2"/>
      <c r="AD27" s="2"/>
      <c r="AE27" s="2"/>
    </row>
    <row r="28" spans="1:31" ht="12.75" x14ac:dyDescent="0.2">
      <c r="A28" s="53">
        <f ca="1">IFERROR(__xludf.DUMMYFUNCTION("""COMPUTED_VALUE"""),22)</f>
        <v>22</v>
      </c>
      <c r="B28" s="66" t="str">
        <f ca="1">IFERROR(__xludf.DUMMYFUNCTION("""COMPUTED_VALUE"""),"MN Hoa Trà My IV")</f>
        <v>MN Hoa Trà My IV</v>
      </c>
      <c r="C28" s="66" t="str">
        <f ca="1">IFERROR(__xludf.DUMMYFUNCTION("""COMPUTED_VALUE"""),"Mầm non")</f>
        <v>Mầm non</v>
      </c>
      <c r="D28" s="66">
        <f ca="1">IFERROR(__xludf.DUMMYFUNCTION("""COMPUTED_VALUE"""),8)</f>
        <v>8</v>
      </c>
      <c r="E28" s="67">
        <f ca="1">IFERROR(__xludf.DUMMYFUNCTION("""COMPUTED_VALUE"""),29)</f>
        <v>29</v>
      </c>
      <c r="F28" s="67">
        <f ca="1">IFERROR(__xludf.DUMMYFUNCTION("""COMPUTED_VALUE"""),29)</f>
        <v>29</v>
      </c>
      <c r="G28" s="51">
        <f t="shared" ca="1" si="0"/>
        <v>1</v>
      </c>
      <c r="H28" s="67">
        <f ca="1">IFERROR(__xludf.DUMMYFUNCTION("""COMPUTED_VALUE"""),28)</f>
        <v>28</v>
      </c>
      <c r="I28" s="51">
        <f t="shared" ca="1" si="1"/>
        <v>0.96551724137931039</v>
      </c>
      <c r="J28" s="67">
        <f ca="1">IFERROR(__xludf.DUMMYFUNCTION("""COMPUTED_VALUE"""),29)</f>
        <v>29</v>
      </c>
      <c r="K28" s="51">
        <f t="shared" ca="1" si="2"/>
        <v>1</v>
      </c>
      <c r="L28" s="67">
        <f ca="1">IFERROR(__xludf.DUMMYFUNCTION("""COMPUTED_VALUE"""),1)</f>
        <v>1</v>
      </c>
      <c r="M28" s="51">
        <f t="shared" ca="1" si="3"/>
        <v>3.4482758620689655E-2</v>
      </c>
      <c r="N28" s="67">
        <f ca="1">IFERROR(__xludf.DUMMYFUNCTION("""COMPUTED_VALUE"""),41)</f>
        <v>41</v>
      </c>
      <c r="O28" s="67">
        <f ca="1">IFERROR(__xludf.DUMMYFUNCTION("""COMPUTED_VALUE"""),2)</f>
        <v>2</v>
      </c>
      <c r="P28" s="51">
        <f t="shared" ca="1" si="4"/>
        <v>4.878048780487805E-2</v>
      </c>
      <c r="Q28" s="67">
        <f ca="1">IFERROR(__xludf.DUMMYFUNCTION("""COMPUTED_VALUE"""),1)</f>
        <v>1</v>
      </c>
      <c r="R28" s="51">
        <f t="shared" ca="1" si="5"/>
        <v>2.4390243902439025E-2</v>
      </c>
      <c r="S28" s="67">
        <f ca="1">IFERROR(__xludf.DUMMYFUNCTION("""COMPUTED_VALUE"""),0)</f>
        <v>0</v>
      </c>
      <c r="T28" s="67">
        <f ca="1">IFERROR(__xludf.DUMMYFUNCTION("""COMPUTED_VALUE"""),0)</f>
        <v>0</v>
      </c>
      <c r="U28" s="51" t="str">
        <f t="shared" ca="1" si="6"/>
        <v/>
      </c>
      <c r="V28" s="67">
        <f ca="1">IFERROR(__xludf.DUMMYFUNCTION("""COMPUTED_VALUE"""),0)</f>
        <v>0</v>
      </c>
      <c r="W28" s="51" t="str">
        <f t="shared" ca="1" si="7"/>
        <v/>
      </c>
      <c r="X28" s="66"/>
      <c r="Y28" s="51" t="str">
        <f t="shared" ca="1" si="8"/>
        <v/>
      </c>
      <c r="Z28" s="2"/>
      <c r="AA28" s="2"/>
      <c r="AB28" s="2"/>
      <c r="AC28" s="2"/>
      <c r="AD28" s="2"/>
      <c r="AE28" s="2"/>
    </row>
    <row r="29" spans="1:31" ht="12.75" x14ac:dyDescent="0.2">
      <c r="A29" s="53">
        <f ca="1">IFERROR(__xludf.DUMMYFUNCTION("""COMPUTED_VALUE"""),23)</f>
        <v>23</v>
      </c>
      <c r="B29" s="66" t="str">
        <f ca="1">IFERROR(__xludf.DUMMYFUNCTION("""COMPUTED_VALUE"""),"MN Mặt Trời")</f>
        <v>MN Mặt Trời</v>
      </c>
      <c r="C29" s="66" t="str">
        <f ca="1">IFERROR(__xludf.DUMMYFUNCTION("""COMPUTED_VALUE"""),"Mầm non")</f>
        <v>Mầm non</v>
      </c>
      <c r="D29" s="66">
        <f ca="1">IFERROR(__xludf.DUMMYFUNCTION("""COMPUTED_VALUE"""),8)</f>
        <v>8</v>
      </c>
      <c r="E29" s="67">
        <f ca="1">IFERROR(__xludf.DUMMYFUNCTION("""COMPUTED_VALUE"""),16)</f>
        <v>16</v>
      </c>
      <c r="F29" s="67">
        <f ca="1">IFERROR(__xludf.DUMMYFUNCTION("""COMPUTED_VALUE"""),16)</f>
        <v>16</v>
      </c>
      <c r="G29" s="51">
        <f t="shared" ca="1" si="0"/>
        <v>1</v>
      </c>
      <c r="H29" s="67">
        <f ca="1">IFERROR(__xludf.DUMMYFUNCTION("""COMPUTED_VALUE"""),16)</f>
        <v>16</v>
      </c>
      <c r="I29" s="51">
        <f t="shared" ca="1" si="1"/>
        <v>1</v>
      </c>
      <c r="J29" s="67">
        <f ca="1">IFERROR(__xludf.DUMMYFUNCTION("""COMPUTED_VALUE"""),9)</f>
        <v>9</v>
      </c>
      <c r="K29" s="51">
        <f t="shared" ca="1" si="2"/>
        <v>0.5625</v>
      </c>
      <c r="L29" s="67">
        <f ca="1">IFERROR(__xludf.DUMMYFUNCTION("""COMPUTED_VALUE"""),1)</f>
        <v>1</v>
      </c>
      <c r="M29" s="51">
        <f t="shared" ca="1" si="3"/>
        <v>6.25E-2</v>
      </c>
      <c r="N29" s="67">
        <f ca="1">IFERROR(__xludf.DUMMYFUNCTION("""COMPUTED_VALUE"""),26)</f>
        <v>26</v>
      </c>
      <c r="O29" s="67">
        <f ca="1">IFERROR(__xludf.DUMMYFUNCTION("""COMPUTED_VALUE"""),2)</f>
        <v>2</v>
      </c>
      <c r="P29" s="51">
        <f t="shared" ca="1" si="4"/>
        <v>7.6923076923076927E-2</v>
      </c>
      <c r="Q29" s="67">
        <f ca="1">IFERROR(__xludf.DUMMYFUNCTION("""COMPUTED_VALUE"""),1)</f>
        <v>1</v>
      </c>
      <c r="R29" s="51">
        <f t="shared" ca="1" si="5"/>
        <v>3.8461538461538464E-2</v>
      </c>
      <c r="S29" s="67">
        <f ca="1">IFERROR(__xludf.DUMMYFUNCTION("""COMPUTED_VALUE"""),0)</f>
        <v>0</v>
      </c>
      <c r="T29" s="67">
        <f ca="1">IFERROR(__xludf.DUMMYFUNCTION("""COMPUTED_VALUE"""),0)</f>
        <v>0</v>
      </c>
      <c r="U29" s="51" t="str">
        <f t="shared" ca="1" si="6"/>
        <v/>
      </c>
      <c r="V29" s="67">
        <f ca="1">IFERROR(__xludf.DUMMYFUNCTION("""COMPUTED_VALUE"""),0)</f>
        <v>0</v>
      </c>
      <c r="W29" s="51" t="str">
        <f t="shared" ca="1" si="7"/>
        <v/>
      </c>
      <c r="X29" s="66"/>
      <c r="Y29" s="51" t="str">
        <f t="shared" ca="1" si="8"/>
        <v/>
      </c>
      <c r="Z29" s="2"/>
      <c r="AA29" s="2"/>
      <c r="AB29" s="2"/>
      <c r="AC29" s="2"/>
      <c r="AD29" s="2"/>
      <c r="AE29" s="2"/>
    </row>
    <row r="30" spans="1:31" ht="12.75" x14ac:dyDescent="0.2">
      <c r="A30" s="53">
        <f ca="1">IFERROR(__xludf.DUMMYFUNCTION("""COMPUTED_VALUE"""),24)</f>
        <v>24</v>
      </c>
      <c r="B30" s="66" t="str">
        <f ca="1">IFERROR(__xludf.DUMMYFUNCTION("""COMPUTED_VALUE"""),"MN Ngày Vui")</f>
        <v>MN Ngày Vui</v>
      </c>
      <c r="C30" s="66" t="str">
        <f ca="1">IFERROR(__xludf.DUMMYFUNCTION("""COMPUTED_VALUE"""),"Mầm non")</f>
        <v>Mầm non</v>
      </c>
      <c r="D30" s="66">
        <f ca="1">IFERROR(__xludf.DUMMYFUNCTION("""COMPUTED_VALUE"""),8)</f>
        <v>8</v>
      </c>
      <c r="E30" s="67">
        <f ca="1">IFERROR(__xludf.DUMMYFUNCTION("""COMPUTED_VALUE"""),20)</f>
        <v>20</v>
      </c>
      <c r="F30" s="67">
        <f ca="1">IFERROR(__xludf.DUMMYFUNCTION("""COMPUTED_VALUE"""),0)</f>
        <v>0</v>
      </c>
      <c r="G30" s="51">
        <f t="shared" ca="1" si="0"/>
        <v>0</v>
      </c>
      <c r="H30" s="67">
        <f ca="1">IFERROR(__xludf.DUMMYFUNCTION("""COMPUTED_VALUE"""),0)</f>
        <v>0</v>
      </c>
      <c r="I30" s="51">
        <f t="shared" ca="1" si="1"/>
        <v>0</v>
      </c>
      <c r="J30" s="67">
        <f ca="1">IFERROR(__xludf.DUMMYFUNCTION("""COMPUTED_VALUE"""),15)</f>
        <v>15</v>
      </c>
      <c r="K30" s="51">
        <f t="shared" ca="1" si="2"/>
        <v>0.75</v>
      </c>
      <c r="L30" s="67">
        <f ca="1">IFERROR(__xludf.DUMMYFUNCTION("""COMPUTED_VALUE"""),5)</f>
        <v>5</v>
      </c>
      <c r="M30" s="51">
        <f t="shared" ca="1" si="3"/>
        <v>0.25</v>
      </c>
      <c r="N30" s="67">
        <f ca="1">IFERROR(__xludf.DUMMYFUNCTION("""COMPUTED_VALUE"""),7)</f>
        <v>7</v>
      </c>
      <c r="O30" s="67">
        <f ca="1">IFERROR(__xludf.DUMMYFUNCTION("""COMPUTED_VALUE"""),0)</f>
        <v>0</v>
      </c>
      <c r="P30" s="51">
        <f t="shared" ca="1" si="4"/>
        <v>0</v>
      </c>
      <c r="Q30" s="67">
        <f ca="1">IFERROR(__xludf.DUMMYFUNCTION("""COMPUTED_VALUE"""),0)</f>
        <v>0</v>
      </c>
      <c r="R30" s="51">
        <f t="shared" ca="1" si="5"/>
        <v>0</v>
      </c>
      <c r="S30" s="67">
        <f ca="1">IFERROR(__xludf.DUMMYFUNCTION("""COMPUTED_VALUE"""),0)</f>
        <v>0</v>
      </c>
      <c r="T30" s="67">
        <f ca="1">IFERROR(__xludf.DUMMYFUNCTION("""COMPUTED_VALUE"""),0)</f>
        <v>0</v>
      </c>
      <c r="U30" s="51" t="str">
        <f t="shared" ca="1" si="6"/>
        <v/>
      </c>
      <c r="V30" s="67">
        <f ca="1">IFERROR(__xludf.DUMMYFUNCTION("""COMPUTED_VALUE"""),0)</f>
        <v>0</v>
      </c>
      <c r="W30" s="51" t="str">
        <f t="shared" ca="1" si="7"/>
        <v/>
      </c>
      <c r="X30" s="66"/>
      <c r="Y30" s="51" t="str">
        <f t="shared" ca="1" si="8"/>
        <v/>
      </c>
      <c r="Z30" s="2"/>
      <c r="AA30" s="2"/>
      <c r="AB30" s="2"/>
      <c r="AC30" s="2"/>
      <c r="AD30" s="2"/>
      <c r="AE30" s="2"/>
    </row>
    <row r="31" spans="1:31" ht="12.75" x14ac:dyDescent="0.2">
      <c r="A31" s="53">
        <f ca="1">IFERROR(__xludf.DUMMYFUNCTION("""COMPUTED_VALUE"""),25)</f>
        <v>25</v>
      </c>
      <c r="B31" s="66" t="str">
        <f ca="1">IFERROR(__xludf.DUMMYFUNCTION("""COMPUTED_VALUE"""),"MN Hòa Bình")</f>
        <v>MN Hòa Bình</v>
      </c>
      <c r="C31" s="66" t="str">
        <f ca="1">IFERROR(__xludf.DUMMYFUNCTION("""COMPUTED_VALUE"""),"Mầm non")</f>
        <v>Mầm non</v>
      </c>
      <c r="D31" s="66">
        <f ca="1">IFERROR(__xludf.DUMMYFUNCTION("""COMPUTED_VALUE"""),8)</f>
        <v>8</v>
      </c>
      <c r="E31" s="67">
        <f ca="1">IFERROR(__xludf.DUMMYFUNCTION("""COMPUTED_VALUE"""),13)</f>
        <v>13</v>
      </c>
      <c r="F31" s="67">
        <f ca="1">IFERROR(__xludf.DUMMYFUNCTION("""COMPUTED_VALUE"""),13)</f>
        <v>13</v>
      </c>
      <c r="G31" s="51">
        <f t="shared" ca="1" si="0"/>
        <v>1</v>
      </c>
      <c r="H31" s="67">
        <f ca="1">IFERROR(__xludf.DUMMYFUNCTION("""COMPUTED_VALUE"""),13)</f>
        <v>13</v>
      </c>
      <c r="I31" s="51">
        <f t="shared" ca="1" si="1"/>
        <v>1</v>
      </c>
      <c r="J31" s="67">
        <f ca="1">IFERROR(__xludf.DUMMYFUNCTION("""COMPUTED_VALUE"""),13)</f>
        <v>13</v>
      </c>
      <c r="K31" s="51">
        <f t="shared" ca="1" si="2"/>
        <v>1</v>
      </c>
      <c r="L31" s="67">
        <f ca="1">IFERROR(__xludf.DUMMYFUNCTION("""COMPUTED_VALUE"""),6)</f>
        <v>6</v>
      </c>
      <c r="M31" s="51">
        <f t="shared" ca="1" si="3"/>
        <v>0.46153846153846156</v>
      </c>
      <c r="N31" s="67">
        <f ca="1">IFERROR(__xludf.DUMMYFUNCTION("""COMPUTED_VALUE"""),19)</f>
        <v>19</v>
      </c>
      <c r="O31" s="67">
        <f ca="1">IFERROR(__xludf.DUMMYFUNCTION("""COMPUTED_VALUE"""),0)</f>
        <v>0</v>
      </c>
      <c r="P31" s="51">
        <f t="shared" ca="1" si="4"/>
        <v>0</v>
      </c>
      <c r="Q31" s="67">
        <f ca="1">IFERROR(__xludf.DUMMYFUNCTION("""COMPUTED_VALUE"""),0)</f>
        <v>0</v>
      </c>
      <c r="R31" s="51">
        <f t="shared" ca="1" si="5"/>
        <v>0</v>
      </c>
      <c r="S31" s="67">
        <f ca="1">IFERROR(__xludf.DUMMYFUNCTION("""COMPUTED_VALUE"""),0)</f>
        <v>0</v>
      </c>
      <c r="T31" s="67">
        <f ca="1">IFERROR(__xludf.DUMMYFUNCTION("""COMPUTED_VALUE"""),0)</f>
        <v>0</v>
      </c>
      <c r="U31" s="51" t="str">
        <f t="shared" ca="1" si="6"/>
        <v/>
      </c>
      <c r="V31" s="67">
        <f ca="1">IFERROR(__xludf.DUMMYFUNCTION("""COMPUTED_VALUE"""),0)</f>
        <v>0</v>
      </c>
      <c r="W31" s="51" t="str">
        <f t="shared" ca="1" si="7"/>
        <v/>
      </c>
      <c r="X31" s="66"/>
      <c r="Y31" s="51" t="str">
        <f t="shared" ca="1" si="8"/>
        <v/>
      </c>
      <c r="Z31" s="2"/>
      <c r="AA31" s="2"/>
      <c r="AB31" s="2"/>
      <c r="AC31" s="2"/>
      <c r="AD31" s="2"/>
      <c r="AE31" s="2"/>
    </row>
    <row r="32" spans="1:31" ht="12.75" x14ac:dyDescent="0.2">
      <c r="A32" s="53">
        <f ca="1">IFERROR(__xludf.DUMMYFUNCTION("""COMPUTED_VALUE"""),26)</f>
        <v>26</v>
      </c>
      <c r="B32" s="66" t="str">
        <f ca="1">IFERROR(__xludf.DUMMYFUNCTION("""COMPUTED_VALUE"""),"MN Sao Mai")</f>
        <v>MN Sao Mai</v>
      </c>
      <c r="C32" s="66" t="str">
        <f ca="1">IFERROR(__xludf.DUMMYFUNCTION("""COMPUTED_VALUE"""),"Mầm non")</f>
        <v>Mầm non</v>
      </c>
      <c r="D32" s="66">
        <f ca="1">IFERROR(__xludf.DUMMYFUNCTION("""COMPUTED_VALUE"""),8)</f>
        <v>8</v>
      </c>
      <c r="E32" s="67">
        <f ca="1">IFERROR(__xludf.DUMMYFUNCTION("""COMPUTED_VALUE"""),37)</f>
        <v>37</v>
      </c>
      <c r="F32" s="67">
        <f ca="1">IFERROR(__xludf.DUMMYFUNCTION("""COMPUTED_VALUE"""),37)</f>
        <v>37</v>
      </c>
      <c r="G32" s="51">
        <f t="shared" ca="1" si="0"/>
        <v>1</v>
      </c>
      <c r="H32" s="67">
        <f ca="1">IFERROR(__xludf.DUMMYFUNCTION("""COMPUTED_VALUE"""),37)</f>
        <v>37</v>
      </c>
      <c r="I32" s="51">
        <f t="shared" ca="1" si="1"/>
        <v>1</v>
      </c>
      <c r="J32" s="67">
        <f ca="1">IFERROR(__xludf.DUMMYFUNCTION("""COMPUTED_VALUE"""),37)</f>
        <v>37</v>
      </c>
      <c r="K32" s="51">
        <f t="shared" ca="1" si="2"/>
        <v>1</v>
      </c>
      <c r="L32" s="67">
        <f ca="1">IFERROR(__xludf.DUMMYFUNCTION("""COMPUTED_VALUE"""),1)</f>
        <v>1</v>
      </c>
      <c r="M32" s="51">
        <f t="shared" ca="1" si="3"/>
        <v>2.7027027027027029E-2</v>
      </c>
      <c r="N32" s="67">
        <f ca="1">IFERROR(__xludf.DUMMYFUNCTION("""COMPUTED_VALUE"""),42)</f>
        <v>42</v>
      </c>
      <c r="O32" s="67">
        <f ca="1">IFERROR(__xludf.DUMMYFUNCTION("""COMPUTED_VALUE"""),4)</f>
        <v>4</v>
      </c>
      <c r="P32" s="51">
        <f t="shared" ca="1" si="4"/>
        <v>9.5238095238095233E-2</v>
      </c>
      <c r="Q32" s="67">
        <f ca="1">IFERROR(__xludf.DUMMYFUNCTION("""COMPUTED_VALUE"""),0)</f>
        <v>0</v>
      </c>
      <c r="R32" s="51">
        <f t="shared" ca="1" si="5"/>
        <v>0</v>
      </c>
      <c r="S32" s="67">
        <f ca="1">IFERROR(__xludf.DUMMYFUNCTION("""COMPUTED_VALUE"""),0)</f>
        <v>0</v>
      </c>
      <c r="T32" s="67">
        <f ca="1">IFERROR(__xludf.DUMMYFUNCTION("""COMPUTED_VALUE"""),0)</f>
        <v>0</v>
      </c>
      <c r="U32" s="51" t="str">
        <f t="shared" ca="1" si="6"/>
        <v/>
      </c>
      <c r="V32" s="67">
        <f ca="1">IFERROR(__xludf.DUMMYFUNCTION("""COMPUTED_VALUE"""),0)</f>
        <v>0</v>
      </c>
      <c r="W32" s="51" t="str">
        <f t="shared" ca="1" si="7"/>
        <v/>
      </c>
      <c r="X32" s="66"/>
      <c r="Y32" s="51" t="str">
        <f t="shared" ca="1" si="8"/>
        <v/>
      </c>
      <c r="Z32" s="2"/>
      <c r="AA32" s="2"/>
      <c r="AB32" s="2"/>
      <c r="AC32" s="2"/>
      <c r="AD32" s="2"/>
      <c r="AE32" s="2"/>
    </row>
    <row r="33" spans="1:31" ht="12.75" x14ac:dyDescent="0.2">
      <c r="A33" s="53">
        <f ca="1">IFERROR(__xludf.DUMMYFUNCTION("""COMPUTED_VALUE"""),27)</f>
        <v>27</v>
      </c>
      <c r="B33" s="66" t="str">
        <f ca="1">IFERROR(__xludf.DUMMYFUNCTION("""COMPUTED_VALUE"""),"MN Anh Việt")</f>
        <v>MN Anh Việt</v>
      </c>
      <c r="C33" s="66" t="str">
        <f ca="1">IFERROR(__xludf.DUMMYFUNCTION("""COMPUTED_VALUE"""),"Mầm non")</f>
        <v>Mầm non</v>
      </c>
      <c r="D33" s="66">
        <f ca="1">IFERROR(__xludf.DUMMYFUNCTION("""COMPUTED_VALUE"""),8)</f>
        <v>8</v>
      </c>
      <c r="E33" s="67">
        <f ca="1">IFERROR(__xludf.DUMMYFUNCTION("""COMPUTED_VALUE"""),15)</f>
        <v>15</v>
      </c>
      <c r="F33" s="67">
        <f ca="1">IFERROR(__xludf.DUMMYFUNCTION("""COMPUTED_VALUE"""),15)</f>
        <v>15</v>
      </c>
      <c r="G33" s="51">
        <f t="shared" ca="1" si="0"/>
        <v>1</v>
      </c>
      <c r="H33" s="67">
        <f ca="1">IFERROR(__xludf.DUMMYFUNCTION("""COMPUTED_VALUE"""),15)</f>
        <v>15</v>
      </c>
      <c r="I33" s="51">
        <f t="shared" ca="1" si="1"/>
        <v>1</v>
      </c>
      <c r="J33" s="67">
        <f ca="1">IFERROR(__xludf.DUMMYFUNCTION("""COMPUTED_VALUE"""),13)</f>
        <v>13</v>
      </c>
      <c r="K33" s="51">
        <f t="shared" ca="1" si="2"/>
        <v>0.8666666666666667</v>
      </c>
      <c r="L33" s="67">
        <f ca="1">IFERROR(__xludf.DUMMYFUNCTION("""COMPUTED_VALUE"""),0)</f>
        <v>0</v>
      </c>
      <c r="M33" s="51">
        <f t="shared" ca="1" si="3"/>
        <v>0</v>
      </c>
      <c r="N33" s="67">
        <f ca="1">IFERROR(__xludf.DUMMYFUNCTION("""COMPUTED_VALUE"""),110)</f>
        <v>110</v>
      </c>
      <c r="O33" s="67">
        <f ca="1">IFERROR(__xludf.DUMMYFUNCTION("""COMPUTED_VALUE"""),0)</f>
        <v>0</v>
      </c>
      <c r="P33" s="51">
        <f t="shared" ca="1" si="4"/>
        <v>0</v>
      </c>
      <c r="Q33" s="67">
        <f ca="1">IFERROR(__xludf.DUMMYFUNCTION("""COMPUTED_VALUE"""),0)</f>
        <v>0</v>
      </c>
      <c r="R33" s="51">
        <f t="shared" ca="1" si="5"/>
        <v>0</v>
      </c>
      <c r="S33" s="67">
        <f ca="1">IFERROR(__xludf.DUMMYFUNCTION("""COMPUTED_VALUE"""),0)</f>
        <v>0</v>
      </c>
      <c r="T33" s="66">
        <f ca="1">IFERROR(__xludf.DUMMYFUNCTION("""COMPUTED_VALUE"""),0)</f>
        <v>0</v>
      </c>
      <c r="U33" s="51" t="str">
        <f t="shared" ca="1" si="6"/>
        <v/>
      </c>
      <c r="V33" s="67">
        <f ca="1">IFERROR(__xludf.DUMMYFUNCTION("""COMPUTED_VALUE"""),0)</f>
        <v>0</v>
      </c>
      <c r="W33" s="51" t="str">
        <f t="shared" ca="1" si="7"/>
        <v/>
      </c>
      <c r="X33" s="66"/>
      <c r="Y33" s="51" t="str">
        <f t="shared" ca="1" si="8"/>
        <v/>
      </c>
      <c r="Z33" s="2"/>
      <c r="AA33" s="2"/>
      <c r="AB33" s="2"/>
      <c r="AC33" s="2"/>
      <c r="AD33" s="2"/>
      <c r="AE33" s="2"/>
    </row>
    <row r="34" spans="1:31" ht="12.75" x14ac:dyDescent="0.2">
      <c r="A34" s="53">
        <f ca="1">IFERROR(__xludf.DUMMYFUNCTION("""COMPUTED_VALUE"""),28)</f>
        <v>28</v>
      </c>
      <c r="B34" s="66" t="str">
        <f ca="1">IFERROR(__xludf.DUMMYFUNCTION("""COMPUTED_VALUE"""),"MN GĐ Hạnh Phúc")</f>
        <v>MN GĐ Hạnh Phúc</v>
      </c>
      <c r="C34" s="66" t="str">
        <f ca="1">IFERROR(__xludf.DUMMYFUNCTION("""COMPUTED_VALUE"""),"Mầm non")</f>
        <v>Mầm non</v>
      </c>
      <c r="D34" s="66">
        <f ca="1">IFERROR(__xludf.DUMMYFUNCTION("""COMPUTED_VALUE"""),8)</f>
        <v>8</v>
      </c>
      <c r="E34" s="67">
        <f ca="1">IFERROR(__xludf.DUMMYFUNCTION("""COMPUTED_VALUE"""),17)</f>
        <v>17</v>
      </c>
      <c r="F34" s="67">
        <f ca="1">IFERROR(__xludf.DUMMYFUNCTION("""COMPUTED_VALUE"""),17)</f>
        <v>17</v>
      </c>
      <c r="G34" s="51">
        <f t="shared" ca="1" si="0"/>
        <v>1</v>
      </c>
      <c r="H34" s="67">
        <f ca="1">IFERROR(__xludf.DUMMYFUNCTION("""COMPUTED_VALUE"""),17)</f>
        <v>17</v>
      </c>
      <c r="I34" s="51">
        <f t="shared" ca="1" si="1"/>
        <v>1</v>
      </c>
      <c r="J34" s="67">
        <f ca="1">IFERROR(__xludf.DUMMYFUNCTION("""COMPUTED_VALUE"""),16)</f>
        <v>16</v>
      </c>
      <c r="K34" s="51">
        <f t="shared" ca="1" si="2"/>
        <v>0.94117647058823528</v>
      </c>
      <c r="L34" s="67">
        <f ca="1">IFERROR(__xludf.DUMMYFUNCTION("""COMPUTED_VALUE"""),6)</f>
        <v>6</v>
      </c>
      <c r="M34" s="51">
        <f t="shared" ca="1" si="3"/>
        <v>0.35294117647058826</v>
      </c>
      <c r="N34" s="67">
        <f ca="1">IFERROR(__xludf.DUMMYFUNCTION("""COMPUTED_VALUE"""),32)</f>
        <v>32</v>
      </c>
      <c r="O34" s="67">
        <f ca="1">IFERROR(__xludf.DUMMYFUNCTION("""COMPUTED_VALUE"""),8)</f>
        <v>8</v>
      </c>
      <c r="P34" s="51">
        <f t="shared" ca="1" si="4"/>
        <v>0.25</v>
      </c>
      <c r="Q34" s="67">
        <f ca="1">IFERROR(__xludf.DUMMYFUNCTION("""COMPUTED_VALUE"""),6)</f>
        <v>6</v>
      </c>
      <c r="R34" s="51">
        <f t="shared" ca="1" si="5"/>
        <v>0.1875</v>
      </c>
      <c r="S34" s="67">
        <f ca="1">IFERROR(__xludf.DUMMYFUNCTION("""COMPUTED_VALUE"""),0)</f>
        <v>0</v>
      </c>
      <c r="T34" s="67">
        <f ca="1">IFERROR(__xludf.DUMMYFUNCTION("""COMPUTED_VALUE"""),0)</f>
        <v>0</v>
      </c>
      <c r="U34" s="51" t="str">
        <f t="shared" ca="1" si="6"/>
        <v/>
      </c>
      <c r="V34" s="67">
        <f ca="1">IFERROR(__xludf.DUMMYFUNCTION("""COMPUTED_VALUE"""),0)</f>
        <v>0</v>
      </c>
      <c r="W34" s="51" t="str">
        <f t="shared" ca="1" si="7"/>
        <v/>
      </c>
      <c r="X34" s="66"/>
      <c r="Y34" s="51" t="str">
        <f t="shared" ca="1" si="8"/>
        <v/>
      </c>
      <c r="Z34" s="2"/>
      <c r="AA34" s="2"/>
      <c r="AB34" s="2"/>
      <c r="AC34" s="2"/>
      <c r="AD34" s="2"/>
      <c r="AE34" s="2"/>
    </row>
    <row r="35" spans="1:31" ht="12.75" x14ac:dyDescent="0.2">
      <c r="A35" s="53">
        <f ca="1">IFERROR(__xludf.DUMMYFUNCTION("""COMPUTED_VALUE"""),29)</f>
        <v>29</v>
      </c>
      <c r="B35" s="66" t="str">
        <f ca="1">IFERROR(__xludf.DUMMYFUNCTION("""COMPUTED_VALUE"""),"MN Tuệ Đức")</f>
        <v>MN Tuệ Đức</v>
      </c>
      <c r="C35" s="66" t="str">
        <f ca="1">IFERROR(__xludf.DUMMYFUNCTION("""COMPUTED_VALUE"""),"Mầm non")</f>
        <v>Mầm non</v>
      </c>
      <c r="D35" s="66">
        <f ca="1">IFERROR(__xludf.DUMMYFUNCTION("""COMPUTED_VALUE"""),8)</f>
        <v>8</v>
      </c>
      <c r="E35" s="67">
        <f ca="1">IFERROR(__xludf.DUMMYFUNCTION("""COMPUTED_VALUE"""),21)</f>
        <v>21</v>
      </c>
      <c r="F35" s="67">
        <f ca="1">IFERROR(__xludf.DUMMYFUNCTION("""COMPUTED_VALUE"""),21)</f>
        <v>21</v>
      </c>
      <c r="G35" s="51">
        <f t="shared" ca="1" si="0"/>
        <v>1</v>
      </c>
      <c r="H35" s="67">
        <f ca="1">IFERROR(__xludf.DUMMYFUNCTION("""COMPUTED_VALUE"""),21)</f>
        <v>21</v>
      </c>
      <c r="I35" s="51">
        <f t="shared" ca="1" si="1"/>
        <v>1</v>
      </c>
      <c r="J35" s="67">
        <f ca="1">IFERROR(__xludf.DUMMYFUNCTION("""COMPUTED_VALUE"""),19)</f>
        <v>19</v>
      </c>
      <c r="K35" s="51">
        <f t="shared" ca="1" si="2"/>
        <v>0.90476190476190477</v>
      </c>
      <c r="L35" s="67">
        <f ca="1">IFERROR(__xludf.DUMMYFUNCTION("""COMPUTED_VALUE"""),13)</f>
        <v>13</v>
      </c>
      <c r="M35" s="51">
        <f t="shared" ca="1" si="3"/>
        <v>0.61904761904761907</v>
      </c>
      <c r="N35" s="67">
        <f ca="1">IFERROR(__xludf.DUMMYFUNCTION("""COMPUTED_VALUE"""),24)</f>
        <v>24</v>
      </c>
      <c r="O35" s="67">
        <f ca="1">IFERROR(__xludf.DUMMYFUNCTION("""COMPUTED_VALUE"""),0)</f>
        <v>0</v>
      </c>
      <c r="P35" s="51">
        <f t="shared" ca="1" si="4"/>
        <v>0</v>
      </c>
      <c r="Q35" s="67">
        <f ca="1">IFERROR(__xludf.DUMMYFUNCTION("""COMPUTED_VALUE"""),0)</f>
        <v>0</v>
      </c>
      <c r="R35" s="51">
        <f t="shared" ca="1" si="5"/>
        <v>0</v>
      </c>
      <c r="S35" s="67">
        <f ca="1">IFERROR(__xludf.DUMMYFUNCTION("""COMPUTED_VALUE"""),0)</f>
        <v>0</v>
      </c>
      <c r="T35" s="67">
        <f ca="1">IFERROR(__xludf.DUMMYFUNCTION("""COMPUTED_VALUE"""),0)</f>
        <v>0</v>
      </c>
      <c r="U35" s="51" t="str">
        <f t="shared" ca="1" si="6"/>
        <v/>
      </c>
      <c r="V35" s="67">
        <f ca="1">IFERROR(__xludf.DUMMYFUNCTION("""COMPUTED_VALUE"""),0)</f>
        <v>0</v>
      </c>
      <c r="W35" s="51" t="str">
        <f t="shared" ca="1" si="7"/>
        <v/>
      </c>
      <c r="X35" s="66"/>
      <c r="Y35" s="51" t="str">
        <f t="shared" ca="1" si="8"/>
        <v/>
      </c>
      <c r="Z35" s="2"/>
      <c r="AA35" s="2"/>
      <c r="AB35" s="2"/>
      <c r="AC35" s="2"/>
      <c r="AD35" s="2"/>
      <c r="AE35" s="2"/>
    </row>
    <row r="36" spans="1:31" ht="12.75" x14ac:dyDescent="0.2">
      <c r="A36" s="53">
        <f ca="1">IFERROR(__xludf.DUMMYFUNCTION("""COMPUTED_VALUE"""),30)</f>
        <v>30</v>
      </c>
      <c r="B36" s="66"/>
      <c r="C36" s="66"/>
      <c r="D36" s="66">
        <f ca="1">IFERROR(__xludf.DUMMYFUNCTION("""COMPUTED_VALUE"""),8)</f>
        <v>8</v>
      </c>
      <c r="E36" s="67">
        <f ca="1">IFERROR(__xludf.DUMMYFUNCTION("""COMPUTED_VALUE"""),12)</f>
        <v>12</v>
      </c>
      <c r="F36" s="67">
        <f ca="1">IFERROR(__xludf.DUMMYFUNCTION("""COMPUTED_VALUE"""),12)</f>
        <v>12</v>
      </c>
      <c r="G36" s="51">
        <f t="shared" ca="1" si="0"/>
        <v>1</v>
      </c>
      <c r="H36" s="67">
        <f ca="1">IFERROR(__xludf.DUMMYFUNCTION("""COMPUTED_VALUE"""),12)</f>
        <v>12</v>
      </c>
      <c r="I36" s="51">
        <f t="shared" ca="1" si="1"/>
        <v>1</v>
      </c>
      <c r="J36" s="67">
        <f ca="1">IFERROR(__xludf.DUMMYFUNCTION("""COMPUTED_VALUE"""),10)</f>
        <v>10</v>
      </c>
      <c r="K36" s="51">
        <f t="shared" ca="1" si="2"/>
        <v>0.83333333333333337</v>
      </c>
      <c r="L36" s="67">
        <f ca="1">IFERROR(__xludf.DUMMYFUNCTION("""COMPUTED_VALUE"""),5)</f>
        <v>5</v>
      </c>
      <c r="M36" s="51">
        <f t="shared" ca="1" si="3"/>
        <v>0.41666666666666669</v>
      </c>
      <c r="N36" s="67">
        <f ca="1">IFERROR(__xludf.DUMMYFUNCTION("""COMPUTED_VALUE"""),10)</f>
        <v>10</v>
      </c>
      <c r="O36" s="67">
        <f ca="1">IFERROR(__xludf.DUMMYFUNCTION("""COMPUTED_VALUE"""),1)</f>
        <v>1</v>
      </c>
      <c r="P36" s="51">
        <f t="shared" ca="1" si="4"/>
        <v>0.1</v>
      </c>
      <c r="Q36" s="67">
        <f ca="1">IFERROR(__xludf.DUMMYFUNCTION("""COMPUTED_VALUE"""),0)</f>
        <v>0</v>
      </c>
      <c r="R36" s="51">
        <f t="shared" ca="1" si="5"/>
        <v>0</v>
      </c>
      <c r="S36" s="67">
        <f ca="1">IFERROR(__xludf.DUMMYFUNCTION("""COMPUTED_VALUE"""),0)</f>
        <v>0</v>
      </c>
      <c r="T36" s="67">
        <f ca="1">IFERROR(__xludf.DUMMYFUNCTION("""COMPUTED_VALUE"""),0)</f>
        <v>0</v>
      </c>
      <c r="U36" s="51" t="str">
        <f t="shared" ca="1" si="6"/>
        <v/>
      </c>
      <c r="V36" s="67">
        <f ca="1">IFERROR(__xludf.DUMMYFUNCTION("""COMPUTED_VALUE"""),0)</f>
        <v>0</v>
      </c>
      <c r="W36" s="51" t="str">
        <f t="shared" ca="1" si="7"/>
        <v/>
      </c>
      <c r="X36" s="66"/>
      <c r="Y36" s="51" t="str">
        <f t="shared" ca="1" si="8"/>
        <v/>
      </c>
      <c r="Z36" s="2"/>
      <c r="AA36" s="2"/>
      <c r="AB36" s="2"/>
      <c r="AC36" s="2"/>
      <c r="AD36" s="2"/>
      <c r="AE36" s="2"/>
    </row>
    <row r="37" spans="1:31" ht="12.75" x14ac:dyDescent="0.2">
      <c r="A37" s="53">
        <f ca="1">IFERROR(__xludf.DUMMYFUNCTION("""COMPUTED_VALUE"""),31)</f>
        <v>31</v>
      </c>
      <c r="B37" s="66" t="str">
        <f ca="1">IFERROR(__xludf.DUMMYFUNCTION("""COMPUTED_VALUE"""),"MN Bé Thông Minh")</f>
        <v>MN Bé Thông Minh</v>
      </c>
      <c r="C37" s="66" t="str">
        <f ca="1">IFERROR(__xludf.DUMMYFUNCTION("""COMPUTED_VALUE"""),"Mầm non")</f>
        <v>Mầm non</v>
      </c>
      <c r="D37" s="66">
        <f ca="1">IFERROR(__xludf.DUMMYFUNCTION("""COMPUTED_VALUE"""),8)</f>
        <v>8</v>
      </c>
      <c r="E37" s="67">
        <f ca="1">IFERROR(__xludf.DUMMYFUNCTION("""COMPUTED_VALUE"""),14)</f>
        <v>14</v>
      </c>
      <c r="F37" s="67">
        <f ca="1">IFERROR(__xludf.DUMMYFUNCTION("""COMPUTED_VALUE"""),14)</f>
        <v>14</v>
      </c>
      <c r="G37" s="51">
        <f t="shared" ca="1" si="0"/>
        <v>1</v>
      </c>
      <c r="H37" s="67">
        <f ca="1">IFERROR(__xludf.DUMMYFUNCTION("""COMPUTED_VALUE"""),14)</f>
        <v>14</v>
      </c>
      <c r="I37" s="51">
        <f t="shared" ca="1" si="1"/>
        <v>1</v>
      </c>
      <c r="J37" s="67">
        <f ca="1">IFERROR(__xludf.DUMMYFUNCTION("""COMPUTED_VALUE"""),14)</f>
        <v>14</v>
      </c>
      <c r="K37" s="51">
        <f t="shared" ca="1" si="2"/>
        <v>1</v>
      </c>
      <c r="L37" s="67">
        <f ca="1">IFERROR(__xludf.DUMMYFUNCTION("""COMPUTED_VALUE"""),7)</f>
        <v>7</v>
      </c>
      <c r="M37" s="51">
        <f t="shared" ca="1" si="3"/>
        <v>0.5</v>
      </c>
      <c r="N37" s="67">
        <f ca="1">IFERROR(__xludf.DUMMYFUNCTION("""COMPUTED_VALUE"""),34)</f>
        <v>34</v>
      </c>
      <c r="O37" s="67">
        <f ca="1">IFERROR(__xludf.DUMMYFUNCTION("""COMPUTED_VALUE"""),4)</f>
        <v>4</v>
      </c>
      <c r="P37" s="51">
        <f t="shared" ca="1" si="4"/>
        <v>0.11764705882352941</v>
      </c>
      <c r="Q37" s="67">
        <f ca="1">IFERROR(__xludf.DUMMYFUNCTION("""COMPUTED_VALUE"""),3)</f>
        <v>3</v>
      </c>
      <c r="R37" s="51">
        <f t="shared" ca="1" si="5"/>
        <v>8.8235294117647065E-2</v>
      </c>
      <c r="S37" s="67">
        <f ca="1">IFERROR(__xludf.DUMMYFUNCTION("""COMPUTED_VALUE"""),0)</f>
        <v>0</v>
      </c>
      <c r="T37" s="67">
        <f ca="1">IFERROR(__xludf.DUMMYFUNCTION("""COMPUTED_VALUE"""),0)</f>
        <v>0</v>
      </c>
      <c r="U37" s="51" t="str">
        <f t="shared" ca="1" si="6"/>
        <v/>
      </c>
      <c r="V37" s="67">
        <f ca="1">IFERROR(__xludf.DUMMYFUNCTION("""COMPUTED_VALUE"""),0)</f>
        <v>0</v>
      </c>
      <c r="W37" s="51" t="str">
        <f t="shared" ca="1" si="7"/>
        <v/>
      </c>
      <c r="X37" s="66"/>
      <c r="Y37" s="51" t="str">
        <f t="shared" ca="1" si="8"/>
        <v/>
      </c>
      <c r="Z37" s="2"/>
      <c r="AA37" s="2"/>
      <c r="AB37" s="2"/>
      <c r="AC37" s="2"/>
      <c r="AD37" s="2"/>
      <c r="AE37" s="2"/>
    </row>
    <row r="38" spans="1:31" ht="12.75" x14ac:dyDescent="0.2">
      <c r="A38" s="53">
        <f ca="1">IFERROR(__xludf.DUMMYFUNCTION("""COMPUTED_VALUE"""),32)</f>
        <v>32</v>
      </c>
      <c r="B38" s="66" t="str">
        <f ca="1">IFERROR(__xludf.DUMMYFUNCTION("""COMPUTED_VALUE"""),"MN 26")</f>
        <v>MN 26</v>
      </c>
      <c r="C38" s="66" t="str">
        <f ca="1">IFERROR(__xludf.DUMMYFUNCTION("""COMPUTED_VALUE"""),"Mầm non")</f>
        <v>Mầm non</v>
      </c>
      <c r="D38" s="66">
        <f ca="1">IFERROR(__xludf.DUMMYFUNCTION("""COMPUTED_VALUE"""),8)</f>
        <v>8</v>
      </c>
      <c r="E38" s="67">
        <f ca="1">IFERROR(__xludf.DUMMYFUNCTION("""COMPUTED_VALUE"""),11)</f>
        <v>11</v>
      </c>
      <c r="F38" s="67">
        <f ca="1">IFERROR(__xludf.DUMMYFUNCTION("""COMPUTED_VALUE"""),11)</f>
        <v>11</v>
      </c>
      <c r="G38" s="51">
        <f t="shared" ca="1" si="0"/>
        <v>1</v>
      </c>
      <c r="H38" s="67">
        <f ca="1">IFERROR(__xludf.DUMMYFUNCTION("""COMPUTED_VALUE"""),11)</f>
        <v>11</v>
      </c>
      <c r="I38" s="51">
        <f t="shared" ca="1" si="1"/>
        <v>1</v>
      </c>
      <c r="J38" s="67">
        <f ca="1">IFERROR(__xludf.DUMMYFUNCTION("""COMPUTED_VALUE"""),11)</f>
        <v>11</v>
      </c>
      <c r="K38" s="51">
        <f t="shared" ca="1" si="2"/>
        <v>1</v>
      </c>
      <c r="L38" s="67">
        <f ca="1">IFERROR(__xludf.DUMMYFUNCTION("""COMPUTED_VALUE"""),2)</f>
        <v>2</v>
      </c>
      <c r="M38" s="51">
        <f t="shared" ca="1" si="3"/>
        <v>0.18181818181818182</v>
      </c>
      <c r="N38" s="67">
        <f ca="1">IFERROR(__xludf.DUMMYFUNCTION("""COMPUTED_VALUE"""),18)</f>
        <v>18</v>
      </c>
      <c r="O38" s="67">
        <f ca="1">IFERROR(__xludf.DUMMYFUNCTION("""COMPUTED_VALUE"""),10)</f>
        <v>10</v>
      </c>
      <c r="P38" s="51">
        <f t="shared" ca="1" si="4"/>
        <v>0.55555555555555558</v>
      </c>
      <c r="Q38" s="67">
        <f ca="1">IFERROR(__xludf.DUMMYFUNCTION("""COMPUTED_VALUE"""),0)</f>
        <v>0</v>
      </c>
      <c r="R38" s="51">
        <f t="shared" ca="1" si="5"/>
        <v>0</v>
      </c>
      <c r="S38" s="67">
        <f ca="1">IFERROR(__xludf.DUMMYFUNCTION("""COMPUTED_VALUE"""),0)</f>
        <v>0</v>
      </c>
      <c r="T38" s="66">
        <f ca="1">IFERROR(__xludf.DUMMYFUNCTION("""COMPUTED_VALUE"""),0)</f>
        <v>0</v>
      </c>
      <c r="U38" s="51" t="str">
        <f t="shared" ca="1" si="6"/>
        <v/>
      </c>
      <c r="V38" s="67">
        <f ca="1">IFERROR(__xludf.DUMMYFUNCTION("""COMPUTED_VALUE"""),0)</f>
        <v>0</v>
      </c>
      <c r="W38" s="51" t="str">
        <f t="shared" ca="1" si="7"/>
        <v/>
      </c>
      <c r="X38" s="66"/>
      <c r="Y38" s="51" t="str">
        <f t="shared" ca="1" si="8"/>
        <v/>
      </c>
      <c r="Z38" s="2"/>
      <c r="AA38" s="2"/>
      <c r="AB38" s="2"/>
      <c r="AC38" s="2"/>
      <c r="AD38" s="2"/>
      <c r="AE38" s="2"/>
    </row>
    <row r="39" spans="1:31" ht="12.75" x14ac:dyDescent="0.2">
      <c r="A39" s="53">
        <f ca="1">IFERROR(__xludf.DUMMYFUNCTION("""COMPUTED_VALUE"""),33)</f>
        <v>33</v>
      </c>
      <c r="B39" s="66" t="str">
        <f ca="1">IFERROR(__xludf.DUMMYFUNCTION("""COMPUTED_VALUE"""),"MN Hoa Trà My III")</f>
        <v>MN Hoa Trà My III</v>
      </c>
      <c r="C39" s="66" t="str">
        <f ca="1">IFERROR(__xludf.DUMMYFUNCTION("""COMPUTED_VALUE"""),"Mầm non")</f>
        <v>Mầm non</v>
      </c>
      <c r="D39" s="66">
        <f ca="1">IFERROR(__xludf.DUMMYFUNCTION("""COMPUTED_VALUE"""),8)</f>
        <v>8</v>
      </c>
      <c r="E39" s="67">
        <f ca="1">IFERROR(__xludf.DUMMYFUNCTION("""COMPUTED_VALUE"""),30)</f>
        <v>30</v>
      </c>
      <c r="F39" s="67">
        <f ca="1">IFERROR(__xludf.DUMMYFUNCTION("""COMPUTED_VALUE"""),30)</f>
        <v>30</v>
      </c>
      <c r="G39" s="51">
        <f t="shared" ca="1" si="0"/>
        <v>1</v>
      </c>
      <c r="H39" s="67">
        <f ca="1">IFERROR(__xludf.DUMMYFUNCTION("""COMPUTED_VALUE"""),30)</f>
        <v>30</v>
      </c>
      <c r="I39" s="51">
        <f t="shared" ca="1" si="1"/>
        <v>1</v>
      </c>
      <c r="J39" s="67">
        <f ca="1">IFERROR(__xludf.DUMMYFUNCTION("""COMPUTED_VALUE"""),28)</f>
        <v>28</v>
      </c>
      <c r="K39" s="51">
        <f t="shared" ca="1" si="2"/>
        <v>0.93333333333333335</v>
      </c>
      <c r="L39" s="67">
        <f ca="1">IFERROR(__xludf.DUMMYFUNCTION("""COMPUTED_VALUE"""),3)</f>
        <v>3</v>
      </c>
      <c r="M39" s="51">
        <f t="shared" ca="1" si="3"/>
        <v>0.1</v>
      </c>
      <c r="N39" s="67">
        <f ca="1">IFERROR(__xludf.DUMMYFUNCTION("""COMPUTED_VALUE"""),45)</f>
        <v>45</v>
      </c>
      <c r="O39" s="67">
        <f ca="1">IFERROR(__xludf.DUMMYFUNCTION("""COMPUTED_VALUE"""),0)</f>
        <v>0</v>
      </c>
      <c r="P39" s="51">
        <f t="shared" ca="1" si="4"/>
        <v>0</v>
      </c>
      <c r="Q39" s="67">
        <f ca="1">IFERROR(__xludf.DUMMYFUNCTION("""COMPUTED_VALUE"""),0)</f>
        <v>0</v>
      </c>
      <c r="R39" s="51">
        <f t="shared" ca="1" si="5"/>
        <v>0</v>
      </c>
      <c r="S39" s="67">
        <f ca="1">IFERROR(__xludf.DUMMYFUNCTION("""COMPUTED_VALUE"""),0)</f>
        <v>0</v>
      </c>
      <c r="T39" s="66">
        <f ca="1">IFERROR(__xludf.DUMMYFUNCTION("""COMPUTED_VALUE"""),0)</f>
        <v>0</v>
      </c>
      <c r="U39" s="51" t="str">
        <f t="shared" ca="1" si="6"/>
        <v/>
      </c>
      <c r="V39" s="67">
        <f ca="1">IFERROR(__xludf.DUMMYFUNCTION("""COMPUTED_VALUE"""),0)</f>
        <v>0</v>
      </c>
      <c r="W39" s="51" t="str">
        <f t="shared" ca="1" si="7"/>
        <v/>
      </c>
      <c r="X39" s="66"/>
      <c r="Y39" s="51" t="str">
        <f t="shared" ca="1" si="8"/>
        <v/>
      </c>
      <c r="Z39" s="2"/>
      <c r="AA39" s="2"/>
      <c r="AB39" s="2"/>
      <c r="AC39" s="2"/>
      <c r="AD39" s="2"/>
      <c r="AE39" s="2"/>
    </row>
    <row r="40" spans="1:31" ht="12.75" x14ac:dyDescent="0.2">
      <c r="A40" s="53">
        <f ca="1">IFERROR(__xludf.DUMMYFUNCTION("""COMPUTED_VALUE"""),34)</f>
        <v>34</v>
      </c>
      <c r="B40" s="66" t="str">
        <f ca="1">IFERROR(__xludf.DUMMYFUNCTION("""COMPUTED_VALUE"""),"MN Hoàng Mai 3")</f>
        <v>MN Hoàng Mai 3</v>
      </c>
      <c r="C40" s="66" t="str">
        <f ca="1">IFERROR(__xludf.DUMMYFUNCTION("""COMPUTED_VALUE"""),"Mầm non")</f>
        <v>Mầm non</v>
      </c>
      <c r="D40" s="66">
        <f ca="1">IFERROR(__xludf.DUMMYFUNCTION("""COMPUTED_VALUE"""),8)</f>
        <v>8</v>
      </c>
      <c r="E40" s="67">
        <f ca="1">IFERROR(__xludf.DUMMYFUNCTION("""COMPUTED_VALUE"""),25)</f>
        <v>25</v>
      </c>
      <c r="F40" s="67">
        <f ca="1">IFERROR(__xludf.DUMMYFUNCTION("""COMPUTED_VALUE"""),25)</f>
        <v>25</v>
      </c>
      <c r="G40" s="51">
        <f t="shared" ca="1" si="0"/>
        <v>1</v>
      </c>
      <c r="H40" s="67">
        <f ca="1">IFERROR(__xludf.DUMMYFUNCTION("""COMPUTED_VALUE"""),25)</f>
        <v>25</v>
      </c>
      <c r="I40" s="51">
        <f t="shared" ca="1" si="1"/>
        <v>1</v>
      </c>
      <c r="J40" s="67">
        <f ca="1">IFERROR(__xludf.DUMMYFUNCTION("""COMPUTED_VALUE"""),25)</f>
        <v>25</v>
      </c>
      <c r="K40" s="51">
        <f t="shared" ca="1" si="2"/>
        <v>1</v>
      </c>
      <c r="L40" s="67">
        <f ca="1">IFERROR(__xludf.DUMMYFUNCTION("""COMPUTED_VALUE"""),10)</f>
        <v>10</v>
      </c>
      <c r="M40" s="51">
        <f t="shared" ca="1" si="3"/>
        <v>0.4</v>
      </c>
      <c r="N40" s="67">
        <f ca="1">IFERROR(__xludf.DUMMYFUNCTION("""COMPUTED_VALUE"""),69)</f>
        <v>69</v>
      </c>
      <c r="O40" s="67">
        <f ca="1">IFERROR(__xludf.DUMMYFUNCTION("""COMPUTED_VALUE"""),8)</f>
        <v>8</v>
      </c>
      <c r="P40" s="51">
        <f t="shared" ca="1" si="4"/>
        <v>0.11594202898550725</v>
      </c>
      <c r="Q40" s="67">
        <f ca="1">IFERROR(__xludf.DUMMYFUNCTION("""COMPUTED_VALUE"""),6)</f>
        <v>6</v>
      </c>
      <c r="R40" s="51">
        <f t="shared" ca="1" si="5"/>
        <v>8.6956521739130432E-2</v>
      </c>
      <c r="S40" s="67">
        <f ca="1">IFERROR(__xludf.DUMMYFUNCTION("""COMPUTED_VALUE"""),0)</f>
        <v>0</v>
      </c>
      <c r="T40" s="66">
        <f ca="1">IFERROR(__xludf.DUMMYFUNCTION("""COMPUTED_VALUE"""),0)</f>
        <v>0</v>
      </c>
      <c r="U40" s="51" t="str">
        <f t="shared" ca="1" si="6"/>
        <v/>
      </c>
      <c r="V40" s="67">
        <f ca="1">IFERROR(__xludf.DUMMYFUNCTION("""COMPUTED_VALUE"""),0)</f>
        <v>0</v>
      </c>
      <c r="W40" s="51" t="str">
        <f t="shared" ca="1" si="7"/>
        <v/>
      </c>
      <c r="X40" s="66"/>
      <c r="Y40" s="51" t="str">
        <f t="shared" ca="1" si="8"/>
        <v/>
      </c>
      <c r="Z40" s="2"/>
      <c r="AA40" s="2"/>
      <c r="AB40" s="2"/>
      <c r="AC40" s="2"/>
      <c r="AD40" s="2"/>
      <c r="AE40" s="2"/>
    </row>
    <row r="41" spans="1:31" ht="12.75" x14ac:dyDescent="0.2">
      <c r="A41" s="53">
        <f ca="1">IFERROR(__xludf.DUMMYFUNCTION("""COMPUTED_VALUE"""),35)</f>
        <v>35</v>
      </c>
      <c r="B41" s="66" t="str">
        <f ca="1">IFERROR(__xludf.DUMMYFUNCTION("""COMPUTED_VALUE"""),"MN Bình Thuận")</f>
        <v>MN Bình Thuận</v>
      </c>
      <c r="C41" s="66" t="str">
        <f ca="1">IFERROR(__xludf.DUMMYFUNCTION("""COMPUTED_VALUE"""),"Mầm non")</f>
        <v>Mầm non</v>
      </c>
      <c r="D41" s="66">
        <f ca="1">IFERROR(__xludf.DUMMYFUNCTION("""COMPUTED_VALUE"""),8)</f>
        <v>8</v>
      </c>
      <c r="E41" s="67">
        <f ca="1">IFERROR(__xludf.DUMMYFUNCTION("""COMPUTED_VALUE"""),20)</f>
        <v>20</v>
      </c>
      <c r="F41" s="67">
        <f ca="1">IFERROR(__xludf.DUMMYFUNCTION("""COMPUTED_VALUE"""),20)</f>
        <v>20</v>
      </c>
      <c r="G41" s="51">
        <f t="shared" ca="1" si="0"/>
        <v>1</v>
      </c>
      <c r="H41" s="67">
        <f ca="1">IFERROR(__xludf.DUMMYFUNCTION("""COMPUTED_VALUE"""),19)</f>
        <v>19</v>
      </c>
      <c r="I41" s="51">
        <f t="shared" ca="1" si="1"/>
        <v>0.95</v>
      </c>
      <c r="J41" s="67">
        <f ca="1">IFERROR(__xludf.DUMMYFUNCTION("""COMPUTED_VALUE"""),15)</f>
        <v>15</v>
      </c>
      <c r="K41" s="51">
        <f t="shared" ca="1" si="2"/>
        <v>0.75</v>
      </c>
      <c r="L41" s="67">
        <f ca="1">IFERROR(__xludf.DUMMYFUNCTION("""COMPUTED_VALUE"""),0)</f>
        <v>0</v>
      </c>
      <c r="M41" s="51">
        <f t="shared" ca="1" si="3"/>
        <v>0</v>
      </c>
      <c r="N41" s="67">
        <f ca="1">IFERROR(__xludf.DUMMYFUNCTION("""COMPUTED_VALUE"""),111)</f>
        <v>111</v>
      </c>
      <c r="O41" s="67">
        <f ca="1">IFERROR(__xludf.DUMMYFUNCTION("""COMPUTED_VALUE"""),10)</f>
        <v>10</v>
      </c>
      <c r="P41" s="51">
        <f t="shared" ca="1" si="4"/>
        <v>9.0090090090090086E-2</v>
      </c>
      <c r="Q41" s="67">
        <f ca="1">IFERROR(__xludf.DUMMYFUNCTION("""COMPUTED_VALUE"""),10)</f>
        <v>10</v>
      </c>
      <c r="R41" s="51">
        <f t="shared" ca="1" si="5"/>
        <v>9.0090090090090086E-2</v>
      </c>
      <c r="S41" s="67">
        <f ca="1">IFERROR(__xludf.DUMMYFUNCTION("""COMPUTED_VALUE"""),0)</f>
        <v>0</v>
      </c>
      <c r="T41" s="67">
        <f ca="1">IFERROR(__xludf.DUMMYFUNCTION("""COMPUTED_VALUE"""),0)</f>
        <v>0</v>
      </c>
      <c r="U41" s="51" t="str">
        <f t="shared" ca="1" si="6"/>
        <v/>
      </c>
      <c r="V41" s="67">
        <f ca="1">IFERROR(__xludf.DUMMYFUNCTION("""COMPUTED_VALUE"""),0)</f>
        <v>0</v>
      </c>
      <c r="W41" s="51" t="str">
        <f t="shared" ca="1" si="7"/>
        <v/>
      </c>
      <c r="X41" s="66"/>
      <c r="Y41" s="51" t="str">
        <f t="shared" ca="1" si="8"/>
        <v/>
      </c>
      <c r="Z41" s="2"/>
      <c r="AA41" s="2"/>
      <c r="AB41" s="2"/>
      <c r="AC41" s="2"/>
      <c r="AD41" s="2"/>
      <c r="AE41" s="2"/>
    </row>
    <row r="42" spans="1:31" ht="12.75" x14ac:dyDescent="0.2">
      <c r="A42" s="53">
        <f ca="1">IFERROR(__xludf.DUMMYFUNCTION("""COMPUTED_VALUE"""),36)</f>
        <v>36</v>
      </c>
      <c r="B42" s="66" t="str">
        <f ca="1">IFERROR(__xludf.DUMMYFUNCTION("""COMPUTED_VALUE"""),"MN Ánh Bình Minh")</f>
        <v>MN Ánh Bình Minh</v>
      </c>
      <c r="C42" s="66" t="str">
        <f ca="1">IFERROR(__xludf.DUMMYFUNCTION("""COMPUTED_VALUE"""),"Mầm non")</f>
        <v>Mầm non</v>
      </c>
      <c r="D42" s="66">
        <f ca="1">IFERROR(__xludf.DUMMYFUNCTION("""COMPUTED_VALUE"""),8)</f>
        <v>8</v>
      </c>
      <c r="E42" s="67">
        <f ca="1">IFERROR(__xludf.DUMMYFUNCTION("""COMPUTED_VALUE"""),17)</f>
        <v>17</v>
      </c>
      <c r="F42" s="67">
        <f ca="1">IFERROR(__xludf.DUMMYFUNCTION("""COMPUTED_VALUE"""),17)</f>
        <v>17</v>
      </c>
      <c r="G42" s="51">
        <f t="shared" ca="1" si="0"/>
        <v>1</v>
      </c>
      <c r="H42" s="67">
        <f ca="1">IFERROR(__xludf.DUMMYFUNCTION("""COMPUTED_VALUE"""),17)</f>
        <v>17</v>
      </c>
      <c r="I42" s="51">
        <f t="shared" ca="1" si="1"/>
        <v>1</v>
      </c>
      <c r="J42" s="67">
        <f ca="1">IFERROR(__xludf.DUMMYFUNCTION("""COMPUTED_VALUE"""),16)</f>
        <v>16</v>
      </c>
      <c r="K42" s="51">
        <f t="shared" ca="1" si="2"/>
        <v>0.94117647058823528</v>
      </c>
      <c r="L42" s="67">
        <f ca="1">IFERROR(__xludf.DUMMYFUNCTION("""COMPUTED_VALUE"""),6)</f>
        <v>6</v>
      </c>
      <c r="M42" s="51">
        <f t="shared" ca="1" si="3"/>
        <v>0.35294117647058826</v>
      </c>
      <c r="N42" s="67">
        <f ca="1">IFERROR(__xludf.DUMMYFUNCTION("""COMPUTED_VALUE"""),24)</f>
        <v>24</v>
      </c>
      <c r="O42" s="67">
        <f ca="1">IFERROR(__xludf.DUMMYFUNCTION("""COMPUTED_VALUE"""),3)</f>
        <v>3</v>
      </c>
      <c r="P42" s="51">
        <f t="shared" ca="1" si="4"/>
        <v>0.125</v>
      </c>
      <c r="Q42" s="67">
        <f ca="1">IFERROR(__xludf.DUMMYFUNCTION("""COMPUTED_VALUE"""),1)</f>
        <v>1</v>
      </c>
      <c r="R42" s="51">
        <f t="shared" ca="1" si="5"/>
        <v>4.1666666666666664E-2</v>
      </c>
      <c r="S42" s="67">
        <f ca="1">IFERROR(__xludf.DUMMYFUNCTION("""COMPUTED_VALUE"""),0)</f>
        <v>0</v>
      </c>
      <c r="T42" s="67">
        <f ca="1">IFERROR(__xludf.DUMMYFUNCTION("""COMPUTED_VALUE"""),0)</f>
        <v>0</v>
      </c>
      <c r="U42" s="51" t="str">
        <f t="shared" ca="1" si="6"/>
        <v/>
      </c>
      <c r="V42" s="67">
        <f ca="1">IFERROR(__xludf.DUMMYFUNCTION("""COMPUTED_VALUE"""),0)</f>
        <v>0</v>
      </c>
      <c r="W42" s="51" t="str">
        <f t="shared" ca="1" si="7"/>
        <v/>
      </c>
      <c r="X42" s="66"/>
      <c r="Y42" s="51" t="str">
        <f t="shared" ca="1" si="8"/>
        <v/>
      </c>
      <c r="Z42" s="2"/>
      <c r="AA42" s="2"/>
      <c r="AB42" s="2"/>
      <c r="AC42" s="2"/>
      <c r="AD42" s="2"/>
      <c r="AE42" s="2"/>
    </row>
    <row r="43" spans="1:31" ht="12.75" x14ac:dyDescent="0.2">
      <c r="A43" s="53">
        <f ca="1">IFERROR(__xludf.DUMMYFUNCTION("""COMPUTED_VALUE"""),37)</f>
        <v>37</v>
      </c>
      <c r="B43" s="66" t="str">
        <f ca="1">IFERROR(__xludf.DUMMYFUNCTION("""COMPUTED_VALUE"""),"MN Mặt Trời 3")</f>
        <v>MN Mặt Trời 3</v>
      </c>
      <c r="C43" s="66" t="str">
        <f ca="1">IFERROR(__xludf.DUMMYFUNCTION("""COMPUTED_VALUE"""),"Mầm non")</f>
        <v>Mầm non</v>
      </c>
      <c r="D43" s="66">
        <f ca="1">IFERROR(__xludf.DUMMYFUNCTION("""COMPUTED_VALUE"""),8)</f>
        <v>8</v>
      </c>
      <c r="E43" s="67">
        <f ca="1">IFERROR(__xludf.DUMMYFUNCTION("""COMPUTED_VALUE"""),14)</f>
        <v>14</v>
      </c>
      <c r="F43" s="67">
        <f ca="1">IFERROR(__xludf.DUMMYFUNCTION("""COMPUTED_VALUE"""),14)</f>
        <v>14</v>
      </c>
      <c r="G43" s="51">
        <f t="shared" ca="1" si="0"/>
        <v>1</v>
      </c>
      <c r="H43" s="67">
        <f ca="1">IFERROR(__xludf.DUMMYFUNCTION("""COMPUTED_VALUE"""),14)</f>
        <v>14</v>
      </c>
      <c r="I43" s="51">
        <f t="shared" ca="1" si="1"/>
        <v>1</v>
      </c>
      <c r="J43" s="67">
        <f ca="1">IFERROR(__xludf.DUMMYFUNCTION("""COMPUTED_VALUE"""),13)</f>
        <v>13</v>
      </c>
      <c r="K43" s="51">
        <f t="shared" ca="1" si="2"/>
        <v>0.9285714285714286</v>
      </c>
      <c r="L43" s="67">
        <f ca="1">IFERROR(__xludf.DUMMYFUNCTION("""COMPUTED_VALUE"""),3)</f>
        <v>3</v>
      </c>
      <c r="M43" s="51">
        <f t="shared" ca="1" si="3"/>
        <v>0.21428571428571427</v>
      </c>
      <c r="N43" s="67">
        <f ca="1">IFERROR(__xludf.DUMMYFUNCTION("""COMPUTED_VALUE"""),7)</f>
        <v>7</v>
      </c>
      <c r="O43" s="67">
        <f ca="1">IFERROR(__xludf.DUMMYFUNCTION("""COMPUTED_VALUE"""),1)</f>
        <v>1</v>
      </c>
      <c r="P43" s="51">
        <f t="shared" ca="1" si="4"/>
        <v>0.14285714285714285</v>
      </c>
      <c r="Q43" s="67">
        <f ca="1">IFERROR(__xludf.DUMMYFUNCTION("""COMPUTED_VALUE"""),1)</f>
        <v>1</v>
      </c>
      <c r="R43" s="51">
        <f t="shared" ca="1" si="5"/>
        <v>0.14285714285714285</v>
      </c>
      <c r="S43" s="67">
        <f ca="1">IFERROR(__xludf.DUMMYFUNCTION("""COMPUTED_VALUE"""),0)</f>
        <v>0</v>
      </c>
      <c r="T43" s="67">
        <f ca="1">IFERROR(__xludf.DUMMYFUNCTION("""COMPUTED_VALUE"""),0)</f>
        <v>0</v>
      </c>
      <c r="U43" s="51" t="str">
        <f t="shared" ca="1" si="6"/>
        <v/>
      </c>
      <c r="V43" s="67">
        <f ca="1">IFERROR(__xludf.DUMMYFUNCTION("""COMPUTED_VALUE"""),0)</f>
        <v>0</v>
      </c>
      <c r="W43" s="51" t="str">
        <f t="shared" ca="1" si="7"/>
        <v/>
      </c>
      <c r="X43" s="66"/>
      <c r="Y43" s="51" t="str">
        <f t="shared" ca="1" si="8"/>
        <v/>
      </c>
      <c r="Z43" s="2"/>
      <c r="AA43" s="2"/>
      <c r="AB43" s="2"/>
      <c r="AC43" s="2"/>
      <c r="AD43" s="2"/>
      <c r="AE43" s="2"/>
    </row>
    <row r="44" spans="1:31" ht="12.75" x14ac:dyDescent="0.2">
      <c r="A44" s="53">
        <f ca="1">IFERROR(__xludf.DUMMYFUNCTION("""COMPUTED_VALUE"""),38)</f>
        <v>38</v>
      </c>
      <c r="B44" s="66" t="str">
        <f ca="1">IFERROR(__xludf.DUMMYFUNCTION("""COMPUTED_VALUE"""),"MN Việt Úc")</f>
        <v>MN Việt Úc</v>
      </c>
      <c r="C44" s="66" t="str">
        <f ca="1">IFERROR(__xludf.DUMMYFUNCTION("""COMPUTED_VALUE"""),"Mầm non")</f>
        <v>Mầm non</v>
      </c>
      <c r="D44" s="66">
        <f ca="1">IFERROR(__xludf.DUMMYFUNCTION("""COMPUTED_VALUE"""),8)</f>
        <v>8</v>
      </c>
      <c r="E44" s="67">
        <f ca="1">IFERROR(__xludf.DUMMYFUNCTION("""COMPUTED_VALUE"""),16)</f>
        <v>16</v>
      </c>
      <c r="F44" s="67">
        <f ca="1">IFERROR(__xludf.DUMMYFUNCTION("""COMPUTED_VALUE"""),16)</f>
        <v>16</v>
      </c>
      <c r="G44" s="51">
        <f t="shared" ca="1" si="0"/>
        <v>1</v>
      </c>
      <c r="H44" s="67">
        <f ca="1">IFERROR(__xludf.DUMMYFUNCTION("""COMPUTED_VALUE"""),16)</f>
        <v>16</v>
      </c>
      <c r="I44" s="51">
        <f t="shared" ca="1" si="1"/>
        <v>1</v>
      </c>
      <c r="J44" s="67">
        <f ca="1">IFERROR(__xludf.DUMMYFUNCTION("""COMPUTED_VALUE"""),16)</f>
        <v>16</v>
      </c>
      <c r="K44" s="51">
        <f t="shared" ca="1" si="2"/>
        <v>1</v>
      </c>
      <c r="L44" s="67">
        <f ca="1">IFERROR(__xludf.DUMMYFUNCTION("""COMPUTED_VALUE"""),10)</f>
        <v>10</v>
      </c>
      <c r="M44" s="51">
        <f t="shared" ca="1" si="3"/>
        <v>0.625</v>
      </c>
      <c r="N44" s="67">
        <f ca="1">IFERROR(__xludf.DUMMYFUNCTION("""COMPUTED_VALUE"""),15)</f>
        <v>15</v>
      </c>
      <c r="O44" s="67">
        <f ca="1">IFERROR(__xludf.DUMMYFUNCTION("""COMPUTED_VALUE"""),4)</f>
        <v>4</v>
      </c>
      <c r="P44" s="51">
        <f t="shared" ca="1" si="4"/>
        <v>0.26666666666666666</v>
      </c>
      <c r="Q44" s="67">
        <f ca="1">IFERROR(__xludf.DUMMYFUNCTION("""COMPUTED_VALUE"""),3)</f>
        <v>3</v>
      </c>
      <c r="R44" s="51">
        <f t="shared" ca="1" si="5"/>
        <v>0.2</v>
      </c>
      <c r="S44" s="67">
        <f ca="1">IFERROR(__xludf.DUMMYFUNCTION("""COMPUTED_VALUE"""),0)</f>
        <v>0</v>
      </c>
      <c r="T44" s="67">
        <f ca="1">IFERROR(__xludf.DUMMYFUNCTION("""COMPUTED_VALUE"""),0)</f>
        <v>0</v>
      </c>
      <c r="U44" s="51" t="str">
        <f t="shared" ca="1" si="6"/>
        <v/>
      </c>
      <c r="V44" s="67">
        <f ca="1">IFERROR(__xludf.DUMMYFUNCTION("""COMPUTED_VALUE"""),0)</f>
        <v>0</v>
      </c>
      <c r="W44" s="51" t="str">
        <f t="shared" ca="1" si="7"/>
        <v/>
      </c>
      <c r="X44" s="66"/>
      <c r="Y44" s="51" t="str">
        <f t="shared" ca="1" si="8"/>
        <v/>
      </c>
      <c r="Z44" s="2"/>
      <c r="AA44" s="2"/>
      <c r="AB44" s="2"/>
      <c r="AC44" s="2"/>
      <c r="AD44" s="2"/>
      <c r="AE44" s="2"/>
    </row>
    <row r="45" spans="1:31" ht="12.75" x14ac:dyDescent="0.2">
      <c r="A45" s="53">
        <f ca="1">IFERROR(__xludf.DUMMYFUNCTION("""COMPUTED_VALUE"""),39)</f>
        <v>39</v>
      </c>
      <c r="B45" s="66" t="str">
        <f ca="1">IFERROR(__xludf.DUMMYFUNCTION("""COMPUTED_VALUE"""),"MN Tổ Ong Vàng")</f>
        <v>MN Tổ Ong Vàng</v>
      </c>
      <c r="C45" s="66" t="str">
        <f ca="1">IFERROR(__xludf.DUMMYFUNCTION("""COMPUTED_VALUE"""),"Mầm non")</f>
        <v>Mầm non</v>
      </c>
      <c r="D45" s="66">
        <f ca="1">IFERROR(__xludf.DUMMYFUNCTION("""COMPUTED_VALUE"""),8)</f>
        <v>8</v>
      </c>
      <c r="E45" s="67">
        <f ca="1">IFERROR(__xludf.DUMMYFUNCTION("""COMPUTED_VALUE"""),20)</f>
        <v>20</v>
      </c>
      <c r="F45" s="67">
        <f ca="1">IFERROR(__xludf.DUMMYFUNCTION("""COMPUTED_VALUE"""),20)</f>
        <v>20</v>
      </c>
      <c r="G45" s="51">
        <f t="shared" ca="1" si="0"/>
        <v>1</v>
      </c>
      <c r="H45" s="67">
        <f ca="1">IFERROR(__xludf.DUMMYFUNCTION("""COMPUTED_VALUE"""),20)</f>
        <v>20</v>
      </c>
      <c r="I45" s="51">
        <f t="shared" ca="1" si="1"/>
        <v>1</v>
      </c>
      <c r="J45" s="67">
        <f ca="1">IFERROR(__xludf.DUMMYFUNCTION("""COMPUTED_VALUE"""),20)</f>
        <v>20</v>
      </c>
      <c r="K45" s="51">
        <f t="shared" ca="1" si="2"/>
        <v>1</v>
      </c>
      <c r="L45" s="67">
        <f ca="1">IFERROR(__xludf.DUMMYFUNCTION("""COMPUTED_VALUE"""),3)</f>
        <v>3</v>
      </c>
      <c r="M45" s="51">
        <f t="shared" ca="1" si="3"/>
        <v>0.15</v>
      </c>
      <c r="N45" s="67">
        <f ca="1">IFERROR(__xludf.DUMMYFUNCTION("""COMPUTED_VALUE"""),4)</f>
        <v>4</v>
      </c>
      <c r="O45" s="67">
        <f ca="1">IFERROR(__xludf.DUMMYFUNCTION("""COMPUTED_VALUE"""),0)</f>
        <v>0</v>
      </c>
      <c r="P45" s="51">
        <f t="shared" ca="1" si="4"/>
        <v>0</v>
      </c>
      <c r="Q45" s="67">
        <f ca="1">IFERROR(__xludf.DUMMYFUNCTION("""COMPUTED_VALUE"""),0)</f>
        <v>0</v>
      </c>
      <c r="R45" s="51">
        <f t="shared" ca="1" si="5"/>
        <v>0</v>
      </c>
      <c r="S45" s="67">
        <f ca="1">IFERROR(__xludf.DUMMYFUNCTION("""COMPUTED_VALUE"""),0)</f>
        <v>0</v>
      </c>
      <c r="T45" s="66">
        <f ca="1">IFERROR(__xludf.DUMMYFUNCTION("""COMPUTED_VALUE"""),0)</f>
        <v>0</v>
      </c>
      <c r="U45" s="51" t="str">
        <f t="shared" ca="1" si="6"/>
        <v/>
      </c>
      <c r="V45" s="67">
        <f ca="1">IFERROR(__xludf.DUMMYFUNCTION("""COMPUTED_VALUE"""),0)</f>
        <v>0</v>
      </c>
      <c r="W45" s="51" t="str">
        <f t="shared" ca="1" si="7"/>
        <v/>
      </c>
      <c r="X45" s="66"/>
      <c r="Y45" s="51" t="str">
        <f t="shared" ca="1" si="8"/>
        <v/>
      </c>
      <c r="Z45" s="2"/>
      <c r="AA45" s="2"/>
      <c r="AB45" s="2"/>
      <c r="AC45" s="2"/>
      <c r="AD45" s="2"/>
      <c r="AE45" s="2"/>
    </row>
    <row r="46" spans="1:31" ht="12.75" x14ac:dyDescent="0.2">
      <c r="A46" s="53">
        <f ca="1">IFERROR(__xludf.DUMMYFUNCTION("""COMPUTED_VALUE"""),40)</f>
        <v>40</v>
      </c>
      <c r="B46" s="66" t="str">
        <f ca="1">IFERROR(__xludf.DUMMYFUNCTION("""COMPUTED_VALUE"""),"MN Việt Mỹ 2")</f>
        <v>MN Việt Mỹ 2</v>
      </c>
      <c r="C46" s="66" t="str">
        <f ca="1">IFERROR(__xludf.DUMMYFUNCTION("""COMPUTED_VALUE"""),"Mầm non")</f>
        <v>Mầm non</v>
      </c>
      <c r="D46" s="66">
        <f ca="1">IFERROR(__xludf.DUMMYFUNCTION("""COMPUTED_VALUE"""),8)</f>
        <v>8</v>
      </c>
      <c r="E46" s="67">
        <f ca="1">IFERROR(__xludf.DUMMYFUNCTION("""COMPUTED_VALUE"""),20)</f>
        <v>20</v>
      </c>
      <c r="F46" s="67">
        <f ca="1">IFERROR(__xludf.DUMMYFUNCTION("""COMPUTED_VALUE"""),20)</f>
        <v>20</v>
      </c>
      <c r="G46" s="51">
        <f t="shared" ca="1" si="0"/>
        <v>1</v>
      </c>
      <c r="H46" s="67">
        <f ca="1">IFERROR(__xludf.DUMMYFUNCTION("""COMPUTED_VALUE"""),20)</f>
        <v>20</v>
      </c>
      <c r="I46" s="51">
        <f t="shared" ca="1" si="1"/>
        <v>1</v>
      </c>
      <c r="J46" s="67">
        <f ca="1">IFERROR(__xludf.DUMMYFUNCTION("""COMPUTED_VALUE"""),20)</f>
        <v>20</v>
      </c>
      <c r="K46" s="51">
        <f t="shared" ca="1" si="2"/>
        <v>1</v>
      </c>
      <c r="L46" s="67">
        <f ca="1">IFERROR(__xludf.DUMMYFUNCTION("""COMPUTED_VALUE"""),6)</f>
        <v>6</v>
      </c>
      <c r="M46" s="51">
        <f t="shared" ca="1" si="3"/>
        <v>0.3</v>
      </c>
      <c r="N46" s="67">
        <f ca="1">IFERROR(__xludf.DUMMYFUNCTION("""COMPUTED_VALUE"""),16)</f>
        <v>16</v>
      </c>
      <c r="O46" s="67">
        <f ca="1">IFERROR(__xludf.DUMMYFUNCTION("""COMPUTED_VALUE"""),0)</f>
        <v>0</v>
      </c>
      <c r="P46" s="51">
        <f t="shared" ca="1" si="4"/>
        <v>0</v>
      </c>
      <c r="Q46" s="67">
        <f ca="1">IFERROR(__xludf.DUMMYFUNCTION("""COMPUTED_VALUE"""),0)</f>
        <v>0</v>
      </c>
      <c r="R46" s="51">
        <f t="shared" ca="1" si="5"/>
        <v>0</v>
      </c>
      <c r="S46" s="67">
        <f ca="1">IFERROR(__xludf.DUMMYFUNCTION("""COMPUTED_VALUE"""),0)</f>
        <v>0</v>
      </c>
      <c r="T46" s="66">
        <f ca="1">IFERROR(__xludf.DUMMYFUNCTION("""COMPUTED_VALUE"""),0)</f>
        <v>0</v>
      </c>
      <c r="U46" s="51" t="str">
        <f t="shared" ca="1" si="6"/>
        <v/>
      </c>
      <c r="V46" s="67">
        <f ca="1">IFERROR(__xludf.DUMMYFUNCTION("""COMPUTED_VALUE"""),0)</f>
        <v>0</v>
      </c>
      <c r="W46" s="51" t="str">
        <f t="shared" ca="1" si="7"/>
        <v/>
      </c>
      <c r="X46" s="66"/>
      <c r="Y46" s="51" t="str">
        <f t="shared" ca="1" si="8"/>
        <v/>
      </c>
      <c r="Z46" s="2"/>
      <c r="AA46" s="2"/>
      <c r="AB46" s="2"/>
      <c r="AC46" s="2"/>
      <c r="AD46" s="2"/>
      <c r="AE46" s="2"/>
    </row>
    <row r="47" spans="1:31" ht="12.75" x14ac:dyDescent="0.2">
      <c r="A47" s="53">
        <f ca="1">IFERROR(__xludf.DUMMYFUNCTION("""COMPUTED_VALUE"""),41)</f>
        <v>41</v>
      </c>
      <c r="B47" s="66" t="str">
        <f ca="1">IFERROR(__xludf.DUMMYFUNCTION("""COMPUTED_VALUE"""),"MN Vườn Sáng Tạo")</f>
        <v>MN Vườn Sáng Tạo</v>
      </c>
      <c r="C47" s="66" t="str">
        <f ca="1">IFERROR(__xludf.DUMMYFUNCTION("""COMPUTED_VALUE"""),"Mầm non")</f>
        <v>Mầm non</v>
      </c>
      <c r="D47" s="66">
        <f ca="1">IFERROR(__xludf.DUMMYFUNCTION("""COMPUTED_VALUE"""),8)</f>
        <v>8</v>
      </c>
      <c r="E47" s="67">
        <f ca="1">IFERROR(__xludf.DUMMYFUNCTION("""COMPUTED_VALUE"""),44)</f>
        <v>44</v>
      </c>
      <c r="F47" s="67">
        <f ca="1">IFERROR(__xludf.DUMMYFUNCTION("""COMPUTED_VALUE"""),44)</f>
        <v>44</v>
      </c>
      <c r="G47" s="51">
        <f t="shared" ca="1" si="0"/>
        <v>1</v>
      </c>
      <c r="H47" s="67">
        <f ca="1">IFERROR(__xludf.DUMMYFUNCTION("""COMPUTED_VALUE"""),44)</f>
        <v>44</v>
      </c>
      <c r="I47" s="51">
        <f t="shared" ca="1" si="1"/>
        <v>1</v>
      </c>
      <c r="J47" s="67">
        <f ca="1">IFERROR(__xludf.DUMMYFUNCTION("""COMPUTED_VALUE"""),44)</f>
        <v>44</v>
      </c>
      <c r="K47" s="51">
        <f t="shared" ca="1" si="2"/>
        <v>1</v>
      </c>
      <c r="L47" s="67">
        <f ca="1">IFERROR(__xludf.DUMMYFUNCTION("""COMPUTED_VALUE"""),2)</f>
        <v>2</v>
      </c>
      <c r="M47" s="51">
        <f t="shared" ca="1" si="3"/>
        <v>4.5454545454545456E-2</v>
      </c>
      <c r="N47" s="67">
        <f ca="1">IFERROR(__xludf.DUMMYFUNCTION("""COMPUTED_VALUE"""),29)</f>
        <v>29</v>
      </c>
      <c r="O47" s="67">
        <f ca="1">IFERROR(__xludf.DUMMYFUNCTION("""COMPUTED_VALUE"""),0)</f>
        <v>0</v>
      </c>
      <c r="P47" s="51">
        <f t="shared" ca="1" si="4"/>
        <v>0</v>
      </c>
      <c r="Q47" s="67">
        <f ca="1">IFERROR(__xludf.DUMMYFUNCTION("""COMPUTED_VALUE"""),0)</f>
        <v>0</v>
      </c>
      <c r="R47" s="51">
        <f t="shared" ca="1" si="5"/>
        <v>0</v>
      </c>
      <c r="S47" s="67">
        <f ca="1">IFERROR(__xludf.DUMMYFUNCTION("""COMPUTED_VALUE"""),0)</f>
        <v>0</v>
      </c>
      <c r="T47" s="66">
        <f ca="1">IFERROR(__xludf.DUMMYFUNCTION("""COMPUTED_VALUE"""),0)</f>
        <v>0</v>
      </c>
      <c r="U47" s="51" t="str">
        <f t="shared" ca="1" si="6"/>
        <v/>
      </c>
      <c r="V47" s="67">
        <f ca="1">IFERROR(__xludf.DUMMYFUNCTION("""COMPUTED_VALUE"""),0)</f>
        <v>0</v>
      </c>
      <c r="W47" s="51" t="str">
        <f t="shared" ca="1" si="7"/>
        <v/>
      </c>
      <c r="X47" s="66"/>
      <c r="Y47" s="51" t="str">
        <f t="shared" ca="1" si="8"/>
        <v/>
      </c>
      <c r="Z47" s="2"/>
      <c r="AA47" s="2"/>
      <c r="AB47" s="2"/>
      <c r="AC47" s="2"/>
      <c r="AD47" s="2"/>
      <c r="AE47" s="2"/>
    </row>
    <row r="48" spans="1:31" ht="12.75" x14ac:dyDescent="0.2">
      <c r="A48" s="53">
        <f ca="1">IFERROR(__xludf.DUMMYFUNCTION("""COMPUTED_VALUE"""),42)</f>
        <v>42</v>
      </c>
      <c r="B48" s="66" t="str">
        <f ca="1">IFERROR(__xludf.DUMMYFUNCTION("""COMPUTED_VALUE"""),"MNTT 162")</f>
        <v>MNTT 162</v>
      </c>
      <c r="C48" s="66" t="str">
        <f ca="1">IFERROR(__xludf.DUMMYFUNCTION("""COMPUTED_VALUE"""),"Mầm non")</f>
        <v>Mầm non</v>
      </c>
      <c r="D48" s="66">
        <f ca="1">IFERROR(__xludf.DUMMYFUNCTION("""COMPUTED_VALUE"""),8)</f>
        <v>8</v>
      </c>
      <c r="E48" s="67">
        <f ca="1">IFERROR(__xludf.DUMMYFUNCTION("""COMPUTED_VALUE"""),9)</f>
        <v>9</v>
      </c>
      <c r="F48" s="67">
        <f ca="1">IFERROR(__xludf.DUMMYFUNCTION("""COMPUTED_VALUE"""),9)</f>
        <v>9</v>
      </c>
      <c r="G48" s="51">
        <f t="shared" ca="1" si="0"/>
        <v>1</v>
      </c>
      <c r="H48" s="67">
        <f ca="1">IFERROR(__xludf.DUMMYFUNCTION("""COMPUTED_VALUE"""),9)</f>
        <v>9</v>
      </c>
      <c r="I48" s="51">
        <f t="shared" ca="1" si="1"/>
        <v>1</v>
      </c>
      <c r="J48" s="67">
        <f ca="1">IFERROR(__xludf.DUMMYFUNCTION("""COMPUTED_VALUE"""),9)</f>
        <v>9</v>
      </c>
      <c r="K48" s="51">
        <f t="shared" ca="1" si="2"/>
        <v>1</v>
      </c>
      <c r="L48" s="67">
        <f ca="1">IFERROR(__xludf.DUMMYFUNCTION("""COMPUTED_VALUE"""),6)</f>
        <v>6</v>
      </c>
      <c r="M48" s="51">
        <f t="shared" ca="1" si="3"/>
        <v>0.66666666666666663</v>
      </c>
      <c r="N48" s="67">
        <f ca="1">IFERROR(__xludf.DUMMYFUNCTION("""COMPUTED_VALUE"""),16)</f>
        <v>16</v>
      </c>
      <c r="O48" s="67">
        <f ca="1">IFERROR(__xludf.DUMMYFUNCTION("""COMPUTED_VALUE"""),4)</f>
        <v>4</v>
      </c>
      <c r="P48" s="51">
        <f t="shared" ca="1" si="4"/>
        <v>0.25</v>
      </c>
      <c r="Q48" s="67">
        <f ca="1">IFERROR(__xludf.DUMMYFUNCTION("""COMPUTED_VALUE"""),4)</f>
        <v>4</v>
      </c>
      <c r="R48" s="51">
        <f t="shared" ca="1" si="5"/>
        <v>0.25</v>
      </c>
      <c r="S48" s="67">
        <f ca="1">IFERROR(__xludf.DUMMYFUNCTION("""COMPUTED_VALUE"""),0)</f>
        <v>0</v>
      </c>
      <c r="T48" s="66">
        <f ca="1">IFERROR(__xludf.DUMMYFUNCTION("""COMPUTED_VALUE"""),0)</f>
        <v>0</v>
      </c>
      <c r="U48" s="51" t="str">
        <f t="shared" ca="1" si="6"/>
        <v/>
      </c>
      <c r="V48" s="67">
        <f ca="1">IFERROR(__xludf.DUMMYFUNCTION("""COMPUTED_VALUE"""),0)</f>
        <v>0</v>
      </c>
      <c r="W48" s="51" t="str">
        <f t="shared" ca="1" si="7"/>
        <v/>
      </c>
      <c r="X48" s="66"/>
      <c r="Y48" s="51" t="str">
        <f t="shared" ca="1" si="8"/>
        <v/>
      </c>
      <c r="Z48" s="2"/>
      <c r="AA48" s="2"/>
      <c r="AB48" s="2"/>
      <c r="AC48" s="2"/>
      <c r="AD48" s="2"/>
      <c r="AE48" s="2"/>
    </row>
    <row r="49" spans="1:31" ht="12.75" x14ac:dyDescent="0.2">
      <c r="A49" s="53">
        <f ca="1">IFERROR(__xludf.DUMMYFUNCTION("""COMPUTED_VALUE"""),43)</f>
        <v>43</v>
      </c>
      <c r="B49" s="66" t="str">
        <f ca="1">IFERROR(__xludf.DUMMYFUNCTION("""COMPUTED_VALUE"""),"MN Mặt Trời Bé Con")</f>
        <v>MN Mặt Trời Bé Con</v>
      </c>
      <c r="C49" s="66" t="str">
        <f ca="1">IFERROR(__xludf.DUMMYFUNCTION("""COMPUTED_VALUE"""),"Mầm non")</f>
        <v>Mầm non</v>
      </c>
      <c r="D49" s="66">
        <f ca="1">IFERROR(__xludf.DUMMYFUNCTION("""COMPUTED_VALUE"""),8)</f>
        <v>8</v>
      </c>
      <c r="E49" s="67">
        <f ca="1">IFERROR(__xludf.DUMMYFUNCTION("""COMPUTED_VALUE"""),14)</f>
        <v>14</v>
      </c>
      <c r="F49" s="67">
        <f ca="1">IFERROR(__xludf.DUMMYFUNCTION("""COMPUTED_VALUE"""),14)</f>
        <v>14</v>
      </c>
      <c r="G49" s="51">
        <f t="shared" ca="1" si="0"/>
        <v>1</v>
      </c>
      <c r="H49" s="67">
        <f ca="1">IFERROR(__xludf.DUMMYFUNCTION("""COMPUTED_VALUE"""),14)</f>
        <v>14</v>
      </c>
      <c r="I49" s="51">
        <f t="shared" ca="1" si="1"/>
        <v>1</v>
      </c>
      <c r="J49" s="67">
        <f ca="1">IFERROR(__xludf.DUMMYFUNCTION("""COMPUTED_VALUE"""),14)</f>
        <v>14</v>
      </c>
      <c r="K49" s="51">
        <f t="shared" ca="1" si="2"/>
        <v>1</v>
      </c>
      <c r="L49" s="67">
        <f ca="1">IFERROR(__xludf.DUMMYFUNCTION("""COMPUTED_VALUE"""),1)</f>
        <v>1</v>
      </c>
      <c r="M49" s="51">
        <f t="shared" ca="1" si="3"/>
        <v>7.1428571428571425E-2</v>
      </c>
      <c r="N49" s="67">
        <f ca="1">IFERROR(__xludf.DUMMYFUNCTION("""COMPUTED_VALUE"""),17)</f>
        <v>17</v>
      </c>
      <c r="O49" s="67">
        <f ca="1">IFERROR(__xludf.DUMMYFUNCTION("""COMPUTED_VALUE"""),0)</f>
        <v>0</v>
      </c>
      <c r="P49" s="51">
        <f t="shared" ca="1" si="4"/>
        <v>0</v>
      </c>
      <c r="Q49" s="67">
        <f ca="1">IFERROR(__xludf.DUMMYFUNCTION("""COMPUTED_VALUE"""),0)</f>
        <v>0</v>
      </c>
      <c r="R49" s="51">
        <f t="shared" ca="1" si="5"/>
        <v>0</v>
      </c>
      <c r="S49" s="67">
        <f ca="1">IFERROR(__xludf.DUMMYFUNCTION("""COMPUTED_VALUE"""),0)</f>
        <v>0</v>
      </c>
      <c r="T49" s="66">
        <f ca="1">IFERROR(__xludf.DUMMYFUNCTION("""COMPUTED_VALUE"""),0)</f>
        <v>0</v>
      </c>
      <c r="U49" s="51" t="str">
        <f t="shared" ca="1" si="6"/>
        <v/>
      </c>
      <c r="V49" s="67">
        <f ca="1">IFERROR(__xludf.DUMMYFUNCTION("""COMPUTED_VALUE"""),0)</f>
        <v>0</v>
      </c>
      <c r="W49" s="51" t="str">
        <f t="shared" ca="1" si="7"/>
        <v/>
      </c>
      <c r="X49" s="66"/>
      <c r="Y49" s="51" t="str">
        <f t="shared" ca="1" si="8"/>
        <v/>
      </c>
      <c r="Z49" s="2"/>
      <c r="AA49" s="2"/>
      <c r="AB49" s="2"/>
      <c r="AC49" s="2"/>
      <c r="AD49" s="2"/>
      <c r="AE49" s="2"/>
    </row>
    <row r="50" spans="1:31" ht="12.75" x14ac:dyDescent="0.2">
      <c r="A50" s="53">
        <f ca="1">IFERROR(__xludf.DUMMYFUNCTION("""COMPUTED_VALUE"""),44)</f>
        <v>44</v>
      </c>
      <c r="B50" s="66" t="str">
        <f ca="1">IFERROR(__xludf.DUMMYFUNCTION("""COMPUTED_VALUE"""),"MN Ánh Dương")</f>
        <v>MN Ánh Dương</v>
      </c>
      <c r="C50" s="66" t="str">
        <f ca="1">IFERROR(__xludf.DUMMYFUNCTION("""COMPUTED_VALUE"""),"Mầm non")</f>
        <v>Mầm non</v>
      </c>
      <c r="D50" s="66">
        <f ca="1">IFERROR(__xludf.DUMMYFUNCTION("""COMPUTED_VALUE"""),8)</f>
        <v>8</v>
      </c>
      <c r="E50" s="67">
        <f ca="1">IFERROR(__xludf.DUMMYFUNCTION("""COMPUTED_VALUE"""),13)</f>
        <v>13</v>
      </c>
      <c r="F50" s="67">
        <f ca="1">IFERROR(__xludf.DUMMYFUNCTION("""COMPUTED_VALUE"""),13)</f>
        <v>13</v>
      </c>
      <c r="G50" s="51">
        <f t="shared" ca="1" si="0"/>
        <v>1</v>
      </c>
      <c r="H50" s="67">
        <f ca="1">IFERROR(__xludf.DUMMYFUNCTION("""COMPUTED_VALUE"""),13)</f>
        <v>13</v>
      </c>
      <c r="I50" s="51">
        <f t="shared" ca="1" si="1"/>
        <v>1</v>
      </c>
      <c r="J50" s="67">
        <f ca="1">IFERROR(__xludf.DUMMYFUNCTION("""COMPUTED_VALUE"""),13)</f>
        <v>13</v>
      </c>
      <c r="K50" s="51">
        <f t="shared" ca="1" si="2"/>
        <v>1</v>
      </c>
      <c r="L50" s="67">
        <f ca="1">IFERROR(__xludf.DUMMYFUNCTION("""COMPUTED_VALUE"""),0)</f>
        <v>0</v>
      </c>
      <c r="M50" s="51">
        <f t="shared" ca="1" si="3"/>
        <v>0</v>
      </c>
      <c r="N50" s="67">
        <f ca="1">IFERROR(__xludf.DUMMYFUNCTION("""COMPUTED_VALUE"""),33)</f>
        <v>33</v>
      </c>
      <c r="O50" s="67">
        <f ca="1">IFERROR(__xludf.DUMMYFUNCTION("""COMPUTED_VALUE"""),6)</f>
        <v>6</v>
      </c>
      <c r="P50" s="51">
        <f t="shared" ca="1" si="4"/>
        <v>0.18181818181818182</v>
      </c>
      <c r="Q50" s="67">
        <f ca="1">IFERROR(__xludf.DUMMYFUNCTION("""COMPUTED_VALUE"""),4)</f>
        <v>4</v>
      </c>
      <c r="R50" s="51">
        <f t="shared" ca="1" si="5"/>
        <v>0.12121212121212122</v>
      </c>
      <c r="S50" s="67">
        <f ca="1">IFERROR(__xludf.DUMMYFUNCTION("""COMPUTED_VALUE"""),0)</f>
        <v>0</v>
      </c>
      <c r="T50" s="67">
        <f ca="1">IFERROR(__xludf.DUMMYFUNCTION("""COMPUTED_VALUE"""),0)</f>
        <v>0</v>
      </c>
      <c r="U50" s="51" t="str">
        <f t="shared" ca="1" si="6"/>
        <v/>
      </c>
      <c r="V50" s="67">
        <f ca="1">IFERROR(__xludf.DUMMYFUNCTION("""COMPUTED_VALUE"""),0)</f>
        <v>0</v>
      </c>
      <c r="W50" s="51" t="str">
        <f t="shared" ca="1" si="7"/>
        <v/>
      </c>
      <c r="X50" s="66"/>
      <c r="Y50" s="51" t="str">
        <f t="shared" ca="1" si="8"/>
        <v/>
      </c>
      <c r="Z50" s="2"/>
      <c r="AA50" s="2"/>
      <c r="AB50" s="2"/>
      <c r="AC50" s="2"/>
      <c r="AD50" s="2"/>
      <c r="AE50" s="2"/>
    </row>
    <row r="51" spans="1:31" ht="12.75" x14ac:dyDescent="0.2">
      <c r="A51" s="53">
        <f ca="1">IFERROR(__xludf.DUMMYFUNCTION("""COMPUTED_VALUE"""),45)</f>
        <v>45</v>
      </c>
      <c r="B51" s="66" t="str">
        <f ca="1">IFERROR(__xludf.DUMMYFUNCTION("""COMPUTED_VALUE"""),"MN Hoa Tigôn 2")</f>
        <v>MN Hoa Tigôn 2</v>
      </c>
      <c r="C51" s="66" t="str">
        <f ca="1">IFERROR(__xludf.DUMMYFUNCTION("""COMPUTED_VALUE"""),"Mầm non")</f>
        <v>Mầm non</v>
      </c>
      <c r="D51" s="66">
        <f ca="1">IFERROR(__xludf.DUMMYFUNCTION("""COMPUTED_VALUE"""),8)</f>
        <v>8</v>
      </c>
      <c r="E51" s="67">
        <f ca="1">IFERROR(__xludf.DUMMYFUNCTION("""COMPUTED_VALUE"""),9)</f>
        <v>9</v>
      </c>
      <c r="F51" s="67">
        <f ca="1">IFERROR(__xludf.DUMMYFUNCTION("""COMPUTED_VALUE"""),9)</f>
        <v>9</v>
      </c>
      <c r="G51" s="51">
        <f t="shared" ca="1" si="0"/>
        <v>1</v>
      </c>
      <c r="H51" s="67">
        <f ca="1">IFERROR(__xludf.DUMMYFUNCTION("""COMPUTED_VALUE"""),9)</f>
        <v>9</v>
      </c>
      <c r="I51" s="51">
        <f t="shared" ca="1" si="1"/>
        <v>1</v>
      </c>
      <c r="J51" s="67">
        <f ca="1">IFERROR(__xludf.DUMMYFUNCTION("""COMPUTED_VALUE"""),7)</f>
        <v>7</v>
      </c>
      <c r="K51" s="51">
        <f t="shared" ca="1" si="2"/>
        <v>0.77777777777777779</v>
      </c>
      <c r="L51" s="67">
        <f ca="1">IFERROR(__xludf.DUMMYFUNCTION("""COMPUTED_VALUE"""),0)</f>
        <v>0</v>
      </c>
      <c r="M51" s="51">
        <f t="shared" ca="1" si="3"/>
        <v>0</v>
      </c>
      <c r="N51" s="67">
        <f ca="1">IFERROR(__xludf.DUMMYFUNCTION("""COMPUTED_VALUE"""),6)</f>
        <v>6</v>
      </c>
      <c r="O51" s="67">
        <f ca="1">IFERROR(__xludf.DUMMYFUNCTION("""COMPUTED_VALUE"""),0)</f>
        <v>0</v>
      </c>
      <c r="P51" s="51">
        <f t="shared" ca="1" si="4"/>
        <v>0</v>
      </c>
      <c r="Q51" s="67">
        <f ca="1">IFERROR(__xludf.DUMMYFUNCTION("""COMPUTED_VALUE"""),0)</f>
        <v>0</v>
      </c>
      <c r="R51" s="51">
        <f t="shared" ca="1" si="5"/>
        <v>0</v>
      </c>
      <c r="S51" s="67">
        <f ca="1">IFERROR(__xludf.DUMMYFUNCTION("""COMPUTED_VALUE"""),0)</f>
        <v>0</v>
      </c>
      <c r="T51" s="66">
        <f ca="1">IFERROR(__xludf.DUMMYFUNCTION("""COMPUTED_VALUE"""),0)</f>
        <v>0</v>
      </c>
      <c r="U51" s="51" t="str">
        <f t="shared" ca="1" si="6"/>
        <v/>
      </c>
      <c r="V51" s="67">
        <f ca="1">IFERROR(__xludf.DUMMYFUNCTION("""COMPUTED_VALUE"""),0)</f>
        <v>0</v>
      </c>
      <c r="W51" s="51" t="str">
        <f t="shared" ca="1" si="7"/>
        <v/>
      </c>
      <c r="X51" s="66"/>
      <c r="Y51" s="51" t="str">
        <f t="shared" ca="1" si="8"/>
        <v/>
      </c>
      <c r="Z51" s="2"/>
      <c r="AA51" s="2"/>
      <c r="AB51" s="2"/>
      <c r="AC51" s="2"/>
      <c r="AD51" s="2"/>
      <c r="AE51" s="2"/>
    </row>
    <row r="52" spans="1:31" ht="12.75" x14ac:dyDescent="0.2">
      <c r="A52" s="53">
        <f ca="1">IFERROR(__xludf.DUMMYFUNCTION("""COMPUTED_VALUE"""),46)</f>
        <v>46</v>
      </c>
      <c r="B52" s="66" t="str">
        <f ca="1">IFERROR(__xludf.DUMMYFUNCTION("""COMPUTED_VALUE"""),"MN Sen Vàng")</f>
        <v>MN Sen Vàng</v>
      </c>
      <c r="C52" s="66" t="str">
        <f ca="1">IFERROR(__xludf.DUMMYFUNCTION("""COMPUTED_VALUE"""),"Mầm non")</f>
        <v>Mầm non</v>
      </c>
      <c r="D52" s="66">
        <f ca="1">IFERROR(__xludf.DUMMYFUNCTION("""COMPUTED_VALUE"""),8)</f>
        <v>8</v>
      </c>
      <c r="E52" s="67">
        <f ca="1">IFERROR(__xludf.DUMMYFUNCTION("""COMPUTED_VALUE"""),13)</f>
        <v>13</v>
      </c>
      <c r="F52" s="67">
        <f ca="1">IFERROR(__xludf.DUMMYFUNCTION("""COMPUTED_VALUE"""),13)</f>
        <v>13</v>
      </c>
      <c r="G52" s="51">
        <f t="shared" ca="1" si="0"/>
        <v>1</v>
      </c>
      <c r="H52" s="67">
        <f ca="1">IFERROR(__xludf.DUMMYFUNCTION("""COMPUTED_VALUE"""),13)</f>
        <v>13</v>
      </c>
      <c r="I52" s="51">
        <f t="shared" ca="1" si="1"/>
        <v>1</v>
      </c>
      <c r="J52" s="67">
        <f ca="1">IFERROR(__xludf.DUMMYFUNCTION("""COMPUTED_VALUE"""),9)</f>
        <v>9</v>
      </c>
      <c r="K52" s="51">
        <f t="shared" ca="1" si="2"/>
        <v>0.69230769230769229</v>
      </c>
      <c r="L52" s="67">
        <f ca="1">IFERROR(__xludf.DUMMYFUNCTION("""COMPUTED_VALUE"""),2)</f>
        <v>2</v>
      </c>
      <c r="M52" s="51">
        <f t="shared" ca="1" si="3"/>
        <v>0.15384615384615385</v>
      </c>
      <c r="N52" s="67">
        <f ca="1">IFERROR(__xludf.DUMMYFUNCTION("""COMPUTED_VALUE"""),34)</f>
        <v>34</v>
      </c>
      <c r="O52" s="67">
        <f ca="1">IFERROR(__xludf.DUMMYFUNCTION("""COMPUTED_VALUE"""),6)</f>
        <v>6</v>
      </c>
      <c r="P52" s="51">
        <f t="shared" ca="1" si="4"/>
        <v>0.17647058823529413</v>
      </c>
      <c r="Q52" s="67">
        <f ca="1">IFERROR(__xludf.DUMMYFUNCTION("""COMPUTED_VALUE"""),3)</f>
        <v>3</v>
      </c>
      <c r="R52" s="51">
        <f t="shared" ca="1" si="5"/>
        <v>8.8235294117647065E-2</v>
      </c>
      <c r="S52" s="67">
        <f ca="1">IFERROR(__xludf.DUMMYFUNCTION("""COMPUTED_VALUE"""),0)</f>
        <v>0</v>
      </c>
      <c r="T52" s="67">
        <f ca="1">IFERROR(__xludf.DUMMYFUNCTION("""COMPUTED_VALUE"""),0)</f>
        <v>0</v>
      </c>
      <c r="U52" s="51" t="str">
        <f t="shared" ca="1" si="6"/>
        <v/>
      </c>
      <c r="V52" s="67">
        <f ca="1">IFERROR(__xludf.DUMMYFUNCTION("""COMPUTED_VALUE"""),0)</f>
        <v>0</v>
      </c>
      <c r="W52" s="51" t="str">
        <f t="shared" ca="1" si="7"/>
        <v/>
      </c>
      <c r="X52" s="66"/>
      <c r="Y52" s="51" t="str">
        <f t="shared" ca="1" si="8"/>
        <v/>
      </c>
      <c r="Z52" s="2"/>
      <c r="AA52" s="2"/>
      <c r="AB52" s="2"/>
      <c r="AC52" s="2"/>
      <c r="AD52" s="2"/>
      <c r="AE52" s="2"/>
    </row>
    <row r="53" spans="1:31" ht="12.75" x14ac:dyDescent="0.2">
      <c r="A53" s="53">
        <f ca="1">IFERROR(__xludf.DUMMYFUNCTION("""COMPUTED_VALUE"""),47)</f>
        <v>47</v>
      </c>
      <c r="B53" s="66" t="str">
        <f ca="1">IFERROR(__xludf.DUMMYFUNCTION("""COMPUTED_VALUE"""),"MN Búp Sen Hồng")</f>
        <v>MN Búp Sen Hồng</v>
      </c>
      <c r="C53" s="66" t="str">
        <f ca="1">IFERROR(__xludf.DUMMYFUNCTION("""COMPUTED_VALUE"""),"Mầm non")</f>
        <v>Mầm non</v>
      </c>
      <c r="D53" s="66">
        <f ca="1">IFERROR(__xludf.DUMMYFUNCTION("""COMPUTED_VALUE"""),8)</f>
        <v>8</v>
      </c>
      <c r="E53" s="67">
        <f ca="1">IFERROR(__xludf.DUMMYFUNCTION("""COMPUTED_VALUE"""),8)</f>
        <v>8</v>
      </c>
      <c r="F53" s="67">
        <f ca="1">IFERROR(__xludf.DUMMYFUNCTION("""COMPUTED_VALUE"""),8)</f>
        <v>8</v>
      </c>
      <c r="G53" s="51">
        <f t="shared" ca="1" si="0"/>
        <v>1</v>
      </c>
      <c r="H53" s="67">
        <f ca="1">IFERROR(__xludf.DUMMYFUNCTION("""COMPUTED_VALUE"""),8)</f>
        <v>8</v>
      </c>
      <c r="I53" s="51">
        <f t="shared" ca="1" si="1"/>
        <v>1</v>
      </c>
      <c r="J53" s="67">
        <f ca="1">IFERROR(__xludf.DUMMYFUNCTION("""COMPUTED_VALUE"""),8)</f>
        <v>8</v>
      </c>
      <c r="K53" s="51">
        <f t="shared" ca="1" si="2"/>
        <v>1</v>
      </c>
      <c r="L53" s="67">
        <f ca="1">IFERROR(__xludf.DUMMYFUNCTION("""COMPUTED_VALUE"""),0)</f>
        <v>0</v>
      </c>
      <c r="M53" s="51">
        <f t="shared" ca="1" si="3"/>
        <v>0</v>
      </c>
      <c r="N53" s="67">
        <f ca="1">IFERROR(__xludf.DUMMYFUNCTION("""COMPUTED_VALUE"""),3)</f>
        <v>3</v>
      </c>
      <c r="O53" s="67">
        <f ca="1">IFERROR(__xludf.DUMMYFUNCTION("""COMPUTED_VALUE"""),0)</f>
        <v>0</v>
      </c>
      <c r="P53" s="51">
        <f t="shared" ca="1" si="4"/>
        <v>0</v>
      </c>
      <c r="Q53" s="67">
        <f ca="1">IFERROR(__xludf.DUMMYFUNCTION("""COMPUTED_VALUE"""),0)</f>
        <v>0</v>
      </c>
      <c r="R53" s="51">
        <f t="shared" ca="1" si="5"/>
        <v>0</v>
      </c>
      <c r="S53" s="67">
        <f ca="1">IFERROR(__xludf.DUMMYFUNCTION("""COMPUTED_VALUE"""),0)</f>
        <v>0</v>
      </c>
      <c r="T53" s="67">
        <f ca="1">IFERROR(__xludf.DUMMYFUNCTION("""COMPUTED_VALUE"""),0)</f>
        <v>0</v>
      </c>
      <c r="U53" s="51" t="str">
        <f t="shared" ca="1" si="6"/>
        <v/>
      </c>
      <c r="V53" s="67">
        <f ca="1">IFERROR(__xludf.DUMMYFUNCTION("""COMPUTED_VALUE"""),0)</f>
        <v>0</v>
      </c>
      <c r="W53" s="51" t="str">
        <f t="shared" ca="1" si="7"/>
        <v/>
      </c>
      <c r="X53" s="66"/>
      <c r="Y53" s="51" t="str">
        <f t="shared" ca="1" si="8"/>
        <v/>
      </c>
      <c r="Z53" s="2"/>
      <c r="AA53" s="2"/>
      <c r="AB53" s="2"/>
      <c r="AC53" s="2"/>
      <c r="AD53" s="2"/>
      <c r="AE53" s="2"/>
    </row>
    <row r="54" spans="1:31" ht="12.75" x14ac:dyDescent="0.2">
      <c r="A54" s="53">
        <f ca="1">IFERROR(__xludf.DUMMYFUNCTION("""COMPUTED_VALUE"""),48)</f>
        <v>48</v>
      </c>
      <c r="B54" s="66"/>
      <c r="C54" s="66"/>
      <c r="D54" s="66">
        <f ca="1">IFERROR(__xludf.DUMMYFUNCTION("""COMPUTED_VALUE"""),8)</f>
        <v>8</v>
      </c>
      <c r="E54" s="67">
        <f ca="1">IFERROR(__xludf.DUMMYFUNCTION("""COMPUTED_VALUE"""),29)</f>
        <v>29</v>
      </c>
      <c r="F54" s="67">
        <f ca="1">IFERROR(__xludf.DUMMYFUNCTION("""COMPUTED_VALUE"""),29)</f>
        <v>29</v>
      </c>
      <c r="G54" s="51">
        <f t="shared" ca="1" si="0"/>
        <v>1</v>
      </c>
      <c r="H54" s="67">
        <f ca="1">IFERROR(__xludf.DUMMYFUNCTION("""COMPUTED_VALUE"""),29)</f>
        <v>29</v>
      </c>
      <c r="I54" s="51">
        <f t="shared" ca="1" si="1"/>
        <v>1</v>
      </c>
      <c r="J54" s="67">
        <f ca="1">IFERROR(__xludf.DUMMYFUNCTION("""COMPUTED_VALUE"""),29)</f>
        <v>29</v>
      </c>
      <c r="K54" s="51">
        <f t="shared" ca="1" si="2"/>
        <v>1</v>
      </c>
      <c r="L54" s="67">
        <f ca="1">IFERROR(__xludf.DUMMYFUNCTION("""COMPUTED_VALUE"""),8)</f>
        <v>8</v>
      </c>
      <c r="M54" s="51">
        <f t="shared" ca="1" si="3"/>
        <v>0.27586206896551724</v>
      </c>
      <c r="N54" s="67">
        <f ca="1">IFERROR(__xludf.DUMMYFUNCTION("""COMPUTED_VALUE"""),36)</f>
        <v>36</v>
      </c>
      <c r="O54" s="67">
        <f ca="1">IFERROR(__xludf.DUMMYFUNCTION("""COMPUTED_VALUE"""),0)</f>
        <v>0</v>
      </c>
      <c r="P54" s="51">
        <f t="shared" ca="1" si="4"/>
        <v>0</v>
      </c>
      <c r="Q54" s="67">
        <f ca="1">IFERROR(__xludf.DUMMYFUNCTION("""COMPUTED_VALUE"""),0)</f>
        <v>0</v>
      </c>
      <c r="R54" s="51">
        <f t="shared" ca="1" si="5"/>
        <v>0</v>
      </c>
      <c r="S54" s="67">
        <f ca="1">IFERROR(__xludf.DUMMYFUNCTION("""COMPUTED_VALUE"""),0)</f>
        <v>0</v>
      </c>
      <c r="T54" s="66">
        <f ca="1">IFERROR(__xludf.DUMMYFUNCTION("""COMPUTED_VALUE"""),0)</f>
        <v>0</v>
      </c>
      <c r="U54" s="51" t="str">
        <f t="shared" ca="1" si="6"/>
        <v/>
      </c>
      <c r="V54" s="67">
        <f ca="1">IFERROR(__xludf.DUMMYFUNCTION("""COMPUTED_VALUE"""),0)</f>
        <v>0</v>
      </c>
      <c r="W54" s="51" t="str">
        <f t="shared" ca="1" si="7"/>
        <v/>
      </c>
      <c r="X54" s="66"/>
      <c r="Y54" s="51" t="str">
        <f t="shared" ca="1" si="8"/>
        <v/>
      </c>
      <c r="Z54" s="2"/>
      <c r="AA54" s="2"/>
      <c r="AB54" s="2"/>
      <c r="AC54" s="2"/>
      <c r="AD54" s="2"/>
      <c r="AE54" s="2"/>
    </row>
    <row r="55" spans="1:31" ht="12.75" x14ac:dyDescent="0.2">
      <c r="A55" s="53">
        <f ca="1">IFERROR(__xludf.DUMMYFUNCTION("""COMPUTED_VALUE"""),49)</f>
        <v>49</v>
      </c>
      <c r="B55" s="66" t="str">
        <f ca="1">IFERROR(__xludf.DUMMYFUNCTION("""COMPUTED_VALUE"""),"MN Con Yêu")</f>
        <v>MN Con Yêu</v>
      </c>
      <c r="C55" s="66" t="str">
        <f ca="1">IFERROR(__xludf.DUMMYFUNCTION("""COMPUTED_VALUE"""),"Mầm non")</f>
        <v>Mầm non</v>
      </c>
      <c r="D55" s="66">
        <f ca="1">IFERROR(__xludf.DUMMYFUNCTION("""COMPUTED_VALUE"""),8)</f>
        <v>8</v>
      </c>
      <c r="E55" s="67">
        <f ca="1">IFERROR(__xludf.DUMMYFUNCTION("""COMPUTED_VALUE"""),10)</f>
        <v>10</v>
      </c>
      <c r="F55" s="67">
        <f ca="1">IFERROR(__xludf.DUMMYFUNCTION("""COMPUTED_VALUE"""),10)</f>
        <v>10</v>
      </c>
      <c r="G55" s="51">
        <f t="shared" ca="1" si="0"/>
        <v>1</v>
      </c>
      <c r="H55" s="67">
        <f ca="1">IFERROR(__xludf.DUMMYFUNCTION("""COMPUTED_VALUE"""),10)</f>
        <v>10</v>
      </c>
      <c r="I55" s="51">
        <f t="shared" ca="1" si="1"/>
        <v>1</v>
      </c>
      <c r="J55" s="67">
        <f ca="1">IFERROR(__xludf.DUMMYFUNCTION("""COMPUTED_VALUE"""),10)</f>
        <v>10</v>
      </c>
      <c r="K55" s="51">
        <f t="shared" ca="1" si="2"/>
        <v>1</v>
      </c>
      <c r="L55" s="67">
        <f ca="1">IFERROR(__xludf.DUMMYFUNCTION("""COMPUTED_VALUE"""),1)</f>
        <v>1</v>
      </c>
      <c r="M55" s="51">
        <f t="shared" ca="1" si="3"/>
        <v>0.1</v>
      </c>
      <c r="N55" s="67">
        <f ca="1">IFERROR(__xludf.DUMMYFUNCTION("""COMPUTED_VALUE"""),20)</f>
        <v>20</v>
      </c>
      <c r="O55" s="67">
        <f ca="1">IFERROR(__xludf.DUMMYFUNCTION("""COMPUTED_VALUE"""),0)</f>
        <v>0</v>
      </c>
      <c r="P55" s="51">
        <f t="shared" ca="1" si="4"/>
        <v>0</v>
      </c>
      <c r="Q55" s="67">
        <f ca="1">IFERROR(__xludf.DUMMYFUNCTION("""COMPUTED_VALUE"""),0)</f>
        <v>0</v>
      </c>
      <c r="R55" s="51">
        <f t="shared" ca="1" si="5"/>
        <v>0</v>
      </c>
      <c r="S55" s="67">
        <f ca="1">IFERROR(__xludf.DUMMYFUNCTION("""COMPUTED_VALUE"""),0)</f>
        <v>0</v>
      </c>
      <c r="T55" s="66">
        <f ca="1">IFERROR(__xludf.DUMMYFUNCTION("""COMPUTED_VALUE"""),0)</f>
        <v>0</v>
      </c>
      <c r="U55" s="51" t="str">
        <f t="shared" ca="1" si="6"/>
        <v/>
      </c>
      <c r="V55" s="67">
        <f ca="1">IFERROR(__xludf.DUMMYFUNCTION("""COMPUTED_VALUE"""),0)</f>
        <v>0</v>
      </c>
      <c r="W55" s="51" t="str">
        <f t="shared" ca="1" si="7"/>
        <v/>
      </c>
      <c r="X55" s="66"/>
      <c r="Y55" s="51" t="str">
        <f t="shared" ca="1" si="8"/>
        <v/>
      </c>
      <c r="Z55" s="2"/>
      <c r="AA55" s="2"/>
      <c r="AB55" s="2"/>
      <c r="AC55" s="2"/>
      <c r="AD55" s="2"/>
      <c r="AE55" s="2"/>
    </row>
    <row r="56" spans="1:31" ht="12.75" x14ac:dyDescent="0.2">
      <c r="A56" s="53">
        <f ca="1">IFERROR(__xludf.DUMMYFUNCTION("""COMPUTED_VALUE"""),50)</f>
        <v>50</v>
      </c>
      <c r="B56" s="66" t="str">
        <f ca="1">IFERROR(__xludf.DUMMYFUNCTION("""COMPUTED_VALUE"""),"MN Việt Đức")</f>
        <v>MN Việt Đức</v>
      </c>
      <c r="C56" s="66" t="str">
        <f ca="1">IFERROR(__xludf.DUMMYFUNCTION("""COMPUTED_VALUE"""),"Mầm non")</f>
        <v>Mầm non</v>
      </c>
      <c r="D56" s="66">
        <f ca="1">IFERROR(__xludf.DUMMYFUNCTION("""COMPUTED_VALUE"""),8)</f>
        <v>8</v>
      </c>
      <c r="E56" s="67">
        <f ca="1">IFERROR(__xludf.DUMMYFUNCTION("""COMPUTED_VALUE"""),18)</f>
        <v>18</v>
      </c>
      <c r="F56" s="67">
        <f ca="1">IFERROR(__xludf.DUMMYFUNCTION("""COMPUTED_VALUE"""),18)</f>
        <v>18</v>
      </c>
      <c r="G56" s="51">
        <f t="shared" ca="1" si="0"/>
        <v>1</v>
      </c>
      <c r="H56" s="67">
        <f ca="1">IFERROR(__xludf.DUMMYFUNCTION("""COMPUTED_VALUE"""),18)</f>
        <v>18</v>
      </c>
      <c r="I56" s="51">
        <f t="shared" ca="1" si="1"/>
        <v>1</v>
      </c>
      <c r="J56" s="67">
        <f ca="1">IFERROR(__xludf.DUMMYFUNCTION("""COMPUTED_VALUE"""),16)</f>
        <v>16</v>
      </c>
      <c r="K56" s="51">
        <f t="shared" ca="1" si="2"/>
        <v>0.88888888888888884</v>
      </c>
      <c r="L56" s="67">
        <f ca="1">IFERROR(__xludf.DUMMYFUNCTION("""COMPUTED_VALUE"""),14)</f>
        <v>14</v>
      </c>
      <c r="M56" s="51">
        <f t="shared" ca="1" si="3"/>
        <v>0.77777777777777779</v>
      </c>
      <c r="N56" s="67">
        <f ca="1">IFERROR(__xludf.DUMMYFUNCTION("""COMPUTED_VALUE"""),8)</f>
        <v>8</v>
      </c>
      <c r="O56" s="67">
        <f ca="1">IFERROR(__xludf.DUMMYFUNCTION("""COMPUTED_VALUE"""),0)</f>
        <v>0</v>
      </c>
      <c r="P56" s="51">
        <f t="shared" ca="1" si="4"/>
        <v>0</v>
      </c>
      <c r="Q56" s="67">
        <f ca="1">IFERROR(__xludf.DUMMYFUNCTION("""COMPUTED_VALUE"""),0)</f>
        <v>0</v>
      </c>
      <c r="R56" s="51">
        <f t="shared" ca="1" si="5"/>
        <v>0</v>
      </c>
      <c r="S56" s="67">
        <f ca="1">IFERROR(__xludf.DUMMYFUNCTION("""COMPUTED_VALUE"""),0)</f>
        <v>0</v>
      </c>
      <c r="T56" s="66">
        <f ca="1">IFERROR(__xludf.DUMMYFUNCTION("""COMPUTED_VALUE"""),0)</f>
        <v>0</v>
      </c>
      <c r="U56" s="51" t="str">
        <f t="shared" ca="1" si="6"/>
        <v/>
      </c>
      <c r="V56" s="67">
        <f ca="1">IFERROR(__xludf.DUMMYFUNCTION("""COMPUTED_VALUE"""),0)</f>
        <v>0</v>
      </c>
      <c r="W56" s="51" t="str">
        <f t="shared" ca="1" si="7"/>
        <v/>
      </c>
      <c r="X56" s="66"/>
      <c r="Y56" s="51" t="str">
        <f t="shared" ca="1" si="8"/>
        <v/>
      </c>
      <c r="Z56" s="2"/>
      <c r="AA56" s="2"/>
      <c r="AB56" s="2"/>
      <c r="AC56" s="2"/>
      <c r="AD56" s="2"/>
      <c r="AE56" s="2"/>
    </row>
    <row r="57" spans="1:31" ht="12.75" x14ac:dyDescent="0.2">
      <c r="A57" s="53" t="str">
        <f ca="1">IFERROR(__xludf.DUMMYFUNCTION("""COMPUTED_VALUE"""),"Tiểu học")</f>
        <v>Tiểu học</v>
      </c>
      <c r="B57" s="66"/>
      <c r="C57" s="66"/>
      <c r="D57" s="66">
        <f ca="1">IFERROR(__xludf.DUMMYFUNCTION("""COMPUTED_VALUE"""),8)</f>
        <v>8</v>
      </c>
      <c r="E57" s="67">
        <f ca="1">IFERROR(__xludf.DUMMYFUNCTION("""COMPUTED_VALUE"""),1164)</f>
        <v>1164</v>
      </c>
      <c r="F57" s="67">
        <f ca="1">IFERROR(__xludf.DUMMYFUNCTION("""COMPUTED_VALUE"""),1110)</f>
        <v>1110</v>
      </c>
      <c r="G57" s="51">
        <f t="shared" ca="1" si="0"/>
        <v>0.95360824742268047</v>
      </c>
      <c r="H57" s="67">
        <f ca="1">IFERROR(__xludf.DUMMYFUNCTION("""COMPUTED_VALUE"""),1160)</f>
        <v>1160</v>
      </c>
      <c r="I57" s="51">
        <f t="shared" ca="1" si="1"/>
        <v>0.99656357388316152</v>
      </c>
      <c r="J57" s="67">
        <f ca="1">IFERROR(__xludf.DUMMYFUNCTION("""COMPUTED_VALUE"""),1114)</f>
        <v>1114</v>
      </c>
      <c r="K57" s="51">
        <f t="shared" ca="1" si="2"/>
        <v>0.95704467353951894</v>
      </c>
      <c r="L57" s="67">
        <f ca="1">IFERROR(__xludf.DUMMYFUNCTION("""COMPUTED_VALUE"""),775)</f>
        <v>775</v>
      </c>
      <c r="M57" s="51">
        <f t="shared" ca="1" si="3"/>
        <v>0.66580756013745701</v>
      </c>
      <c r="N57" s="67">
        <f ca="1">IFERROR(__xludf.DUMMYFUNCTION("""COMPUTED_VALUE"""),24037)</f>
        <v>24037</v>
      </c>
      <c r="O57" s="67">
        <f ca="1">IFERROR(__xludf.DUMMYFUNCTION("""COMPUTED_VALUE"""),13498)</f>
        <v>13498</v>
      </c>
      <c r="P57" s="51">
        <f t="shared" ca="1" si="4"/>
        <v>0.56155094229729163</v>
      </c>
      <c r="Q57" s="67">
        <f ca="1">IFERROR(__xludf.DUMMYFUNCTION("""COMPUTED_VALUE"""),6608)</f>
        <v>6608</v>
      </c>
      <c r="R57" s="51">
        <f t="shared" ca="1" si="5"/>
        <v>0.2749095144984815</v>
      </c>
      <c r="S57" s="67">
        <f ca="1">IFERROR(__xludf.DUMMYFUNCTION("""COMPUTED_VALUE"""),10)</f>
        <v>10</v>
      </c>
      <c r="T57" s="67">
        <f ca="1">IFERROR(__xludf.DUMMYFUNCTION("""COMPUTED_VALUE"""),10)</f>
        <v>10</v>
      </c>
      <c r="U57" s="51">
        <f t="shared" ca="1" si="6"/>
        <v>1</v>
      </c>
      <c r="V57" s="67">
        <f ca="1">IFERROR(__xludf.DUMMYFUNCTION("""COMPUTED_VALUE"""),9)</f>
        <v>9</v>
      </c>
      <c r="W57" s="51">
        <f t="shared" ca="1" si="7"/>
        <v>0.9</v>
      </c>
      <c r="X57" s="67">
        <f ca="1">IFERROR(__xludf.DUMMYFUNCTION("""COMPUTED_VALUE"""),0)</f>
        <v>0</v>
      </c>
      <c r="Y57" s="51">
        <f t="shared" ca="1" si="8"/>
        <v>0</v>
      </c>
      <c r="Z57" s="2"/>
      <c r="AA57" s="2"/>
      <c r="AB57" s="2"/>
      <c r="AC57" s="2"/>
      <c r="AD57" s="2"/>
      <c r="AE57" s="2"/>
    </row>
    <row r="58" spans="1:31" ht="12.75" x14ac:dyDescent="0.2">
      <c r="A58" s="53">
        <f ca="1">IFERROR(__xludf.DUMMYFUNCTION("""COMPUTED_VALUE"""),1)</f>
        <v>1</v>
      </c>
      <c r="B58" s="66" t="str">
        <f ca="1">IFERROR(__xludf.DUMMYFUNCTION("""COMPUTED_VALUE"""),"Tiểu học Nguyễn Trực")</f>
        <v>Tiểu học Nguyễn Trực</v>
      </c>
      <c r="C58" s="66" t="str">
        <f ca="1">IFERROR(__xludf.DUMMYFUNCTION("""COMPUTED_VALUE"""),"Tiểu học")</f>
        <v>Tiểu học</v>
      </c>
      <c r="D58" s="66">
        <f ca="1">IFERROR(__xludf.DUMMYFUNCTION("""COMPUTED_VALUE"""),8)</f>
        <v>8</v>
      </c>
      <c r="E58" s="67">
        <f ca="1">IFERROR(__xludf.DUMMYFUNCTION("""COMPUTED_VALUE"""),29)</f>
        <v>29</v>
      </c>
      <c r="F58" s="67">
        <f ca="1">IFERROR(__xludf.DUMMYFUNCTION("""COMPUTED_VALUE"""),29)</f>
        <v>29</v>
      </c>
      <c r="G58" s="51">
        <f t="shared" ca="1" si="0"/>
        <v>1</v>
      </c>
      <c r="H58" s="67">
        <f ca="1">IFERROR(__xludf.DUMMYFUNCTION("""COMPUTED_VALUE"""),29)</f>
        <v>29</v>
      </c>
      <c r="I58" s="51">
        <f t="shared" ca="1" si="1"/>
        <v>1</v>
      </c>
      <c r="J58" s="67">
        <f ca="1">IFERROR(__xludf.DUMMYFUNCTION("""COMPUTED_VALUE"""),29)</f>
        <v>29</v>
      </c>
      <c r="K58" s="51">
        <f t="shared" ca="1" si="2"/>
        <v>1</v>
      </c>
      <c r="L58" s="67">
        <f ca="1">IFERROR(__xludf.DUMMYFUNCTION("""COMPUTED_VALUE"""),24)</f>
        <v>24</v>
      </c>
      <c r="M58" s="51">
        <f t="shared" ca="1" si="3"/>
        <v>0.82758620689655171</v>
      </c>
      <c r="N58" s="67">
        <f ca="1">IFERROR(__xludf.DUMMYFUNCTION("""COMPUTED_VALUE"""),731)</f>
        <v>731</v>
      </c>
      <c r="O58" s="67">
        <f ca="1">IFERROR(__xludf.DUMMYFUNCTION("""COMPUTED_VALUE"""),400)</f>
        <v>400</v>
      </c>
      <c r="P58" s="51">
        <f t="shared" ca="1" si="4"/>
        <v>0.54719562243502051</v>
      </c>
      <c r="Q58" s="67">
        <f ca="1">IFERROR(__xludf.DUMMYFUNCTION("""COMPUTED_VALUE"""),219)</f>
        <v>219</v>
      </c>
      <c r="R58" s="51">
        <f t="shared" ca="1" si="5"/>
        <v>0.29958960328317374</v>
      </c>
      <c r="S58" s="67">
        <f ca="1">IFERROR(__xludf.DUMMYFUNCTION("""COMPUTED_VALUE"""),0)</f>
        <v>0</v>
      </c>
      <c r="T58" s="66">
        <f ca="1">IFERROR(__xludf.DUMMYFUNCTION("""COMPUTED_VALUE"""),0)</f>
        <v>0</v>
      </c>
      <c r="U58" s="51" t="str">
        <f t="shared" ca="1" si="6"/>
        <v/>
      </c>
      <c r="V58" s="67">
        <f ca="1">IFERROR(__xludf.DUMMYFUNCTION("""COMPUTED_VALUE"""),0)</f>
        <v>0</v>
      </c>
      <c r="W58" s="51" t="str">
        <f t="shared" ca="1" si="7"/>
        <v/>
      </c>
      <c r="X58" s="67">
        <f ca="1">IFERROR(__xludf.DUMMYFUNCTION("""COMPUTED_VALUE"""),0)</f>
        <v>0</v>
      </c>
      <c r="Y58" s="51" t="str">
        <f t="shared" ca="1" si="8"/>
        <v/>
      </c>
      <c r="Z58" s="2"/>
      <c r="AA58" s="2"/>
      <c r="AB58" s="2"/>
      <c r="AC58" s="2"/>
      <c r="AD58" s="2"/>
      <c r="AE58" s="2"/>
    </row>
    <row r="59" spans="1:31" ht="12.75" x14ac:dyDescent="0.2">
      <c r="A59" s="53">
        <f ca="1">IFERROR(__xludf.DUMMYFUNCTION("""COMPUTED_VALUE"""),2)</f>
        <v>2</v>
      </c>
      <c r="B59" s="66" t="str">
        <f ca="1">IFERROR(__xludf.DUMMYFUNCTION("""COMPUTED_VALUE"""),"Tiểu học Rạch Ông")</f>
        <v>Tiểu học Rạch Ông</v>
      </c>
      <c r="C59" s="66" t="str">
        <f ca="1">IFERROR(__xludf.DUMMYFUNCTION("""COMPUTED_VALUE"""),"Tiểu học")</f>
        <v>Tiểu học</v>
      </c>
      <c r="D59" s="66">
        <f ca="1">IFERROR(__xludf.DUMMYFUNCTION("""COMPUTED_VALUE"""),8)</f>
        <v>8</v>
      </c>
      <c r="E59" s="67">
        <f ca="1">IFERROR(__xludf.DUMMYFUNCTION("""COMPUTED_VALUE"""),36)</f>
        <v>36</v>
      </c>
      <c r="F59" s="67">
        <f ca="1">IFERROR(__xludf.DUMMYFUNCTION("""COMPUTED_VALUE"""),36)</f>
        <v>36</v>
      </c>
      <c r="G59" s="51">
        <f t="shared" ca="1" si="0"/>
        <v>1</v>
      </c>
      <c r="H59" s="67">
        <f ca="1">IFERROR(__xludf.DUMMYFUNCTION("""COMPUTED_VALUE"""),36)</f>
        <v>36</v>
      </c>
      <c r="I59" s="51">
        <f t="shared" ca="1" si="1"/>
        <v>1</v>
      </c>
      <c r="J59" s="67">
        <f ca="1">IFERROR(__xludf.DUMMYFUNCTION("""COMPUTED_VALUE"""),35)</f>
        <v>35</v>
      </c>
      <c r="K59" s="51">
        <f t="shared" ca="1" si="2"/>
        <v>0.97222222222222221</v>
      </c>
      <c r="L59" s="67">
        <f ca="1">IFERROR(__xludf.DUMMYFUNCTION("""COMPUTED_VALUE"""),32)</f>
        <v>32</v>
      </c>
      <c r="M59" s="51">
        <f t="shared" ca="1" si="3"/>
        <v>0.88888888888888884</v>
      </c>
      <c r="N59" s="67">
        <f ca="1">IFERROR(__xludf.DUMMYFUNCTION("""COMPUTED_VALUE"""),882)</f>
        <v>882</v>
      </c>
      <c r="O59" s="67">
        <f ca="1">IFERROR(__xludf.DUMMYFUNCTION("""COMPUTED_VALUE"""),608)</f>
        <v>608</v>
      </c>
      <c r="P59" s="51">
        <f t="shared" ca="1" si="4"/>
        <v>0.68934240362811794</v>
      </c>
      <c r="Q59" s="67">
        <f ca="1">IFERROR(__xludf.DUMMYFUNCTION("""COMPUTED_VALUE"""),288)</f>
        <v>288</v>
      </c>
      <c r="R59" s="51">
        <f t="shared" ca="1" si="5"/>
        <v>0.32653061224489793</v>
      </c>
      <c r="S59" s="66"/>
      <c r="T59" s="66"/>
      <c r="U59" s="51" t="str">
        <f t="shared" si="6"/>
        <v/>
      </c>
      <c r="V59" s="66"/>
      <c r="W59" s="51" t="str">
        <f t="shared" si="7"/>
        <v/>
      </c>
      <c r="X59" s="66"/>
      <c r="Y59" s="51" t="str">
        <f t="shared" si="8"/>
        <v/>
      </c>
      <c r="Z59" s="2"/>
      <c r="AA59" s="2"/>
      <c r="AB59" s="2"/>
      <c r="AC59" s="2"/>
      <c r="AD59" s="2"/>
      <c r="AE59" s="2"/>
    </row>
    <row r="60" spans="1:31" ht="12.75" x14ac:dyDescent="0.2">
      <c r="A60" s="53">
        <f ca="1">IFERROR(__xludf.DUMMYFUNCTION("""COMPUTED_VALUE"""),3)</f>
        <v>3</v>
      </c>
      <c r="B60" s="66" t="str">
        <f ca="1">IFERROR(__xludf.DUMMYFUNCTION("""COMPUTED_VALUE"""),"Tiểu học Âu Dương Lân")</f>
        <v>Tiểu học Âu Dương Lân</v>
      </c>
      <c r="C60" s="66" t="str">
        <f ca="1">IFERROR(__xludf.DUMMYFUNCTION("""COMPUTED_VALUE"""),"Tiểu học")</f>
        <v>Tiểu học</v>
      </c>
      <c r="D60" s="66">
        <f ca="1">IFERROR(__xludf.DUMMYFUNCTION("""COMPUTED_VALUE"""),8)</f>
        <v>8</v>
      </c>
      <c r="E60" s="67">
        <f ca="1">IFERROR(__xludf.DUMMYFUNCTION("""COMPUTED_VALUE"""),100)</f>
        <v>100</v>
      </c>
      <c r="F60" s="67">
        <f ca="1">IFERROR(__xludf.DUMMYFUNCTION("""COMPUTED_VALUE"""),100)</f>
        <v>100</v>
      </c>
      <c r="G60" s="51">
        <f t="shared" ca="1" si="0"/>
        <v>1</v>
      </c>
      <c r="H60" s="67">
        <f ca="1">IFERROR(__xludf.DUMMYFUNCTION("""COMPUTED_VALUE"""),100)</f>
        <v>100</v>
      </c>
      <c r="I60" s="51">
        <f t="shared" ca="1" si="1"/>
        <v>1</v>
      </c>
      <c r="J60" s="67">
        <f ca="1">IFERROR(__xludf.DUMMYFUNCTION("""COMPUTED_VALUE"""),100)</f>
        <v>100</v>
      </c>
      <c r="K60" s="51">
        <f t="shared" ca="1" si="2"/>
        <v>1</v>
      </c>
      <c r="L60" s="67">
        <f ca="1">IFERROR(__xludf.DUMMYFUNCTION("""COMPUTED_VALUE"""),72)</f>
        <v>72</v>
      </c>
      <c r="M60" s="51">
        <f t="shared" ca="1" si="3"/>
        <v>0.72</v>
      </c>
      <c r="N60" s="67">
        <f ca="1">IFERROR(__xludf.DUMMYFUNCTION("""COMPUTED_VALUE"""),2200)</f>
        <v>2200</v>
      </c>
      <c r="O60" s="67">
        <f ca="1">IFERROR(__xludf.DUMMYFUNCTION("""COMPUTED_VALUE"""),1487)</f>
        <v>1487</v>
      </c>
      <c r="P60" s="51">
        <f t="shared" ca="1" si="4"/>
        <v>0.6759090909090909</v>
      </c>
      <c r="Q60" s="67">
        <f ca="1">IFERROR(__xludf.DUMMYFUNCTION("""COMPUTED_VALUE"""),614)</f>
        <v>614</v>
      </c>
      <c r="R60" s="51">
        <f t="shared" ca="1" si="5"/>
        <v>0.27909090909090911</v>
      </c>
      <c r="S60" s="66"/>
      <c r="T60" s="66"/>
      <c r="U60" s="51" t="str">
        <f t="shared" si="6"/>
        <v/>
      </c>
      <c r="V60" s="66"/>
      <c r="W60" s="51" t="str">
        <f t="shared" si="7"/>
        <v/>
      </c>
      <c r="X60" s="66"/>
      <c r="Y60" s="51" t="str">
        <f t="shared" si="8"/>
        <v/>
      </c>
      <c r="Z60" s="2"/>
      <c r="AA60" s="2"/>
      <c r="AB60" s="2"/>
      <c r="AC60" s="2"/>
      <c r="AD60" s="2"/>
      <c r="AE60" s="2"/>
    </row>
    <row r="61" spans="1:31" ht="12.75" x14ac:dyDescent="0.2">
      <c r="A61" s="53">
        <f ca="1">IFERROR(__xludf.DUMMYFUNCTION("""COMPUTED_VALUE"""),4)</f>
        <v>4</v>
      </c>
      <c r="B61" s="66" t="str">
        <f ca="1">IFERROR(__xludf.DUMMYFUNCTION("""COMPUTED_VALUE"""),"Tiểu học Vàm Cỏ Đông")</f>
        <v>Tiểu học Vàm Cỏ Đông</v>
      </c>
      <c r="C61" s="66" t="str">
        <f ca="1">IFERROR(__xludf.DUMMYFUNCTION("""COMPUTED_VALUE"""),"Tiểu học")</f>
        <v>Tiểu học</v>
      </c>
      <c r="D61" s="66">
        <f ca="1">IFERROR(__xludf.DUMMYFUNCTION("""COMPUTED_VALUE"""),8)</f>
        <v>8</v>
      </c>
      <c r="E61" s="67">
        <f ca="1">IFERROR(__xludf.DUMMYFUNCTION("""COMPUTED_VALUE"""),45)</f>
        <v>45</v>
      </c>
      <c r="F61" s="67">
        <f ca="1">IFERROR(__xludf.DUMMYFUNCTION("""COMPUTED_VALUE"""),45)</f>
        <v>45</v>
      </c>
      <c r="G61" s="51">
        <f t="shared" ca="1" si="0"/>
        <v>1</v>
      </c>
      <c r="H61" s="67">
        <f ca="1">IFERROR(__xludf.DUMMYFUNCTION("""COMPUTED_VALUE"""),45)</f>
        <v>45</v>
      </c>
      <c r="I61" s="51">
        <f t="shared" ca="1" si="1"/>
        <v>1</v>
      </c>
      <c r="J61" s="67">
        <f ca="1">IFERROR(__xludf.DUMMYFUNCTION("""COMPUTED_VALUE"""),45)</f>
        <v>45</v>
      </c>
      <c r="K61" s="51">
        <f t="shared" ca="1" si="2"/>
        <v>1</v>
      </c>
      <c r="L61" s="67">
        <f ca="1">IFERROR(__xludf.DUMMYFUNCTION("""COMPUTED_VALUE"""),39)</f>
        <v>39</v>
      </c>
      <c r="M61" s="51">
        <f t="shared" ca="1" si="3"/>
        <v>0.8666666666666667</v>
      </c>
      <c r="N61" s="67">
        <f ca="1">IFERROR(__xludf.DUMMYFUNCTION("""COMPUTED_VALUE"""),1239)</f>
        <v>1239</v>
      </c>
      <c r="O61" s="67">
        <f ca="1">IFERROR(__xludf.DUMMYFUNCTION("""COMPUTED_VALUE"""),870)</f>
        <v>870</v>
      </c>
      <c r="P61" s="51">
        <f t="shared" ca="1" si="4"/>
        <v>0.70217917675544794</v>
      </c>
      <c r="Q61" s="67">
        <f ca="1">IFERROR(__xludf.DUMMYFUNCTION("""COMPUTED_VALUE"""),516)</f>
        <v>516</v>
      </c>
      <c r="R61" s="51">
        <f t="shared" ca="1" si="5"/>
        <v>0.41646489104116224</v>
      </c>
      <c r="S61" s="66"/>
      <c r="T61" s="66"/>
      <c r="U61" s="51" t="str">
        <f t="shared" si="6"/>
        <v/>
      </c>
      <c r="V61" s="66"/>
      <c r="W61" s="51" t="str">
        <f t="shared" si="7"/>
        <v/>
      </c>
      <c r="X61" s="66"/>
      <c r="Y61" s="51" t="str">
        <f t="shared" si="8"/>
        <v/>
      </c>
      <c r="Z61" s="2"/>
      <c r="AA61" s="2"/>
      <c r="AB61" s="2"/>
      <c r="AC61" s="2"/>
      <c r="AD61" s="2"/>
      <c r="AE61" s="2"/>
    </row>
    <row r="62" spans="1:31" ht="12.75" x14ac:dyDescent="0.2">
      <c r="A62" s="53">
        <f ca="1">IFERROR(__xludf.DUMMYFUNCTION("""COMPUTED_VALUE"""),5)</f>
        <v>5</v>
      </c>
      <c r="B62" s="66" t="str">
        <f ca="1">IFERROR(__xludf.DUMMYFUNCTION("""COMPUTED_VALUE"""),"Tiểu học Thái Hưng")</f>
        <v>Tiểu học Thái Hưng</v>
      </c>
      <c r="C62" s="66" t="str">
        <f ca="1">IFERROR(__xludf.DUMMYFUNCTION("""COMPUTED_VALUE"""),"Tiểu học")</f>
        <v>Tiểu học</v>
      </c>
      <c r="D62" s="66">
        <f ca="1">IFERROR(__xludf.DUMMYFUNCTION("""COMPUTED_VALUE"""),8)</f>
        <v>8</v>
      </c>
      <c r="E62" s="67">
        <f ca="1">IFERROR(__xludf.DUMMYFUNCTION("""COMPUTED_VALUE"""),43)</f>
        <v>43</v>
      </c>
      <c r="F62" s="67">
        <f ca="1">IFERROR(__xludf.DUMMYFUNCTION("""COMPUTED_VALUE"""),43)</f>
        <v>43</v>
      </c>
      <c r="G62" s="51">
        <f t="shared" ca="1" si="0"/>
        <v>1</v>
      </c>
      <c r="H62" s="67">
        <f ca="1">IFERROR(__xludf.DUMMYFUNCTION("""COMPUTED_VALUE"""),43)</f>
        <v>43</v>
      </c>
      <c r="I62" s="51">
        <f t="shared" ca="1" si="1"/>
        <v>1</v>
      </c>
      <c r="J62" s="67">
        <f ca="1">IFERROR(__xludf.DUMMYFUNCTION("""COMPUTED_VALUE"""),43)</f>
        <v>43</v>
      </c>
      <c r="K62" s="51">
        <f t="shared" ca="1" si="2"/>
        <v>1</v>
      </c>
      <c r="L62" s="67">
        <f ca="1">IFERROR(__xludf.DUMMYFUNCTION("""COMPUTED_VALUE"""),24)</f>
        <v>24</v>
      </c>
      <c r="M62" s="51">
        <f t="shared" ca="1" si="3"/>
        <v>0.55813953488372092</v>
      </c>
      <c r="N62" s="67">
        <f ca="1">IFERROR(__xludf.DUMMYFUNCTION("""COMPUTED_VALUE"""),782)</f>
        <v>782</v>
      </c>
      <c r="O62" s="67">
        <f ca="1">IFERROR(__xludf.DUMMYFUNCTION("""COMPUTED_VALUE"""),425)</f>
        <v>425</v>
      </c>
      <c r="P62" s="51">
        <f t="shared" ca="1" si="4"/>
        <v>0.54347826086956519</v>
      </c>
      <c r="Q62" s="67">
        <f ca="1">IFERROR(__xludf.DUMMYFUNCTION("""COMPUTED_VALUE"""),189)</f>
        <v>189</v>
      </c>
      <c r="R62" s="51">
        <f t="shared" ca="1" si="5"/>
        <v>0.24168797953964194</v>
      </c>
      <c r="S62" s="66"/>
      <c r="T62" s="66"/>
      <c r="U62" s="51" t="str">
        <f t="shared" si="6"/>
        <v/>
      </c>
      <c r="V62" s="66"/>
      <c r="W62" s="51" t="str">
        <f t="shared" si="7"/>
        <v/>
      </c>
      <c r="X62" s="66"/>
      <c r="Y62" s="51" t="str">
        <f t="shared" si="8"/>
        <v/>
      </c>
      <c r="Z62" s="2"/>
      <c r="AA62" s="2"/>
      <c r="AB62" s="2"/>
      <c r="AC62" s="2"/>
      <c r="AD62" s="2"/>
      <c r="AE62" s="2"/>
    </row>
    <row r="63" spans="1:31" ht="12.75" x14ac:dyDescent="0.2">
      <c r="A63" s="53">
        <f ca="1">IFERROR(__xludf.DUMMYFUNCTION("""COMPUTED_VALUE"""),6)</f>
        <v>6</v>
      </c>
      <c r="B63" s="66" t="str">
        <f ca="1">IFERROR(__xludf.DUMMYFUNCTION("""COMPUTED_VALUE"""),"Tiểu học Bông Sao")</f>
        <v>Tiểu học Bông Sao</v>
      </c>
      <c r="C63" s="66" t="str">
        <f ca="1">IFERROR(__xludf.DUMMYFUNCTION("""COMPUTED_VALUE"""),"Tiểu học")</f>
        <v>Tiểu học</v>
      </c>
      <c r="D63" s="66">
        <f ca="1">IFERROR(__xludf.DUMMYFUNCTION("""COMPUTED_VALUE"""),8)</f>
        <v>8</v>
      </c>
      <c r="E63" s="67">
        <f ca="1">IFERROR(__xludf.DUMMYFUNCTION("""COMPUTED_VALUE"""),67)</f>
        <v>67</v>
      </c>
      <c r="F63" s="67">
        <f ca="1">IFERROR(__xludf.DUMMYFUNCTION("""COMPUTED_VALUE"""),67)</f>
        <v>67</v>
      </c>
      <c r="G63" s="51">
        <f t="shared" ca="1" si="0"/>
        <v>1</v>
      </c>
      <c r="H63" s="67">
        <f ca="1">IFERROR(__xludf.DUMMYFUNCTION("""COMPUTED_VALUE"""),67)</f>
        <v>67</v>
      </c>
      <c r="I63" s="51">
        <f t="shared" ca="1" si="1"/>
        <v>1</v>
      </c>
      <c r="J63" s="67">
        <f ca="1">IFERROR(__xludf.DUMMYFUNCTION("""COMPUTED_VALUE"""),67)</f>
        <v>67</v>
      </c>
      <c r="K63" s="51">
        <f t="shared" ca="1" si="2"/>
        <v>1</v>
      </c>
      <c r="L63" s="67">
        <f ca="1">IFERROR(__xludf.DUMMYFUNCTION("""COMPUTED_VALUE"""),63)</f>
        <v>63</v>
      </c>
      <c r="M63" s="51">
        <f t="shared" ca="1" si="3"/>
        <v>0.94029850746268662</v>
      </c>
      <c r="N63" s="67">
        <f ca="1">IFERROR(__xludf.DUMMYFUNCTION("""COMPUTED_VALUE"""),2064)</f>
        <v>2064</v>
      </c>
      <c r="O63" s="67">
        <f ca="1">IFERROR(__xludf.DUMMYFUNCTION("""COMPUTED_VALUE"""),1052)</f>
        <v>1052</v>
      </c>
      <c r="P63" s="51">
        <f t="shared" ca="1" si="4"/>
        <v>0.50968992248062017</v>
      </c>
      <c r="Q63" s="67">
        <f ca="1">IFERROR(__xludf.DUMMYFUNCTION("""COMPUTED_VALUE"""),502)</f>
        <v>502</v>
      </c>
      <c r="R63" s="51">
        <f t="shared" ca="1" si="5"/>
        <v>0.24321705426356588</v>
      </c>
      <c r="S63" s="66"/>
      <c r="T63" s="66"/>
      <c r="U63" s="51" t="str">
        <f t="shared" si="6"/>
        <v/>
      </c>
      <c r="V63" s="66"/>
      <c r="W63" s="51" t="str">
        <f t="shared" si="7"/>
        <v/>
      </c>
      <c r="X63" s="66"/>
      <c r="Y63" s="51" t="str">
        <f t="shared" si="8"/>
        <v/>
      </c>
      <c r="Z63" s="2"/>
      <c r="AA63" s="2"/>
      <c r="AB63" s="2"/>
      <c r="AC63" s="2"/>
      <c r="AD63" s="2"/>
      <c r="AE63" s="2"/>
    </row>
    <row r="64" spans="1:31" ht="12.75" x14ac:dyDescent="0.2">
      <c r="A64" s="53">
        <f ca="1">IFERROR(__xludf.DUMMYFUNCTION("""COMPUTED_VALUE"""),7)</f>
        <v>7</v>
      </c>
      <c r="B64" s="66" t="str">
        <f ca="1">IFERROR(__xludf.DUMMYFUNCTION("""COMPUTED_VALUE"""),"Tiểu học Hoàng Minh Đạo")</f>
        <v>Tiểu học Hoàng Minh Đạo</v>
      </c>
      <c r="C64" s="66" t="str">
        <f ca="1">IFERROR(__xludf.DUMMYFUNCTION("""COMPUTED_VALUE"""),"Tiểu học")</f>
        <v>Tiểu học</v>
      </c>
      <c r="D64" s="66">
        <f ca="1">IFERROR(__xludf.DUMMYFUNCTION("""COMPUTED_VALUE"""),8)</f>
        <v>8</v>
      </c>
      <c r="E64" s="67">
        <f ca="1">IFERROR(__xludf.DUMMYFUNCTION("""COMPUTED_VALUE"""),71)</f>
        <v>71</v>
      </c>
      <c r="F64" s="67">
        <f ca="1">IFERROR(__xludf.DUMMYFUNCTION("""COMPUTED_VALUE"""),71)</f>
        <v>71</v>
      </c>
      <c r="G64" s="51">
        <f t="shared" ca="1" si="0"/>
        <v>1</v>
      </c>
      <c r="H64" s="67">
        <f ca="1">IFERROR(__xludf.DUMMYFUNCTION("""COMPUTED_VALUE"""),70)</f>
        <v>70</v>
      </c>
      <c r="I64" s="51">
        <f t="shared" ca="1" si="1"/>
        <v>0.9859154929577465</v>
      </c>
      <c r="J64" s="67">
        <f ca="1">IFERROR(__xludf.DUMMYFUNCTION("""COMPUTED_VALUE"""),69)</f>
        <v>69</v>
      </c>
      <c r="K64" s="51">
        <f t="shared" ca="1" si="2"/>
        <v>0.971830985915493</v>
      </c>
      <c r="L64" s="67">
        <f ca="1">IFERROR(__xludf.DUMMYFUNCTION("""COMPUTED_VALUE"""),55)</f>
        <v>55</v>
      </c>
      <c r="M64" s="51">
        <f t="shared" ca="1" si="3"/>
        <v>0.77464788732394363</v>
      </c>
      <c r="N64" s="67">
        <f ca="1">IFERROR(__xludf.DUMMYFUNCTION("""COMPUTED_VALUE"""),1427)</f>
        <v>1427</v>
      </c>
      <c r="O64" s="67">
        <f ca="1">IFERROR(__xludf.DUMMYFUNCTION("""COMPUTED_VALUE"""),773)</f>
        <v>773</v>
      </c>
      <c r="P64" s="51">
        <f t="shared" ca="1" si="4"/>
        <v>0.54169586545199722</v>
      </c>
      <c r="Q64" s="67">
        <f ca="1">IFERROR(__xludf.DUMMYFUNCTION("""COMPUTED_VALUE"""),342)</f>
        <v>342</v>
      </c>
      <c r="R64" s="51">
        <f t="shared" ca="1" si="5"/>
        <v>0.23966362999299229</v>
      </c>
      <c r="S64" s="66"/>
      <c r="T64" s="66"/>
      <c r="U64" s="51" t="str">
        <f t="shared" si="6"/>
        <v/>
      </c>
      <c r="V64" s="66"/>
      <c r="W64" s="51" t="str">
        <f t="shared" si="7"/>
        <v/>
      </c>
      <c r="X64" s="66"/>
      <c r="Y64" s="51" t="str">
        <f t="shared" si="8"/>
        <v/>
      </c>
      <c r="Z64" s="2"/>
      <c r="AA64" s="2"/>
      <c r="AB64" s="2"/>
      <c r="AC64" s="2"/>
      <c r="AD64" s="2"/>
      <c r="AE64" s="2"/>
    </row>
    <row r="65" spans="1:31" ht="12.75" x14ac:dyDescent="0.2">
      <c r="A65" s="53">
        <f ca="1">IFERROR(__xludf.DUMMYFUNCTION("""COMPUTED_VALUE"""),8)</f>
        <v>8</v>
      </c>
      <c r="B65" s="66" t="str">
        <f ca="1">IFERROR(__xludf.DUMMYFUNCTION("""COMPUTED_VALUE"""),"Tiểu học Phan Đăng Lưu")</f>
        <v>Tiểu học Phan Đăng Lưu</v>
      </c>
      <c r="C65" s="66" t="str">
        <f ca="1">IFERROR(__xludf.DUMMYFUNCTION("""COMPUTED_VALUE"""),"Tiểu học")</f>
        <v>Tiểu học</v>
      </c>
      <c r="D65" s="66">
        <f ca="1">IFERROR(__xludf.DUMMYFUNCTION("""COMPUTED_VALUE"""),8)</f>
        <v>8</v>
      </c>
      <c r="E65" s="66">
        <f ca="1">IFERROR(__xludf.DUMMYFUNCTION("""COMPUTED_VALUE"""),60)</f>
        <v>60</v>
      </c>
      <c r="F65" s="66">
        <f ca="1">IFERROR(__xludf.DUMMYFUNCTION("""COMPUTED_VALUE"""),60)</f>
        <v>60</v>
      </c>
      <c r="G65" s="51">
        <f t="shared" ca="1" si="0"/>
        <v>1</v>
      </c>
      <c r="H65" s="66">
        <f ca="1">IFERROR(__xludf.DUMMYFUNCTION("""COMPUTED_VALUE"""),60)</f>
        <v>60</v>
      </c>
      <c r="I65" s="51">
        <f t="shared" ca="1" si="1"/>
        <v>1</v>
      </c>
      <c r="J65" s="66">
        <f ca="1">IFERROR(__xludf.DUMMYFUNCTION("""COMPUTED_VALUE"""),60)</f>
        <v>60</v>
      </c>
      <c r="K65" s="51">
        <f t="shared" ca="1" si="2"/>
        <v>1</v>
      </c>
      <c r="L65" s="66">
        <f ca="1">IFERROR(__xludf.DUMMYFUNCTION("""COMPUTED_VALUE"""),30)</f>
        <v>30</v>
      </c>
      <c r="M65" s="51">
        <f t="shared" ca="1" si="3"/>
        <v>0.5</v>
      </c>
      <c r="N65" s="67">
        <f ca="1">IFERROR(__xludf.DUMMYFUNCTION("""COMPUTED_VALUE"""),981)</f>
        <v>981</v>
      </c>
      <c r="O65" s="67">
        <f ca="1">IFERROR(__xludf.DUMMYFUNCTION("""COMPUTED_VALUE"""),415)</f>
        <v>415</v>
      </c>
      <c r="P65" s="51">
        <f t="shared" ca="1" si="4"/>
        <v>0.42303771661569828</v>
      </c>
      <c r="Q65" s="67">
        <f ca="1">IFERROR(__xludf.DUMMYFUNCTION("""COMPUTED_VALUE"""),194)</f>
        <v>194</v>
      </c>
      <c r="R65" s="51">
        <f t="shared" ca="1" si="5"/>
        <v>0.19775739041794088</v>
      </c>
      <c r="S65" s="66"/>
      <c r="T65" s="66"/>
      <c r="U65" s="51" t="str">
        <f t="shared" si="6"/>
        <v/>
      </c>
      <c r="V65" s="66"/>
      <c r="W65" s="51" t="str">
        <f t="shared" si="7"/>
        <v/>
      </c>
      <c r="X65" s="66"/>
      <c r="Y65" s="51" t="str">
        <f t="shared" si="8"/>
        <v/>
      </c>
      <c r="Z65" s="2"/>
      <c r="AA65" s="2"/>
      <c r="AB65" s="2"/>
      <c r="AC65" s="2"/>
      <c r="AD65" s="2"/>
      <c r="AE65" s="2"/>
    </row>
    <row r="66" spans="1:31" ht="12.75" x14ac:dyDescent="0.2">
      <c r="A66" s="53">
        <f ca="1">IFERROR(__xludf.DUMMYFUNCTION("""COMPUTED_VALUE"""),9)</f>
        <v>9</v>
      </c>
      <c r="B66" s="66"/>
      <c r="C66" s="66"/>
      <c r="D66" s="66">
        <f ca="1">IFERROR(__xludf.DUMMYFUNCTION("""COMPUTED_VALUE"""),8)</f>
        <v>8</v>
      </c>
      <c r="E66" s="67">
        <f ca="1">IFERROR(__xludf.DUMMYFUNCTION("""COMPUTED_VALUE"""),47)</f>
        <v>47</v>
      </c>
      <c r="F66" s="67">
        <f ca="1">IFERROR(__xludf.DUMMYFUNCTION("""COMPUTED_VALUE"""),47)</f>
        <v>47</v>
      </c>
      <c r="G66" s="51">
        <f t="shared" ca="1" si="0"/>
        <v>1</v>
      </c>
      <c r="H66" s="67">
        <f ca="1">IFERROR(__xludf.DUMMYFUNCTION("""COMPUTED_VALUE"""),47)</f>
        <v>47</v>
      </c>
      <c r="I66" s="51">
        <f t="shared" ca="1" si="1"/>
        <v>1</v>
      </c>
      <c r="J66" s="67">
        <f ca="1">IFERROR(__xludf.DUMMYFUNCTION("""COMPUTED_VALUE"""),20)</f>
        <v>20</v>
      </c>
      <c r="K66" s="51">
        <f t="shared" ca="1" si="2"/>
        <v>0.42553191489361702</v>
      </c>
      <c r="L66" s="67">
        <f ca="1">IFERROR(__xludf.DUMMYFUNCTION("""COMPUTED_VALUE"""),24)</f>
        <v>24</v>
      </c>
      <c r="M66" s="51">
        <f t="shared" ca="1" si="3"/>
        <v>0.51063829787234039</v>
      </c>
      <c r="N66" s="67">
        <f ca="1">IFERROR(__xludf.DUMMYFUNCTION("""COMPUTED_VALUE"""),1160)</f>
        <v>1160</v>
      </c>
      <c r="O66" s="67">
        <f ca="1">IFERROR(__xludf.DUMMYFUNCTION("""COMPUTED_VALUE"""),546)</f>
        <v>546</v>
      </c>
      <c r="P66" s="51">
        <f t="shared" ca="1" si="4"/>
        <v>0.47068965517241379</v>
      </c>
      <c r="Q66" s="67">
        <f ca="1">IFERROR(__xludf.DUMMYFUNCTION("""COMPUTED_VALUE"""),422)</f>
        <v>422</v>
      </c>
      <c r="R66" s="51">
        <f t="shared" ca="1" si="5"/>
        <v>0.36379310344827587</v>
      </c>
      <c r="S66" s="67">
        <f ca="1">IFERROR(__xludf.DUMMYFUNCTION("""COMPUTED_VALUE"""),5)</f>
        <v>5</v>
      </c>
      <c r="T66" s="66">
        <f ca="1">IFERROR(__xludf.DUMMYFUNCTION("""COMPUTED_VALUE"""),5)</f>
        <v>5</v>
      </c>
      <c r="U66" s="51">
        <f t="shared" ca="1" si="6"/>
        <v>1</v>
      </c>
      <c r="V66" s="67">
        <f ca="1">IFERROR(__xludf.DUMMYFUNCTION("""COMPUTED_VALUE"""),4)</f>
        <v>4</v>
      </c>
      <c r="W66" s="51">
        <f t="shared" ca="1" si="7"/>
        <v>0.8</v>
      </c>
      <c r="X66" s="67">
        <f ca="1">IFERROR(__xludf.DUMMYFUNCTION("""COMPUTED_VALUE"""),0)</f>
        <v>0</v>
      </c>
      <c r="Y66" s="51">
        <f t="shared" ca="1" si="8"/>
        <v>0</v>
      </c>
      <c r="Z66" s="2"/>
      <c r="AA66" s="2"/>
      <c r="AB66" s="2"/>
      <c r="AC66" s="2"/>
      <c r="AD66" s="2"/>
      <c r="AE66" s="2"/>
    </row>
    <row r="67" spans="1:31" ht="12.75" x14ac:dyDescent="0.2">
      <c r="A67" s="53">
        <f ca="1">IFERROR(__xludf.DUMMYFUNCTION("""COMPUTED_VALUE"""),10)</f>
        <v>10</v>
      </c>
      <c r="B67" s="66" t="str">
        <f ca="1">IFERROR(__xludf.DUMMYFUNCTION("""COMPUTED_VALUE"""),"Tiểu học Nguyễn Trung Ngạn")</f>
        <v>Tiểu học Nguyễn Trung Ngạn</v>
      </c>
      <c r="C67" s="66" t="str">
        <f ca="1">IFERROR(__xludf.DUMMYFUNCTION("""COMPUTED_VALUE"""),"Tiểu học")</f>
        <v>Tiểu học</v>
      </c>
      <c r="D67" s="66">
        <f ca="1">IFERROR(__xludf.DUMMYFUNCTION("""COMPUTED_VALUE"""),8)</f>
        <v>8</v>
      </c>
      <c r="E67" s="67">
        <f ca="1">IFERROR(__xludf.DUMMYFUNCTION("""COMPUTED_VALUE"""),61)</f>
        <v>61</v>
      </c>
      <c r="F67" s="67">
        <f ca="1">IFERROR(__xludf.DUMMYFUNCTION("""COMPUTED_VALUE"""),61)</f>
        <v>61</v>
      </c>
      <c r="G67" s="51">
        <f t="shared" ca="1" si="0"/>
        <v>1</v>
      </c>
      <c r="H67" s="67">
        <f ca="1">IFERROR(__xludf.DUMMYFUNCTION("""COMPUTED_VALUE"""),60)</f>
        <v>60</v>
      </c>
      <c r="I67" s="51">
        <f t="shared" ca="1" si="1"/>
        <v>0.98360655737704916</v>
      </c>
      <c r="J67" s="67">
        <f ca="1">IFERROR(__xludf.DUMMYFUNCTION("""COMPUTED_VALUE"""),57)</f>
        <v>57</v>
      </c>
      <c r="K67" s="51">
        <f t="shared" ca="1" si="2"/>
        <v>0.93442622950819676</v>
      </c>
      <c r="L67" s="67">
        <f ca="1">IFERROR(__xludf.DUMMYFUNCTION("""COMPUTED_VALUE"""),7)</f>
        <v>7</v>
      </c>
      <c r="M67" s="51">
        <f t="shared" ca="1" si="3"/>
        <v>0.11475409836065574</v>
      </c>
      <c r="N67" s="67">
        <f ca="1">IFERROR(__xludf.DUMMYFUNCTION("""COMPUTED_VALUE"""),917)</f>
        <v>917</v>
      </c>
      <c r="O67" s="67">
        <f ca="1">IFERROR(__xludf.DUMMYFUNCTION("""COMPUTED_VALUE"""),301)</f>
        <v>301</v>
      </c>
      <c r="P67" s="51">
        <f t="shared" ca="1" si="4"/>
        <v>0.3282442748091603</v>
      </c>
      <c r="Q67" s="67">
        <f ca="1">IFERROR(__xludf.DUMMYFUNCTION("""COMPUTED_VALUE"""),179)</f>
        <v>179</v>
      </c>
      <c r="R67" s="51">
        <f t="shared" ca="1" si="5"/>
        <v>0.19520174482006544</v>
      </c>
      <c r="S67" s="66"/>
      <c r="T67" s="66"/>
      <c r="U67" s="51" t="str">
        <f t="shared" si="6"/>
        <v/>
      </c>
      <c r="V67" s="66"/>
      <c r="W67" s="51" t="str">
        <f t="shared" si="7"/>
        <v/>
      </c>
      <c r="X67" s="66"/>
      <c r="Y67" s="51" t="str">
        <f t="shared" si="8"/>
        <v/>
      </c>
      <c r="Z67" s="2"/>
      <c r="AA67" s="2"/>
      <c r="AB67" s="2"/>
      <c r="AC67" s="2"/>
      <c r="AD67" s="2"/>
      <c r="AE67" s="2"/>
    </row>
    <row r="68" spans="1:31" ht="12.75" x14ac:dyDescent="0.2">
      <c r="A68" s="53">
        <f ca="1">IFERROR(__xludf.DUMMYFUNCTION("""COMPUTED_VALUE"""),11)</f>
        <v>11</v>
      </c>
      <c r="B68" s="66" t="str">
        <f ca="1">IFERROR(__xludf.DUMMYFUNCTION("""COMPUTED_VALUE"""),"Tiểu học An Phong")</f>
        <v>Tiểu học An Phong</v>
      </c>
      <c r="C68" s="66" t="str">
        <f ca="1">IFERROR(__xludf.DUMMYFUNCTION("""COMPUTED_VALUE"""),"Tiểu học")</f>
        <v>Tiểu học</v>
      </c>
      <c r="D68" s="66">
        <f ca="1">IFERROR(__xludf.DUMMYFUNCTION("""COMPUTED_VALUE"""),8)</f>
        <v>8</v>
      </c>
      <c r="E68" s="67">
        <f ca="1">IFERROR(__xludf.DUMMYFUNCTION("""COMPUTED_VALUE"""),51)</f>
        <v>51</v>
      </c>
      <c r="F68" s="67">
        <f ca="1">IFERROR(__xludf.DUMMYFUNCTION("""COMPUTED_VALUE"""),51)</f>
        <v>51</v>
      </c>
      <c r="G68" s="51">
        <f t="shared" ca="1" si="0"/>
        <v>1</v>
      </c>
      <c r="H68" s="67">
        <f ca="1">IFERROR(__xludf.DUMMYFUNCTION("""COMPUTED_VALUE"""),51)</f>
        <v>51</v>
      </c>
      <c r="I68" s="51">
        <f t="shared" ca="1" si="1"/>
        <v>1</v>
      </c>
      <c r="J68" s="67">
        <f ca="1">IFERROR(__xludf.DUMMYFUNCTION("""COMPUTED_VALUE"""),51)</f>
        <v>51</v>
      </c>
      <c r="K68" s="51">
        <f t="shared" ca="1" si="2"/>
        <v>1</v>
      </c>
      <c r="L68" s="67">
        <f ca="1">IFERROR(__xludf.DUMMYFUNCTION("""COMPUTED_VALUE"""),36)</f>
        <v>36</v>
      </c>
      <c r="M68" s="51">
        <f t="shared" ca="1" si="3"/>
        <v>0.70588235294117652</v>
      </c>
      <c r="N68" s="67">
        <f ca="1">IFERROR(__xludf.DUMMYFUNCTION("""COMPUTED_VALUE"""),1364)</f>
        <v>1364</v>
      </c>
      <c r="O68" s="67">
        <f ca="1">IFERROR(__xludf.DUMMYFUNCTION("""COMPUTED_VALUE"""),526)</f>
        <v>526</v>
      </c>
      <c r="P68" s="51">
        <f t="shared" ca="1" si="4"/>
        <v>0.38563049853372433</v>
      </c>
      <c r="Q68" s="67">
        <f ca="1">IFERROR(__xludf.DUMMYFUNCTION("""COMPUTED_VALUE"""),526)</f>
        <v>526</v>
      </c>
      <c r="R68" s="51">
        <f t="shared" ca="1" si="5"/>
        <v>0.38563049853372433</v>
      </c>
      <c r="S68" s="66"/>
      <c r="T68" s="66"/>
      <c r="U68" s="51" t="str">
        <f t="shared" si="6"/>
        <v/>
      </c>
      <c r="V68" s="66"/>
      <c r="W68" s="51" t="str">
        <f t="shared" si="7"/>
        <v/>
      </c>
      <c r="X68" s="66"/>
      <c r="Y68" s="51" t="str">
        <f t="shared" si="8"/>
        <v/>
      </c>
      <c r="Z68" s="2"/>
      <c r="AA68" s="2"/>
      <c r="AB68" s="2"/>
      <c r="AC68" s="2"/>
      <c r="AD68" s="2"/>
      <c r="AE68" s="2"/>
    </row>
    <row r="69" spans="1:31" ht="12.75" x14ac:dyDescent="0.2">
      <c r="A69" s="53">
        <f ca="1">IFERROR(__xludf.DUMMYFUNCTION("""COMPUTED_VALUE"""),12)</f>
        <v>12</v>
      </c>
      <c r="B69" s="66" t="str">
        <f ca="1">IFERROR(__xludf.DUMMYFUNCTION("""COMPUTED_VALUE"""),"Tiểu học Trần Danh Lâm")</f>
        <v>Tiểu học Trần Danh Lâm</v>
      </c>
      <c r="C69" s="66" t="str">
        <f ca="1">IFERROR(__xludf.DUMMYFUNCTION("""COMPUTED_VALUE"""),"Tiểu học")</f>
        <v>Tiểu học</v>
      </c>
      <c r="D69" s="66">
        <f ca="1">IFERROR(__xludf.DUMMYFUNCTION("""COMPUTED_VALUE"""),8)</f>
        <v>8</v>
      </c>
      <c r="E69" s="67">
        <f ca="1">IFERROR(__xludf.DUMMYFUNCTION("""COMPUTED_VALUE"""),53)</f>
        <v>53</v>
      </c>
      <c r="F69" s="67" t="str">
        <f ca="1">IFERROR(__xludf.DUMMYFUNCTION("""COMPUTED_VALUE"""),"53.")</f>
        <v>53.</v>
      </c>
      <c r="G69" s="51">
        <f t="shared" ca="1" si="0"/>
        <v>1</v>
      </c>
      <c r="H69" s="67">
        <f ca="1">IFERROR(__xludf.DUMMYFUNCTION("""COMPUTED_VALUE"""),53)</f>
        <v>53</v>
      </c>
      <c r="I69" s="51">
        <f t="shared" ca="1" si="1"/>
        <v>1</v>
      </c>
      <c r="J69" s="67">
        <f ca="1">IFERROR(__xludf.DUMMYFUNCTION("""COMPUTED_VALUE"""),52)</f>
        <v>52</v>
      </c>
      <c r="K69" s="51">
        <f t="shared" ca="1" si="2"/>
        <v>0.98113207547169812</v>
      </c>
      <c r="L69" s="67">
        <f ca="1">IFERROR(__xludf.DUMMYFUNCTION("""COMPUTED_VALUE"""),42)</f>
        <v>42</v>
      </c>
      <c r="M69" s="51">
        <f t="shared" ca="1" si="3"/>
        <v>0.79245283018867929</v>
      </c>
      <c r="N69" s="67">
        <f ca="1">IFERROR(__xludf.DUMMYFUNCTION("""COMPUTED_VALUE"""),923)</f>
        <v>923</v>
      </c>
      <c r="O69" s="67">
        <f ca="1">IFERROR(__xludf.DUMMYFUNCTION("""COMPUTED_VALUE"""),664)</f>
        <v>664</v>
      </c>
      <c r="P69" s="51">
        <f t="shared" ca="1" si="4"/>
        <v>0.71939328277356451</v>
      </c>
      <c r="Q69" s="67">
        <f ca="1">IFERROR(__xludf.DUMMYFUNCTION("""COMPUTED_VALUE"""),364)</f>
        <v>364</v>
      </c>
      <c r="R69" s="51">
        <f t="shared" ca="1" si="5"/>
        <v>0.39436619718309857</v>
      </c>
      <c r="S69" s="67">
        <f ca="1">IFERROR(__xludf.DUMMYFUNCTION("""COMPUTED_VALUE"""),3)</f>
        <v>3</v>
      </c>
      <c r="T69" s="67">
        <f ca="1">IFERROR(__xludf.DUMMYFUNCTION("""COMPUTED_VALUE"""),3)</f>
        <v>3</v>
      </c>
      <c r="U69" s="51">
        <f t="shared" ca="1" si="6"/>
        <v>1</v>
      </c>
      <c r="V69" s="67">
        <f ca="1">IFERROR(__xludf.DUMMYFUNCTION("""COMPUTED_VALUE"""),3)</f>
        <v>3</v>
      </c>
      <c r="W69" s="51">
        <f t="shared" ca="1" si="7"/>
        <v>1</v>
      </c>
      <c r="X69" s="67">
        <f ca="1">IFERROR(__xludf.DUMMYFUNCTION("""COMPUTED_VALUE"""),0)</f>
        <v>0</v>
      </c>
      <c r="Y69" s="51">
        <f t="shared" ca="1" si="8"/>
        <v>0</v>
      </c>
      <c r="Z69" s="2"/>
      <c r="AA69" s="2"/>
      <c r="AB69" s="2"/>
      <c r="AC69" s="2"/>
      <c r="AD69" s="2"/>
      <c r="AE69" s="2"/>
    </row>
    <row r="70" spans="1:31" ht="12.75" x14ac:dyDescent="0.2">
      <c r="A70" s="53">
        <f ca="1">IFERROR(__xludf.DUMMYFUNCTION("""COMPUTED_VALUE"""),13)</f>
        <v>13</v>
      </c>
      <c r="B70" s="66" t="str">
        <f ca="1">IFERROR(__xludf.DUMMYFUNCTION("""COMPUTED_VALUE"""),"Tiểu học Lý Nhân Tông")</f>
        <v>Tiểu học Lý Nhân Tông</v>
      </c>
      <c r="C70" s="66" t="str">
        <f ca="1">IFERROR(__xludf.DUMMYFUNCTION("""COMPUTED_VALUE"""),"Tiểu học")</f>
        <v>Tiểu học</v>
      </c>
      <c r="D70" s="66">
        <f ca="1">IFERROR(__xludf.DUMMYFUNCTION("""COMPUTED_VALUE"""),8)</f>
        <v>8</v>
      </c>
      <c r="E70" s="67">
        <f ca="1">IFERROR(__xludf.DUMMYFUNCTION("""COMPUTED_VALUE"""),40)</f>
        <v>40</v>
      </c>
      <c r="F70" s="67">
        <f ca="1">IFERROR(__xludf.DUMMYFUNCTION("""COMPUTED_VALUE"""),40)</f>
        <v>40</v>
      </c>
      <c r="G70" s="51">
        <f t="shared" ref="G70:G78" ca="1" si="9">IFERROR(F70/E70,"")</f>
        <v>1</v>
      </c>
      <c r="H70" s="67">
        <f ca="1">IFERROR(__xludf.DUMMYFUNCTION("""COMPUTED_VALUE"""),40)</f>
        <v>40</v>
      </c>
      <c r="I70" s="51">
        <f t="shared" ref="I70:I78" ca="1" si="10">IFERROR(H70/E70,"")</f>
        <v>1</v>
      </c>
      <c r="J70" s="67">
        <f ca="1">IFERROR(__xludf.DUMMYFUNCTION("""COMPUTED_VALUE"""),39)</f>
        <v>39</v>
      </c>
      <c r="K70" s="51">
        <f t="shared" ref="K70:K78" ca="1" si="11">IFERROR(J70/E70,"")</f>
        <v>0.97499999999999998</v>
      </c>
      <c r="L70" s="67">
        <f ca="1">IFERROR(__xludf.DUMMYFUNCTION("""COMPUTED_VALUE"""),32)</f>
        <v>32</v>
      </c>
      <c r="M70" s="51">
        <f t="shared" ref="M70:M78" ca="1" si="12">IFERROR(L70/E70,"")</f>
        <v>0.8</v>
      </c>
      <c r="N70" s="67">
        <f ca="1">IFERROR(__xludf.DUMMYFUNCTION("""COMPUTED_VALUE"""),914)</f>
        <v>914</v>
      </c>
      <c r="O70" s="67">
        <f ca="1">IFERROR(__xludf.DUMMYFUNCTION("""COMPUTED_VALUE"""),668)</f>
        <v>668</v>
      </c>
      <c r="P70" s="51">
        <f t="shared" ref="P70:P78" ca="1" si="13">IFERROR(O70/N70,"")</f>
        <v>0.73085339168490149</v>
      </c>
      <c r="Q70" s="67">
        <f ca="1">IFERROR(__xludf.DUMMYFUNCTION("""COMPUTED_VALUE"""),418)</f>
        <v>418</v>
      </c>
      <c r="R70" s="51">
        <f t="shared" ref="R70:R78" ca="1" si="14">IFERROR(Q70/N70,"")</f>
        <v>0.45733041575492339</v>
      </c>
      <c r="S70" s="66">
        <f ca="1">IFERROR(__xludf.DUMMYFUNCTION("""COMPUTED_VALUE"""),1)</f>
        <v>1</v>
      </c>
      <c r="T70" s="66">
        <f ca="1">IFERROR(__xludf.DUMMYFUNCTION("""COMPUTED_VALUE"""),1)</f>
        <v>1</v>
      </c>
      <c r="U70" s="51">
        <f t="shared" ref="U70:U78" ca="1" si="15">IFERROR(T70/S70,"")</f>
        <v>1</v>
      </c>
      <c r="V70" s="66">
        <f ca="1">IFERROR(__xludf.DUMMYFUNCTION("""COMPUTED_VALUE"""),1)</f>
        <v>1</v>
      </c>
      <c r="W70" s="51">
        <f t="shared" ref="W70:W78" ca="1" si="16">IFERROR(V70/S70,"")</f>
        <v>1</v>
      </c>
      <c r="X70" s="66">
        <f ca="1">IFERROR(__xludf.DUMMYFUNCTION("""COMPUTED_VALUE"""),0)</f>
        <v>0</v>
      </c>
      <c r="Y70" s="51">
        <f t="shared" ref="Y70:Y78" ca="1" si="17">IFERROR(X70/S70,"")</f>
        <v>0</v>
      </c>
      <c r="Z70" s="2"/>
      <c r="AA70" s="2"/>
      <c r="AB70" s="2"/>
      <c r="AC70" s="2"/>
      <c r="AD70" s="2"/>
      <c r="AE70" s="2"/>
    </row>
    <row r="71" spans="1:31" ht="12.75" x14ac:dyDescent="0.2">
      <c r="A71" s="53">
        <f ca="1">IFERROR(__xludf.DUMMYFUNCTION("""COMPUTED_VALUE"""),14)</f>
        <v>14</v>
      </c>
      <c r="B71" s="66" t="str">
        <f ca="1">IFERROR(__xludf.DUMMYFUNCTION("""COMPUTED_VALUE"""),"Tiểu học Hưng Phú")</f>
        <v>Tiểu học Hưng Phú</v>
      </c>
      <c r="C71" s="66" t="str">
        <f ca="1">IFERROR(__xludf.DUMMYFUNCTION("""COMPUTED_VALUE"""),"Tiểu học")</f>
        <v>Tiểu học</v>
      </c>
      <c r="D71" s="66">
        <f ca="1">IFERROR(__xludf.DUMMYFUNCTION("""COMPUTED_VALUE"""),8)</f>
        <v>8</v>
      </c>
      <c r="E71" s="67">
        <f ca="1">IFERROR(__xludf.DUMMYFUNCTION("""COMPUTED_VALUE"""),54)</f>
        <v>54</v>
      </c>
      <c r="F71" s="67">
        <f ca="1">IFERROR(__xludf.DUMMYFUNCTION("""COMPUTED_VALUE"""),54)</f>
        <v>54</v>
      </c>
      <c r="G71" s="51">
        <f t="shared" ca="1" si="9"/>
        <v>1</v>
      </c>
      <c r="H71" s="67">
        <f ca="1">IFERROR(__xludf.DUMMYFUNCTION("""COMPUTED_VALUE"""),53)</f>
        <v>53</v>
      </c>
      <c r="I71" s="51">
        <f t="shared" ca="1" si="10"/>
        <v>0.98148148148148151</v>
      </c>
      <c r="J71" s="67">
        <f ca="1">IFERROR(__xludf.DUMMYFUNCTION("""COMPUTED_VALUE"""),50)</f>
        <v>50</v>
      </c>
      <c r="K71" s="51">
        <f t="shared" ca="1" si="11"/>
        <v>0.92592592592592593</v>
      </c>
      <c r="L71" s="67">
        <f ca="1">IFERROR(__xludf.DUMMYFUNCTION("""COMPUTED_VALUE"""),27)</f>
        <v>27</v>
      </c>
      <c r="M71" s="51">
        <f t="shared" ca="1" si="12"/>
        <v>0.5</v>
      </c>
      <c r="N71" s="67">
        <f ca="1">IFERROR(__xludf.DUMMYFUNCTION("""COMPUTED_VALUE"""),875)</f>
        <v>875</v>
      </c>
      <c r="O71" s="67">
        <f ca="1">IFERROR(__xludf.DUMMYFUNCTION("""COMPUTED_VALUE"""),519)</f>
        <v>519</v>
      </c>
      <c r="P71" s="51">
        <f t="shared" ca="1" si="13"/>
        <v>0.59314285714285719</v>
      </c>
      <c r="Q71" s="67">
        <f ca="1">IFERROR(__xludf.DUMMYFUNCTION("""COMPUTED_VALUE"""),337)</f>
        <v>337</v>
      </c>
      <c r="R71" s="51">
        <f t="shared" ca="1" si="14"/>
        <v>0.38514285714285712</v>
      </c>
      <c r="S71" s="67">
        <f ca="1">IFERROR(__xludf.DUMMYFUNCTION("""COMPUTED_VALUE"""),0)</f>
        <v>0</v>
      </c>
      <c r="T71" s="66">
        <f ca="1">IFERROR(__xludf.DUMMYFUNCTION("""COMPUTED_VALUE"""),0)</f>
        <v>0</v>
      </c>
      <c r="U71" s="51" t="str">
        <f t="shared" ca="1" si="15"/>
        <v/>
      </c>
      <c r="V71" s="67">
        <f ca="1">IFERROR(__xludf.DUMMYFUNCTION("""COMPUTED_VALUE"""),0)</f>
        <v>0</v>
      </c>
      <c r="W71" s="51" t="str">
        <f t="shared" ca="1" si="16"/>
        <v/>
      </c>
      <c r="X71" s="66"/>
      <c r="Y71" s="51" t="str">
        <f t="shared" ca="1" si="17"/>
        <v/>
      </c>
      <c r="Z71" s="2"/>
      <c r="AA71" s="2"/>
      <c r="AB71" s="2"/>
      <c r="AC71" s="2"/>
      <c r="AD71" s="2"/>
      <c r="AE71" s="2"/>
    </row>
    <row r="72" spans="1:31" ht="12.75" x14ac:dyDescent="0.2">
      <c r="A72" s="53">
        <f ca="1">IFERROR(__xludf.DUMMYFUNCTION("""COMPUTED_VALUE"""),15)</f>
        <v>15</v>
      </c>
      <c r="B72" s="66" t="str">
        <f ca="1">IFERROR(__xludf.DUMMYFUNCTION("""COMPUTED_VALUE"""),"Tiểu học Lý Thái Tổ")</f>
        <v>Tiểu học Lý Thái Tổ</v>
      </c>
      <c r="C72" s="66" t="str">
        <f ca="1">IFERROR(__xludf.DUMMYFUNCTION("""COMPUTED_VALUE"""),"Tiểu học")</f>
        <v>Tiểu học</v>
      </c>
      <c r="D72" s="66">
        <f ca="1">IFERROR(__xludf.DUMMYFUNCTION("""COMPUTED_VALUE"""),8)</f>
        <v>8</v>
      </c>
      <c r="E72" s="67">
        <f ca="1">IFERROR(__xludf.DUMMYFUNCTION("""COMPUTED_VALUE"""),28)</f>
        <v>28</v>
      </c>
      <c r="F72" s="67">
        <f ca="1">IFERROR(__xludf.DUMMYFUNCTION("""COMPUTED_VALUE"""),28)</f>
        <v>28</v>
      </c>
      <c r="G72" s="51">
        <f t="shared" ca="1" si="9"/>
        <v>1</v>
      </c>
      <c r="H72" s="67">
        <f ca="1">IFERROR(__xludf.DUMMYFUNCTION("""COMPUTED_VALUE"""),28)</f>
        <v>28</v>
      </c>
      <c r="I72" s="51">
        <f t="shared" ca="1" si="10"/>
        <v>1</v>
      </c>
      <c r="J72" s="67">
        <f ca="1">IFERROR(__xludf.DUMMYFUNCTION("""COMPUTED_VALUE"""),28)</f>
        <v>28</v>
      </c>
      <c r="K72" s="51">
        <f t="shared" ca="1" si="11"/>
        <v>1</v>
      </c>
      <c r="L72" s="67">
        <f ca="1">IFERROR(__xludf.DUMMYFUNCTION("""COMPUTED_VALUE"""),4)</f>
        <v>4</v>
      </c>
      <c r="M72" s="51">
        <f t="shared" ca="1" si="12"/>
        <v>0.14285714285714285</v>
      </c>
      <c r="N72" s="67">
        <f ca="1">IFERROR(__xludf.DUMMYFUNCTION("""COMPUTED_VALUE"""),618)</f>
        <v>618</v>
      </c>
      <c r="O72" s="67">
        <f ca="1">IFERROR(__xludf.DUMMYFUNCTION("""COMPUTED_VALUE"""),416)</f>
        <v>416</v>
      </c>
      <c r="P72" s="51">
        <f t="shared" ca="1" si="13"/>
        <v>0.67313915857605178</v>
      </c>
      <c r="Q72" s="67">
        <f ca="1">IFERROR(__xludf.DUMMYFUNCTION("""COMPUTED_VALUE"""),168)</f>
        <v>168</v>
      </c>
      <c r="R72" s="51">
        <f t="shared" ca="1" si="14"/>
        <v>0.27184466019417475</v>
      </c>
      <c r="S72" s="67">
        <f ca="1">IFERROR(__xludf.DUMMYFUNCTION("""COMPUTED_VALUE"""),0)</f>
        <v>0</v>
      </c>
      <c r="T72" s="66">
        <f ca="1">IFERROR(__xludf.DUMMYFUNCTION("""COMPUTED_VALUE"""),0)</f>
        <v>0</v>
      </c>
      <c r="U72" s="51" t="str">
        <f t="shared" ca="1" si="15"/>
        <v/>
      </c>
      <c r="V72" s="67">
        <f ca="1">IFERROR(__xludf.DUMMYFUNCTION("""COMPUTED_VALUE"""),0)</f>
        <v>0</v>
      </c>
      <c r="W72" s="51" t="str">
        <f t="shared" ca="1" si="16"/>
        <v/>
      </c>
      <c r="X72" s="66"/>
      <c r="Y72" s="51" t="str">
        <f t="shared" ca="1" si="17"/>
        <v/>
      </c>
      <c r="Z72" s="2"/>
      <c r="AA72" s="2"/>
      <c r="AB72" s="2"/>
      <c r="AC72" s="2"/>
      <c r="AD72" s="2"/>
      <c r="AE72" s="2"/>
    </row>
    <row r="73" spans="1:31" ht="12.75" x14ac:dyDescent="0.2">
      <c r="A73" s="53">
        <f ca="1">IFERROR(__xludf.DUMMYFUNCTION("""COMPUTED_VALUE"""),16)</f>
        <v>16</v>
      </c>
      <c r="B73" s="66" t="str">
        <f ca="1">IFERROR(__xludf.DUMMYFUNCTION("""COMPUTED_VALUE"""),"Tiểu học Tuy Lý Vương")</f>
        <v>Tiểu học Tuy Lý Vương</v>
      </c>
      <c r="C73" s="66" t="str">
        <f ca="1">IFERROR(__xludf.DUMMYFUNCTION("""COMPUTED_VALUE"""),"Tiểu học")</f>
        <v>Tiểu học</v>
      </c>
      <c r="D73" s="66">
        <f ca="1">IFERROR(__xludf.DUMMYFUNCTION("""COMPUTED_VALUE"""),8)</f>
        <v>8</v>
      </c>
      <c r="E73" s="67">
        <f ca="1">IFERROR(__xludf.DUMMYFUNCTION("""COMPUTED_VALUE"""),46)</f>
        <v>46</v>
      </c>
      <c r="F73" s="67">
        <f ca="1">IFERROR(__xludf.DUMMYFUNCTION("""COMPUTED_VALUE"""),46)</f>
        <v>46</v>
      </c>
      <c r="G73" s="51">
        <f t="shared" ca="1" si="9"/>
        <v>1</v>
      </c>
      <c r="H73" s="67">
        <f ca="1">IFERROR(__xludf.DUMMYFUNCTION("""COMPUTED_VALUE"""),46)</f>
        <v>46</v>
      </c>
      <c r="I73" s="51">
        <f t="shared" ca="1" si="10"/>
        <v>1</v>
      </c>
      <c r="J73" s="67">
        <f ca="1">IFERROR(__xludf.DUMMYFUNCTION("""COMPUTED_VALUE"""),46)</f>
        <v>46</v>
      </c>
      <c r="K73" s="51">
        <f t="shared" ca="1" si="11"/>
        <v>1</v>
      </c>
      <c r="L73" s="67">
        <f ca="1">IFERROR(__xludf.DUMMYFUNCTION("""COMPUTED_VALUE"""),46)</f>
        <v>46</v>
      </c>
      <c r="M73" s="51">
        <f t="shared" ca="1" si="12"/>
        <v>1</v>
      </c>
      <c r="N73" s="67">
        <f ca="1">IFERROR(__xludf.DUMMYFUNCTION("""COMPUTED_VALUE"""),1066)</f>
        <v>1066</v>
      </c>
      <c r="O73" s="67">
        <f ca="1">IFERROR(__xludf.DUMMYFUNCTION("""COMPUTED_VALUE"""),787)</f>
        <v>787</v>
      </c>
      <c r="P73" s="51">
        <f t="shared" ca="1" si="13"/>
        <v>0.73827392120075042</v>
      </c>
      <c r="Q73" s="67">
        <f ca="1">IFERROR(__xludf.DUMMYFUNCTION("""COMPUTED_VALUE"""),637)</f>
        <v>637</v>
      </c>
      <c r="R73" s="51">
        <f t="shared" ca="1" si="14"/>
        <v>0.59756097560975607</v>
      </c>
      <c r="S73" s="67">
        <f ca="1">IFERROR(__xludf.DUMMYFUNCTION("""COMPUTED_VALUE"""),1)</f>
        <v>1</v>
      </c>
      <c r="T73" s="66">
        <f ca="1">IFERROR(__xludf.DUMMYFUNCTION("""COMPUTED_VALUE"""),1)</f>
        <v>1</v>
      </c>
      <c r="U73" s="51">
        <f t="shared" ca="1" si="15"/>
        <v>1</v>
      </c>
      <c r="V73" s="67">
        <f ca="1">IFERROR(__xludf.DUMMYFUNCTION("""COMPUTED_VALUE"""),1)</f>
        <v>1</v>
      </c>
      <c r="W73" s="51">
        <f t="shared" ca="1" si="16"/>
        <v>1</v>
      </c>
      <c r="X73" s="66"/>
      <c r="Y73" s="51">
        <f t="shared" ca="1" si="17"/>
        <v>0</v>
      </c>
      <c r="Z73" s="2"/>
      <c r="AA73" s="2"/>
      <c r="AB73" s="2"/>
      <c r="AC73" s="2"/>
      <c r="AD73" s="2"/>
      <c r="AE73" s="2"/>
    </row>
    <row r="74" spans="1:31" ht="12.75" x14ac:dyDescent="0.2">
      <c r="A74" s="53">
        <f ca="1">IFERROR(__xludf.DUMMYFUNCTION("""COMPUTED_VALUE"""),17)</f>
        <v>17</v>
      </c>
      <c r="B74" s="66"/>
      <c r="C74" s="66"/>
      <c r="D74" s="66">
        <f ca="1">IFERROR(__xludf.DUMMYFUNCTION("""COMPUTED_VALUE"""),8)</f>
        <v>8</v>
      </c>
      <c r="E74" s="67">
        <f ca="1">IFERROR(__xludf.DUMMYFUNCTION("""COMPUTED_VALUE"""),72)</f>
        <v>72</v>
      </c>
      <c r="F74" s="67">
        <f ca="1">IFERROR(__xludf.DUMMYFUNCTION("""COMPUTED_VALUE"""),72)</f>
        <v>72</v>
      </c>
      <c r="G74" s="51">
        <f t="shared" ca="1" si="9"/>
        <v>1</v>
      </c>
      <c r="H74" s="67">
        <f ca="1">IFERROR(__xludf.DUMMYFUNCTION("""COMPUTED_VALUE"""),72)</f>
        <v>72</v>
      </c>
      <c r="I74" s="51">
        <f t="shared" ca="1" si="10"/>
        <v>1</v>
      </c>
      <c r="J74" s="67">
        <f ca="1">IFERROR(__xludf.DUMMYFUNCTION("""COMPUTED_VALUE"""),71)</f>
        <v>71</v>
      </c>
      <c r="K74" s="51">
        <f t="shared" ca="1" si="11"/>
        <v>0.98611111111111116</v>
      </c>
      <c r="L74" s="67">
        <f ca="1">IFERROR(__xludf.DUMMYFUNCTION("""COMPUTED_VALUE"""),53)</f>
        <v>53</v>
      </c>
      <c r="M74" s="51">
        <f t="shared" ca="1" si="12"/>
        <v>0.73611111111111116</v>
      </c>
      <c r="N74" s="67">
        <f ca="1">IFERROR(__xludf.DUMMYFUNCTION("""COMPUTED_VALUE"""),1282)</f>
        <v>1282</v>
      </c>
      <c r="O74" s="67">
        <f ca="1">IFERROR(__xludf.DUMMYFUNCTION("""COMPUTED_VALUE"""),861)</f>
        <v>861</v>
      </c>
      <c r="P74" s="51">
        <f t="shared" ca="1" si="13"/>
        <v>0.67160686427457095</v>
      </c>
      <c r="Q74" s="67">
        <f ca="1">IFERROR(__xludf.DUMMYFUNCTION("""COMPUTED_VALUE"""),465)</f>
        <v>465</v>
      </c>
      <c r="R74" s="51">
        <f t="shared" ca="1" si="14"/>
        <v>0.36271450858034321</v>
      </c>
      <c r="S74" s="67">
        <f ca="1">IFERROR(__xludf.DUMMYFUNCTION("""COMPUTED_VALUE"""),0)</f>
        <v>0</v>
      </c>
      <c r="T74" s="66">
        <f ca="1">IFERROR(__xludf.DUMMYFUNCTION("""COMPUTED_VALUE"""),0)</f>
        <v>0</v>
      </c>
      <c r="U74" s="51" t="str">
        <f t="shared" ca="1" si="15"/>
        <v/>
      </c>
      <c r="V74" s="67">
        <f ca="1">IFERROR(__xludf.DUMMYFUNCTION("""COMPUTED_VALUE"""),0)</f>
        <v>0</v>
      </c>
      <c r="W74" s="51" t="str">
        <f t="shared" ca="1" si="16"/>
        <v/>
      </c>
      <c r="X74" s="66"/>
      <c r="Y74" s="51" t="str">
        <f t="shared" ca="1" si="17"/>
        <v/>
      </c>
      <c r="Z74" s="2"/>
      <c r="AA74" s="2"/>
      <c r="AB74" s="2"/>
      <c r="AC74" s="2"/>
      <c r="AD74" s="2"/>
      <c r="AE74" s="2"/>
    </row>
    <row r="75" spans="1:31" ht="12.75" x14ac:dyDescent="0.2">
      <c r="A75" s="53">
        <f ca="1">IFERROR(__xludf.DUMMYFUNCTION("""COMPUTED_VALUE"""),18)</f>
        <v>18</v>
      </c>
      <c r="B75" s="66" t="str">
        <f ca="1">IFERROR(__xludf.DUMMYFUNCTION("""COMPUTED_VALUE"""),"Tiểu học Hồng Đức")</f>
        <v>Tiểu học Hồng Đức</v>
      </c>
      <c r="C75" s="66" t="str">
        <f ca="1">IFERROR(__xludf.DUMMYFUNCTION("""COMPUTED_VALUE"""),"Tiểu học")</f>
        <v>Tiểu học</v>
      </c>
      <c r="D75" s="66">
        <f ca="1">IFERROR(__xludf.DUMMYFUNCTION("""COMPUTED_VALUE"""),8)</f>
        <v>8</v>
      </c>
      <c r="E75" s="67">
        <f ca="1">IFERROR(__xludf.DUMMYFUNCTION("""COMPUTED_VALUE"""),26)</f>
        <v>26</v>
      </c>
      <c r="F75" s="67">
        <f ca="1">IFERROR(__xludf.DUMMYFUNCTION("""COMPUTED_VALUE"""),26)</f>
        <v>26</v>
      </c>
      <c r="G75" s="51">
        <f t="shared" ca="1" si="9"/>
        <v>1</v>
      </c>
      <c r="H75" s="67">
        <f ca="1">IFERROR(__xludf.DUMMYFUNCTION("""COMPUTED_VALUE"""),26)</f>
        <v>26</v>
      </c>
      <c r="I75" s="51">
        <f t="shared" ca="1" si="10"/>
        <v>1</v>
      </c>
      <c r="J75" s="67">
        <f ca="1">IFERROR(__xludf.DUMMYFUNCTION("""COMPUTED_VALUE"""),26)</f>
        <v>26</v>
      </c>
      <c r="K75" s="51">
        <f t="shared" ca="1" si="11"/>
        <v>1</v>
      </c>
      <c r="L75" s="67">
        <f ca="1">IFERROR(__xludf.DUMMYFUNCTION("""COMPUTED_VALUE"""),23)</f>
        <v>23</v>
      </c>
      <c r="M75" s="51">
        <f t="shared" ca="1" si="12"/>
        <v>0.88461538461538458</v>
      </c>
      <c r="N75" s="67">
        <f ca="1">IFERROR(__xludf.DUMMYFUNCTION("""COMPUTED_VALUE"""),535)</f>
        <v>535</v>
      </c>
      <c r="O75" s="67">
        <f ca="1">IFERROR(__xludf.DUMMYFUNCTION("""COMPUTED_VALUE"""),444)</f>
        <v>444</v>
      </c>
      <c r="P75" s="51">
        <f t="shared" ca="1" si="13"/>
        <v>0.82990654205607473</v>
      </c>
      <c r="Q75" s="67">
        <f ca="1">IFERROR(__xludf.DUMMYFUNCTION("""COMPUTED_VALUE"""),310)</f>
        <v>310</v>
      </c>
      <c r="R75" s="51">
        <f t="shared" ca="1" si="14"/>
        <v>0.57943925233644855</v>
      </c>
      <c r="S75" s="67">
        <f ca="1">IFERROR(__xludf.DUMMYFUNCTION("""COMPUTED_VALUE"""),0)</f>
        <v>0</v>
      </c>
      <c r="T75" s="66">
        <f ca="1">IFERROR(__xludf.DUMMYFUNCTION("""COMPUTED_VALUE"""),0)</f>
        <v>0</v>
      </c>
      <c r="U75" s="51" t="str">
        <f t="shared" ca="1" si="15"/>
        <v/>
      </c>
      <c r="V75" s="67">
        <f ca="1">IFERROR(__xludf.DUMMYFUNCTION("""COMPUTED_VALUE"""),0)</f>
        <v>0</v>
      </c>
      <c r="W75" s="51" t="str">
        <f t="shared" ca="1" si="16"/>
        <v/>
      </c>
      <c r="X75" s="66"/>
      <c r="Y75" s="51" t="str">
        <f t="shared" ca="1" si="17"/>
        <v/>
      </c>
      <c r="Z75" s="2"/>
      <c r="AA75" s="2"/>
      <c r="AB75" s="2"/>
      <c r="AC75" s="2"/>
      <c r="AD75" s="2"/>
      <c r="AE75" s="2"/>
    </row>
    <row r="76" spans="1:31" ht="12.75" x14ac:dyDescent="0.2">
      <c r="A76" s="53">
        <f ca="1">IFERROR(__xludf.DUMMYFUNCTION("""COMPUTED_VALUE"""),19)</f>
        <v>19</v>
      </c>
      <c r="B76" s="66"/>
      <c r="C76" s="66"/>
      <c r="D76" s="66">
        <f ca="1">IFERROR(__xludf.DUMMYFUNCTION("""COMPUTED_VALUE"""),8)</f>
        <v>8</v>
      </c>
      <c r="E76" s="67">
        <f ca="1">IFERROR(__xludf.DUMMYFUNCTION("""COMPUTED_VALUE"""),43)</f>
        <v>43</v>
      </c>
      <c r="F76" s="67">
        <f ca="1">IFERROR(__xludf.DUMMYFUNCTION("""COMPUTED_VALUE"""),43)</f>
        <v>43</v>
      </c>
      <c r="G76" s="51">
        <f t="shared" ca="1" si="9"/>
        <v>1</v>
      </c>
      <c r="H76" s="67">
        <f ca="1">IFERROR(__xludf.DUMMYFUNCTION("""COMPUTED_VALUE"""),43)</f>
        <v>43</v>
      </c>
      <c r="I76" s="51">
        <f t="shared" ca="1" si="10"/>
        <v>1</v>
      </c>
      <c r="J76" s="67">
        <f ca="1">IFERROR(__xludf.DUMMYFUNCTION("""COMPUTED_VALUE"""),43)</f>
        <v>43</v>
      </c>
      <c r="K76" s="51">
        <f t="shared" ca="1" si="11"/>
        <v>1</v>
      </c>
      <c r="L76" s="67">
        <f ca="1">IFERROR(__xludf.DUMMYFUNCTION("""COMPUTED_VALUE"""),43)</f>
        <v>43</v>
      </c>
      <c r="M76" s="51">
        <f t="shared" ca="1" si="12"/>
        <v>1</v>
      </c>
      <c r="N76" s="67">
        <f ca="1">IFERROR(__xludf.DUMMYFUNCTION("""COMPUTED_VALUE"""),1092)</f>
        <v>1092</v>
      </c>
      <c r="O76" s="67">
        <f ca="1">IFERROR(__xludf.DUMMYFUNCTION("""COMPUTED_VALUE"""),787)</f>
        <v>787</v>
      </c>
      <c r="P76" s="51">
        <f t="shared" ca="1" si="13"/>
        <v>0.72069597069597069</v>
      </c>
      <c r="Q76" s="67">
        <f ca="1">IFERROR(__xludf.DUMMYFUNCTION("""COMPUTED_VALUE"""),508)</f>
        <v>508</v>
      </c>
      <c r="R76" s="51">
        <f t="shared" ca="1" si="14"/>
        <v>0.46520146520146521</v>
      </c>
      <c r="S76" s="67">
        <f ca="1">IFERROR(__xludf.DUMMYFUNCTION("""COMPUTED_VALUE"""),0)</f>
        <v>0</v>
      </c>
      <c r="T76" s="66">
        <f ca="1">IFERROR(__xludf.DUMMYFUNCTION("""COMPUTED_VALUE"""),0)</f>
        <v>0</v>
      </c>
      <c r="U76" s="51" t="str">
        <f t="shared" ca="1" si="15"/>
        <v/>
      </c>
      <c r="V76" s="67">
        <f ca="1">IFERROR(__xludf.DUMMYFUNCTION("""COMPUTED_VALUE"""),0)</f>
        <v>0</v>
      </c>
      <c r="W76" s="51" t="str">
        <f t="shared" ca="1" si="16"/>
        <v/>
      </c>
      <c r="X76" s="66"/>
      <c r="Y76" s="51" t="str">
        <f t="shared" ca="1" si="17"/>
        <v/>
      </c>
      <c r="Z76" s="2"/>
      <c r="AA76" s="2"/>
      <c r="AB76" s="2"/>
      <c r="AC76" s="2"/>
      <c r="AD76" s="2"/>
      <c r="AE76" s="2"/>
    </row>
    <row r="77" spans="1:31" ht="12.75" x14ac:dyDescent="0.2">
      <c r="A77" s="53">
        <f ca="1">IFERROR(__xludf.DUMMYFUNCTION("""COMPUTED_VALUE"""),20)</f>
        <v>20</v>
      </c>
      <c r="B77" s="66" t="str">
        <f ca="1">IFERROR(__xludf.DUMMYFUNCTION("""COMPUTED_VALUE"""),"Tiểu học Lưu Hữu Phước")</f>
        <v>Tiểu học Lưu Hữu Phước</v>
      </c>
      <c r="C77" s="66" t="str">
        <f ca="1">IFERROR(__xludf.DUMMYFUNCTION("""COMPUTED_VALUE"""),"Tiểu học")</f>
        <v>Tiểu học</v>
      </c>
      <c r="D77" s="66">
        <f ca="1">IFERROR(__xludf.DUMMYFUNCTION("""COMPUTED_VALUE"""),8)</f>
        <v>8</v>
      </c>
      <c r="E77" s="67">
        <f ca="1">IFERROR(__xludf.DUMMYFUNCTION("""COMPUTED_VALUE"""),44)</f>
        <v>44</v>
      </c>
      <c r="F77" s="67">
        <f ca="1">IFERROR(__xludf.DUMMYFUNCTION("""COMPUTED_VALUE"""),44)</f>
        <v>44</v>
      </c>
      <c r="G77" s="51">
        <f t="shared" ca="1" si="9"/>
        <v>1</v>
      </c>
      <c r="H77" s="67">
        <f ca="1">IFERROR(__xludf.DUMMYFUNCTION("""COMPUTED_VALUE"""),44)</f>
        <v>44</v>
      </c>
      <c r="I77" s="51">
        <f t="shared" ca="1" si="10"/>
        <v>1</v>
      </c>
      <c r="J77" s="67">
        <f ca="1">IFERROR(__xludf.DUMMYFUNCTION("""COMPUTED_VALUE"""),40)</f>
        <v>40</v>
      </c>
      <c r="K77" s="51">
        <f t="shared" ca="1" si="11"/>
        <v>0.90909090909090906</v>
      </c>
      <c r="L77" s="67">
        <f ca="1">IFERROR(__xludf.DUMMYFUNCTION("""COMPUTED_VALUE"""),15)</f>
        <v>15</v>
      </c>
      <c r="M77" s="51">
        <f t="shared" ca="1" si="12"/>
        <v>0.34090909090909088</v>
      </c>
      <c r="N77" s="67">
        <f ca="1">IFERROR(__xludf.DUMMYFUNCTION("""COMPUTED_VALUE"""),1096)</f>
        <v>1096</v>
      </c>
      <c r="O77" s="67">
        <f ca="1">IFERROR(__xludf.DUMMYFUNCTION("""COMPUTED_VALUE"""),581)</f>
        <v>581</v>
      </c>
      <c r="P77" s="51">
        <f t="shared" ca="1" si="13"/>
        <v>0.5301094890510949</v>
      </c>
      <c r="Q77" s="67">
        <f ca="1">IFERROR(__xludf.DUMMYFUNCTION("""COMPUTED_VALUE"""),459)</f>
        <v>459</v>
      </c>
      <c r="R77" s="51">
        <f t="shared" ca="1" si="14"/>
        <v>0.41879562043795621</v>
      </c>
      <c r="S77" s="67">
        <f ca="1">IFERROR(__xludf.DUMMYFUNCTION("""COMPUTED_VALUE"""),0)</f>
        <v>0</v>
      </c>
      <c r="T77" s="66">
        <f ca="1">IFERROR(__xludf.DUMMYFUNCTION("""COMPUTED_VALUE"""),0)</f>
        <v>0</v>
      </c>
      <c r="U77" s="51" t="str">
        <f t="shared" ca="1" si="15"/>
        <v/>
      </c>
      <c r="V77" s="67">
        <f ca="1">IFERROR(__xludf.DUMMYFUNCTION("""COMPUTED_VALUE"""),0)</f>
        <v>0</v>
      </c>
      <c r="W77" s="51" t="str">
        <f t="shared" ca="1" si="16"/>
        <v/>
      </c>
      <c r="X77" s="66"/>
      <c r="Y77" s="51" t="str">
        <f t="shared" ca="1" si="17"/>
        <v/>
      </c>
      <c r="Z77" s="2"/>
      <c r="AA77" s="2"/>
      <c r="AB77" s="2"/>
      <c r="AC77" s="2"/>
      <c r="AD77" s="2"/>
      <c r="AE77" s="2"/>
    </row>
    <row r="78" spans="1:31" ht="12.75" x14ac:dyDescent="0.2">
      <c r="A78" s="53">
        <f ca="1">IFERROR(__xludf.DUMMYFUNCTION("""COMPUTED_VALUE"""),21)</f>
        <v>21</v>
      </c>
      <c r="B78" s="66" t="str">
        <f ca="1">IFERROR(__xludf.DUMMYFUNCTION("""COMPUTED_VALUE"""),"Tiểu học Nguyễn Công Trứ")</f>
        <v>Tiểu học Nguyễn Công Trứ</v>
      </c>
      <c r="C78" s="66" t="str">
        <f ca="1">IFERROR(__xludf.DUMMYFUNCTION("""COMPUTED_VALUE"""),"Tiểu học")</f>
        <v>Tiểu học</v>
      </c>
      <c r="D78" s="66">
        <f ca="1">IFERROR(__xludf.DUMMYFUNCTION("""COMPUTED_VALUE"""),8)</f>
        <v>8</v>
      </c>
      <c r="E78" s="67">
        <f ca="1">IFERROR(__xludf.DUMMYFUNCTION("""COMPUTED_VALUE"""),86)</f>
        <v>86</v>
      </c>
      <c r="F78" s="67">
        <f ca="1">IFERROR(__xludf.DUMMYFUNCTION("""COMPUTED_VALUE"""),86)</f>
        <v>86</v>
      </c>
      <c r="G78" s="51">
        <f t="shared" ca="1" si="9"/>
        <v>1</v>
      </c>
      <c r="H78" s="67">
        <f ca="1">IFERROR(__xludf.DUMMYFUNCTION("""COMPUTED_VALUE"""),86)</f>
        <v>86</v>
      </c>
      <c r="I78" s="51">
        <f t="shared" ca="1" si="10"/>
        <v>1</v>
      </c>
      <c r="J78" s="67">
        <f ca="1">IFERROR(__xludf.DUMMYFUNCTION("""COMPUTED_VALUE"""),86)</f>
        <v>86</v>
      </c>
      <c r="K78" s="51">
        <f t="shared" ca="1" si="11"/>
        <v>1</v>
      </c>
      <c r="L78" s="67">
        <f ca="1">IFERROR(__xludf.DUMMYFUNCTION("""COMPUTED_VALUE"""),70)</f>
        <v>70</v>
      </c>
      <c r="M78" s="51">
        <f t="shared" ca="1" si="12"/>
        <v>0.81395348837209303</v>
      </c>
      <c r="N78" s="67">
        <f ca="1">IFERROR(__xludf.DUMMYFUNCTION("""COMPUTED_VALUE"""),1609)</f>
        <v>1609</v>
      </c>
      <c r="O78" s="67">
        <f ca="1">IFERROR(__xludf.DUMMYFUNCTION("""COMPUTED_VALUE"""),941)</f>
        <v>941</v>
      </c>
      <c r="P78" s="51">
        <f t="shared" ca="1" si="13"/>
        <v>0.58483530142945928</v>
      </c>
      <c r="Q78" s="67">
        <f ca="1">IFERROR(__xludf.DUMMYFUNCTION("""COMPUTED_VALUE"""),230)</f>
        <v>230</v>
      </c>
      <c r="R78" s="51">
        <f t="shared" ca="1" si="14"/>
        <v>0.14294592914853946</v>
      </c>
      <c r="S78" s="67">
        <f ca="1">IFERROR(__xludf.DUMMYFUNCTION("""COMPUTED_VALUE"""),0)</f>
        <v>0</v>
      </c>
      <c r="T78" s="66">
        <f ca="1">IFERROR(__xludf.DUMMYFUNCTION("""COMPUTED_VALUE"""),0)</f>
        <v>0</v>
      </c>
      <c r="U78" s="51" t="str">
        <f t="shared" ca="1" si="15"/>
        <v/>
      </c>
      <c r="V78" s="67">
        <f ca="1">IFERROR(__xludf.DUMMYFUNCTION("""COMPUTED_VALUE"""),0)</f>
        <v>0</v>
      </c>
      <c r="W78" s="51" t="str">
        <f t="shared" ca="1" si="16"/>
        <v/>
      </c>
      <c r="X78" s="66"/>
      <c r="Y78" s="51" t="str">
        <f t="shared" ca="1" si="17"/>
        <v/>
      </c>
      <c r="Z78" s="2"/>
      <c r="AA78" s="2"/>
      <c r="AB78" s="2"/>
      <c r="AC78" s="2"/>
      <c r="AD78" s="2"/>
      <c r="AE78" s="2"/>
    </row>
    <row r="79" spans="1:31" ht="12.75" x14ac:dyDescent="0.2">
      <c r="A79" s="53">
        <f ca="1">IFERROR(__xludf.DUMMYFUNCTION("""COMPUTED_VALUE"""),22)</f>
        <v>22</v>
      </c>
      <c r="B79" s="66" t="str">
        <f ca="1">IFERROR(__xludf.DUMMYFUNCTION("""COMPUTED_VALUE"""),"Tiểu học Đông Nam Á")</f>
        <v>Tiểu học Đông Nam Á</v>
      </c>
      <c r="C79" s="66" t="str">
        <f ca="1">IFERROR(__xludf.DUMMYFUNCTION("""COMPUTED_VALUE"""),"Tiểu học")</f>
        <v>Tiểu học</v>
      </c>
      <c r="D79" s="66">
        <f ca="1">IFERROR(__xludf.DUMMYFUNCTION("""COMPUTED_VALUE"""),8)</f>
        <v>8</v>
      </c>
      <c r="E79" s="67">
        <f ca="1">IFERROR(__xludf.DUMMYFUNCTION("""COMPUTED_VALUE"""),10)</f>
        <v>10</v>
      </c>
      <c r="F79" s="67">
        <f ca="1">IFERROR(__xludf.DUMMYFUNCTION("""COMPUTED_VALUE"""),9)</f>
        <v>9</v>
      </c>
      <c r="G79" s="67"/>
      <c r="H79" s="67">
        <f ca="1">IFERROR(__xludf.DUMMYFUNCTION("""COMPUTED_VALUE"""),9)</f>
        <v>9</v>
      </c>
      <c r="I79" s="67"/>
      <c r="J79" s="67">
        <f ca="1">IFERROR(__xludf.DUMMYFUNCTION("""COMPUTED_VALUE"""),8)</f>
        <v>8</v>
      </c>
      <c r="K79" s="67"/>
      <c r="L79" s="67">
        <f ca="1">IFERROR(__xludf.DUMMYFUNCTION("""COMPUTED_VALUE"""),7)</f>
        <v>7</v>
      </c>
      <c r="M79" s="67"/>
      <c r="N79" s="67">
        <f ca="1">IFERROR(__xludf.DUMMYFUNCTION("""COMPUTED_VALUE"""),42)</f>
        <v>42</v>
      </c>
      <c r="O79" s="67">
        <f ca="1">IFERROR(__xludf.DUMMYFUNCTION("""COMPUTED_VALUE"""),18)</f>
        <v>18</v>
      </c>
      <c r="P79" s="67"/>
      <c r="Q79" s="67">
        <f ca="1">IFERROR(__xludf.DUMMYFUNCTION("""COMPUTED_VALUE"""),7)</f>
        <v>7</v>
      </c>
      <c r="R79" s="67"/>
      <c r="S79" s="66">
        <f ca="1">IFERROR(__xludf.DUMMYFUNCTION("""COMPUTED_VALUE"""),0)</f>
        <v>0</v>
      </c>
      <c r="T79" s="66">
        <f ca="1">IFERROR(__xludf.DUMMYFUNCTION("""COMPUTED_VALUE"""),0)</f>
        <v>0</v>
      </c>
      <c r="U79" s="66"/>
      <c r="V79" s="66">
        <f ca="1">IFERROR(__xludf.DUMMYFUNCTION("""COMPUTED_VALUE"""),0)</f>
        <v>0</v>
      </c>
      <c r="W79" s="66"/>
      <c r="X79" s="66"/>
      <c r="Y79" s="66"/>
      <c r="Z79" s="2"/>
      <c r="AA79" s="2"/>
      <c r="AB79" s="2"/>
      <c r="AC79" s="2"/>
      <c r="AD79" s="2"/>
      <c r="AE79" s="2"/>
    </row>
    <row r="80" spans="1:31" ht="12.75" x14ac:dyDescent="0.2">
      <c r="A80" s="53">
        <f ca="1">IFERROR(__xludf.DUMMYFUNCTION("""COMPUTED_VALUE"""),23)</f>
        <v>23</v>
      </c>
      <c r="B80" s="66" t="str">
        <f ca="1">IFERROR(__xludf.DUMMYFUNCTION("""COMPUTED_VALUE"""),"Tiểu học Khai Nguyên")</f>
        <v>Tiểu học Khai Nguyên</v>
      </c>
      <c r="C80" s="66" t="str">
        <f ca="1">IFERROR(__xludf.DUMMYFUNCTION("""COMPUTED_VALUE"""),"Tiểu học")</f>
        <v>Tiểu học</v>
      </c>
      <c r="D80" s="66">
        <f ca="1">IFERROR(__xludf.DUMMYFUNCTION("""COMPUTED_VALUE"""),8)</f>
        <v>8</v>
      </c>
      <c r="E80" s="67">
        <f ca="1">IFERROR(__xludf.DUMMYFUNCTION("""COMPUTED_VALUE"""),39)</f>
        <v>39</v>
      </c>
      <c r="F80" s="67">
        <f ca="1">IFERROR(__xludf.DUMMYFUNCTION("""COMPUTED_VALUE"""),39)</f>
        <v>39</v>
      </c>
      <c r="G80" s="67"/>
      <c r="H80" s="67">
        <f ca="1">IFERROR(__xludf.DUMMYFUNCTION("""COMPUTED_VALUE"""),39)</f>
        <v>39</v>
      </c>
      <c r="I80" s="67"/>
      <c r="J80" s="67">
        <f ca="1">IFERROR(__xludf.DUMMYFUNCTION("""COMPUTED_VALUE"""),36)</f>
        <v>36</v>
      </c>
      <c r="K80" s="67"/>
      <c r="L80" s="67">
        <f ca="1">IFERROR(__xludf.DUMMYFUNCTION("""COMPUTED_VALUE"""),3)</f>
        <v>3</v>
      </c>
      <c r="M80" s="67"/>
      <c r="N80" s="67">
        <f ca="1">IFERROR(__xludf.DUMMYFUNCTION("""COMPUTED_VALUE"""),194)</f>
        <v>194</v>
      </c>
      <c r="O80" s="67">
        <f ca="1">IFERROR(__xludf.DUMMYFUNCTION("""COMPUTED_VALUE"""),8)</f>
        <v>8</v>
      </c>
      <c r="P80" s="67"/>
      <c r="Q80" s="67">
        <f ca="1">IFERROR(__xludf.DUMMYFUNCTION("""COMPUTED_VALUE"""),3)</f>
        <v>3</v>
      </c>
      <c r="R80" s="67"/>
      <c r="S80" s="67">
        <f ca="1">IFERROR(__xludf.DUMMYFUNCTION("""COMPUTED_VALUE"""),0)</f>
        <v>0</v>
      </c>
      <c r="T80" s="66">
        <f ca="1">IFERROR(__xludf.DUMMYFUNCTION("""COMPUTED_VALUE"""),0)</f>
        <v>0</v>
      </c>
      <c r="U80" s="66"/>
      <c r="V80" s="67">
        <f ca="1">IFERROR(__xludf.DUMMYFUNCTION("""COMPUTED_VALUE"""),0)</f>
        <v>0</v>
      </c>
      <c r="W80" s="67"/>
      <c r="X80" s="66"/>
      <c r="Y80" s="66"/>
      <c r="Z80" s="2"/>
      <c r="AA80" s="2"/>
      <c r="AB80" s="2"/>
      <c r="AC80" s="2"/>
      <c r="AD80" s="2"/>
      <c r="AE80" s="2"/>
    </row>
    <row r="81" spans="1:31" ht="12.75" x14ac:dyDescent="0.2">
      <c r="A81" s="53">
        <f ca="1">IFERROR(__xludf.DUMMYFUNCTION("""COMPUTED_VALUE"""),24)</f>
        <v>24</v>
      </c>
      <c r="B81" s="66" t="str">
        <f ca="1">IFERROR(__xludf.DUMMYFUNCTION("""COMPUTED_VALUE"""),"Tiểu học Việt Mỹ")</f>
        <v>Tiểu học Việt Mỹ</v>
      </c>
      <c r="C81" s="66" t="str">
        <f ca="1">IFERROR(__xludf.DUMMYFUNCTION("""COMPUTED_VALUE"""),"Tiểu học")</f>
        <v>Tiểu học</v>
      </c>
      <c r="D81" s="66">
        <f ca="1">IFERROR(__xludf.DUMMYFUNCTION("""COMPUTED_VALUE"""),8)</f>
        <v>8</v>
      </c>
      <c r="E81" s="67">
        <f ca="1">IFERROR(__xludf.DUMMYFUNCTION("""COMPUTED_VALUE"""),13)</f>
        <v>13</v>
      </c>
      <c r="F81" s="67">
        <f ca="1">IFERROR(__xludf.DUMMYFUNCTION("""COMPUTED_VALUE"""),13)</f>
        <v>13</v>
      </c>
      <c r="G81" s="67"/>
      <c r="H81" s="67">
        <f ca="1">IFERROR(__xludf.DUMMYFUNCTION("""COMPUTED_VALUE"""),13)</f>
        <v>13</v>
      </c>
      <c r="I81" s="67"/>
      <c r="J81" s="67">
        <f ca="1">IFERROR(__xludf.DUMMYFUNCTION("""COMPUTED_VALUE"""),13)</f>
        <v>13</v>
      </c>
      <c r="K81" s="67"/>
      <c r="L81" s="67">
        <f ca="1">IFERROR(__xludf.DUMMYFUNCTION("""COMPUTED_VALUE"""),4)</f>
        <v>4</v>
      </c>
      <c r="M81" s="67"/>
      <c r="N81" s="67">
        <f ca="1">IFERROR(__xludf.DUMMYFUNCTION("""COMPUTED_VALUE"""),14)</f>
        <v>14</v>
      </c>
      <c r="O81" s="67">
        <f ca="1">IFERROR(__xludf.DUMMYFUNCTION("""COMPUTED_VALUE"""),3)</f>
        <v>3</v>
      </c>
      <c r="P81" s="67"/>
      <c r="Q81" s="67">
        <f ca="1">IFERROR(__xludf.DUMMYFUNCTION("""COMPUTED_VALUE"""),1)</f>
        <v>1</v>
      </c>
      <c r="R81" s="67"/>
      <c r="S81" s="67">
        <f ca="1">IFERROR(__xludf.DUMMYFUNCTION("""COMPUTED_VALUE"""),0)</f>
        <v>0</v>
      </c>
      <c r="T81" s="67">
        <f ca="1">IFERROR(__xludf.DUMMYFUNCTION("""COMPUTED_VALUE"""),0)</f>
        <v>0</v>
      </c>
      <c r="U81" s="67"/>
      <c r="V81" s="67">
        <f ca="1">IFERROR(__xludf.DUMMYFUNCTION("""COMPUTED_VALUE"""),0)</f>
        <v>0</v>
      </c>
      <c r="W81" s="67"/>
      <c r="X81" s="66"/>
      <c r="Y81" s="66"/>
      <c r="Z81" s="2"/>
      <c r="AA81" s="2"/>
      <c r="AB81" s="2"/>
      <c r="AC81" s="2"/>
      <c r="AD81" s="2"/>
      <c r="AE81" s="2"/>
    </row>
    <row r="82" spans="1:31" ht="12.75" x14ac:dyDescent="0.2">
      <c r="A82" s="53" t="str">
        <f ca="1">IFERROR(__xludf.DUMMYFUNCTION("""COMPUTED_VALUE"""),"THCS")</f>
        <v>THCS</v>
      </c>
      <c r="B82" s="66"/>
      <c r="C82" s="66"/>
      <c r="D82" s="66">
        <f ca="1">IFERROR(__xludf.DUMMYFUNCTION("""COMPUTED_VALUE"""),8)</f>
        <v>8</v>
      </c>
      <c r="E82" s="67">
        <f ca="1">IFERROR(__xludf.DUMMYFUNCTION("""COMPUTED_VALUE"""),738)</f>
        <v>738</v>
      </c>
      <c r="F82" s="67">
        <f ca="1">IFERROR(__xludf.DUMMYFUNCTION("""COMPUTED_VALUE"""),734)</f>
        <v>734</v>
      </c>
      <c r="G82" s="67"/>
      <c r="H82" s="67">
        <f ca="1">IFERROR(__xludf.DUMMYFUNCTION("""COMPUTED_VALUE"""),732)</f>
        <v>732</v>
      </c>
      <c r="I82" s="67"/>
      <c r="J82" s="67">
        <f ca="1">IFERROR(__xludf.DUMMYFUNCTION("""COMPUTED_VALUE"""),694)</f>
        <v>694</v>
      </c>
      <c r="K82" s="67"/>
      <c r="L82" s="67">
        <f ca="1">IFERROR(__xludf.DUMMYFUNCTION("""COMPUTED_VALUE"""),363)</f>
        <v>363</v>
      </c>
      <c r="M82" s="67"/>
      <c r="N82" s="67">
        <f ca="1">IFERROR(__xludf.DUMMYFUNCTION("""COMPUTED_VALUE"""),1865)</f>
        <v>1865</v>
      </c>
      <c r="O82" s="67">
        <f ca="1">IFERROR(__xludf.DUMMYFUNCTION("""COMPUTED_VALUE"""),1609)</f>
        <v>1609</v>
      </c>
      <c r="P82" s="67"/>
      <c r="Q82" s="67">
        <f ca="1">IFERROR(__xludf.DUMMYFUNCTION("""COMPUTED_VALUE"""),835)</f>
        <v>835</v>
      </c>
      <c r="R82" s="67"/>
      <c r="S82" s="67">
        <f ca="1">IFERROR(__xludf.DUMMYFUNCTION("""COMPUTED_VALUE"""),14182)</f>
        <v>14182</v>
      </c>
      <c r="T82" s="66">
        <f ca="1">IFERROR(__xludf.DUMMYFUNCTION("""COMPUTED_VALUE"""),13565)</f>
        <v>13565</v>
      </c>
      <c r="U82" s="66"/>
      <c r="V82" s="67">
        <f ca="1">IFERROR(__xludf.DUMMYFUNCTION("""COMPUTED_VALUE"""),13148)</f>
        <v>13148</v>
      </c>
      <c r="W82" s="67"/>
      <c r="X82" s="67">
        <f ca="1">IFERROR(__xludf.DUMMYFUNCTION("""COMPUTED_VALUE"""),3038)</f>
        <v>3038</v>
      </c>
      <c r="Y82" s="67"/>
      <c r="Z82" s="2"/>
      <c r="AA82" s="2"/>
      <c r="AB82" s="2"/>
      <c r="AC82" s="2"/>
      <c r="AD82" s="2"/>
      <c r="AE82" s="2"/>
    </row>
    <row r="83" spans="1:31" ht="12.75" x14ac:dyDescent="0.2">
      <c r="A83" s="53">
        <f ca="1">IFERROR(__xludf.DUMMYFUNCTION("""COMPUTED_VALUE"""),1)</f>
        <v>1</v>
      </c>
      <c r="B83" s="66" t="str">
        <f ca="1">IFERROR(__xludf.DUMMYFUNCTION("""COMPUTED_VALUE"""),"THCS Dương Bá Trạc")</f>
        <v>THCS Dương Bá Trạc</v>
      </c>
      <c r="C83" s="66" t="str">
        <f ca="1">IFERROR(__xludf.DUMMYFUNCTION("""COMPUTED_VALUE"""),"THCS")</f>
        <v>THCS</v>
      </c>
      <c r="D83" s="66">
        <f ca="1">IFERROR(__xludf.DUMMYFUNCTION("""COMPUTED_VALUE"""),8)</f>
        <v>8</v>
      </c>
      <c r="E83" s="67">
        <f ca="1">IFERROR(__xludf.DUMMYFUNCTION("""COMPUTED_VALUE"""),59)</f>
        <v>59</v>
      </c>
      <c r="F83" s="67">
        <f ca="1">IFERROR(__xludf.DUMMYFUNCTION("""COMPUTED_VALUE"""),59)</f>
        <v>59</v>
      </c>
      <c r="G83" s="67"/>
      <c r="H83" s="67">
        <f ca="1">IFERROR(__xludf.DUMMYFUNCTION("""COMPUTED_VALUE"""),59)</f>
        <v>59</v>
      </c>
      <c r="I83" s="67"/>
      <c r="J83" s="67">
        <f ca="1">IFERROR(__xludf.DUMMYFUNCTION("""COMPUTED_VALUE"""),53)</f>
        <v>53</v>
      </c>
      <c r="K83" s="67"/>
      <c r="L83" s="67">
        <f ca="1">IFERROR(__xludf.DUMMYFUNCTION("""COMPUTED_VALUE"""),27)</f>
        <v>27</v>
      </c>
      <c r="M83" s="67"/>
      <c r="N83" s="67">
        <f ca="1">IFERROR(__xludf.DUMMYFUNCTION("""COMPUTED_VALUE"""),250)</f>
        <v>250</v>
      </c>
      <c r="O83" s="67">
        <f ca="1">IFERROR(__xludf.DUMMYFUNCTION("""COMPUTED_VALUE"""),250)</f>
        <v>250</v>
      </c>
      <c r="P83" s="67"/>
      <c r="Q83" s="67">
        <f ca="1">IFERROR(__xludf.DUMMYFUNCTION("""COMPUTED_VALUE"""),144)</f>
        <v>144</v>
      </c>
      <c r="R83" s="67"/>
      <c r="S83" s="67">
        <f ca="1">IFERROR(__xludf.DUMMYFUNCTION("""COMPUTED_VALUE"""),1024)</f>
        <v>1024</v>
      </c>
      <c r="T83" s="66">
        <f ca="1">IFERROR(__xludf.DUMMYFUNCTION("""COMPUTED_VALUE"""),1002)</f>
        <v>1002</v>
      </c>
      <c r="U83" s="66"/>
      <c r="V83" s="67">
        <f ca="1">IFERROR(__xludf.DUMMYFUNCTION("""COMPUTED_VALUE"""),1002)</f>
        <v>1002</v>
      </c>
      <c r="W83" s="67"/>
      <c r="X83" s="67">
        <f ca="1">IFERROR(__xludf.DUMMYFUNCTION("""COMPUTED_VALUE"""),248)</f>
        <v>248</v>
      </c>
      <c r="Y83" s="67"/>
      <c r="Z83" s="2"/>
      <c r="AA83" s="2"/>
      <c r="AB83" s="2"/>
      <c r="AC83" s="2"/>
      <c r="AD83" s="2"/>
      <c r="AE83" s="2"/>
    </row>
    <row r="84" spans="1:31" ht="12.75" x14ac:dyDescent="0.2">
      <c r="A84" s="53">
        <f ca="1">IFERROR(__xludf.DUMMYFUNCTION("""COMPUTED_VALUE"""),2)</f>
        <v>2</v>
      </c>
      <c r="B84" s="66" t="str">
        <f ca="1">IFERROR(__xludf.DUMMYFUNCTION("""COMPUTED_VALUE"""),"THCS Khánh Bình")</f>
        <v>THCS Khánh Bình</v>
      </c>
      <c r="C84" s="66" t="str">
        <f ca="1">IFERROR(__xludf.DUMMYFUNCTION("""COMPUTED_VALUE"""),"THCS")</f>
        <v>THCS</v>
      </c>
      <c r="D84" s="66">
        <f ca="1">IFERROR(__xludf.DUMMYFUNCTION("""COMPUTED_VALUE"""),8)</f>
        <v>8</v>
      </c>
      <c r="E84" s="67">
        <f ca="1">IFERROR(__xludf.DUMMYFUNCTION("""COMPUTED_VALUE"""),38)</f>
        <v>38</v>
      </c>
      <c r="F84" s="67">
        <f ca="1">IFERROR(__xludf.DUMMYFUNCTION("""COMPUTED_VALUE"""),38)</f>
        <v>38</v>
      </c>
      <c r="G84" s="67"/>
      <c r="H84" s="67">
        <f ca="1">IFERROR(__xludf.DUMMYFUNCTION("""COMPUTED_VALUE"""),38)</f>
        <v>38</v>
      </c>
      <c r="I84" s="67"/>
      <c r="J84" s="67">
        <f ca="1">IFERROR(__xludf.DUMMYFUNCTION("""COMPUTED_VALUE"""),34)</f>
        <v>34</v>
      </c>
      <c r="K84" s="67"/>
      <c r="L84" s="67">
        <f ca="1">IFERROR(__xludf.DUMMYFUNCTION("""COMPUTED_VALUE"""),18)</f>
        <v>18</v>
      </c>
      <c r="M84" s="67"/>
      <c r="N84" s="67">
        <f ca="1">IFERROR(__xludf.DUMMYFUNCTION("""COMPUTED_VALUE"""),124)</f>
        <v>124</v>
      </c>
      <c r="O84" s="67">
        <f ca="1">IFERROR(__xludf.DUMMYFUNCTION("""COMPUTED_VALUE"""),124)</f>
        <v>124</v>
      </c>
      <c r="P84" s="67"/>
      <c r="Q84" s="67">
        <f ca="1">IFERROR(__xludf.DUMMYFUNCTION("""COMPUTED_VALUE"""),93)</f>
        <v>93</v>
      </c>
      <c r="R84" s="67"/>
      <c r="S84" s="67">
        <f ca="1">IFERROR(__xludf.DUMMYFUNCTION("""COMPUTED_VALUE"""),754)</f>
        <v>754</v>
      </c>
      <c r="T84" s="66">
        <f ca="1">IFERROR(__xludf.DUMMYFUNCTION("""COMPUTED_VALUE"""),754)</f>
        <v>754</v>
      </c>
      <c r="U84" s="66"/>
      <c r="V84" s="67">
        <f ca="1">IFERROR(__xludf.DUMMYFUNCTION("""COMPUTED_VALUE"""),742)</f>
        <v>742</v>
      </c>
      <c r="W84" s="67"/>
      <c r="X84" s="67">
        <f ca="1">IFERROR(__xludf.DUMMYFUNCTION("""COMPUTED_VALUE"""),217)</f>
        <v>217</v>
      </c>
      <c r="Y84" s="67"/>
      <c r="Z84" s="2"/>
      <c r="AA84" s="2"/>
      <c r="AB84" s="2"/>
      <c r="AC84" s="2"/>
      <c r="AD84" s="2"/>
      <c r="AE84" s="2"/>
    </row>
    <row r="85" spans="1:31" ht="12.75" x14ac:dyDescent="0.2">
      <c r="A85" s="53">
        <f ca="1">IFERROR(__xludf.DUMMYFUNCTION("""COMPUTED_VALUE"""),3)</f>
        <v>3</v>
      </c>
      <c r="B85" s="66" t="str">
        <f ca="1">IFERROR(__xludf.DUMMYFUNCTION("""COMPUTED_VALUE"""),"THCS Chánh Hưng")</f>
        <v>THCS Chánh Hưng</v>
      </c>
      <c r="C85" s="66" t="str">
        <f ca="1">IFERROR(__xludf.DUMMYFUNCTION("""COMPUTED_VALUE"""),"THCS")</f>
        <v>THCS</v>
      </c>
      <c r="D85" s="66">
        <f ca="1">IFERROR(__xludf.DUMMYFUNCTION("""COMPUTED_VALUE"""),8)</f>
        <v>8</v>
      </c>
      <c r="E85" s="67">
        <f ca="1">IFERROR(__xludf.DUMMYFUNCTION("""COMPUTED_VALUE"""),107)</f>
        <v>107</v>
      </c>
      <c r="F85" s="67">
        <f ca="1">IFERROR(__xludf.DUMMYFUNCTION("""COMPUTED_VALUE"""),107)</f>
        <v>107</v>
      </c>
      <c r="G85" s="67"/>
      <c r="H85" s="67">
        <f ca="1">IFERROR(__xludf.DUMMYFUNCTION("""COMPUTED_VALUE"""),106)</f>
        <v>106</v>
      </c>
      <c r="I85" s="67"/>
      <c r="J85" s="67">
        <f ca="1">IFERROR(__xludf.DUMMYFUNCTION("""COMPUTED_VALUE"""),101)</f>
        <v>101</v>
      </c>
      <c r="K85" s="67"/>
      <c r="L85" s="67">
        <f ca="1">IFERROR(__xludf.DUMMYFUNCTION("""COMPUTED_VALUE"""),37)</f>
        <v>37</v>
      </c>
      <c r="M85" s="67"/>
      <c r="N85" s="67">
        <f ca="1">IFERROR(__xludf.DUMMYFUNCTION("""COMPUTED_VALUE"""),193)</f>
        <v>193</v>
      </c>
      <c r="O85" s="67">
        <f ca="1">IFERROR(__xludf.DUMMYFUNCTION("""COMPUTED_VALUE"""),193)</f>
        <v>193</v>
      </c>
      <c r="P85" s="67"/>
      <c r="Q85" s="67">
        <f ca="1">IFERROR(__xludf.DUMMYFUNCTION("""COMPUTED_VALUE"""),104)</f>
        <v>104</v>
      </c>
      <c r="R85" s="67"/>
      <c r="S85" s="67">
        <f ca="1">IFERROR(__xludf.DUMMYFUNCTION("""COMPUTED_VALUE"""),2429)</f>
        <v>2429</v>
      </c>
      <c r="T85" s="67">
        <f ca="1">IFERROR(__xludf.DUMMYFUNCTION("""COMPUTED_VALUE"""),2429)</f>
        <v>2429</v>
      </c>
      <c r="U85" s="67"/>
      <c r="V85" s="67">
        <f ca="1">IFERROR(__xludf.DUMMYFUNCTION("""COMPUTED_VALUE"""),2339)</f>
        <v>2339</v>
      </c>
      <c r="W85" s="67"/>
      <c r="X85" s="67">
        <f ca="1">IFERROR(__xludf.DUMMYFUNCTION("""COMPUTED_VALUE"""),562)</f>
        <v>562</v>
      </c>
      <c r="Y85" s="67"/>
      <c r="Z85" s="2"/>
      <c r="AA85" s="2"/>
      <c r="AB85" s="2"/>
      <c r="AC85" s="2"/>
      <c r="AD85" s="2"/>
      <c r="AE85" s="2"/>
    </row>
    <row r="86" spans="1:31" ht="12.75" x14ac:dyDescent="0.2">
      <c r="A86" s="53">
        <f ca="1">IFERROR(__xludf.DUMMYFUNCTION("""COMPUTED_VALUE"""),4)</f>
        <v>4</v>
      </c>
      <c r="B86" s="66" t="str">
        <f ca="1">IFERROR(__xludf.DUMMYFUNCTION("""COMPUTED_VALUE"""),"THCS Sương Nguyệt Anh")</f>
        <v>THCS Sương Nguyệt Anh</v>
      </c>
      <c r="C86" s="66" t="str">
        <f ca="1">IFERROR(__xludf.DUMMYFUNCTION("""COMPUTED_VALUE"""),"THCS")</f>
        <v>THCS</v>
      </c>
      <c r="D86" s="66">
        <f ca="1">IFERROR(__xludf.DUMMYFUNCTION("""COMPUTED_VALUE"""),8)</f>
        <v>8</v>
      </c>
      <c r="E86" s="67">
        <f ca="1">IFERROR(__xludf.DUMMYFUNCTION("""COMPUTED_VALUE"""),61)</f>
        <v>61</v>
      </c>
      <c r="F86" s="67">
        <f ca="1">IFERROR(__xludf.DUMMYFUNCTION("""COMPUTED_VALUE"""),61)</f>
        <v>61</v>
      </c>
      <c r="G86" s="67"/>
      <c r="H86" s="67">
        <f ca="1">IFERROR(__xludf.DUMMYFUNCTION("""COMPUTED_VALUE"""),61)</f>
        <v>61</v>
      </c>
      <c r="I86" s="67"/>
      <c r="J86" s="67">
        <f ca="1">IFERROR(__xludf.DUMMYFUNCTION("""COMPUTED_VALUE"""),60)</f>
        <v>60</v>
      </c>
      <c r="K86" s="67"/>
      <c r="L86" s="67">
        <f ca="1">IFERROR(__xludf.DUMMYFUNCTION("""COMPUTED_VALUE"""),25)</f>
        <v>25</v>
      </c>
      <c r="M86" s="67"/>
      <c r="N86" s="67">
        <f ca="1">IFERROR(__xludf.DUMMYFUNCTION("""COMPUTED_VALUE"""),108)</f>
        <v>108</v>
      </c>
      <c r="O86" s="67">
        <f ca="1">IFERROR(__xludf.DUMMYFUNCTION("""COMPUTED_VALUE"""),104)</f>
        <v>104</v>
      </c>
      <c r="P86" s="67"/>
      <c r="Q86" s="67">
        <f ca="1">IFERROR(__xludf.DUMMYFUNCTION("""COMPUTED_VALUE"""),74)</f>
        <v>74</v>
      </c>
      <c r="R86" s="67"/>
      <c r="S86" s="67">
        <f ca="1">IFERROR(__xludf.DUMMYFUNCTION("""COMPUTED_VALUE"""),1154)</f>
        <v>1154</v>
      </c>
      <c r="T86" s="66">
        <f ca="1">IFERROR(__xludf.DUMMYFUNCTION("""COMPUTED_VALUE"""),1116)</f>
        <v>1116</v>
      </c>
      <c r="U86" s="66"/>
      <c r="V86" s="67">
        <f ca="1">IFERROR(__xludf.DUMMYFUNCTION("""COMPUTED_VALUE"""),1032)</f>
        <v>1032</v>
      </c>
      <c r="W86" s="67"/>
      <c r="X86" s="67">
        <f ca="1">IFERROR(__xludf.DUMMYFUNCTION("""COMPUTED_VALUE"""),286)</f>
        <v>286</v>
      </c>
      <c r="Y86" s="67"/>
      <c r="Z86" s="2"/>
      <c r="AA86" s="2"/>
      <c r="AB86" s="2"/>
      <c r="AC86" s="2"/>
      <c r="AD86" s="2"/>
      <c r="AE86" s="2"/>
    </row>
    <row r="87" spans="1:31" ht="12.75" x14ac:dyDescent="0.2">
      <c r="A87" s="53">
        <f ca="1">IFERROR(__xludf.DUMMYFUNCTION("""COMPUTED_VALUE"""),5)</f>
        <v>5</v>
      </c>
      <c r="B87" s="66" t="str">
        <f ca="1">IFERROR(__xludf.DUMMYFUNCTION("""COMPUTED_VALUE"""),"THCS Phan Đăng Lưu")</f>
        <v>THCS Phan Đăng Lưu</v>
      </c>
      <c r="C87" s="66" t="str">
        <f ca="1">IFERROR(__xludf.DUMMYFUNCTION("""COMPUTED_VALUE"""),"THCS")</f>
        <v>THCS</v>
      </c>
      <c r="D87" s="66">
        <f ca="1">IFERROR(__xludf.DUMMYFUNCTION("""COMPUTED_VALUE"""),8)</f>
        <v>8</v>
      </c>
      <c r="E87" s="67">
        <f ca="1">IFERROR(__xludf.DUMMYFUNCTION("""COMPUTED_VALUE"""),39)</f>
        <v>39</v>
      </c>
      <c r="F87" s="67">
        <f ca="1">IFERROR(__xludf.DUMMYFUNCTION("""COMPUTED_VALUE"""),39)</f>
        <v>39</v>
      </c>
      <c r="G87" s="67"/>
      <c r="H87" s="67">
        <f ca="1">IFERROR(__xludf.DUMMYFUNCTION("""COMPUTED_VALUE"""),39)</f>
        <v>39</v>
      </c>
      <c r="I87" s="67"/>
      <c r="J87" s="67">
        <f ca="1">IFERROR(__xludf.DUMMYFUNCTION("""COMPUTED_VALUE"""),38)</f>
        <v>38</v>
      </c>
      <c r="K87" s="67"/>
      <c r="L87" s="67">
        <f ca="1">IFERROR(__xludf.DUMMYFUNCTION("""COMPUTED_VALUE"""),21)</f>
        <v>21</v>
      </c>
      <c r="M87" s="67"/>
      <c r="N87" s="67">
        <f ca="1">IFERROR(__xludf.DUMMYFUNCTION("""COMPUTED_VALUE"""),195)</f>
        <v>195</v>
      </c>
      <c r="O87" s="67">
        <f ca="1">IFERROR(__xludf.DUMMYFUNCTION("""COMPUTED_VALUE"""),195)</f>
        <v>195</v>
      </c>
      <c r="P87" s="67"/>
      <c r="Q87" s="67">
        <f ca="1">IFERROR(__xludf.DUMMYFUNCTION("""COMPUTED_VALUE"""),108)</f>
        <v>108</v>
      </c>
      <c r="R87" s="67"/>
      <c r="S87" s="67">
        <f ca="1">IFERROR(__xludf.DUMMYFUNCTION("""COMPUTED_VALUE"""),659)</f>
        <v>659</v>
      </c>
      <c r="T87" s="67">
        <f ca="1">IFERROR(__xludf.DUMMYFUNCTION("""COMPUTED_VALUE"""),659)</f>
        <v>659</v>
      </c>
      <c r="U87" s="67"/>
      <c r="V87" s="67">
        <f ca="1">IFERROR(__xludf.DUMMYFUNCTION("""COMPUTED_VALUE"""),659)</f>
        <v>659</v>
      </c>
      <c r="W87" s="67"/>
      <c r="X87" s="67">
        <f ca="1">IFERROR(__xludf.DUMMYFUNCTION("""COMPUTED_VALUE"""),179)</f>
        <v>179</v>
      </c>
      <c r="Y87" s="67"/>
      <c r="Z87" s="2"/>
      <c r="AA87" s="2"/>
      <c r="AB87" s="2"/>
      <c r="AC87" s="2"/>
      <c r="AD87" s="2"/>
      <c r="AE87" s="2"/>
    </row>
    <row r="88" spans="1:31" ht="12.75" x14ac:dyDescent="0.2">
      <c r="A88" s="53">
        <f ca="1">IFERROR(__xludf.DUMMYFUNCTION("""COMPUTED_VALUE"""),6)</f>
        <v>6</v>
      </c>
      <c r="B88" s="66" t="str">
        <f ca="1">IFERROR(__xludf.DUMMYFUNCTION("""COMPUTED_VALUE"""),"THCS Bình An")</f>
        <v>THCS Bình An</v>
      </c>
      <c r="C88" s="66" t="str">
        <f ca="1">IFERROR(__xludf.DUMMYFUNCTION("""COMPUTED_VALUE"""),"THCS")</f>
        <v>THCS</v>
      </c>
      <c r="D88" s="66">
        <f ca="1">IFERROR(__xludf.DUMMYFUNCTION("""COMPUTED_VALUE"""),8)</f>
        <v>8</v>
      </c>
      <c r="E88" s="67">
        <f ca="1">IFERROR(__xludf.DUMMYFUNCTION("""COMPUTED_VALUE"""),58)</f>
        <v>58</v>
      </c>
      <c r="F88" s="67">
        <f ca="1">IFERROR(__xludf.DUMMYFUNCTION("""COMPUTED_VALUE"""),58)</f>
        <v>58</v>
      </c>
      <c r="G88" s="67"/>
      <c r="H88" s="67">
        <f ca="1">IFERROR(__xludf.DUMMYFUNCTION("""COMPUTED_VALUE"""),58)</f>
        <v>58</v>
      </c>
      <c r="I88" s="67"/>
      <c r="J88" s="67">
        <f ca="1">IFERROR(__xludf.DUMMYFUNCTION("""COMPUTED_VALUE"""),51)</f>
        <v>51</v>
      </c>
      <c r="K88" s="67"/>
      <c r="L88" s="67">
        <f ca="1">IFERROR(__xludf.DUMMYFUNCTION("""COMPUTED_VALUE"""),26)</f>
        <v>26</v>
      </c>
      <c r="M88" s="67"/>
      <c r="N88" s="67">
        <f ca="1">IFERROR(__xludf.DUMMYFUNCTION("""COMPUTED_VALUE"""),63)</f>
        <v>63</v>
      </c>
      <c r="O88" s="67">
        <f ca="1">IFERROR(__xludf.DUMMYFUNCTION("""COMPUTED_VALUE"""),46)</f>
        <v>46</v>
      </c>
      <c r="P88" s="67"/>
      <c r="Q88" s="67">
        <f ca="1">IFERROR(__xludf.DUMMYFUNCTION("""COMPUTED_VALUE"""),20)</f>
        <v>20</v>
      </c>
      <c r="R88" s="67"/>
      <c r="S88" s="66">
        <f ca="1">IFERROR(__xludf.DUMMYFUNCTION("""COMPUTED_VALUE"""),1092)</f>
        <v>1092</v>
      </c>
      <c r="T88" s="66">
        <f ca="1">IFERROR(__xludf.DUMMYFUNCTION("""COMPUTED_VALUE"""),1061)</f>
        <v>1061</v>
      </c>
      <c r="U88" s="66"/>
      <c r="V88" s="66">
        <f ca="1">IFERROR(__xludf.DUMMYFUNCTION("""COMPUTED_VALUE"""),977)</f>
        <v>977</v>
      </c>
      <c r="W88" s="66"/>
      <c r="X88" s="66">
        <f ca="1">IFERROR(__xludf.DUMMYFUNCTION("""COMPUTED_VALUE"""),265)</f>
        <v>265</v>
      </c>
      <c r="Y88" s="66"/>
      <c r="Z88" s="2"/>
      <c r="AA88" s="2"/>
      <c r="AB88" s="2"/>
      <c r="AC88" s="2"/>
      <c r="AD88" s="2"/>
      <c r="AE88" s="2"/>
    </row>
    <row r="89" spans="1:31" ht="12.75" x14ac:dyDescent="0.2">
      <c r="A89" s="53">
        <f ca="1">IFERROR(__xludf.DUMMYFUNCTION("""COMPUTED_VALUE"""),7)</f>
        <v>7</v>
      </c>
      <c r="B89" s="66" t="str">
        <f ca="1">IFERROR(__xludf.DUMMYFUNCTION("""COMPUTED_VALUE"""),"THCS Phú Lợi")</f>
        <v>THCS Phú Lợi</v>
      </c>
      <c r="C89" s="66" t="str">
        <f ca="1">IFERROR(__xludf.DUMMYFUNCTION("""COMPUTED_VALUE"""),"THCS")</f>
        <v>THCS</v>
      </c>
      <c r="D89" s="66">
        <f ca="1">IFERROR(__xludf.DUMMYFUNCTION("""COMPUTED_VALUE"""),8)</f>
        <v>8</v>
      </c>
      <c r="E89" s="67">
        <f ca="1">IFERROR(__xludf.DUMMYFUNCTION("""COMPUTED_VALUE"""),40)</f>
        <v>40</v>
      </c>
      <c r="F89" s="67">
        <f ca="1">IFERROR(__xludf.DUMMYFUNCTION("""COMPUTED_VALUE"""),40)</f>
        <v>40</v>
      </c>
      <c r="G89" s="67"/>
      <c r="H89" s="67">
        <f ca="1">IFERROR(__xludf.DUMMYFUNCTION("""COMPUTED_VALUE"""),40)</f>
        <v>40</v>
      </c>
      <c r="I89" s="67"/>
      <c r="J89" s="67">
        <f ca="1">IFERROR(__xludf.DUMMYFUNCTION("""COMPUTED_VALUE"""),40)</f>
        <v>40</v>
      </c>
      <c r="K89" s="67"/>
      <c r="L89" s="67">
        <f ca="1">IFERROR(__xludf.DUMMYFUNCTION("""COMPUTED_VALUE"""),10)</f>
        <v>10</v>
      </c>
      <c r="M89" s="67"/>
      <c r="N89" s="67">
        <f ca="1">IFERROR(__xludf.DUMMYFUNCTION("""COMPUTED_VALUE"""),403)</f>
        <v>403</v>
      </c>
      <c r="O89" s="67">
        <f ca="1">IFERROR(__xludf.DUMMYFUNCTION("""COMPUTED_VALUE"""),326)</f>
        <v>326</v>
      </c>
      <c r="P89" s="67"/>
      <c r="Q89" s="67">
        <f ca="1">IFERROR(__xludf.DUMMYFUNCTION("""COMPUTED_VALUE"""),150)</f>
        <v>150</v>
      </c>
      <c r="R89" s="67"/>
      <c r="S89" s="67">
        <f ca="1">IFERROR(__xludf.DUMMYFUNCTION("""COMPUTED_VALUE"""),634)</f>
        <v>634</v>
      </c>
      <c r="T89" s="66">
        <f ca="1">IFERROR(__xludf.DUMMYFUNCTION("""COMPUTED_VALUE"""),526)</f>
        <v>526</v>
      </c>
      <c r="U89" s="66"/>
      <c r="V89" s="67">
        <f ca="1">IFERROR(__xludf.DUMMYFUNCTION("""COMPUTED_VALUE"""),526)</f>
        <v>526</v>
      </c>
      <c r="W89" s="67"/>
      <c r="X89" s="67">
        <f ca="1">IFERROR(__xludf.DUMMYFUNCTION("""COMPUTED_VALUE"""),8)</f>
        <v>8</v>
      </c>
      <c r="Y89" s="67"/>
      <c r="Z89" s="2"/>
      <c r="AA89" s="2"/>
      <c r="AB89" s="2"/>
      <c r="AC89" s="2"/>
      <c r="AD89" s="2"/>
      <c r="AE89" s="2"/>
    </row>
    <row r="90" spans="1:31" ht="12.75" x14ac:dyDescent="0.2">
      <c r="A90" s="53">
        <f ca="1">IFERROR(__xludf.DUMMYFUNCTION("""COMPUTED_VALUE"""),8)</f>
        <v>8</v>
      </c>
      <c r="B90" s="66" t="str">
        <f ca="1">IFERROR(__xludf.DUMMYFUNCTION("""COMPUTED_VALUE"""),"THCS Trần Danh Ninh")</f>
        <v>THCS Trần Danh Ninh</v>
      </c>
      <c r="C90" s="66" t="str">
        <f ca="1">IFERROR(__xludf.DUMMYFUNCTION("""COMPUTED_VALUE"""),"THCS")</f>
        <v>THCS</v>
      </c>
      <c r="D90" s="66">
        <f ca="1">IFERROR(__xludf.DUMMYFUNCTION("""COMPUTED_VALUE"""),8)</f>
        <v>8</v>
      </c>
      <c r="E90" s="67">
        <f ca="1">IFERROR(__xludf.DUMMYFUNCTION("""COMPUTED_VALUE"""),42)</f>
        <v>42</v>
      </c>
      <c r="F90" s="67">
        <f ca="1">IFERROR(__xludf.DUMMYFUNCTION("""COMPUTED_VALUE"""),42)</f>
        <v>42</v>
      </c>
      <c r="G90" s="67"/>
      <c r="H90" s="67">
        <f ca="1">IFERROR(__xludf.DUMMYFUNCTION("""COMPUTED_VALUE"""),42)</f>
        <v>42</v>
      </c>
      <c r="I90" s="67"/>
      <c r="J90" s="67">
        <f ca="1">IFERROR(__xludf.DUMMYFUNCTION("""COMPUTED_VALUE"""),36)</f>
        <v>36</v>
      </c>
      <c r="K90" s="67"/>
      <c r="L90" s="67">
        <f ca="1">IFERROR(__xludf.DUMMYFUNCTION("""COMPUTED_VALUE"""),17)</f>
        <v>17</v>
      </c>
      <c r="M90" s="67"/>
      <c r="N90" s="67">
        <f ca="1">IFERROR(__xludf.DUMMYFUNCTION("""COMPUTED_VALUE"""),0)</f>
        <v>0</v>
      </c>
      <c r="O90" s="67">
        <f ca="1">IFERROR(__xludf.DUMMYFUNCTION("""COMPUTED_VALUE"""),0)</f>
        <v>0</v>
      </c>
      <c r="P90" s="67"/>
      <c r="Q90" s="66"/>
      <c r="R90" s="66"/>
      <c r="S90" s="67">
        <f ca="1">IFERROR(__xludf.DUMMYFUNCTION("""COMPUTED_VALUE"""),738)</f>
        <v>738</v>
      </c>
      <c r="T90" s="67">
        <f ca="1">IFERROR(__xludf.DUMMYFUNCTION("""COMPUTED_VALUE"""),741)</f>
        <v>741</v>
      </c>
      <c r="U90" s="67"/>
      <c r="V90" s="67">
        <f ca="1">IFERROR(__xludf.DUMMYFUNCTION("""COMPUTED_VALUE"""),612)</f>
        <v>612</v>
      </c>
      <c r="W90" s="67"/>
      <c r="X90" s="67">
        <f ca="1">IFERROR(__xludf.DUMMYFUNCTION("""COMPUTED_VALUE"""),112)</f>
        <v>112</v>
      </c>
      <c r="Y90" s="67"/>
      <c r="Z90" s="2"/>
      <c r="AA90" s="2"/>
      <c r="AB90" s="2"/>
      <c r="AC90" s="2"/>
      <c r="AD90" s="2"/>
      <c r="AE90" s="2"/>
    </row>
    <row r="91" spans="1:31" ht="12.75" x14ac:dyDescent="0.2">
      <c r="A91" s="53">
        <f ca="1">IFERROR(__xludf.DUMMYFUNCTION("""COMPUTED_VALUE"""),9)</f>
        <v>9</v>
      </c>
      <c r="B91" s="66" t="str">
        <f ca="1">IFERROR(__xludf.DUMMYFUNCTION("""COMPUTED_VALUE"""),"THCS Lý Thánh Tông")</f>
        <v>THCS Lý Thánh Tông</v>
      </c>
      <c r="C91" s="66" t="str">
        <f ca="1">IFERROR(__xludf.DUMMYFUNCTION("""COMPUTED_VALUE"""),"THCS")</f>
        <v>THCS</v>
      </c>
      <c r="D91" s="66">
        <f ca="1">IFERROR(__xludf.DUMMYFUNCTION("""COMPUTED_VALUE"""),8)</f>
        <v>8</v>
      </c>
      <c r="E91" s="67">
        <f ca="1">IFERROR(__xludf.DUMMYFUNCTION("""COMPUTED_VALUE"""),73)</f>
        <v>73</v>
      </c>
      <c r="F91" s="67">
        <f ca="1">IFERROR(__xludf.DUMMYFUNCTION("""COMPUTED_VALUE"""),73)</f>
        <v>73</v>
      </c>
      <c r="G91" s="67"/>
      <c r="H91" s="67">
        <f ca="1">IFERROR(__xludf.DUMMYFUNCTION("""COMPUTED_VALUE"""),73)</f>
        <v>73</v>
      </c>
      <c r="I91" s="67"/>
      <c r="J91" s="67">
        <f ca="1">IFERROR(__xludf.DUMMYFUNCTION("""COMPUTED_VALUE"""),73)</f>
        <v>73</v>
      </c>
      <c r="K91" s="67"/>
      <c r="L91" s="67">
        <f ca="1">IFERROR(__xludf.DUMMYFUNCTION("""COMPUTED_VALUE"""),67)</f>
        <v>67</v>
      </c>
      <c r="M91" s="67"/>
      <c r="N91" s="67">
        <f ca="1">IFERROR(__xludf.DUMMYFUNCTION("""COMPUTED_VALUE"""),272)</f>
        <v>272</v>
      </c>
      <c r="O91" s="67">
        <f ca="1">IFERROR(__xludf.DUMMYFUNCTION("""COMPUTED_VALUE"""),272)</f>
        <v>272</v>
      </c>
      <c r="P91" s="67"/>
      <c r="Q91" s="67">
        <f ca="1">IFERROR(__xludf.DUMMYFUNCTION("""COMPUTED_VALUE"""),215)</f>
        <v>215</v>
      </c>
      <c r="R91" s="67"/>
      <c r="S91" s="67">
        <f ca="1">IFERROR(__xludf.DUMMYFUNCTION("""COMPUTED_VALUE"""),861)</f>
        <v>861</v>
      </c>
      <c r="T91" s="67">
        <f ca="1">IFERROR(__xludf.DUMMYFUNCTION("""COMPUTED_VALUE"""),861)</f>
        <v>861</v>
      </c>
      <c r="U91" s="67"/>
      <c r="V91" s="67">
        <f ca="1">IFERROR(__xludf.DUMMYFUNCTION("""COMPUTED_VALUE"""),861)</f>
        <v>861</v>
      </c>
      <c r="W91" s="67"/>
      <c r="X91" s="67">
        <f ca="1">IFERROR(__xludf.DUMMYFUNCTION("""COMPUTED_VALUE"""),681)</f>
        <v>681</v>
      </c>
      <c r="Y91" s="67"/>
      <c r="Z91" s="2"/>
      <c r="AA91" s="2"/>
      <c r="AB91" s="2"/>
      <c r="AC91" s="2"/>
      <c r="AD91" s="2"/>
      <c r="AE91" s="2"/>
    </row>
    <row r="92" spans="1:31" ht="12.75" x14ac:dyDescent="0.2">
      <c r="A92" s="53">
        <f ca="1">IFERROR(__xludf.DUMMYFUNCTION("""COMPUTED_VALUE"""),10)</f>
        <v>10</v>
      </c>
      <c r="B92" s="66" t="str">
        <f ca="1">IFERROR(__xludf.DUMMYFUNCTION("""COMPUTED_VALUE"""),"THCS Tùng Thiện Vương")</f>
        <v>THCS Tùng Thiện Vương</v>
      </c>
      <c r="C92" s="66" t="str">
        <f ca="1">IFERROR(__xludf.DUMMYFUNCTION("""COMPUTED_VALUE"""),"THCS")</f>
        <v>THCS</v>
      </c>
      <c r="D92" s="66">
        <f ca="1">IFERROR(__xludf.DUMMYFUNCTION("""COMPUTED_VALUE"""),8)</f>
        <v>8</v>
      </c>
      <c r="E92" s="67">
        <f ca="1">IFERROR(__xludf.DUMMYFUNCTION("""COMPUTED_VALUE"""),84)</f>
        <v>84</v>
      </c>
      <c r="F92" s="67">
        <f ca="1">IFERROR(__xludf.DUMMYFUNCTION("""COMPUTED_VALUE"""),81)</f>
        <v>81</v>
      </c>
      <c r="G92" s="67"/>
      <c r="H92" s="67">
        <f ca="1">IFERROR(__xludf.DUMMYFUNCTION("""COMPUTED_VALUE"""),81)</f>
        <v>81</v>
      </c>
      <c r="I92" s="67"/>
      <c r="J92" s="67">
        <f ca="1">IFERROR(__xludf.DUMMYFUNCTION("""COMPUTED_VALUE"""),81)</f>
        <v>81</v>
      </c>
      <c r="K92" s="67"/>
      <c r="L92" s="67">
        <f ca="1">IFERROR(__xludf.DUMMYFUNCTION("""COMPUTED_VALUE"""),80)</f>
        <v>80</v>
      </c>
      <c r="M92" s="67"/>
      <c r="N92" s="67">
        <f ca="1">IFERROR(__xludf.DUMMYFUNCTION("""COMPUTED_VALUE"""),153)</f>
        <v>153</v>
      </c>
      <c r="O92" s="67">
        <f ca="1">IFERROR(__xludf.DUMMYFUNCTION("""COMPUTED_VALUE"""),109)</f>
        <v>109</v>
      </c>
      <c r="P92" s="67"/>
      <c r="Q92" s="67">
        <f ca="1">IFERROR(__xludf.DUMMYFUNCTION("""COMPUTED_VALUE"""),81)</f>
        <v>81</v>
      </c>
      <c r="R92" s="67"/>
      <c r="S92" s="66">
        <f ca="1">IFERROR(__xludf.DUMMYFUNCTION("""COMPUTED_VALUE"""),1960)</f>
        <v>1960</v>
      </c>
      <c r="T92" s="66">
        <f ca="1">IFERROR(__xludf.DUMMYFUNCTION("""COMPUTED_VALUE"""),1866)</f>
        <v>1866</v>
      </c>
      <c r="U92" s="66"/>
      <c r="V92" s="66">
        <f ca="1">IFERROR(__xludf.DUMMYFUNCTION("""COMPUTED_VALUE"""),1791)</f>
        <v>1791</v>
      </c>
      <c r="W92" s="66"/>
      <c r="X92" s="66">
        <f ca="1">IFERROR(__xludf.DUMMYFUNCTION("""COMPUTED_VALUE"""),456)</f>
        <v>456</v>
      </c>
      <c r="Y92" s="66"/>
      <c r="Z92" s="2"/>
      <c r="AA92" s="2"/>
      <c r="AB92" s="2"/>
      <c r="AC92" s="2"/>
      <c r="AD92" s="2"/>
      <c r="AE92" s="2"/>
    </row>
    <row r="93" spans="1:31" ht="12.75" x14ac:dyDescent="0.2">
      <c r="A93" s="53">
        <f ca="1">IFERROR(__xludf.DUMMYFUNCTION("""COMPUTED_VALUE"""),11)</f>
        <v>11</v>
      </c>
      <c r="B93" s="66" t="str">
        <f ca="1">IFERROR(__xludf.DUMMYFUNCTION("""COMPUTED_VALUE"""),"THCS Lê Lai")</f>
        <v>THCS Lê Lai</v>
      </c>
      <c r="C93" s="66" t="str">
        <f ca="1">IFERROR(__xludf.DUMMYFUNCTION("""COMPUTED_VALUE"""),"THCS")</f>
        <v>THCS</v>
      </c>
      <c r="D93" s="66">
        <f ca="1">IFERROR(__xludf.DUMMYFUNCTION("""COMPUTED_VALUE"""),8)</f>
        <v>8</v>
      </c>
      <c r="E93" s="67">
        <f ca="1">IFERROR(__xludf.DUMMYFUNCTION("""COMPUTED_VALUE"""),72)</f>
        <v>72</v>
      </c>
      <c r="F93" s="67">
        <f ca="1">IFERROR(__xludf.DUMMYFUNCTION("""COMPUTED_VALUE"""),71)</f>
        <v>71</v>
      </c>
      <c r="G93" s="67"/>
      <c r="H93" s="67">
        <f ca="1">IFERROR(__xludf.DUMMYFUNCTION("""COMPUTED_VALUE"""),70)</f>
        <v>70</v>
      </c>
      <c r="I93" s="67"/>
      <c r="J93" s="67">
        <f ca="1">IFERROR(__xludf.DUMMYFUNCTION("""COMPUTED_VALUE"""),68)</f>
        <v>68</v>
      </c>
      <c r="K93" s="67"/>
      <c r="L93" s="67">
        <f ca="1">IFERROR(__xludf.DUMMYFUNCTION("""COMPUTED_VALUE"""),7)</f>
        <v>7</v>
      </c>
      <c r="M93" s="67"/>
      <c r="N93" s="67">
        <f ca="1">IFERROR(__xludf.DUMMYFUNCTION("""COMPUTED_VALUE"""),314)</f>
        <v>314</v>
      </c>
      <c r="O93" s="67">
        <f ca="1">IFERROR(__xludf.DUMMYFUNCTION("""COMPUTED_VALUE"""),314)</f>
        <v>314</v>
      </c>
      <c r="P93" s="67"/>
      <c r="Q93" s="66">
        <f ca="1">IFERROR(__xludf.DUMMYFUNCTION("""COMPUTED_VALUE"""),156)</f>
        <v>156</v>
      </c>
      <c r="R93" s="66"/>
      <c r="S93" s="66">
        <f ca="1">IFERROR(__xludf.DUMMYFUNCTION("""COMPUTED_VALUE"""),1429)</f>
        <v>1429</v>
      </c>
      <c r="T93" s="66">
        <f ca="1">IFERROR(__xludf.DUMMYFUNCTION("""COMPUTED_VALUE"""),1354)</f>
        <v>1354</v>
      </c>
      <c r="U93" s="66"/>
      <c r="V93" s="66">
        <f ca="1">IFERROR(__xludf.DUMMYFUNCTION("""COMPUTED_VALUE"""),1295)</f>
        <v>1295</v>
      </c>
      <c r="W93" s="66"/>
      <c r="X93" s="66">
        <f ca="1">IFERROR(__xludf.DUMMYFUNCTION("""COMPUTED_VALUE"""),545)</f>
        <v>545</v>
      </c>
      <c r="Y93" s="66"/>
      <c r="Z93" s="2"/>
      <c r="AA93" s="2"/>
      <c r="AB93" s="2"/>
      <c r="AC93" s="2"/>
      <c r="AD93" s="2"/>
      <c r="AE93" s="2"/>
    </row>
    <row r="94" spans="1:31" ht="12.75" x14ac:dyDescent="0.2">
      <c r="A94" s="53">
        <f ca="1">IFERROR(__xludf.DUMMYFUNCTION("""COMPUTED_VALUE"""),12)</f>
        <v>12</v>
      </c>
      <c r="B94" s="66" t="str">
        <f ca="1">IFERROR(__xludf.DUMMYFUNCTION("""COMPUTED_VALUE"""),"THCS Bình Đông")</f>
        <v>THCS Bình Đông</v>
      </c>
      <c r="C94" s="66" t="str">
        <f ca="1">IFERROR(__xludf.DUMMYFUNCTION("""COMPUTED_VALUE"""),"THCS")</f>
        <v>THCS</v>
      </c>
      <c r="D94" s="66">
        <f ca="1">IFERROR(__xludf.DUMMYFUNCTION("""COMPUTED_VALUE"""),8)</f>
        <v>8</v>
      </c>
      <c r="E94" s="67">
        <f ca="1">IFERROR(__xludf.DUMMYFUNCTION("""COMPUTED_VALUE"""),65)</f>
        <v>65</v>
      </c>
      <c r="F94" s="67">
        <f ca="1">IFERROR(__xludf.DUMMYFUNCTION("""COMPUTED_VALUE"""),65)</f>
        <v>65</v>
      </c>
      <c r="G94" s="67"/>
      <c r="H94" s="67">
        <f ca="1">IFERROR(__xludf.DUMMYFUNCTION("""COMPUTED_VALUE"""),65)</f>
        <v>65</v>
      </c>
      <c r="I94" s="67"/>
      <c r="J94" s="67">
        <f ca="1">IFERROR(__xludf.DUMMYFUNCTION("""COMPUTED_VALUE"""),59)</f>
        <v>59</v>
      </c>
      <c r="K94" s="67"/>
      <c r="L94" s="67">
        <f ca="1">IFERROR(__xludf.DUMMYFUNCTION("""COMPUTED_VALUE"""),28)</f>
        <v>28</v>
      </c>
      <c r="M94" s="67"/>
      <c r="N94" s="67">
        <f ca="1">IFERROR(__xludf.DUMMYFUNCTION("""COMPUTED_VALUE"""),0)</f>
        <v>0</v>
      </c>
      <c r="O94" s="67">
        <f ca="1">IFERROR(__xludf.DUMMYFUNCTION("""COMPUTED_VALUE"""),0)</f>
        <v>0</v>
      </c>
      <c r="P94" s="67"/>
      <c r="Q94" s="66"/>
      <c r="R94" s="66"/>
      <c r="S94" s="66">
        <f ca="1">IFERROR(__xludf.DUMMYFUNCTION("""COMPUTED_VALUE"""),1392)</f>
        <v>1392</v>
      </c>
      <c r="T94" s="66">
        <f ca="1">IFERROR(__xludf.DUMMYFUNCTION("""COMPUTED_VALUE"""),1308)</f>
        <v>1308</v>
      </c>
      <c r="U94" s="66"/>
      <c r="V94" s="66">
        <f ca="1">IFERROR(__xludf.DUMMYFUNCTION("""COMPUTED_VALUE"""),1243)</f>
        <v>1243</v>
      </c>
      <c r="W94" s="66"/>
      <c r="X94" s="66">
        <f ca="1">IFERROR(__xludf.DUMMYFUNCTION("""COMPUTED_VALUE"""),278)</f>
        <v>278</v>
      </c>
      <c r="Y94" s="66"/>
      <c r="Z94" s="2"/>
      <c r="AA94" s="2"/>
      <c r="AB94" s="2"/>
      <c r="AC94" s="2"/>
      <c r="AD94" s="2"/>
      <c r="AE94" s="2"/>
    </row>
    <row r="95" spans="1:31" ht="12.75" x14ac:dyDescent="0.2">
      <c r="A95" s="53" t="str">
        <f ca="1">IFERROR(__xludf.DUMMYFUNCTION("""COMPUTED_VALUE"""),"THPT")</f>
        <v>THPT</v>
      </c>
      <c r="B95" s="66"/>
      <c r="C95" s="66"/>
      <c r="D95" s="66">
        <f ca="1">IFERROR(__xludf.DUMMYFUNCTION("""COMPUTED_VALUE"""),8)</f>
        <v>8</v>
      </c>
      <c r="E95" s="67">
        <f ca="1">IFERROR(__xludf.DUMMYFUNCTION("""COMPUTED_VALUE"""),609)</f>
        <v>609</v>
      </c>
      <c r="F95" s="67">
        <f ca="1">IFERROR(__xludf.DUMMYFUNCTION("""COMPUTED_VALUE"""),609)</f>
        <v>609</v>
      </c>
      <c r="G95" s="67"/>
      <c r="H95" s="67">
        <f ca="1">IFERROR(__xludf.DUMMYFUNCTION("""COMPUTED_VALUE"""),609)</f>
        <v>609</v>
      </c>
      <c r="I95" s="67"/>
      <c r="J95" s="67">
        <f ca="1">IFERROR(__xludf.DUMMYFUNCTION("""COMPUTED_VALUE"""),542)</f>
        <v>542</v>
      </c>
      <c r="K95" s="67"/>
      <c r="L95" s="67">
        <f ca="1">IFERROR(__xludf.DUMMYFUNCTION("""COMPUTED_VALUE"""),239)</f>
        <v>239</v>
      </c>
      <c r="M95" s="67"/>
      <c r="N95" s="67">
        <f ca="1">IFERROR(__xludf.DUMMYFUNCTION("""COMPUTED_VALUE"""),66)</f>
        <v>66</v>
      </c>
      <c r="O95" s="67">
        <f ca="1">IFERROR(__xludf.DUMMYFUNCTION("""COMPUTED_VALUE"""),50)</f>
        <v>50</v>
      </c>
      <c r="P95" s="67"/>
      <c r="Q95" s="67">
        <f ca="1">IFERROR(__xludf.DUMMYFUNCTION("""COMPUTED_VALUE"""),35)</f>
        <v>35</v>
      </c>
      <c r="R95" s="67"/>
      <c r="S95" s="67">
        <f ca="1">IFERROR(__xludf.DUMMYFUNCTION("""COMPUTED_VALUE"""),9235)</f>
        <v>9235</v>
      </c>
      <c r="T95" s="66">
        <f ca="1">IFERROR(__xludf.DUMMYFUNCTION("""COMPUTED_VALUE"""),8748)</f>
        <v>8748</v>
      </c>
      <c r="U95" s="66"/>
      <c r="V95" s="67">
        <f ca="1">IFERROR(__xludf.DUMMYFUNCTION("""COMPUTED_VALUE"""),8744)</f>
        <v>8744</v>
      </c>
      <c r="W95" s="67"/>
      <c r="X95" s="67">
        <f ca="1">IFERROR(__xludf.DUMMYFUNCTION("""COMPUTED_VALUE"""),1738)</f>
        <v>1738</v>
      </c>
      <c r="Y95" s="67"/>
      <c r="Z95" s="2"/>
      <c r="AA95" s="2"/>
      <c r="AB95" s="2"/>
      <c r="AC95" s="2"/>
      <c r="AD95" s="2"/>
      <c r="AE95" s="2"/>
    </row>
    <row r="96" spans="1:31" ht="12.75" x14ac:dyDescent="0.2">
      <c r="A96" s="53">
        <f ca="1">IFERROR(__xludf.DUMMYFUNCTION("""COMPUTED_VALUE"""),1)</f>
        <v>1</v>
      </c>
      <c r="B96" s="66" t="str">
        <f ca="1">IFERROR(__xludf.DUMMYFUNCTION("""COMPUTED_VALUE"""),"THPT Lương Văn Can")</f>
        <v>THPT Lương Văn Can</v>
      </c>
      <c r="C96" s="66" t="str">
        <f ca="1">IFERROR(__xludf.DUMMYFUNCTION("""COMPUTED_VALUE"""),"THPT")</f>
        <v>THPT</v>
      </c>
      <c r="D96" s="66">
        <f ca="1">IFERROR(__xludf.DUMMYFUNCTION("""COMPUTED_VALUE"""),8)</f>
        <v>8</v>
      </c>
      <c r="E96" s="67">
        <f ca="1">IFERROR(__xludf.DUMMYFUNCTION("""COMPUTED_VALUE"""),106)</f>
        <v>106</v>
      </c>
      <c r="F96" s="67">
        <f ca="1">IFERROR(__xludf.DUMMYFUNCTION("""COMPUTED_VALUE"""),106)</f>
        <v>106</v>
      </c>
      <c r="G96" s="67"/>
      <c r="H96" s="67">
        <f ca="1">IFERROR(__xludf.DUMMYFUNCTION("""COMPUTED_VALUE"""),106)</f>
        <v>106</v>
      </c>
      <c r="I96" s="67"/>
      <c r="J96" s="67">
        <f ca="1">IFERROR(__xludf.DUMMYFUNCTION("""COMPUTED_VALUE"""),103)</f>
        <v>103</v>
      </c>
      <c r="K96" s="67"/>
      <c r="L96" s="67">
        <f ca="1">IFERROR(__xludf.DUMMYFUNCTION("""COMPUTED_VALUE"""),35)</f>
        <v>35</v>
      </c>
      <c r="M96" s="67"/>
      <c r="N96" s="67">
        <f ca="1">IFERROR(__xludf.DUMMYFUNCTION("""COMPUTED_VALUE"""),0)</f>
        <v>0</v>
      </c>
      <c r="O96" s="67">
        <f ca="1">IFERROR(__xludf.DUMMYFUNCTION("""COMPUTED_VALUE"""),0)</f>
        <v>0</v>
      </c>
      <c r="P96" s="67"/>
      <c r="Q96" s="66"/>
      <c r="R96" s="66"/>
      <c r="S96" s="67">
        <f ca="1">IFERROR(__xludf.DUMMYFUNCTION("""COMPUTED_VALUE"""),1655)</f>
        <v>1655</v>
      </c>
      <c r="T96" s="67">
        <f ca="1">IFERROR(__xludf.DUMMYFUNCTION("""COMPUTED_VALUE"""),1545)</f>
        <v>1545</v>
      </c>
      <c r="U96" s="67"/>
      <c r="V96" s="67">
        <f ca="1">IFERROR(__xludf.DUMMYFUNCTION("""COMPUTED_VALUE"""),1542)</f>
        <v>1542</v>
      </c>
      <c r="W96" s="67"/>
      <c r="X96" s="67">
        <f ca="1">IFERROR(__xludf.DUMMYFUNCTION("""COMPUTED_VALUE"""),254)</f>
        <v>254</v>
      </c>
      <c r="Y96" s="67"/>
      <c r="Z96" s="2"/>
      <c r="AA96" s="2"/>
      <c r="AB96" s="2"/>
      <c r="AC96" s="2"/>
      <c r="AD96" s="2"/>
      <c r="AE96" s="2"/>
    </row>
    <row r="97" spans="1:31" ht="12.75" x14ac:dyDescent="0.2">
      <c r="A97" s="53">
        <f ca="1">IFERROR(__xludf.DUMMYFUNCTION("""COMPUTED_VALUE"""),2)</f>
        <v>2</v>
      </c>
      <c r="B97" s="66" t="str">
        <f ca="1">IFERROR(__xludf.DUMMYFUNCTION("""COMPUTED_VALUE"""),"THPT Tạ Quang Bửu")</f>
        <v>THPT Tạ Quang Bửu</v>
      </c>
      <c r="C97" s="66" t="str">
        <f ca="1">IFERROR(__xludf.DUMMYFUNCTION("""COMPUTED_VALUE"""),"THPT")</f>
        <v>THPT</v>
      </c>
      <c r="D97" s="66">
        <f ca="1">IFERROR(__xludf.DUMMYFUNCTION("""COMPUTED_VALUE"""),8)</f>
        <v>8</v>
      </c>
      <c r="E97" s="67">
        <f ca="1">IFERROR(__xludf.DUMMYFUNCTION("""COMPUTED_VALUE"""),109)</f>
        <v>109</v>
      </c>
      <c r="F97" s="67">
        <f ca="1">IFERROR(__xludf.DUMMYFUNCTION("""COMPUTED_VALUE"""),109)</f>
        <v>109</v>
      </c>
      <c r="G97" s="67"/>
      <c r="H97" s="67">
        <f ca="1">IFERROR(__xludf.DUMMYFUNCTION("""COMPUTED_VALUE"""),109)</f>
        <v>109</v>
      </c>
      <c r="I97" s="67"/>
      <c r="J97" s="67">
        <f ca="1">IFERROR(__xludf.DUMMYFUNCTION("""COMPUTED_VALUE"""),86)</f>
        <v>86</v>
      </c>
      <c r="K97" s="67"/>
      <c r="L97" s="67">
        <f ca="1">IFERROR(__xludf.DUMMYFUNCTION("""COMPUTED_VALUE"""),24)</f>
        <v>24</v>
      </c>
      <c r="M97" s="67"/>
      <c r="N97" s="67">
        <f ca="1">IFERROR(__xludf.DUMMYFUNCTION("""COMPUTED_VALUE"""),0)</f>
        <v>0</v>
      </c>
      <c r="O97" s="67">
        <f ca="1">IFERROR(__xludf.DUMMYFUNCTION("""COMPUTED_VALUE"""),0)</f>
        <v>0</v>
      </c>
      <c r="P97" s="67"/>
      <c r="Q97" s="66"/>
      <c r="R97" s="66"/>
      <c r="S97" s="67">
        <f ca="1">IFERROR(__xludf.DUMMYFUNCTION("""COMPUTED_VALUE"""),1753)</f>
        <v>1753</v>
      </c>
      <c r="T97" s="67">
        <f ca="1">IFERROR(__xludf.DUMMYFUNCTION("""COMPUTED_VALUE"""),1751)</f>
        <v>1751</v>
      </c>
      <c r="U97" s="67"/>
      <c r="V97" s="67">
        <f ca="1">IFERROR(__xludf.DUMMYFUNCTION("""COMPUTED_VALUE"""),1751)</f>
        <v>1751</v>
      </c>
      <c r="W97" s="67"/>
      <c r="X97" s="67">
        <f ca="1">IFERROR(__xludf.DUMMYFUNCTION("""COMPUTED_VALUE"""),258)</f>
        <v>258</v>
      </c>
      <c r="Y97" s="67"/>
      <c r="Z97" s="2"/>
      <c r="AA97" s="2"/>
      <c r="AB97" s="2"/>
      <c r="AC97" s="2"/>
      <c r="AD97" s="2"/>
      <c r="AE97" s="2"/>
    </row>
    <row r="98" spans="1:31" ht="12.75" x14ac:dyDescent="0.2">
      <c r="A98" s="53">
        <f ca="1">IFERROR(__xludf.DUMMYFUNCTION("""COMPUTED_VALUE"""),3)</f>
        <v>3</v>
      </c>
      <c r="B98" s="66" t="str">
        <f ca="1">IFERROR(__xludf.DUMMYFUNCTION("""COMPUTED_VALUE"""),"THPT Nguyễn Văn Linh")</f>
        <v>THPT Nguyễn Văn Linh</v>
      </c>
      <c r="C98" s="66" t="str">
        <f ca="1">IFERROR(__xludf.DUMMYFUNCTION("""COMPUTED_VALUE"""),"THPT")</f>
        <v>THPT</v>
      </c>
      <c r="D98" s="66">
        <f ca="1">IFERROR(__xludf.DUMMYFUNCTION("""COMPUTED_VALUE"""),8)</f>
        <v>8</v>
      </c>
      <c r="E98" s="67">
        <f ca="1">IFERROR(__xludf.DUMMYFUNCTION("""COMPUTED_VALUE"""),74)</f>
        <v>74</v>
      </c>
      <c r="F98" s="67">
        <f ca="1">IFERROR(__xludf.DUMMYFUNCTION("""COMPUTED_VALUE"""),74)</f>
        <v>74</v>
      </c>
      <c r="G98" s="67"/>
      <c r="H98" s="67">
        <f ca="1">IFERROR(__xludf.DUMMYFUNCTION("""COMPUTED_VALUE"""),74)</f>
        <v>74</v>
      </c>
      <c r="I98" s="67"/>
      <c r="J98" s="67">
        <f ca="1">IFERROR(__xludf.DUMMYFUNCTION("""COMPUTED_VALUE"""),66)</f>
        <v>66</v>
      </c>
      <c r="K98" s="67"/>
      <c r="L98" s="67">
        <f ca="1">IFERROR(__xludf.DUMMYFUNCTION("""COMPUTED_VALUE"""),33)</f>
        <v>33</v>
      </c>
      <c r="M98" s="67"/>
      <c r="N98" s="67">
        <f ca="1">IFERROR(__xludf.DUMMYFUNCTION("""COMPUTED_VALUE"""),0)</f>
        <v>0</v>
      </c>
      <c r="O98" s="67">
        <f ca="1">IFERROR(__xludf.DUMMYFUNCTION("""COMPUTED_VALUE"""),0)</f>
        <v>0</v>
      </c>
      <c r="P98" s="67"/>
      <c r="Q98" s="66"/>
      <c r="R98" s="66"/>
      <c r="S98" s="67">
        <f ca="1">IFERROR(__xludf.DUMMYFUNCTION("""COMPUTED_VALUE"""),1082)</f>
        <v>1082</v>
      </c>
      <c r="T98" s="66">
        <f ca="1">IFERROR(__xludf.DUMMYFUNCTION("""COMPUTED_VALUE"""),980)</f>
        <v>980</v>
      </c>
      <c r="U98" s="66"/>
      <c r="V98" s="67">
        <f ca="1">IFERROR(__xludf.DUMMYFUNCTION("""COMPUTED_VALUE"""),980)</f>
        <v>980</v>
      </c>
      <c r="W98" s="67"/>
      <c r="X98" s="67">
        <f ca="1">IFERROR(__xludf.DUMMYFUNCTION("""COMPUTED_VALUE"""),271)</f>
        <v>271</v>
      </c>
      <c r="Y98" s="67"/>
      <c r="Z98" s="2"/>
      <c r="AA98" s="2"/>
      <c r="AB98" s="2"/>
      <c r="AC98" s="2"/>
      <c r="AD98" s="2"/>
      <c r="AE98" s="2"/>
    </row>
    <row r="99" spans="1:31" ht="12.75" x14ac:dyDescent="0.2">
      <c r="A99" s="53">
        <f ca="1">IFERROR(__xludf.DUMMYFUNCTION("""COMPUTED_VALUE"""),4)</f>
        <v>4</v>
      </c>
      <c r="B99" s="66" t="str">
        <f ca="1">IFERROR(__xludf.DUMMYFUNCTION("""COMPUTED_VALUE"""),"THPT Võ Văn Kiệt")</f>
        <v>THPT Võ Văn Kiệt</v>
      </c>
      <c r="C99" s="66" t="str">
        <f ca="1">IFERROR(__xludf.DUMMYFUNCTION("""COMPUTED_VALUE"""),"THPT")</f>
        <v>THPT</v>
      </c>
      <c r="D99" s="66">
        <f ca="1">IFERROR(__xludf.DUMMYFUNCTION("""COMPUTED_VALUE"""),8)</f>
        <v>8</v>
      </c>
      <c r="E99" s="67">
        <f ca="1">IFERROR(__xludf.DUMMYFUNCTION("""COMPUTED_VALUE"""),94)</f>
        <v>94</v>
      </c>
      <c r="F99" s="67">
        <f ca="1">IFERROR(__xludf.DUMMYFUNCTION("""COMPUTED_VALUE"""),94)</f>
        <v>94</v>
      </c>
      <c r="G99" s="67"/>
      <c r="H99" s="67">
        <f ca="1">IFERROR(__xludf.DUMMYFUNCTION("""COMPUTED_VALUE"""),94)</f>
        <v>94</v>
      </c>
      <c r="I99" s="67"/>
      <c r="J99" s="67">
        <f ca="1">IFERROR(__xludf.DUMMYFUNCTION("""COMPUTED_VALUE"""),61)</f>
        <v>61</v>
      </c>
      <c r="K99" s="67"/>
      <c r="L99" s="67">
        <f ca="1">IFERROR(__xludf.DUMMYFUNCTION("""COMPUTED_VALUE"""),76)</f>
        <v>76</v>
      </c>
      <c r="M99" s="67"/>
      <c r="N99" s="67">
        <f ca="1">IFERROR(__xludf.DUMMYFUNCTION("""COMPUTED_VALUE"""),0)</f>
        <v>0</v>
      </c>
      <c r="O99" s="67">
        <f ca="1">IFERROR(__xludf.DUMMYFUNCTION("""COMPUTED_VALUE"""),0)</f>
        <v>0</v>
      </c>
      <c r="P99" s="67"/>
      <c r="Q99" s="67">
        <f ca="1">IFERROR(__xludf.DUMMYFUNCTION("""COMPUTED_VALUE"""),0)</f>
        <v>0</v>
      </c>
      <c r="R99" s="67"/>
      <c r="S99" s="66">
        <f ca="1">IFERROR(__xludf.DUMMYFUNCTION("""COMPUTED_VALUE"""),1713)</f>
        <v>1713</v>
      </c>
      <c r="T99" s="66">
        <f ca="1">IFERROR(__xludf.DUMMYFUNCTION("""COMPUTED_VALUE"""),1511)</f>
        <v>1511</v>
      </c>
      <c r="U99" s="66"/>
      <c r="V99" s="66">
        <f ca="1">IFERROR(__xludf.DUMMYFUNCTION("""COMPUTED_VALUE"""),1511)</f>
        <v>1511</v>
      </c>
      <c r="W99" s="66"/>
      <c r="X99" s="66">
        <f ca="1">IFERROR(__xludf.DUMMYFUNCTION("""COMPUTED_VALUE"""),410)</f>
        <v>410</v>
      </c>
      <c r="Y99" s="66"/>
      <c r="Z99" s="2"/>
      <c r="AA99" s="2"/>
      <c r="AB99" s="2"/>
      <c r="AC99" s="2"/>
      <c r="AD99" s="2"/>
      <c r="AE99" s="2"/>
    </row>
    <row r="100" spans="1:31" ht="12.75" x14ac:dyDescent="0.2">
      <c r="A100" s="53">
        <f ca="1">IFERROR(__xludf.DUMMYFUNCTION("""COMPUTED_VALUE"""),5)</f>
        <v>5</v>
      </c>
      <c r="B100" s="66" t="str">
        <f ca="1">IFERROR(__xludf.DUMMYFUNCTION("""COMPUTED_VALUE"""),"THPT Ngô Gia Tự")</f>
        <v>THPT Ngô Gia Tự</v>
      </c>
      <c r="C100" s="66" t="str">
        <f ca="1">IFERROR(__xludf.DUMMYFUNCTION("""COMPUTED_VALUE"""),"THPT")</f>
        <v>THPT</v>
      </c>
      <c r="D100" s="66">
        <f ca="1">IFERROR(__xludf.DUMMYFUNCTION("""COMPUTED_VALUE"""),8)</f>
        <v>8</v>
      </c>
      <c r="E100" s="67">
        <f ca="1">IFERROR(__xludf.DUMMYFUNCTION("""COMPUTED_VALUE"""),101)</f>
        <v>101</v>
      </c>
      <c r="F100" s="67">
        <f ca="1">IFERROR(__xludf.DUMMYFUNCTION("""COMPUTED_VALUE"""),101)</f>
        <v>101</v>
      </c>
      <c r="G100" s="67"/>
      <c r="H100" s="67">
        <f ca="1">IFERROR(__xludf.DUMMYFUNCTION("""COMPUTED_VALUE"""),101)</f>
        <v>101</v>
      </c>
      <c r="I100" s="67"/>
      <c r="J100" s="67">
        <f ca="1">IFERROR(__xludf.DUMMYFUNCTION("""COMPUTED_VALUE"""),101)</f>
        <v>101</v>
      </c>
      <c r="K100" s="67"/>
      <c r="L100" s="67">
        <f ca="1">IFERROR(__xludf.DUMMYFUNCTION("""COMPUTED_VALUE"""),21)</f>
        <v>21</v>
      </c>
      <c r="M100" s="67"/>
      <c r="N100" s="67">
        <f ca="1">IFERROR(__xludf.DUMMYFUNCTION("""COMPUTED_VALUE"""),0)</f>
        <v>0</v>
      </c>
      <c r="O100" s="67">
        <f ca="1">IFERROR(__xludf.DUMMYFUNCTION("""COMPUTED_VALUE"""),0)</f>
        <v>0</v>
      </c>
      <c r="P100" s="67"/>
      <c r="Q100" s="66"/>
      <c r="R100" s="66"/>
      <c r="S100" s="67">
        <f ca="1">IFERROR(__xludf.DUMMYFUNCTION("""COMPUTED_VALUE"""),1499)</f>
        <v>1499</v>
      </c>
      <c r="T100" s="66">
        <f ca="1">IFERROR(__xludf.DUMMYFUNCTION("""COMPUTED_VALUE"""),1428)</f>
        <v>1428</v>
      </c>
      <c r="U100" s="66"/>
      <c r="V100" s="67">
        <f ca="1">IFERROR(__xludf.DUMMYFUNCTION("""COMPUTED_VALUE"""),1427)</f>
        <v>1427</v>
      </c>
      <c r="W100" s="67"/>
      <c r="X100" s="67">
        <f ca="1">IFERROR(__xludf.DUMMYFUNCTION("""COMPUTED_VALUE"""),295)</f>
        <v>295</v>
      </c>
      <c r="Y100" s="67"/>
      <c r="Z100" s="2"/>
      <c r="AA100" s="2"/>
      <c r="AB100" s="2"/>
      <c r="AC100" s="2"/>
      <c r="AD100" s="2"/>
      <c r="AE100" s="2"/>
    </row>
    <row r="101" spans="1:31" ht="12.75" x14ac:dyDescent="0.2">
      <c r="A101" s="53">
        <f ca="1">IFERROR(__xludf.DUMMYFUNCTION("""COMPUTED_VALUE"""),6)</f>
        <v>6</v>
      </c>
      <c r="B101" s="66" t="str">
        <f ca="1">IFERROR(__xludf.DUMMYFUNCTION("""COMPUTED_VALUE"""),"THPT CNK TDTT Nguyễn Thị Định")</f>
        <v>THPT CNK TDTT Nguyễn Thị Định</v>
      </c>
      <c r="C101" s="66" t="str">
        <f ca="1">IFERROR(__xludf.DUMMYFUNCTION("""COMPUTED_VALUE"""),"THPT")</f>
        <v>THPT</v>
      </c>
      <c r="D101" s="66">
        <f ca="1">IFERROR(__xludf.DUMMYFUNCTION("""COMPUTED_VALUE"""),8)</f>
        <v>8</v>
      </c>
      <c r="E101" s="67">
        <f ca="1">IFERROR(__xludf.DUMMYFUNCTION("""COMPUTED_VALUE"""),125)</f>
        <v>125</v>
      </c>
      <c r="F101" s="67">
        <f ca="1">IFERROR(__xludf.DUMMYFUNCTION("""COMPUTED_VALUE"""),125)</f>
        <v>125</v>
      </c>
      <c r="G101" s="67"/>
      <c r="H101" s="67">
        <f ca="1">IFERROR(__xludf.DUMMYFUNCTION("""COMPUTED_VALUE"""),125)</f>
        <v>125</v>
      </c>
      <c r="I101" s="67"/>
      <c r="J101" s="67">
        <f ca="1">IFERROR(__xludf.DUMMYFUNCTION("""COMPUTED_VALUE"""),125)</f>
        <v>125</v>
      </c>
      <c r="K101" s="67"/>
      <c r="L101" s="67">
        <f ca="1">IFERROR(__xludf.DUMMYFUNCTION("""COMPUTED_VALUE"""),50)</f>
        <v>50</v>
      </c>
      <c r="M101" s="67"/>
      <c r="N101" s="67">
        <f ca="1">IFERROR(__xludf.DUMMYFUNCTION("""COMPUTED_VALUE"""),66)</f>
        <v>66</v>
      </c>
      <c r="O101" s="67">
        <f ca="1">IFERROR(__xludf.DUMMYFUNCTION("""COMPUTED_VALUE"""),50)</f>
        <v>50</v>
      </c>
      <c r="P101" s="67"/>
      <c r="Q101" s="67">
        <f ca="1">IFERROR(__xludf.DUMMYFUNCTION("""COMPUTED_VALUE"""),35)</f>
        <v>35</v>
      </c>
      <c r="R101" s="67"/>
      <c r="S101" s="67">
        <f ca="1">IFERROR(__xludf.DUMMYFUNCTION("""COMPUTED_VALUE"""),1533)</f>
        <v>1533</v>
      </c>
      <c r="T101" s="66">
        <f ca="1">IFERROR(__xludf.DUMMYFUNCTION("""COMPUTED_VALUE"""),1533)</f>
        <v>1533</v>
      </c>
      <c r="U101" s="66"/>
      <c r="V101" s="67">
        <f ca="1">IFERROR(__xludf.DUMMYFUNCTION("""COMPUTED_VALUE"""),1533)</f>
        <v>1533</v>
      </c>
      <c r="W101" s="67"/>
      <c r="X101" s="67">
        <f ca="1">IFERROR(__xludf.DUMMYFUNCTION("""COMPUTED_VALUE"""),250)</f>
        <v>250</v>
      </c>
      <c r="Y101" s="67"/>
      <c r="Z101" s="2"/>
      <c r="AA101" s="2"/>
      <c r="AB101" s="2"/>
      <c r="AC101" s="2"/>
      <c r="AD101" s="2"/>
      <c r="AE101" s="2"/>
    </row>
    <row r="102" spans="1:31" ht="12.75" x14ac:dyDescent="0.2">
      <c r="A102" s="53" t="str">
        <f ca="1">IFERROR(__xludf.DUMMYFUNCTION("""COMPUTED_VALUE"""),"Chuyên biệt")</f>
        <v>Chuyên biệt</v>
      </c>
      <c r="B102" s="66"/>
      <c r="C102" s="66"/>
      <c r="D102" s="66">
        <f ca="1">IFERROR(__xludf.DUMMYFUNCTION("""COMPUTED_VALUE"""),8)</f>
        <v>8</v>
      </c>
      <c r="E102" s="67">
        <f ca="1">IFERROR(__xludf.DUMMYFUNCTION("""COMPUTED_VALUE"""),13)</f>
        <v>13</v>
      </c>
      <c r="F102" s="67">
        <f ca="1">IFERROR(__xludf.DUMMYFUNCTION("""COMPUTED_VALUE"""),26)</f>
        <v>26</v>
      </c>
      <c r="G102" s="67"/>
      <c r="H102" s="67">
        <f ca="1">IFERROR(__xludf.DUMMYFUNCTION("""COMPUTED_VALUE"""),26)</f>
        <v>26</v>
      </c>
      <c r="I102" s="67"/>
      <c r="J102" s="67">
        <f ca="1">IFERROR(__xludf.DUMMYFUNCTION("""COMPUTED_VALUE"""),26)</f>
        <v>26</v>
      </c>
      <c r="K102" s="67"/>
      <c r="L102" s="67">
        <f ca="1">IFERROR(__xludf.DUMMYFUNCTION("""COMPUTED_VALUE"""),26)</f>
        <v>26</v>
      </c>
      <c r="M102" s="67"/>
      <c r="N102" s="67">
        <f ca="1">IFERROR(__xludf.DUMMYFUNCTION("""COMPUTED_VALUE"""),17)</f>
        <v>17</v>
      </c>
      <c r="O102" s="67">
        <f ca="1">IFERROR(__xludf.DUMMYFUNCTION("""COMPUTED_VALUE"""),15)</f>
        <v>15</v>
      </c>
      <c r="P102" s="67"/>
      <c r="Q102" s="67">
        <f ca="1">IFERROR(__xludf.DUMMYFUNCTION("""COMPUTED_VALUE"""),7)</f>
        <v>7</v>
      </c>
      <c r="R102" s="67"/>
      <c r="S102" s="67">
        <f ca="1">IFERROR(__xludf.DUMMYFUNCTION("""COMPUTED_VALUE"""),22)</f>
        <v>22</v>
      </c>
      <c r="T102" s="66">
        <f ca="1">IFERROR(__xludf.DUMMYFUNCTION("""COMPUTED_VALUE"""),21)</f>
        <v>21</v>
      </c>
      <c r="U102" s="66"/>
      <c r="V102" s="67">
        <f ca="1">IFERROR(__xludf.DUMMYFUNCTION("""COMPUTED_VALUE"""),21)</f>
        <v>21</v>
      </c>
      <c r="W102" s="67"/>
      <c r="X102" s="67">
        <f ca="1">IFERROR(__xludf.DUMMYFUNCTION("""COMPUTED_VALUE"""),13)</f>
        <v>13</v>
      </c>
      <c r="Y102" s="67"/>
      <c r="Z102" s="2"/>
      <c r="AA102" s="2"/>
      <c r="AB102" s="2"/>
      <c r="AC102" s="2"/>
      <c r="AD102" s="2"/>
      <c r="AE102" s="2"/>
    </row>
    <row r="103" spans="1:31" ht="12.75" x14ac:dyDescent="0.2">
      <c r="A103" s="53">
        <f ca="1">IFERROR(__xludf.DUMMYFUNCTION("""COMPUTED_VALUE"""),1)</f>
        <v>1</v>
      </c>
      <c r="B103" s="66" t="str">
        <f ca="1">IFERROR(__xludf.DUMMYFUNCTION("""COMPUTED_VALUE"""),"Chuyên biệt Hy Vọng")</f>
        <v>Chuyên biệt Hy Vọng</v>
      </c>
      <c r="C103" s="66" t="str">
        <f ca="1">IFERROR(__xludf.DUMMYFUNCTION("""COMPUTED_VALUE"""),"CB")</f>
        <v>CB</v>
      </c>
      <c r="D103" s="66">
        <f ca="1">IFERROR(__xludf.DUMMYFUNCTION("""COMPUTED_VALUE"""),8)</f>
        <v>8</v>
      </c>
      <c r="E103" s="67">
        <f ca="1">IFERROR(__xludf.DUMMYFUNCTION("""COMPUTED_VALUE"""),13)</f>
        <v>13</v>
      </c>
      <c r="F103" s="67">
        <f ca="1">IFERROR(__xludf.DUMMYFUNCTION("""COMPUTED_VALUE"""),13)</f>
        <v>13</v>
      </c>
      <c r="G103" s="67"/>
      <c r="H103" s="67">
        <f ca="1">IFERROR(__xludf.DUMMYFUNCTION("""COMPUTED_VALUE"""),13)</f>
        <v>13</v>
      </c>
      <c r="I103" s="67"/>
      <c r="J103" s="67">
        <f ca="1">IFERROR(__xludf.DUMMYFUNCTION("""COMPUTED_VALUE"""),13)</f>
        <v>13</v>
      </c>
      <c r="K103" s="67"/>
      <c r="L103" s="67">
        <f ca="1">IFERROR(__xludf.DUMMYFUNCTION("""COMPUTED_VALUE"""),11)</f>
        <v>11</v>
      </c>
      <c r="M103" s="67"/>
      <c r="N103" s="67">
        <f ca="1">IFERROR(__xludf.DUMMYFUNCTION("""COMPUTED_VALUE"""),17)</f>
        <v>17</v>
      </c>
      <c r="O103" s="67">
        <f ca="1">IFERROR(__xludf.DUMMYFUNCTION("""COMPUTED_VALUE"""),15)</f>
        <v>15</v>
      </c>
      <c r="P103" s="67"/>
      <c r="Q103" s="67">
        <f ca="1">IFERROR(__xludf.DUMMYFUNCTION("""COMPUTED_VALUE"""),7)</f>
        <v>7</v>
      </c>
      <c r="R103" s="67"/>
      <c r="S103" s="66">
        <f ca="1">IFERROR(__xludf.DUMMYFUNCTION("""COMPUTED_VALUE"""),22)</f>
        <v>22</v>
      </c>
      <c r="T103" s="66">
        <f ca="1">IFERROR(__xludf.DUMMYFUNCTION("""COMPUTED_VALUE"""),21)</f>
        <v>21</v>
      </c>
      <c r="U103" s="66"/>
      <c r="V103" s="66">
        <f ca="1">IFERROR(__xludf.DUMMYFUNCTION("""COMPUTED_VALUE"""),21)</f>
        <v>21</v>
      </c>
      <c r="W103" s="66"/>
      <c r="X103" s="66">
        <f ca="1">IFERROR(__xludf.DUMMYFUNCTION("""COMPUTED_VALUE"""),13)</f>
        <v>13</v>
      </c>
      <c r="Y103" s="66"/>
      <c r="Z103" s="2"/>
      <c r="AA103" s="2"/>
      <c r="AB103" s="2"/>
      <c r="AC103" s="2"/>
      <c r="AD103" s="2"/>
      <c r="AE103" s="2"/>
    </row>
    <row r="104" spans="1:31" ht="12.75" x14ac:dyDescent="0.2">
      <c r="A104" s="53" t="str">
        <f ca="1">IFERROR(__xludf.DUMMYFUNCTION("""COMPUTED_VALUE"""),"GDTX")</f>
        <v>GDTX</v>
      </c>
      <c r="B104" s="66"/>
      <c r="C104" s="66"/>
      <c r="D104" s="66">
        <f ca="1">IFERROR(__xludf.DUMMYFUNCTION("""COMPUTED_VALUE"""),8)</f>
        <v>8</v>
      </c>
      <c r="E104" s="67">
        <f ca="1">IFERROR(__xludf.DUMMYFUNCTION("""COMPUTED_VALUE"""),26)</f>
        <v>26</v>
      </c>
      <c r="F104" s="67">
        <f ca="1">IFERROR(__xludf.DUMMYFUNCTION("""COMPUTED_VALUE"""),26)</f>
        <v>26</v>
      </c>
      <c r="G104" s="67"/>
      <c r="H104" s="67">
        <f ca="1">IFERROR(__xludf.DUMMYFUNCTION("""COMPUTED_VALUE"""),26)</f>
        <v>26</v>
      </c>
      <c r="I104" s="67"/>
      <c r="J104" s="67">
        <f ca="1">IFERROR(__xludf.DUMMYFUNCTION("""COMPUTED_VALUE"""),26)</f>
        <v>26</v>
      </c>
      <c r="K104" s="67"/>
      <c r="L104" s="67">
        <f ca="1">IFERROR(__xludf.DUMMYFUNCTION("""COMPUTED_VALUE"""),26)</f>
        <v>26</v>
      </c>
      <c r="M104" s="67"/>
      <c r="N104" s="67">
        <f ca="1">IFERROR(__xludf.DUMMYFUNCTION("""COMPUTED_VALUE"""),0)</f>
        <v>0</v>
      </c>
      <c r="O104" s="67">
        <f ca="1">IFERROR(__xludf.DUMMYFUNCTION("""COMPUTED_VALUE"""),0)</f>
        <v>0</v>
      </c>
      <c r="P104" s="67"/>
      <c r="Q104" s="66"/>
      <c r="R104" s="66"/>
      <c r="S104" s="67">
        <f ca="1">IFERROR(__xludf.DUMMYFUNCTION("""COMPUTED_VALUE"""),330)</f>
        <v>330</v>
      </c>
      <c r="T104" s="66">
        <f ca="1">IFERROR(__xludf.DUMMYFUNCTION("""COMPUTED_VALUE"""),280)</f>
        <v>280</v>
      </c>
      <c r="U104" s="66"/>
      <c r="V104" s="67">
        <f ca="1">IFERROR(__xludf.DUMMYFUNCTION("""COMPUTED_VALUE"""),280)</f>
        <v>280</v>
      </c>
      <c r="W104" s="67"/>
      <c r="X104" s="67">
        <f ca="1">IFERROR(__xludf.DUMMYFUNCTION("""COMPUTED_VALUE"""),40)</f>
        <v>40</v>
      </c>
      <c r="Y104" s="67"/>
      <c r="Z104" s="2"/>
      <c r="AA104" s="2"/>
      <c r="AB104" s="2"/>
      <c r="AC104" s="2"/>
      <c r="AD104" s="2"/>
      <c r="AE104" s="2"/>
    </row>
    <row r="105" spans="1:31" ht="12.75" x14ac:dyDescent="0.2">
      <c r="A105" s="53">
        <f ca="1">IFERROR(__xludf.DUMMYFUNCTION("""COMPUTED_VALUE"""),1)</f>
        <v>1</v>
      </c>
      <c r="B105" s="66" t="str">
        <f ca="1">IFERROR(__xludf.DUMMYFUNCTION("""COMPUTED_VALUE"""),"Trung tâm GDNN-GDTX")</f>
        <v>Trung tâm GDNN-GDTX</v>
      </c>
      <c r="C105" s="66" t="str">
        <f ca="1">IFERROR(__xludf.DUMMYFUNCTION("""COMPUTED_VALUE"""),"GDTX")</f>
        <v>GDTX</v>
      </c>
      <c r="D105" s="66">
        <f ca="1">IFERROR(__xludf.DUMMYFUNCTION("""COMPUTED_VALUE"""),8)</f>
        <v>8</v>
      </c>
      <c r="E105" s="67">
        <f ca="1">IFERROR(__xludf.DUMMYFUNCTION("""COMPUTED_VALUE"""),26)</f>
        <v>26</v>
      </c>
      <c r="F105" s="67">
        <f ca="1">IFERROR(__xludf.DUMMYFUNCTION("""COMPUTED_VALUE"""),26)</f>
        <v>26</v>
      </c>
      <c r="G105" s="67"/>
      <c r="H105" s="67">
        <f ca="1">IFERROR(__xludf.DUMMYFUNCTION("""COMPUTED_VALUE"""),26)</f>
        <v>26</v>
      </c>
      <c r="I105" s="67"/>
      <c r="J105" s="67">
        <f ca="1">IFERROR(__xludf.DUMMYFUNCTION("""COMPUTED_VALUE"""),26)</f>
        <v>26</v>
      </c>
      <c r="K105" s="67"/>
      <c r="L105" s="67">
        <f ca="1">IFERROR(__xludf.DUMMYFUNCTION("""COMPUTED_VALUE"""),16)</f>
        <v>16</v>
      </c>
      <c r="M105" s="67"/>
      <c r="N105" s="67">
        <f ca="1">IFERROR(__xludf.DUMMYFUNCTION("""COMPUTED_VALUE"""),0)</f>
        <v>0</v>
      </c>
      <c r="O105" s="67">
        <f ca="1">IFERROR(__xludf.DUMMYFUNCTION("""COMPUTED_VALUE"""),0)</f>
        <v>0</v>
      </c>
      <c r="P105" s="67"/>
      <c r="Q105" s="66"/>
      <c r="R105" s="66"/>
      <c r="S105" s="66">
        <f ca="1">IFERROR(__xludf.DUMMYFUNCTION("""COMPUTED_VALUE"""),330)</f>
        <v>330</v>
      </c>
      <c r="T105" s="66">
        <f ca="1">IFERROR(__xludf.DUMMYFUNCTION("""COMPUTED_VALUE"""),280)</f>
        <v>280</v>
      </c>
      <c r="U105" s="66"/>
      <c r="V105" s="66">
        <f ca="1">IFERROR(__xludf.DUMMYFUNCTION("""COMPUTED_VALUE"""),280)</f>
        <v>280</v>
      </c>
      <c r="W105" s="66"/>
      <c r="X105" s="66">
        <f ca="1">IFERROR(__xludf.DUMMYFUNCTION("""COMPUTED_VALUE"""),40)</f>
        <v>40</v>
      </c>
      <c r="Y105" s="66"/>
      <c r="Z105" s="2"/>
      <c r="AA105" s="2"/>
      <c r="AB105" s="2"/>
      <c r="AC105" s="2"/>
      <c r="AD105" s="2"/>
      <c r="AE105" s="2"/>
    </row>
    <row r="106" spans="1:31" ht="12.75" x14ac:dyDescent="0.2">
      <c r="A106" s="53" t="str">
        <f ca="1">IFERROR(__xludf.DUMMYFUNCTION("""COMPUTED_VALUE"""),"Cao đẳng")</f>
        <v>Cao đẳng</v>
      </c>
      <c r="B106" s="66"/>
      <c r="C106" s="66"/>
      <c r="D106" s="66">
        <f ca="1">IFERROR(__xludf.DUMMYFUNCTION("""COMPUTED_VALUE"""),8)</f>
        <v>8</v>
      </c>
      <c r="E106" s="67">
        <f ca="1">IFERROR(__xludf.DUMMYFUNCTION("""COMPUTED_VALUE"""),176)</f>
        <v>176</v>
      </c>
      <c r="F106" s="67">
        <f ca="1">IFERROR(__xludf.DUMMYFUNCTION("""COMPUTED_VALUE"""),176)</f>
        <v>176</v>
      </c>
      <c r="G106" s="67"/>
      <c r="H106" s="67">
        <f ca="1">IFERROR(__xludf.DUMMYFUNCTION("""COMPUTED_VALUE"""),176)</f>
        <v>176</v>
      </c>
      <c r="I106" s="67"/>
      <c r="J106" s="67">
        <f ca="1">IFERROR(__xludf.DUMMYFUNCTION("""COMPUTED_VALUE"""),176)</f>
        <v>176</v>
      </c>
      <c r="K106" s="67"/>
      <c r="L106" s="67">
        <f ca="1">IFERROR(__xludf.DUMMYFUNCTION("""COMPUTED_VALUE"""),120)</f>
        <v>120</v>
      </c>
      <c r="M106" s="67"/>
      <c r="N106" s="67">
        <f ca="1">IFERROR(__xludf.DUMMYFUNCTION("""COMPUTED_VALUE"""),0)</f>
        <v>0</v>
      </c>
      <c r="O106" s="67">
        <f ca="1">IFERROR(__xludf.DUMMYFUNCTION("""COMPUTED_VALUE"""),0)</f>
        <v>0</v>
      </c>
      <c r="P106" s="67"/>
      <c r="Q106" s="66"/>
      <c r="R106" s="66"/>
      <c r="S106" s="67">
        <f ca="1">IFERROR(__xludf.DUMMYFUNCTION("""COMPUTED_VALUE"""),694)</f>
        <v>694</v>
      </c>
      <c r="T106" s="66">
        <f ca="1">IFERROR(__xludf.DUMMYFUNCTION("""COMPUTED_VALUE"""),679)</f>
        <v>679</v>
      </c>
      <c r="U106" s="66"/>
      <c r="V106" s="67">
        <f ca="1">IFERROR(__xludf.DUMMYFUNCTION("""COMPUTED_VALUE"""),676)</f>
        <v>676</v>
      </c>
      <c r="W106" s="67"/>
      <c r="X106" s="67">
        <f ca="1">IFERROR(__xludf.DUMMYFUNCTION("""COMPUTED_VALUE"""),251)</f>
        <v>251</v>
      </c>
      <c r="Y106" s="67"/>
      <c r="Z106" s="2"/>
      <c r="AA106" s="2"/>
      <c r="AB106" s="2"/>
      <c r="AC106" s="2"/>
      <c r="AD106" s="2"/>
      <c r="AE106" s="2"/>
    </row>
    <row r="107" spans="1:31" ht="12.75" x14ac:dyDescent="0.2">
      <c r="A107" s="53">
        <f ca="1">IFERROR(__xludf.DUMMYFUNCTION("""COMPUTED_VALUE"""),1)</f>
        <v>1</v>
      </c>
      <c r="B107" s="66" t="str">
        <f ca="1">IFERROR(__xludf.DUMMYFUNCTION("""COMPUTED_VALUE"""),"Cao Đẳng Bách Khoa Nam Sài Gòn")</f>
        <v>Cao Đẳng Bách Khoa Nam Sài Gòn</v>
      </c>
      <c r="C107" s="66" t="str">
        <f ca="1">IFERROR(__xludf.DUMMYFUNCTION("""COMPUTED_VALUE"""),"CĐ")</f>
        <v>CĐ</v>
      </c>
      <c r="D107" s="66">
        <f ca="1">IFERROR(__xludf.DUMMYFUNCTION("""COMPUTED_VALUE"""),8)</f>
        <v>8</v>
      </c>
      <c r="E107" s="67">
        <f ca="1">IFERROR(__xludf.DUMMYFUNCTION("""COMPUTED_VALUE"""),176)</f>
        <v>176</v>
      </c>
      <c r="F107" s="67">
        <f ca="1">IFERROR(__xludf.DUMMYFUNCTION("""COMPUTED_VALUE"""),176)</f>
        <v>176</v>
      </c>
      <c r="G107" s="67"/>
      <c r="H107" s="67">
        <f ca="1">IFERROR(__xludf.DUMMYFUNCTION("""COMPUTED_VALUE"""),176)</f>
        <v>176</v>
      </c>
      <c r="I107" s="67"/>
      <c r="J107" s="67">
        <f ca="1">IFERROR(__xludf.DUMMYFUNCTION("""COMPUTED_VALUE"""),176)</f>
        <v>176</v>
      </c>
      <c r="K107" s="67"/>
      <c r="L107" s="67">
        <f ca="1">IFERROR(__xludf.DUMMYFUNCTION("""COMPUTED_VALUE"""),120)</f>
        <v>120</v>
      </c>
      <c r="M107" s="67"/>
      <c r="N107" s="67">
        <f ca="1">IFERROR(__xludf.DUMMYFUNCTION("""COMPUTED_VALUE"""),0)</f>
        <v>0</v>
      </c>
      <c r="O107" s="67">
        <f ca="1">IFERROR(__xludf.DUMMYFUNCTION("""COMPUTED_VALUE"""),0)</f>
        <v>0</v>
      </c>
      <c r="P107" s="67"/>
      <c r="Q107" s="66"/>
      <c r="R107" s="66"/>
      <c r="S107" s="67">
        <f ca="1">IFERROR(__xludf.DUMMYFUNCTION("""COMPUTED_VALUE"""),694)</f>
        <v>694</v>
      </c>
      <c r="T107" s="66">
        <f ca="1">IFERROR(__xludf.DUMMYFUNCTION("""COMPUTED_VALUE"""),679)</f>
        <v>679</v>
      </c>
      <c r="U107" s="66"/>
      <c r="V107" s="67">
        <f ca="1">IFERROR(__xludf.DUMMYFUNCTION("""COMPUTED_VALUE"""),676)</f>
        <v>676</v>
      </c>
      <c r="W107" s="67"/>
      <c r="X107" s="67">
        <f ca="1">IFERROR(__xludf.DUMMYFUNCTION("""COMPUTED_VALUE"""),251)</f>
        <v>251</v>
      </c>
      <c r="Y107" s="67"/>
      <c r="Z107" s="2"/>
      <c r="AA107" s="2"/>
      <c r="AB107" s="2"/>
      <c r="AC107" s="2"/>
      <c r="AD107" s="2"/>
      <c r="AE107" s="2"/>
    </row>
    <row r="108" spans="1:31" ht="12.75" x14ac:dyDescent="0.2">
      <c r="A108" s="53" t="str">
        <f ca="1">IFERROR(__xludf.DUMMYFUNCTION("""COMPUTED_VALUE"""),"Bồi dưỡng")</f>
        <v>Bồi dưỡng</v>
      </c>
      <c r="B108" s="66"/>
      <c r="C108" s="66"/>
      <c r="D108" s="66">
        <f ca="1">IFERROR(__xludf.DUMMYFUNCTION("""COMPUTED_VALUE"""),8)</f>
        <v>8</v>
      </c>
      <c r="E108" s="67">
        <f ca="1">IFERROR(__xludf.DUMMYFUNCTION("""COMPUTED_VALUE"""),12)</f>
        <v>12</v>
      </c>
      <c r="F108" s="67">
        <f ca="1">IFERROR(__xludf.DUMMYFUNCTION("""COMPUTED_VALUE"""),12)</f>
        <v>12</v>
      </c>
      <c r="G108" s="67"/>
      <c r="H108" s="67">
        <f ca="1">IFERROR(__xludf.DUMMYFUNCTION("""COMPUTED_VALUE"""),12)</f>
        <v>12</v>
      </c>
      <c r="I108" s="67"/>
      <c r="J108" s="67">
        <f ca="1">IFERROR(__xludf.DUMMYFUNCTION("""COMPUTED_VALUE"""),12)</f>
        <v>12</v>
      </c>
      <c r="K108" s="67"/>
      <c r="L108" s="67">
        <f ca="1">IFERROR(__xludf.DUMMYFUNCTION("""COMPUTED_VALUE"""),11)</f>
        <v>11</v>
      </c>
      <c r="M108" s="67"/>
      <c r="N108" s="66"/>
      <c r="O108" s="66"/>
      <c r="P108" s="66"/>
      <c r="Q108" s="66"/>
      <c r="R108" s="66"/>
      <c r="S108" s="66"/>
      <c r="T108" s="66"/>
      <c r="U108" s="66"/>
      <c r="V108" s="66"/>
      <c r="W108" s="66"/>
      <c r="X108" s="66"/>
      <c r="Y108" s="66"/>
      <c r="Z108" s="2"/>
      <c r="AA108" s="2"/>
      <c r="AB108" s="2"/>
      <c r="AC108" s="2"/>
      <c r="AD108" s="2"/>
      <c r="AE108" s="2"/>
    </row>
    <row r="109" spans="1:31" ht="12.75" x14ac:dyDescent="0.2">
      <c r="A109" s="53">
        <f ca="1">IFERROR(__xludf.DUMMYFUNCTION("""COMPUTED_VALUE"""),1)</f>
        <v>1</v>
      </c>
      <c r="B109" s="66" t="str">
        <f ca="1">IFERROR(__xludf.DUMMYFUNCTION("""COMPUTED_VALUE"""),"Bồi dưỡng Nghiệp vụ Giáo dục")</f>
        <v>Bồi dưỡng Nghiệp vụ Giáo dục</v>
      </c>
      <c r="C109" s="66" t="str">
        <f ca="1">IFERROR(__xludf.DUMMYFUNCTION("""COMPUTED_VALUE"""),"BDGV")</f>
        <v>BDGV</v>
      </c>
      <c r="D109" s="66">
        <f ca="1">IFERROR(__xludf.DUMMYFUNCTION("""COMPUTED_VALUE"""),8)</f>
        <v>8</v>
      </c>
      <c r="E109" s="67">
        <f ca="1">IFERROR(__xludf.DUMMYFUNCTION("""COMPUTED_VALUE"""),12)</f>
        <v>12</v>
      </c>
      <c r="F109" s="67">
        <f ca="1">IFERROR(__xludf.DUMMYFUNCTION("""COMPUTED_VALUE"""),12)</f>
        <v>12</v>
      </c>
      <c r="G109" s="67"/>
      <c r="H109" s="67">
        <f ca="1">IFERROR(__xludf.DUMMYFUNCTION("""COMPUTED_VALUE"""),12)</f>
        <v>12</v>
      </c>
      <c r="I109" s="67"/>
      <c r="J109" s="67">
        <f ca="1">IFERROR(__xludf.DUMMYFUNCTION("""COMPUTED_VALUE"""),12)</f>
        <v>12</v>
      </c>
      <c r="K109" s="67"/>
      <c r="L109" s="67">
        <f ca="1">IFERROR(__xludf.DUMMYFUNCTION("""COMPUTED_VALUE"""),11)</f>
        <v>11</v>
      </c>
      <c r="M109" s="67"/>
      <c r="N109" s="66"/>
      <c r="O109" s="66"/>
      <c r="P109" s="66"/>
      <c r="Q109" s="66"/>
      <c r="R109" s="66"/>
      <c r="S109" s="66"/>
      <c r="T109" s="66"/>
      <c r="U109" s="66"/>
      <c r="V109" s="66"/>
      <c r="W109" s="66"/>
      <c r="X109" s="66"/>
      <c r="Y109" s="66"/>
      <c r="Z109" s="2"/>
      <c r="AA109" s="2"/>
      <c r="AB109" s="2"/>
      <c r="AC109" s="2"/>
      <c r="AD109" s="2"/>
      <c r="AE109" s="2"/>
    </row>
    <row r="110" spans="1:31" ht="12.75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1:31" ht="12.75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1:31" ht="12.75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:31" ht="12.75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 ht="12.75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 ht="12.75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 ht="12.75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 ht="12.75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 ht="12.75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 ht="12.75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 ht="12.75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 ht="12.75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 ht="12.75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 ht="12.75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 ht="12.75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 ht="12.75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ht="12.75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ht="12.75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ht="12.75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ht="12.75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ht="12.75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ht="12.75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ht="12.75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ht="12.75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ht="12.75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ht="12.75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ht="12.75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ht="12.75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ht="12.75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ht="12.75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ht="12.75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2.75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2.75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2.75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2.75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2.75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2.75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2.75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2.75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2.75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2.75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2.75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2.75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2.75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2.75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2.75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2.75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2.75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2.75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2.75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2.75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2.75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2.75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2.75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2.75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2.75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2.75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2.75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2.75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2.75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2.75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2.75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2.75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2.75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2.75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2.75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2.75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2.75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2.75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2.75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2.75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2.75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2.75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2.75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2.75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2.75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2.75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2.75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2.75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2.75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2.75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2.75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2.75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2.75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2.75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2.75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2.75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2.75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2.75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2.75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2.75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2.75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2.75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2.75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2.75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2.75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2.75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2.75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2.75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2.75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2.75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2.75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2.75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2.75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2.75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2.75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2.75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2.75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2.75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2.75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2.75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2.75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2.75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2.75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2.75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2.75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2.75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2.75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2.75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2.75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2.75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2.75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2.75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2.75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2.75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2.75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2.75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2.75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2.75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2.75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2.75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2.75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2.75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2.75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2.75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2.75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2.75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2.75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2.75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2.75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2.75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2.75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2.75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2.75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2.75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2.75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2.75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2.75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2.75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2.75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2.75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2.75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2.75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2.75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2.75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2.75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2.75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2.75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2.75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2.75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2.75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2.75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2.75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2.75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2.75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2.75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2.75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2.75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2.75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2.75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2.75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2.75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2.75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2.75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2.75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2.75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2.75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2.75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2.75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2.75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2.75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2.75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2.75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2.75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2.75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2.75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2.75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2.75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2.75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2.75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2.75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2.75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2.75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2.75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2.75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2.75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2.75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2.75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2.75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2.75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2.75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2.75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2.75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2.75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2.75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2.75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2.75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2.75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2.75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2.75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2.75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2.75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2.75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2.75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2.75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2.75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2.75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2.75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2.75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2.75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2.75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2.75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2.75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2.75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2.75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2.75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2.75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2.75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2.75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2.75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2.75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2.75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2.75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2.75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2.75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2.75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2.75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2.75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2.75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2.75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2.75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2.75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2.75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2.75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2.75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2.75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2.75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2.75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2.75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2.75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2.75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2.75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2.75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2.75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2.75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2.75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2.75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2.75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2.75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2.75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2.75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2.75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2.75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2.75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2.75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2.75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2.75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2.75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2.75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2.75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2.75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2.75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2.75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2.75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2.75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2.75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2.75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2.75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2.75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2.75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2.75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2.75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2.75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2.75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2.75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2.75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2.75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2.75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2.75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2.75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2.75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2.75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2.75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2.75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2.75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2.75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2.75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2.75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2.75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2.75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2.75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2.75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2.75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2.75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2.75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2.75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2.75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2.75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2.75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2.75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2.75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2.75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2.75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2.75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2.75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2.75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2.75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2.75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2.75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2.75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2.75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2.75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2.75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2.75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2.75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2.75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2.75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2.75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2.75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2.75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2.75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2.75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2.75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2.75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2.75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2.75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2.75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2.75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2.75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2.75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2.75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2.75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2.75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2.75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2.75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2.75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2.75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2.75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2.75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2.75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2.75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2.75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2.75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2.75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2.75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2.75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2.75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2.75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2.75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2.75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2.75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2.75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2.75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2.75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2.75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2.75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2.75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2.75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2.75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2.75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2.75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2.75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2.75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2.75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2.75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2.75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2.75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2.75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2.75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2.75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2.75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2.75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2.75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2.75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2.75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2.75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2.75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2.75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2.75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2.75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2.75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2.75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2.75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2.75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2.75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2.75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2.75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2.75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2.75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2.75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2.75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2.75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2.75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2.75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2.75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2.75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2.75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2.75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2.75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2.75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2.75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2.75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2.75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2.75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2.75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2.75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2.75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2.75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2.75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2.75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2.75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2.75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2.75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2.75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2.75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2.75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2.75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2.75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2.75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2.75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2.75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2.75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2.75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2.75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2.75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2.75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2.75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2.75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2.75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2.75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2.75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2.75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2.75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2.75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2.75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2.75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2.75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2.75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2.75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2.75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2.75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2.75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2.75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2.75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2.75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2.75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2.75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2.75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2.75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2.75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2.75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2.75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2.75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2.75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2.75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2.75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2.75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2.75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2.75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2.75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2.75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2.75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2.75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2.75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2.75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2.75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2.75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2.75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2.75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2.75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2.75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2.75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2.75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2.75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2.75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2.75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2.75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2.75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2.75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2.75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2.75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2.75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2.75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2.75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2.75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2.75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2.75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2.75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2.75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2.75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2.75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2.75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2.75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2.75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2.75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2.75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2.75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2.75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2.75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2.75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2.75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2.75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2.75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2.75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2.75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2.75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2.75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2.75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2.75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2.75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2.75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2.75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2.75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2.75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2.75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2.75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2.75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2.75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2.75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2.75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2.75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2.75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2.75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2.75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2.75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2.75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2.75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2.75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2.75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2.75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2.75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2.75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2.75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2.75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2.75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2.75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2.75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2.75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2.75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2.75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2.75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2.75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2.75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2.75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2.75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2.75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2.75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2.75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2.75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2.75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2.75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2.75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2.75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2.75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2.75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2.75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2.75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2.75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2.75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2.75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2.75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2.75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2.75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2.75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2.75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2.75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2.75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2.75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2.75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2.75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2.75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2.75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2.75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2.75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2.75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2.75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2.75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2.75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2.75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2.75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2.75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2.75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2.75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2.75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2.75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2.75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2.75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2.75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2.75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2.75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2.75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2.75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2.75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2.75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2.75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2.75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2.75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2.75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2.75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2.75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2.75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2.75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2.75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2.75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2.75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2.75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2.75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2.75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2.75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2.75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2.75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2.75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2.75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2.75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2.75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2.75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2.75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2.75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2.75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2.75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2.75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2.75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2.75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2.75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2.75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2.75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2.75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2.75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2.75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2.75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2.75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2.75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2.75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2.75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2.75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2.75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2.75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2.75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2.75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2.75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2.75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2.75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2.75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2.75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2.75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2.75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2.75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2.75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2.75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2.75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2.75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2.75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2.75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2.75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2.75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2.75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2.75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2.75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2.75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2.75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2.75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2.75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2.75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2.75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2.75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2.75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2.75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2.75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2.75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2.75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2.75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2.75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2.75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2.75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2.75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2.75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2.75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2.75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2.75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2.75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2.75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2.75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2.75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2.75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2.75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2.75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2.75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2.75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2.75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2.75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2.75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2.75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2.75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2.75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2.75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2.75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2.75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2.75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2.75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2.75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2.75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2.75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2.75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2.75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2.75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2.75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2.75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2.75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2.75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2.75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2.75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2.75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2.75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2.75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2.75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2.75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2.75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2.75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2.75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2.75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2.75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2.75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2.75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2.75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2.75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2.75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2.75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2.75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2.75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2.75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2.75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2.75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2.75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2.75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2.75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2.75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2.75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2.75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2.75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2.75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2.75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2.75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2.75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2.75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2.75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2.75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2.75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2.75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2.75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2.75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2.75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2.75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2.75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2.75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2.75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2.75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2.75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2.75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2.75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2.75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2.75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2.75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2.75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2.75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2.75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2.75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2.75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2.75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2.75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2.75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2.75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2.75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2.75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2.75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2.75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2.75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2.75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2.75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2.75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2.75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2.75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2.75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2.75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2.75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2.75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2.75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2.75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2.75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2.75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2.75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2.75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2.75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2.75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2.75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2.75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2.75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2.75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2.75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2.75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2.75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2.75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2.75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2.75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2.75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2.75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2.75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2.75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2.75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2.75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2.75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2.75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2.75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2.75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2.75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2.75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2.75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2.75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2.75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2.75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2.75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2.75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2.75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2.75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2.75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2.75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2.75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2.75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2.75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2.75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2.75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2.75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2.75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2.75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2.75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2.75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2.75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2.75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2.75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2.75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2.75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2.75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2.75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2.75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2.75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2.75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2.75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2.75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2.75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2.75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2.75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2.75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2.75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2.75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2.75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2.75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2.75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2.75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2.75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2.75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2.75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2.75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2.75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2.75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2.75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2.75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2.75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2.75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2.75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2.75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2.75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2.75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2.75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2.75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2.75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2.75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2.75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2.75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2.75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 ht="12.75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 ht="12.75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  <row r="1000" spans="1:31" ht="12.75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</row>
  </sheetData>
  <mergeCells count="16">
    <mergeCell ref="N3:R3"/>
    <mergeCell ref="S3:Y3"/>
    <mergeCell ref="F4:G4"/>
    <mergeCell ref="H4:I4"/>
    <mergeCell ref="J4:K4"/>
    <mergeCell ref="L4:M4"/>
    <mergeCell ref="O4:P4"/>
    <mergeCell ref="Q4:R4"/>
    <mergeCell ref="T4:U4"/>
    <mergeCell ref="V4:W4"/>
    <mergeCell ref="X4:Y4"/>
    <mergeCell ref="A3:A4"/>
    <mergeCell ref="B3:B4"/>
    <mergeCell ref="C3:C4"/>
    <mergeCell ref="D3:D4"/>
    <mergeCell ref="E3:M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E1000"/>
  <sheetViews>
    <sheetView zoomScale="85" zoomScaleNormal="85" workbookViewId="0">
      <selection activeCell="B21" sqref="B21"/>
    </sheetView>
  </sheetViews>
  <sheetFormatPr defaultColWidth="12.5703125" defaultRowHeight="15.75" customHeight="1" x14ac:dyDescent="0.2"/>
  <cols>
    <col min="1" max="1" width="7.42578125" style="3" customWidth="1"/>
    <col min="2" max="2" width="35.85546875" style="3" customWidth="1"/>
    <col min="3" max="4" width="12.5703125" style="3"/>
    <col min="5" max="5" width="10.42578125" style="3" customWidth="1"/>
    <col min="6" max="13" width="8.85546875" style="3" customWidth="1"/>
    <col min="14" max="14" width="10.42578125" style="3" customWidth="1"/>
    <col min="15" max="18" width="8.85546875" style="3" customWidth="1"/>
    <col min="19" max="19" width="10.42578125" style="3" customWidth="1"/>
    <col min="20" max="25" width="8.85546875" style="3" customWidth="1"/>
    <col min="26" max="16384" width="12.5703125" style="3"/>
  </cols>
  <sheetData>
    <row r="1" spans="1:31" ht="26.25" customHeight="1" x14ac:dyDescent="0.2">
      <c r="A1" s="49" t="s">
        <v>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ht="35.25" customHeight="1" x14ac:dyDescent="0.2">
      <c r="A2" s="4" t="s">
        <v>26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</row>
    <row r="3" spans="1:31" ht="30.75" customHeight="1" x14ac:dyDescent="0.2">
      <c r="A3" s="89" t="str">
        <f ca="1">IFERROR(__xludf.DUMMYFUNCTION("IMPORTRANGE(""https://docs.google.com/spreadsheets/d/1giFCfPZvq6d2WPbrXwJ7ksTcnSjmuNbU5G4IRrh5hOk/edit#gid=0"",""Q10!A14:T500"")"),"STT")</f>
        <v>STT</v>
      </c>
      <c r="B3" s="101" t="str">
        <f ca="1">IFERROR(__xludf.DUMMYFUNCTION("""COMPUTED_VALUE"""),"TRƯỜNG")</f>
        <v>TRƯỜNG</v>
      </c>
      <c r="C3" s="101" t="str">
        <f ca="1">IFERROR(__xludf.DUMMYFUNCTION("""COMPUTED_VALUE"""),"BẬC HỌC (MN, TH, THCS, THPT, CB, GDTX)")</f>
        <v>BẬC HỌC (MN, TH, THCS, THPT, CB, GDTX)</v>
      </c>
      <c r="D3" s="101" t="str">
        <f ca="1">IFERROR(__xludf.DUMMYFUNCTION("""COMPUTED_VALUE"""),"THÀNH PHỐ, QUẬN, HUYỆN")</f>
        <v>THÀNH PHỐ, QUẬN, HUYỆN</v>
      </c>
      <c r="E3" s="91" t="str">
        <f ca="1">IFERROR(__xludf.DUMMYFUNCTION("""COMPUTED_VALUE"""),"Cán bộ - Giáo viên - Nhân viên")</f>
        <v>Cán bộ - Giáo viên - Nhân viên</v>
      </c>
      <c r="F3" s="92"/>
      <c r="G3" s="92"/>
      <c r="H3" s="92"/>
      <c r="I3" s="92"/>
      <c r="J3" s="92"/>
      <c r="K3" s="92"/>
      <c r="L3" s="92"/>
      <c r="M3" s="92"/>
      <c r="N3" s="93" t="str">
        <f ca="1">IFERROR(__xludf.DUMMYFUNCTION("""COMPUTED_VALUE"""),"Học sinh từ 5 đến dưới 12 tuổi")</f>
        <v>Học sinh từ 5 đến dưới 12 tuổi</v>
      </c>
      <c r="O3" s="92"/>
      <c r="P3" s="92"/>
      <c r="Q3" s="92"/>
      <c r="R3" s="92"/>
      <c r="S3" s="94" t="str">
        <f ca="1">IFERROR(__xludf.DUMMYFUNCTION("""COMPUTED_VALUE"""),"Học sinh từ 12 đến dưới 18 tuổi")</f>
        <v>Học sinh từ 12 đến dưới 18 tuổi</v>
      </c>
      <c r="T3" s="95"/>
      <c r="U3" s="95"/>
      <c r="V3" s="95"/>
      <c r="W3" s="95"/>
      <c r="X3" s="95"/>
      <c r="Y3" s="95"/>
      <c r="Z3" s="2"/>
      <c r="AA3" s="2"/>
      <c r="AB3" s="2"/>
      <c r="AC3" s="2"/>
      <c r="AD3" s="2"/>
      <c r="AE3" s="2"/>
    </row>
    <row r="4" spans="1:31" ht="27" customHeight="1" x14ac:dyDescent="0.2">
      <c r="A4" s="90"/>
      <c r="B4" s="88"/>
      <c r="C4" s="88"/>
      <c r="D4" s="88"/>
      <c r="E4" s="58" t="str">
        <f ca="1">IFERROR(__xludf.DUMMYFUNCTION("""COMPUTED_VALUE"""),"Tổng CB-GV-NV")</f>
        <v>Tổng CB-GV-NV</v>
      </c>
      <c r="F4" s="96" t="s">
        <v>22</v>
      </c>
      <c r="G4" s="97"/>
      <c r="H4" s="96" t="s">
        <v>23</v>
      </c>
      <c r="I4" s="97"/>
      <c r="J4" s="96" t="s">
        <v>24</v>
      </c>
      <c r="K4" s="97"/>
      <c r="L4" s="96" t="s">
        <v>25</v>
      </c>
      <c r="M4" s="97"/>
      <c r="N4" s="58" t="str">
        <f ca="1">IFERROR(__xludf.DUMMYFUNCTION("""COMPUTED_VALUE"""),"Tổng học sinh")</f>
        <v>Tổng học sinh</v>
      </c>
      <c r="O4" s="96" t="s">
        <v>22</v>
      </c>
      <c r="P4" s="97"/>
      <c r="Q4" s="96" t="s">
        <v>23</v>
      </c>
      <c r="R4" s="97"/>
      <c r="S4" s="58" t="str">
        <f ca="1">IFERROR(__xludf.DUMMYFUNCTION("""COMPUTED_VALUE"""),"Tổng học sinh")</f>
        <v>Tổng học sinh</v>
      </c>
      <c r="T4" s="98" t="s">
        <v>22</v>
      </c>
      <c r="U4" s="99"/>
      <c r="V4" s="98" t="s">
        <v>23</v>
      </c>
      <c r="W4" s="99"/>
      <c r="X4" s="98" t="s">
        <v>24</v>
      </c>
      <c r="Y4" s="99"/>
      <c r="Z4" s="2"/>
      <c r="AA4" s="2"/>
      <c r="AB4" s="2"/>
      <c r="AC4" s="2"/>
      <c r="AD4" s="2"/>
      <c r="AE4" s="2"/>
    </row>
    <row r="5" spans="1:31" ht="12.75" x14ac:dyDescent="0.2">
      <c r="A5" s="59" t="str">
        <f ca="1">IFERROR(__xludf.DUMMYFUNCTION("""COMPUTED_VALUE"""),"Tổng cả ngành")</f>
        <v>Tổng cả ngành</v>
      </c>
      <c r="B5" s="60"/>
      <c r="C5" s="61"/>
      <c r="D5" s="61" t="str">
        <f ca="1">IFERROR(__xludf.DUMMYFUNCTION("""COMPUTED_VALUE"""),"QUẬN 10")</f>
        <v>QUẬN 10</v>
      </c>
      <c r="E5" s="15">
        <f ca="1">IFERROR(__xludf.DUMMYFUNCTION("""COMPUTED_VALUE"""),2472)</f>
        <v>2472</v>
      </c>
      <c r="F5" s="15">
        <f ca="1">IFERROR(__xludf.DUMMYFUNCTION("""COMPUTED_VALUE"""),2468)</f>
        <v>2468</v>
      </c>
      <c r="G5" s="51">
        <f ca="1">IFERROR(F5/E5,"")</f>
        <v>0.99838187702265369</v>
      </c>
      <c r="H5" s="15">
        <f ca="1">IFERROR(__xludf.DUMMYFUNCTION("""COMPUTED_VALUE"""),2465)</f>
        <v>2465</v>
      </c>
      <c r="I5" s="51">
        <f ca="1">IFERROR(H5/E5,"")</f>
        <v>0.99716828478964403</v>
      </c>
      <c r="J5" s="15">
        <f ca="1">IFERROR(__xludf.DUMMYFUNCTION("""COMPUTED_VALUE"""),2366)</f>
        <v>2366</v>
      </c>
      <c r="K5" s="51">
        <f ca="1">IFERROR(J5/E5,"")</f>
        <v>0.95711974110032361</v>
      </c>
      <c r="L5" s="15">
        <f ca="1">IFERROR(__xludf.DUMMYFUNCTION("""COMPUTED_VALUE"""),1475)</f>
        <v>1475</v>
      </c>
      <c r="M5" s="51">
        <f ca="1">IFERROR(L5/E5,"")</f>
        <v>0.59668284789644011</v>
      </c>
      <c r="N5" s="15">
        <f ca="1">IFERROR(__xludf.DUMMYFUNCTION("""COMPUTED_VALUE"""),21938)</f>
        <v>21938</v>
      </c>
      <c r="O5" s="15">
        <f ca="1">IFERROR(__xludf.DUMMYFUNCTION("""COMPUTED_VALUE"""),6849)</f>
        <v>6849</v>
      </c>
      <c r="P5" s="51">
        <f ca="1">IFERROR(O5/N5,"")</f>
        <v>0.31219801258090984</v>
      </c>
      <c r="Q5" s="15">
        <f ca="1">IFERROR(__xludf.DUMMYFUNCTION("""COMPUTED_VALUE"""),4544)</f>
        <v>4544</v>
      </c>
      <c r="R5" s="51">
        <f ca="1">IFERROR(Q5/N5,"")</f>
        <v>0.2071291822408606</v>
      </c>
      <c r="S5" s="15">
        <f ca="1">IFERROR(__xludf.DUMMYFUNCTION("""COMPUTED_VALUE"""),1983)</f>
        <v>1983</v>
      </c>
      <c r="T5" s="15">
        <f ca="1">IFERROR(__xludf.DUMMYFUNCTION("""COMPUTED_VALUE"""),1943)</f>
        <v>1943</v>
      </c>
      <c r="U5" s="51">
        <f ca="1">IFERROR(T5/S5,"")</f>
        <v>0.97982854261220376</v>
      </c>
      <c r="V5" s="15">
        <f ca="1">IFERROR(__xludf.DUMMYFUNCTION("""COMPUTED_VALUE"""),1887)</f>
        <v>1887</v>
      </c>
      <c r="W5" s="51">
        <f ca="1">IFERROR(V5/S5,"")</f>
        <v>0.95158850226928893</v>
      </c>
      <c r="X5" s="15">
        <f ca="1">IFERROR(__xludf.DUMMYFUNCTION("""COMPUTED_VALUE"""),887)</f>
        <v>887</v>
      </c>
      <c r="Y5" s="51">
        <f ca="1">IFERROR(X5/S5,"")</f>
        <v>0.44730206757438223</v>
      </c>
      <c r="Z5" s="2"/>
      <c r="AA5" s="2"/>
      <c r="AB5" s="2"/>
      <c r="AC5" s="2"/>
      <c r="AD5" s="2"/>
      <c r="AE5" s="2"/>
    </row>
    <row r="6" spans="1:31" ht="12.75" x14ac:dyDescent="0.2">
      <c r="A6" s="55" t="str">
        <f ca="1">IFERROR(__xludf.DUMMYFUNCTION("""COMPUTED_VALUE"""),"Mầm non")</f>
        <v>Mầm non</v>
      </c>
      <c r="B6" s="66"/>
      <c r="C6" s="66"/>
      <c r="D6" s="66"/>
      <c r="E6" s="67">
        <f ca="1">IFERROR(__xludf.DUMMYFUNCTION("""COMPUTED_VALUE"""),1239)</f>
        <v>1239</v>
      </c>
      <c r="F6" s="67">
        <f ca="1">IFERROR(__xludf.DUMMYFUNCTION("""COMPUTED_VALUE"""),1238)</f>
        <v>1238</v>
      </c>
      <c r="G6" s="51">
        <f t="shared" ref="G6:G69" ca="1" si="0">IFERROR(F6/E6,"")</f>
        <v>0.99919289749798224</v>
      </c>
      <c r="H6" s="67">
        <f ca="1">IFERROR(__xludf.DUMMYFUNCTION("""COMPUTED_VALUE"""),1236)</f>
        <v>1236</v>
      </c>
      <c r="I6" s="51">
        <f t="shared" ref="I6:I69" ca="1" si="1">IFERROR(H6/E6,"")</f>
        <v>0.99757869249394671</v>
      </c>
      <c r="J6" s="67">
        <f ca="1">IFERROR(__xludf.DUMMYFUNCTION("""COMPUTED_VALUE"""),1188)</f>
        <v>1188</v>
      </c>
      <c r="K6" s="51">
        <f t="shared" ref="K6:K69" ca="1" si="2">IFERROR(J6/E6,"")</f>
        <v>0.95883777239709445</v>
      </c>
      <c r="L6" s="67">
        <f ca="1">IFERROR(__xludf.DUMMYFUNCTION("""COMPUTED_VALUE"""),722)</f>
        <v>722</v>
      </c>
      <c r="M6" s="51">
        <f t="shared" ref="M6:M69" ca="1" si="3">IFERROR(L6/E6,"")</f>
        <v>0.58272800645681999</v>
      </c>
      <c r="N6" s="67">
        <f ca="1">IFERROR(__xludf.DUMMYFUNCTION("""COMPUTED_VALUE"""),1747)</f>
        <v>1747</v>
      </c>
      <c r="O6" s="67">
        <f ca="1">IFERROR(__xludf.DUMMYFUNCTION("""COMPUTED_VALUE"""),159)</f>
        <v>159</v>
      </c>
      <c r="P6" s="51">
        <f t="shared" ref="P6:P69" ca="1" si="4">IFERROR(O6/N6,"")</f>
        <v>9.101316542644533E-2</v>
      </c>
      <c r="Q6" s="67">
        <f ca="1">IFERROR(__xludf.DUMMYFUNCTION("""COMPUTED_VALUE"""),50)</f>
        <v>50</v>
      </c>
      <c r="R6" s="51">
        <f t="shared" ref="R6:R69" ca="1" si="5">IFERROR(Q6/N6,"")</f>
        <v>2.8620492272467088E-2</v>
      </c>
      <c r="S6" s="67">
        <f ca="1">IFERROR(__xludf.DUMMYFUNCTION("""COMPUTED_VALUE"""),0)</f>
        <v>0</v>
      </c>
      <c r="T6" s="67">
        <f ca="1">IFERROR(__xludf.DUMMYFUNCTION("""COMPUTED_VALUE"""),0)</f>
        <v>0</v>
      </c>
      <c r="U6" s="51" t="str">
        <f t="shared" ref="U6:U69" ca="1" si="6">IFERROR(T6/S6,"")</f>
        <v/>
      </c>
      <c r="V6" s="67">
        <f ca="1">IFERROR(__xludf.DUMMYFUNCTION("""COMPUTED_VALUE"""),0)</f>
        <v>0</v>
      </c>
      <c r="W6" s="51" t="str">
        <f t="shared" ref="W6:W69" ca="1" si="7">IFERROR(V6/S6,"")</f>
        <v/>
      </c>
      <c r="X6" s="67">
        <f ca="1">IFERROR(__xludf.DUMMYFUNCTION("""COMPUTED_VALUE"""),0)</f>
        <v>0</v>
      </c>
      <c r="Y6" s="51" t="str">
        <f t="shared" ref="Y6:Y69" ca="1" si="8">IFERROR(X6/S6,"")</f>
        <v/>
      </c>
      <c r="Z6" s="2"/>
      <c r="AA6" s="2"/>
      <c r="AB6" s="2"/>
      <c r="AC6" s="2"/>
      <c r="AD6" s="2"/>
      <c r="AE6" s="2"/>
    </row>
    <row r="7" spans="1:31" ht="12.75" x14ac:dyDescent="0.2">
      <c r="A7" s="53">
        <f ca="1">IFERROR(__xludf.DUMMYFUNCTION("""COMPUTED_VALUE"""),1)</f>
        <v>1</v>
      </c>
      <c r="B7" s="66" t="str">
        <f ca="1">IFERROR(__xludf.DUMMYFUNCTION("""COMPUTED_VALUE"""),"Mầm non 19/5")</f>
        <v>Mầm non 19/5</v>
      </c>
      <c r="C7" s="66" t="str">
        <f ca="1">IFERROR(__xludf.DUMMYFUNCTION("""COMPUTED_VALUE"""),"Mầm non")</f>
        <v>Mầm non</v>
      </c>
      <c r="D7" s="66">
        <f ca="1">IFERROR(__xludf.DUMMYFUNCTION("""COMPUTED_VALUE"""),10)</f>
        <v>10</v>
      </c>
      <c r="E7" s="67">
        <f ca="1">IFERROR(__xludf.DUMMYFUNCTION("""COMPUTED_VALUE"""),52)</f>
        <v>52</v>
      </c>
      <c r="F7" s="67">
        <f ca="1">IFERROR(__xludf.DUMMYFUNCTION("""COMPUTED_VALUE"""),52)</f>
        <v>52</v>
      </c>
      <c r="G7" s="51">
        <f t="shared" ca="1" si="0"/>
        <v>1</v>
      </c>
      <c r="H7" s="67">
        <f ca="1">IFERROR(__xludf.DUMMYFUNCTION("""COMPUTED_VALUE"""),52)</f>
        <v>52</v>
      </c>
      <c r="I7" s="51">
        <f t="shared" ca="1" si="1"/>
        <v>1</v>
      </c>
      <c r="J7" s="67">
        <f ca="1">IFERROR(__xludf.DUMMYFUNCTION("""COMPUTED_VALUE"""),50)</f>
        <v>50</v>
      </c>
      <c r="K7" s="51">
        <f t="shared" ca="1" si="2"/>
        <v>0.96153846153846156</v>
      </c>
      <c r="L7" s="67">
        <f ca="1">IFERROR(__xludf.DUMMYFUNCTION("""COMPUTED_VALUE"""),34)</f>
        <v>34</v>
      </c>
      <c r="M7" s="51">
        <f t="shared" ca="1" si="3"/>
        <v>0.65384615384615385</v>
      </c>
      <c r="N7" s="67">
        <f ca="1">IFERROR(__xludf.DUMMYFUNCTION("""COMPUTED_VALUE"""),119)</f>
        <v>119</v>
      </c>
      <c r="O7" s="67">
        <f ca="1">IFERROR(__xludf.DUMMYFUNCTION("""COMPUTED_VALUE"""),12)</f>
        <v>12</v>
      </c>
      <c r="P7" s="51">
        <f t="shared" ca="1" si="4"/>
        <v>0.10084033613445378</v>
      </c>
      <c r="Q7" s="67">
        <f ca="1">IFERROR(__xludf.DUMMYFUNCTION("""COMPUTED_VALUE"""),5)</f>
        <v>5</v>
      </c>
      <c r="R7" s="51">
        <f t="shared" ca="1" si="5"/>
        <v>4.2016806722689079E-2</v>
      </c>
      <c r="S7" s="66"/>
      <c r="T7" s="66"/>
      <c r="U7" s="51" t="str">
        <f t="shared" si="6"/>
        <v/>
      </c>
      <c r="V7" s="66"/>
      <c r="W7" s="51" t="str">
        <f t="shared" si="7"/>
        <v/>
      </c>
      <c r="X7" s="66"/>
      <c r="Y7" s="51" t="str">
        <f t="shared" si="8"/>
        <v/>
      </c>
      <c r="Z7" s="2"/>
      <c r="AA7" s="2"/>
      <c r="AB7" s="2"/>
      <c r="AC7" s="2"/>
      <c r="AD7" s="2"/>
      <c r="AE7" s="2"/>
    </row>
    <row r="8" spans="1:31" ht="12.75" x14ac:dyDescent="0.2">
      <c r="A8" s="53">
        <f ca="1">IFERROR(__xludf.DUMMYFUNCTION("""COMPUTED_VALUE"""),2)</f>
        <v>2</v>
      </c>
      <c r="B8" s="66" t="str">
        <f ca="1">IFERROR(__xludf.DUMMYFUNCTION("""COMPUTED_VALUE"""),"Mầm non 2/9")</f>
        <v>Mầm non 2/9</v>
      </c>
      <c r="C8" s="66" t="str">
        <f ca="1">IFERROR(__xludf.DUMMYFUNCTION("""COMPUTED_VALUE"""),"Mầm non")</f>
        <v>Mầm non</v>
      </c>
      <c r="D8" s="66">
        <f ca="1">IFERROR(__xludf.DUMMYFUNCTION("""COMPUTED_VALUE"""),10)</f>
        <v>10</v>
      </c>
      <c r="E8" s="67">
        <f ca="1">IFERROR(__xludf.DUMMYFUNCTION("""COMPUTED_VALUE"""),31)</f>
        <v>31</v>
      </c>
      <c r="F8" s="67">
        <f ca="1">IFERROR(__xludf.DUMMYFUNCTION("""COMPUTED_VALUE"""),31)</f>
        <v>31</v>
      </c>
      <c r="G8" s="51">
        <f t="shared" ca="1" si="0"/>
        <v>1</v>
      </c>
      <c r="H8" s="66">
        <f ca="1">IFERROR(__xludf.DUMMYFUNCTION("""COMPUTED_VALUE"""),30)</f>
        <v>30</v>
      </c>
      <c r="I8" s="51">
        <f t="shared" ca="1" si="1"/>
        <v>0.967741935483871</v>
      </c>
      <c r="J8" s="67">
        <f ca="1">IFERROR(__xludf.DUMMYFUNCTION("""COMPUTED_VALUE"""),30)</f>
        <v>30</v>
      </c>
      <c r="K8" s="51">
        <f t="shared" ca="1" si="2"/>
        <v>0.967741935483871</v>
      </c>
      <c r="L8" s="67">
        <f ca="1">IFERROR(__xludf.DUMMYFUNCTION("""COMPUTED_VALUE"""),28)</f>
        <v>28</v>
      </c>
      <c r="M8" s="51">
        <f t="shared" ca="1" si="3"/>
        <v>0.90322580645161288</v>
      </c>
      <c r="N8" s="67">
        <f ca="1">IFERROR(__xludf.DUMMYFUNCTION("""COMPUTED_VALUE"""),44)</f>
        <v>44</v>
      </c>
      <c r="O8" s="67">
        <f ca="1">IFERROR(__xludf.DUMMYFUNCTION("""COMPUTED_VALUE"""),10)</f>
        <v>10</v>
      </c>
      <c r="P8" s="51">
        <f t="shared" ca="1" si="4"/>
        <v>0.22727272727272727</v>
      </c>
      <c r="Q8" s="67">
        <f ca="1">IFERROR(__xludf.DUMMYFUNCTION("""COMPUTED_VALUE"""),1)</f>
        <v>1</v>
      </c>
      <c r="R8" s="51">
        <f t="shared" ca="1" si="5"/>
        <v>2.2727272727272728E-2</v>
      </c>
      <c r="S8" s="66"/>
      <c r="T8" s="66"/>
      <c r="U8" s="51" t="str">
        <f t="shared" si="6"/>
        <v/>
      </c>
      <c r="V8" s="66"/>
      <c r="W8" s="51" t="str">
        <f t="shared" si="7"/>
        <v/>
      </c>
      <c r="X8" s="66"/>
      <c r="Y8" s="51" t="str">
        <f t="shared" si="8"/>
        <v/>
      </c>
      <c r="Z8" s="2"/>
      <c r="AA8" s="2"/>
      <c r="AB8" s="2"/>
      <c r="AC8" s="2"/>
      <c r="AD8" s="2"/>
      <c r="AE8" s="2"/>
    </row>
    <row r="9" spans="1:31" ht="12.75" x14ac:dyDescent="0.2">
      <c r="A9" s="53">
        <f ca="1">IFERROR(__xludf.DUMMYFUNCTION("""COMPUTED_VALUE"""),3)</f>
        <v>3</v>
      </c>
      <c r="B9" s="66" t="str">
        <f ca="1">IFERROR(__xludf.DUMMYFUNCTION("""COMPUTED_VALUE"""),"MN Măng non I")</f>
        <v>MN Măng non I</v>
      </c>
      <c r="C9" s="66" t="str">
        <f ca="1">IFERROR(__xludf.DUMMYFUNCTION("""COMPUTED_VALUE"""),"Mầm non")</f>
        <v>Mầm non</v>
      </c>
      <c r="D9" s="66">
        <f ca="1">IFERROR(__xludf.DUMMYFUNCTION("""COMPUTED_VALUE"""),10)</f>
        <v>10</v>
      </c>
      <c r="E9" s="67">
        <f ca="1">IFERROR(__xludf.DUMMYFUNCTION("""COMPUTED_VALUE"""),89)</f>
        <v>89</v>
      </c>
      <c r="F9" s="67">
        <f ca="1">IFERROR(__xludf.DUMMYFUNCTION("""COMPUTED_VALUE"""),89)</f>
        <v>89</v>
      </c>
      <c r="G9" s="51">
        <f t="shared" ca="1" si="0"/>
        <v>1</v>
      </c>
      <c r="H9" s="67">
        <f ca="1">IFERROR(__xludf.DUMMYFUNCTION("""COMPUTED_VALUE"""),89)</f>
        <v>89</v>
      </c>
      <c r="I9" s="51">
        <f t="shared" ca="1" si="1"/>
        <v>1</v>
      </c>
      <c r="J9" s="67">
        <f ca="1">IFERROR(__xludf.DUMMYFUNCTION("""COMPUTED_VALUE"""),87)</f>
        <v>87</v>
      </c>
      <c r="K9" s="51">
        <f t="shared" ca="1" si="2"/>
        <v>0.97752808988764039</v>
      </c>
      <c r="L9" s="67">
        <f ca="1">IFERROR(__xludf.DUMMYFUNCTION("""COMPUTED_VALUE"""),40)</f>
        <v>40</v>
      </c>
      <c r="M9" s="51">
        <f t="shared" ca="1" si="3"/>
        <v>0.449438202247191</v>
      </c>
      <c r="N9" s="67">
        <f ca="1">IFERROR(__xludf.DUMMYFUNCTION("""COMPUTED_VALUE"""),117)</f>
        <v>117</v>
      </c>
      <c r="O9" s="67">
        <f ca="1">IFERROR(__xludf.DUMMYFUNCTION("""COMPUTED_VALUE"""),10)</f>
        <v>10</v>
      </c>
      <c r="P9" s="51">
        <f t="shared" ca="1" si="4"/>
        <v>8.5470085470085472E-2</v>
      </c>
      <c r="Q9" s="67">
        <f ca="1">IFERROR(__xludf.DUMMYFUNCTION("""COMPUTED_VALUE"""),2)</f>
        <v>2</v>
      </c>
      <c r="R9" s="51">
        <f t="shared" ca="1" si="5"/>
        <v>1.7094017094017096E-2</v>
      </c>
      <c r="S9" s="66"/>
      <c r="T9" s="66"/>
      <c r="U9" s="51" t="str">
        <f t="shared" si="6"/>
        <v/>
      </c>
      <c r="V9" s="66"/>
      <c r="W9" s="51" t="str">
        <f t="shared" si="7"/>
        <v/>
      </c>
      <c r="X9" s="66"/>
      <c r="Y9" s="51" t="str">
        <f t="shared" si="8"/>
        <v/>
      </c>
      <c r="Z9" s="2"/>
      <c r="AA9" s="2"/>
      <c r="AB9" s="2"/>
      <c r="AC9" s="2"/>
      <c r="AD9" s="2"/>
      <c r="AE9" s="2"/>
    </row>
    <row r="10" spans="1:31" ht="12.75" x14ac:dyDescent="0.2">
      <c r="A10" s="53">
        <f ca="1">IFERROR(__xludf.DUMMYFUNCTION("""COMPUTED_VALUE"""),4)</f>
        <v>4</v>
      </c>
      <c r="B10" s="66" t="str">
        <f ca="1">IFERROR(__xludf.DUMMYFUNCTION("""COMPUTED_VALUE"""),"MN Măng non II")</f>
        <v>MN Măng non II</v>
      </c>
      <c r="C10" s="66" t="str">
        <f ca="1">IFERROR(__xludf.DUMMYFUNCTION("""COMPUTED_VALUE"""),"Mầm non")</f>
        <v>Mầm non</v>
      </c>
      <c r="D10" s="66">
        <f ca="1">IFERROR(__xludf.DUMMYFUNCTION("""COMPUTED_VALUE"""),10)</f>
        <v>10</v>
      </c>
      <c r="E10" s="67">
        <f ca="1">IFERROR(__xludf.DUMMYFUNCTION("""COMPUTED_VALUE"""),39)</f>
        <v>39</v>
      </c>
      <c r="F10" s="67">
        <f ca="1">IFERROR(__xludf.DUMMYFUNCTION("""COMPUTED_VALUE"""),39)</f>
        <v>39</v>
      </c>
      <c r="G10" s="51">
        <f t="shared" ca="1" si="0"/>
        <v>1</v>
      </c>
      <c r="H10" s="67">
        <f ca="1">IFERROR(__xludf.DUMMYFUNCTION("""COMPUTED_VALUE"""),39)</f>
        <v>39</v>
      </c>
      <c r="I10" s="51">
        <f t="shared" ca="1" si="1"/>
        <v>1</v>
      </c>
      <c r="J10" s="67">
        <f ca="1">IFERROR(__xludf.DUMMYFUNCTION("""COMPUTED_VALUE"""),39)</f>
        <v>39</v>
      </c>
      <c r="K10" s="51">
        <f t="shared" ca="1" si="2"/>
        <v>1</v>
      </c>
      <c r="L10" s="67">
        <f ca="1">IFERROR(__xludf.DUMMYFUNCTION("""COMPUTED_VALUE"""),33)</f>
        <v>33</v>
      </c>
      <c r="M10" s="51">
        <f t="shared" ca="1" si="3"/>
        <v>0.84615384615384615</v>
      </c>
      <c r="N10" s="67">
        <f ca="1">IFERROR(__xludf.DUMMYFUNCTION("""COMPUTED_VALUE"""),61)</f>
        <v>61</v>
      </c>
      <c r="O10" s="67">
        <f ca="1">IFERROR(__xludf.DUMMYFUNCTION("""COMPUTED_VALUE"""),5)</f>
        <v>5</v>
      </c>
      <c r="P10" s="51">
        <f t="shared" ca="1" si="4"/>
        <v>8.1967213114754092E-2</v>
      </c>
      <c r="Q10" s="67">
        <f ca="1">IFERROR(__xludf.DUMMYFUNCTION("""COMPUTED_VALUE"""),2)</f>
        <v>2</v>
      </c>
      <c r="R10" s="51">
        <f t="shared" ca="1" si="5"/>
        <v>3.2786885245901641E-2</v>
      </c>
      <c r="S10" s="66"/>
      <c r="T10" s="66"/>
      <c r="U10" s="51" t="str">
        <f t="shared" si="6"/>
        <v/>
      </c>
      <c r="V10" s="66"/>
      <c r="W10" s="51" t="str">
        <f t="shared" si="7"/>
        <v/>
      </c>
      <c r="X10" s="66"/>
      <c r="Y10" s="51" t="str">
        <f t="shared" si="8"/>
        <v/>
      </c>
      <c r="Z10" s="2"/>
      <c r="AA10" s="2"/>
      <c r="AB10" s="2"/>
      <c r="AC10" s="2"/>
      <c r="AD10" s="2"/>
      <c r="AE10" s="2"/>
    </row>
    <row r="11" spans="1:31" ht="12.75" x14ac:dyDescent="0.2">
      <c r="A11" s="53">
        <f ca="1">IFERROR(__xludf.DUMMYFUNCTION("""COMPUTED_VALUE"""),5)</f>
        <v>5</v>
      </c>
      <c r="B11" s="66" t="str">
        <f ca="1">IFERROR(__xludf.DUMMYFUNCTION("""COMPUTED_VALUE"""),"MN Măng non III")</f>
        <v>MN Măng non III</v>
      </c>
      <c r="C11" s="66" t="str">
        <f ca="1">IFERROR(__xludf.DUMMYFUNCTION("""COMPUTED_VALUE"""),"Mầm non")</f>
        <v>Mầm non</v>
      </c>
      <c r="D11" s="66">
        <f ca="1">IFERROR(__xludf.DUMMYFUNCTION("""COMPUTED_VALUE"""),10)</f>
        <v>10</v>
      </c>
      <c r="E11" s="67">
        <f ca="1">IFERROR(__xludf.DUMMYFUNCTION("""COMPUTED_VALUE"""),40)</f>
        <v>40</v>
      </c>
      <c r="F11" s="67">
        <f ca="1">IFERROR(__xludf.DUMMYFUNCTION("""COMPUTED_VALUE"""),40)</f>
        <v>40</v>
      </c>
      <c r="G11" s="51">
        <f t="shared" ca="1" si="0"/>
        <v>1</v>
      </c>
      <c r="H11" s="67">
        <f ca="1">IFERROR(__xludf.DUMMYFUNCTION("""COMPUTED_VALUE"""),40)</f>
        <v>40</v>
      </c>
      <c r="I11" s="51">
        <f t="shared" ca="1" si="1"/>
        <v>1</v>
      </c>
      <c r="J11" s="67">
        <f ca="1">IFERROR(__xludf.DUMMYFUNCTION("""COMPUTED_VALUE"""),38)</f>
        <v>38</v>
      </c>
      <c r="K11" s="51">
        <f t="shared" ca="1" si="2"/>
        <v>0.95</v>
      </c>
      <c r="L11" s="67">
        <f ca="1">IFERROR(__xludf.DUMMYFUNCTION("""COMPUTED_VALUE"""),21)</f>
        <v>21</v>
      </c>
      <c r="M11" s="51">
        <f t="shared" ca="1" si="3"/>
        <v>0.52500000000000002</v>
      </c>
      <c r="N11" s="67">
        <f ca="1">IFERROR(__xludf.DUMMYFUNCTION("""COMPUTED_VALUE"""),84)</f>
        <v>84</v>
      </c>
      <c r="O11" s="67">
        <f ca="1">IFERROR(__xludf.DUMMYFUNCTION("""COMPUTED_VALUE"""),8)</f>
        <v>8</v>
      </c>
      <c r="P11" s="51">
        <f t="shared" ca="1" si="4"/>
        <v>9.5238095238095233E-2</v>
      </c>
      <c r="Q11" s="67">
        <f ca="1">IFERROR(__xludf.DUMMYFUNCTION("""COMPUTED_VALUE"""),0)</f>
        <v>0</v>
      </c>
      <c r="R11" s="51">
        <f t="shared" ca="1" si="5"/>
        <v>0</v>
      </c>
      <c r="S11" s="66"/>
      <c r="T11" s="66"/>
      <c r="U11" s="51" t="str">
        <f t="shared" si="6"/>
        <v/>
      </c>
      <c r="V11" s="66"/>
      <c r="W11" s="51" t="str">
        <f t="shared" si="7"/>
        <v/>
      </c>
      <c r="X11" s="66"/>
      <c r="Y11" s="51" t="str">
        <f t="shared" si="8"/>
        <v/>
      </c>
      <c r="Z11" s="2"/>
      <c r="AA11" s="2"/>
      <c r="AB11" s="2"/>
      <c r="AC11" s="2"/>
      <c r="AD11" s="2"/>
      <c r="AE11" s="2"/>
    </row>
    <row r="12" spans="1:31" ht="12.75" x14ac:dyDescent="0.2">
      <c r="A12" s="53">
        <f ca="1">IFERROR(__xludf.DUMMYFUNCTION("""COMPUTED_VALUE"""),6)</f>
        <v>6</v>
      </c>
      <c r="B12" s="66" t="str">
        <f ca="1">IFERROR(__xludf.DUMMYFUNCTION("""COMPUTED_VALUE"""),"MN Phường 1")</f>
        <v>MN Phường 1</v>
      </c>
      <c r="C12" s="66" t="str">
        <f ca="1">IFERROR(__xludf.DUMMYFUNCTION("""COMPUTED_VALUE"""),"Mầm non")</f>
        <v>Mầm non</v>
      </c>
      <c r="D12" s="66">
        <f ca="1">IFERROR(__xludf.DUMMYFUNCTION("""COMPUTED_VALUE"""),10)</f>
        <v>10</v>
      </c>
      <c r="E12" s="67">
        <f ca="1">IFERROR(__xludf.DUMMYFUNCTION("""COMPUTED_VALUE"""),48)</f>
        <v>48</v>
      </c>
      <c r="F12" s="67">
        <f ca="1">IFERROR(__xludf.DUMMYFUNCTION("""COMPUTED_VALUE"""),48)</f>
        <v>48</v>
      </c>
      <c r="G12" s="51">
        <f t="shared" ca="1" si="0"/>
        <v>1</v>
      </c>
      <c r="H12" s="67">
        <f ca="1">IFERROR(__xludf.DUMMYFUNCTION("""COMPUTED_VALUE"""),48)</f>
        <v>48</v>
      </c>
      <c r="I12" s="51">
        <f t="shared" ca="1" si="1"/>
        <v>1</v>
      </c>
      <c r="J12" s="67">
        <f ca="1">IFERROR(__xludf.DUMMYFUNCTION("""COMPUTED_VALUE"""),48)</f>
        <v>48</v>
      </c>
      <c r="K12" s="51">
        <f t="shared" ca="1" si="2"/>
        <v>1</v>
      </c>
      <c r="L12" s="67">
        <f ca="1">IFERROR(__xludf.DUMMYFUNCTION("""COMPUTED_VALUE"""),38)</f>
        <v>38</v>
      </c>
      <c r="M12" s="51">
        <f t="shared" ca="1" si="3"/>
        <v>0.79166666666666663</v>
      </c>
      <c r="N12" s="67">
        <f ca="1">IFERROR(__xludf.DUMMYFUNCTION("""COMPUTED_VALUE"""),66)</f>
        <v>66</v>
      </c>
      <c r="O12" s="67">
        <f ca="1">IFERROR(__xludf.DUMMYFUNCTION("""COMPUTED_VALUE"""),11)</f>
        <v>11</v>
      </c>
      <c r="P12" s="51">
        <f t="shared" ca="1" si="4"/>
        <v>0.16666666666666666</v>
      </c>
      <c r="Q12" s="67">
        <f ca="1">IFERROR(__xludf.DUMMYFUNCTION("""COMPUTED_VALUE"""),6)</f>
        <v>6</v>
      </c>
      <c r="R12" s="51">
        <f t="shared" ca="1" si="5"/>
        <v>9.0909090909090912E-2</v>
      </c>
      <c r="S12" s="66"/>
      <c r="T12" s="66"/>
      <c r="U12" s="51" t="str">
        <f t="shared" si="6"/>
        <v/>
      </c>
      <c r="V12" s="66"/>
      <c r="W12" s="51" t="str">
        <f t="shared" si="7"/>
        <v/>
      </c>
      <c r="X12" s="66"/>
      <c r="Y12" s="51" t="str">
        <f t="shared" si="8"/>
        <v/>
      </c>
      <c r="Z12" s="2"/>
      <c r="AA12" s="2"/>
      <c r="AB12" s="2"/>
      <c r="AC12" s="2"/>
      <c r="AD12" s="2"/>
      <c r="AE12" s="2"/>
    </row>
    <row r="13" spans="1:31" ht="12.75" x14ac:dyDescent="0.2">
      <c r="A13" s="53">
        <f ca="1">IFERROR(__xludf.DUMMYFUNCTION("""COMPUTED_VALUE"""),7)</f>
        <v>7</v>
      </c>
      <c r="B13" s="66" t="str">
        <f ca="1">IFERROR(__xludf.DUMMYFUNCTION("""COMPUTED_VALUE"""),"MN Phường 2")</f>
        <v>MN Phường 2</v>
      </c>
      <c r="C13" s="66" t="str">
        <f ca="1">IFERROR(__xludf.DUMMYFUNCTION("""COMPUTED_VALUE"""),"Mầm non")</f>
        <v>Mầm non</v>
      </c>
      <c r="D13" s="66">
        <f ca="1">IFERROR(__xludf.DUMMYFUNCTION("""COMPUTED_VALUE"""),10)</f>
        <v>10</v>
      </c>
      <c r="E13" s="67">
        <f ca="1">IFERROR(__xludf.DUMMYFUNCTION("""COMPUTED_VALUE"""),23)</f>
        <v>23</v>
      </c>
      <c r="F13" s="67">
        <f ca="1">IFERROR(__xludf.DUMMYFUNCTION("""COMPUTED_VALUE"""),23)</f>
        <v>23</v>
      </c>
      <c r="G13" s="51">
        <f t="shared" ca="1" si="0"/>
        <v>1</v>
      </c>
      <c r="H13" s="67">
        <f ca="1">IFERROR(__xludf.DUMMYFUNCTION("""COMPUTED_VALUE"""),23)</f>
        <v>23</v>
      </c>
      <c r="I13" s="51">
        <f t="shared" ca="1" si="1"/>
        <v>1</v>
      </c>
      <c r="J13" s="67">
        <f ca="1">IFERROR(__xludf.DUMMYFUNCTION("""COMPUTED_VALUE"""),23)</f>
        <v>23</v>
      </c>
      <c r="K13" s="51">
        <f t="shared" ca="1" si="2"/>
        <v>1</v>
      </c>
      <c r="L13" s="67">
        <f ca="1">IFERROR(__xludf.DUMMYFUNCTION("""COMPUTED_VALUE"""),23)</f>
        <v>23</v>
      </c>
      <c r="M13" s="51">
        <f t="shared" ca="1" si="3"/>
        <v>1</v>
      </c>
      <c r="N13" s="67">
        <f ca="1">IFERROR(__xludf.DUMMYFUNCTION("""COMPUTED_VALUE"""),45)</f>
        <v>45</v>
      </c>
      <c r="O13" s="67">
        <f ca="1">IFERROR(__xludf.DUMMYFUNCTION("""COMPUTED_VALUE"""),8)</f>
        <v>8</v>
      </c>
      <c r="P13" s="51">
        <f t="shared" ca="1" si="4"/>
        <v>0.17777777777777778</v>
      </c>
      <c r="Q13" s="67">
        <f ca="1">IFERROR(__xludf.DUMMYFUNCTION("""COMPUTED_VALUE"""),0)</f>
        <v>0</v>
      </c>
      <c r="R13" s="51">
        <f t="shared" ca="1" si="5"/>
        <v>0</v>
      </c>
      <c r="S13" s="66"/>
      <c r="T13" s="66"/>
      <c r="U13" s="51" t="str">
        <f t="shared" si="6"/>
        <v/>
      </c>
      <c r="V13" s="66"/>
      <c r="W13" s="51" t="str">
        <f t="shared" si="7"/>
        <v/>
      </c>
      <c r="X13" s="66"/>
      <c r="Y13" s="51" t="str">
        <f t="shared" si="8"/>
        <v/>
      </c>
      <c r="Z13" s="2"/>
      <c r="AA13" s="2"/>
      <c r="AB13" s="2"/>
      <c r="AC13" s="2"/>
      <c r="AD13" s="2"/>
      <c r="AE13" s="2"/>
    </row>
    <row r="14" spans="1:31" ht="12.75" x14ac:dyDescent="0.2">
      <c r="A14" s="53">
        <f ca="1">IFERROR(__xludf.DUMMYFUNCTION("""COMPUTED_VALUE"""),8)</f>
        <v>8</v>
      </c>
      <c r="B14" s="66" t="str">
        <f ca="1">IFERROR(__xludf.DUMMYFUNCTION("""COMPUTED_VALUE"""),"MN Phường 3")</f>
        <v>MN Phường 3</v>
      </c>
      <c r="C14" s="66" t="str">
        <f ca="1">IFERROR(__xludf.DUMMYFUNCTION("""COMPUTED_VALUE"""),"Mầm non")</f>
        <v>Mầm non</v>
      </c>
      <c r="D14" s="66">
        <f ca="1">IFERROR(__xludf.DUMMYFUNCTION("""COMPUTED_VALUE"""),10)</f>
        <v>10</v>
      </c>
      <c r="E14" s="67">
        <f ca="1">IFERROR(__xludf.DUMMYFUNCTION("""COMPUTED_VALUE"""),27)</f>
        <v>27</v>
      </c>
      <c r="F14" s="67">
        <f ca="1">IFERROR(__xludf.DUMMYFUNCTION("""COMPUTED_VALUE"""),27)</f>
        <v>27</v>
      </c>
      <c r="G14" s="51">
        <f t="shared" ca="1" si="0"/>
        <v>1</v>
      </c>
      <c r="H14" s="67">
        <f ca="1">IFERROR(__xludf.DUMMYFUNCTION("""COMPUTED_VALUE"""),27)</f>
        <v>27</v>
      </c>
      <c r="I14" s="51">
        <f t="shared" ca="1" si="1"/>
        <v>1</v>
      </c>
      <c r="J14" s="67">
        <f ca="1">IFERROR(__xludf.DUMMYFUNCTION("""COMPUTED_VALUE"""),27)</f>
        <v>27</v>
      </c>
      <c r="K14" s="51">
        <f t="shared" ca="1" si="2"/>
        <v>1</v>
      </c>
      <c r="L14" s="67">
        <f ca="1">IFERROR(__xludf.DUMMYFUNCTION("""COMPUTED_VALUE"""),26)</f>
        <v>26</v>
      </c>
      <c r="M14" s="51">
        <f t="shared" ca="1" si="3"/>
        <v>0.96296296296296291</v>
      </c>
      <c r="N14" s="67">
        <f ca="1">IFERROR(__xludf.DUMMYFUNCTION("""COMPUTED_VALUE"""),38)</f>
        <v>38</v>
      </c>
      <c r="O14" s="67">
        <f ca="1">IFERROR(__xludf.DUMMYFUNCTION("""COMPUTED_VALUE"""),6)</f>
        <v>6</v>
      </c>
      <c r="P14" s="51">
        <f t="shared" ca="1" si="4"/>
        <v>0.15789473684210525</v>
      </c>
      <c r="Q14" s="67">
        <f ca="1">IFERROR(__xludf.DUMMYFUNCTION("""COMPUTED_VALUE"""),1)</f>
        <v>1</v>
      </c>
      <c r="R14" s="51">
        <f t="shared" ca="1" si="5"/>
        <v>2.6315789473684209E-2</v>
      </c>
      <c r="S14" s="66"/>
      <c r="T14" s="66"/>
      <c r="U14" s="51" t="str">
        <f t="shared" si="6"/>
        <v/>
      </c>
      <c r="V14" s="66"/>
      <c r="W14" s="51" t="str">
        <f t="shared" si="7"/>
        <v/>
      </c>
      <c r="X14" s="66"/>
      <c r="Y14" s="51" t="str">
        <f t="shared" si="8"/>
        <v/>
      </c>
      <c r="Z14" s="2"/>
      <c r="AA14" s="2"/>
      <c r="AB14" s="2"/>
      <c r="AC14" s="2"/>
      <c r="AD14" s="2"/>
      <c r="AE14" s="2"/>
    </row>
    <row r="15" spans="1:31" ht="12.75" x14ac:dyDescent="0.2">
      <c r="A15" s="53">
        <f ca="1">IFERROR(__xludf.DUMMYFUNCTION("""COMPUTED_VALUE"""),9)</f>
        <v>9</v>
      </c>
      <c r="B15" s="66" t="str">
        <f ca="1">IFERROR(__xludf.DUMMYFUNCTION("""COMPUTED_VALUE"""),"MN Phường 5")</f>
        <v>MN Phường 5</v>
      </c>
      <c r="C15" s="66" t="str">
        <f ca="1">IFERROR(__xludf.DUMMYFUNCTION("""COMPUTED_VALUE"""),"Mầm non")</f>
        <v>Mầm non</v>
      </c>
      <c r="D15" s="66">
        <f ca="1">IFERROR(__xludf.DUMMYFUNCTION("""COMPUTED_VALUE"""),10)</f>
        <v>10</v>
      </c>
      <c r="E15" s="67">
        <f ca="1">IFERROR(__xludf.DUMMYFUNCTION("""COMPUTED_VALUE"""),36)</f>
        <v>36</v>
      </c>
      <c r="F15" s="67">
        <f ca="1">IFERROR(__xludf.DUMMYFUNCTION("""COMPUTED_VALUE"""),36)</f>
        <v>36</v>
      </c>
      <c r="G15" s="51">
        <f t="shared" ca="1" si="0"/>
        <v>1</v>
      </c>
      <c r="H15" s="67">
        <f ca="1">IFERROR(__xludf.DUMMYFUNCTION("""COMPUTED_VALUE"""),36)</f>
        <v>36</v>
      </c>
      <c r="I15" s="51">
        <f t="shared" ca="1" si="1"/>
        <v>1</v>
      </c>
      <c r="J15" s="67">
        <f ca="1">IFERROR(__xludf.DUMMYFUNCTION("""COMPUTED_VALUE"""),35)</f>
        <v>35</v>
      </c>
      <c r="K15" s="51">
        <f t="shared" ca="1" si="2"/>
        <v>0.97222222222222221</v>
      </c>
      <c r="L15" s="67">
        <f ca="1">IFERROR(__xludf.DUMMYFUNCTION("""COMPUTED_VALUE"""),22)</f>
        <v>22</v>
      </c>
      <c r="M15" s="51">
        <f t="shared" ca="1" si="3"/>
        <v>0.61111111111111116</v>
      </c>
      <c r="N15" s="67">
        <f ca="1">IFERROR(__xludf.DUMMYFUNCTION("""COMPUTED_VALUE"""),49)</f>
        <v>49</v>
      </c>
      <c r="O15" s="67">
        <f ca="1">IFERROR(__xludf.DUMMYFUNCTION("""COMPUTED_VALUE"""),12)</f>
        <v>12</v>
      </c>
      <c r="P15" s="51">
        <f t="shared" ca="1" si="4"/>
        <v>0.24489795918367346</v>
      </c>
      <c r="Q15" s="67">
        <f ca="1">IFERROR(__xludf.DUMMYFUNCTION("""COMPUTED_VALUE"""),7)</f>
        <v>7</v>
      </c>
      <c r="R15" s="51">
        <f t="shared" ca="1" si="5"/>
        <v>0.14285714285714285</v>
      </c>
      <c r="S15" s="66"/>
      <c r="T15" s="66"/>
      <c r="U15" s="51" t="str">
        <f t="shared" si="6"/>
        <v/>
      </c>
      <c r="V15" s="66"/>
      <c r="W15" s="51" t="str">
        <f t="shared" si="7"/>
        <v/>
      </c>
      <c r="X15" s="66"/>
      <c r="Y15" s="51" t="str">
        <f t="shared" si="8"/>
        <v/>
      </c>
      <c r="Z15" s="2"/>
      <c r="AA15" s="2"/>
      <c r="AB15" s="2"/>
      <c r="AC15" s="2"/>
      <c r="AD15" s="2"/>
      <c r="AE15" s="2"/>
    </row>
    <row r="16" spans="1:31" ht="12.75" x14ac:dyDescent="0.2">
      <c r="A16" s="53">
        <f ca="1">IFERROR(__xludf.DUMMYFUNCTION("""COMPUTED_VALUE"""),10)</f>
        <v>10</v>
      </c>
      <c r="B16" s="66" t="str">
        <f ca="1">IFERROR(__xludf.DUMMYFUNCTION("""COMPUTED_VALUE"""),"MN Phường 6")</f>
        <v>MN Phường 6</v>
      </c>
      <c r="C16" s="66" t="str">
        <f ca="1">IFERROR(__xludf.DUMMYFUNCTION("""COMPUTED_VALUE"""),"Mầm non")</f>
        <v>Mầm non</v>
      </c>
      <c r="D16" s="66">
        <f ca="1">IFERROR(__xludf.DUMMYFUNCTION("""COMPUTED_VALUE"""),10)</f>
        <v>10</v>
      </c>
      <c r="E16" s="67">
        <f ca="1">IFERROR(__xludf.DUMMYFUNCTION("""COMPUTED_VALUE"""),25)</f>
        <v>25</v>
      </c>
      <c r="F16" s="67">
        <f ca="1">IFERROR(__xludf.DUMMYFUNCTION("""COMPUTED_VALUE"""),25)</f>
        <v>25</v>
      </c>
      <c r="G16" s="51">
        <f t="shared" ca="1" si="0"/>
        <v>1</v>
      </c>
      <c r="H16" s="67">
        <f ca="1">IFERROR(__xludf.DUMMYFUNCTION("""COMPUTED_VALUE"""),25)</f>
        <v>25</v>
      </c>
      <c r="I16" s="51">
        <f t="shared" ca="1" si="1"/>
        <v>1</v>
      </c>
      <c r="J16" s="67">
        <f ca="1">IFERROR(__xludf.DUMMYFUNCTION("""COMPUTED_VALUE"""),25)</f>
        <v>25</v>
      </c>
      <c r="K16" s="51">
        <f t="shared" ca="1" si="2"/>
        <v>1</v>
      </c>
      <c r="L16" s="67">
        <f ca="1">IFERROR(__xludf.DUMMYFUNCTION("""COMPUTED_VALUE"""),23)</f>
        <v>23</v>
      </c>
      <c r="M16" s="51">
        <f t="shared" ca="1" si="3"/>
        <v>0.92</v>
      </c>
      <c r="N16" s="67">
        <f ca="1">IFERROR(__xludf.DUMMYFUNCTION("""COMPUTED_VALUE"""),28)</f>
        <v>28</v>
      </c>
      <c r="O16" s="67">
        <f ca="1">IFERROR(__xludf.DUMMYFUNCTION("""COMPUTED_VALUE"""),6)</f>
        <v>6</v>
      </c>
      <c r="P16" s="51">
        <f t="shared" ca="1" si="4"/>
        <v>0.21428571428571427</v>
      </c>
      <c r="Q16" s="67">
        <f ca="1">IFERROR(__xludf.DUMMYFUNCTION("""COMPUTED_VALUE"""),1)</f>
        <v>1</v>
      </c>
      <c r="R16" s="51">
        <f t="shared" ca="1" si="5"/>
        <v>3.5714285714285712E-2</v>
      </c>
      <c r="S16" s="66"/>
      <c r="T16" s="66"/>
      <c r="U16" s="51" t="str">
        <f t="shared" si="6"/>
        <v/>
      </c>
      <c r="V16" s="66"/>
      <c r="W16" s="51" t="str">
        <f t="shared" si="7"/>
        <v/>
      </c>
      <c r="X16" s="66"/>
      <c r="Y16" s="51" t="str">
        <f t="shared" si="8"/>
        <v/>
      </c>
      <c r="Z16" s="2"/>
      <c r="AA16" s="2"/>
      <c r="AB16" s="2"/>
      <c r="AC16" s="2"/>
      <c r="AD16" s="2"/>
      <c r="AE16" s="2"/>
    </row>
    <row r="17" spans="1:31" ht="12.75" x14ac:dyDescent="0.2">
      <c r="A17" s="53">
        <f ca="1">IFERROR(__xludf.DUMMYFUNCTION("""COMPUTED_VALUE"""),11)</f>
        <v>11</v>
      </c>
      <c r="B17" s="66" t="str">
        <f ca="1">IFERROR(__xludf.DUMMYFUNCTION("""COMPUTED_VALUE"""),"MN Phường 7")</f>
        <v>MN Phường 7</v>
      </c>
      <c r="C17" s="66" t="str">
        <f ca="1">IFERROR(__xludf.DUMMYFUNCTION("""COMPUTED_VALUE"""),"Mầm non")</f>
        <v>Mầm non</v>
      </c>
      <c r="D17" s="66">
        <f ca="1">IFERROR(__xludf.DUMMYFUNCTION("""COMPUTED_VALUE"""),10)</f>
        <v>10</v>
      </c>
      <c r="E17" s="67">
        <f ca="1">IFERROR(__xludf.DUMMYFUNCTION("""COMPUTED_VALUE"""),23)</f>
        <v>23</v>
      </c>
      <c r="F17" s="67">
        <f ca="1">IFERROR(__xludf.DUMMYFUNCTION("""COMPUTED_VALUE"""),23)</f>
        <v>23</v>
      </c>
      <c r="G17" s="51">
        <f t="shared" ca="1" si="0"/>
        <v>1</v>
      </c>
      <c r="H17" s="67">
        <f ca="1">IFERROR(__xludf.DUMMYFUNCTION("""COMPUTED_VALUE"""),23)</f>
        <v>23</v>
      </c>
      <c r="I17" s="51">
        <f t="shared" ca="1" si="1"/>
        <v>1</v>
      </c>
      <c r="J17" s="67">
        <f ca="1">IFERROR(__xludf.DUMMYFUNCTION("""COMPUTED_VALUE"""),23)</f>
        <v>23</v>
      </c>
      <c r="K17" s="51">
        <f t="shared" ca="1" si="2"/>
        <v>1</v>
      </c>
      <c r="L17" s="67">
        <f ca="1">IFERROR(__xludf.DUMMYFUNCTION("""COMPUTED_VALUE"""),23)</f>
        <v>23</v>
      </c>
      <c r="M17" s="51">
        <f t="shared" ca="1" si="3"/>
        <v>1</v>
      </c>
      <c r="N17" s="67">
        <f ca="1">IFERROR(__xludf.DUMMYFUNCTION("""COMPUTED_VALUE"""),53)</f>
        <v>53</v>
      </c>
      <c r="O17" s="67">
        <f ca="1">IFERROR(__xludf.DUMMYFUNCTION("""COMPUTED_VALUE"""),2)</f>
        <v>2</v>
      </c>
      <c r="P17" s="51">
        <f t="shared" ca="1" si="4"/>
        <v>3.7735849056603772E-2</v>
      </c>
      <c r="Q17" s="67">
        <f ca="1">IFERROR(__xludf.DUMMYFUNCTION("""COMPUTED_VALUE"""),0)</f>
        <v>0</v>
      </c>
      <c r="R17" s="51">
        <f t="shared" ca="1" si="5"/>
        <v>0</v>
      </c>
      <c r="S17" s="66"/>
      <c r="T17" s="66"/>
      <c r="U17" s="51" t="str">
        <f t="shared" si="6"/>
        <v/>
      </c>
      <c r="V17" s="66"/>
      <c r="W17" s="51" t="str">
        <f t="shared" si="7"/>
        <v/>
      </c>
      <c r="X17" s="66"/>
      <c r="Y17" s="51" t="str">
        <f t="shared" si="8"/>
        <v/>
      </c>
      <c r="Z17" s="2"/>
      <c r="AA17" s="2"/>
      <c r="AB17" s="2"/>
      <c r="AC17" s="2"/>
      <c r="AD17" s="2"/>
      <c r="AE17" s="2"/>
    </row>
    <row r="18" spans="1:31" ht="12.75" x14ac:dyDescent="0.2">
      <c r="A18" s="53">
        <f ca="1">IFERROR(__xludf.DUMMYFUNCTION("""COMPUTED_VALUE"""),12)</f>
        <v>12</v>
      </c>
      <c r="B18" s="66" t="str">
        <f ca="1">IFERROR(__xludf.DUMMYFUNCTION("""COMPUTED_VALUE"""),"MN Phường 8")</f>
        <v>MN Phường 8</v>
      </c>
      <c r="C18" s="66" t="str">
        <f ca="1">IFERROR(__xludf.DUMMYFUNCTION("""COMPUTED_VALUE"""),"Mầm non")</f>
        <v>Mầm non</v>
      </c>
      <c r="D18" s="66">
        <f ca="1">IFERROR(__xludf.DUMMYFUNCTION("""COMPUTED_VALUE"""),10)</f>
        <v>10</v>
      </c>
      <c r="E18" s="67">
        <f ca="1">IFERROR(__xludf.DUMMYFUNCTION("""COMPUTED_VALUE"""),26)</f>
        <v>26</v>
      </c>
      <c r="F18" s="67">
        <f ca="1">IFERROR(__xludf.DUMMYFUNCTION("""COMPUTED_VALUE"""),26)</f>
        <v>26</v>
      </c>
      <c r="G18" s="51">
        <f t="shared" ca="1" si="0"/>
        <v>1</v>
      </c>
      <c r="H18" s="67">
        <f ca="1">IFERROR(__xludf.DUMMYFUNCTION("""COMPUTED_VALUE"""),26)</f>
        <v>26</v>
      </c>
      <c r="I18" s="51">
        <f t="shared" ca="1" si="1"/>
        <v>1</v>
      </c>
      <c r="J18" s="67">
        <f ca="1">IFERROR(__xludf.DUMMYFUNCTION("""COMPUTED_VALUE"""),26)</f>
        <v>26</v>
      </c>
      <c r="K18" s="51">
        <f t="shared" ca="1" si="2"/>
        <v>1</v>
      </c>
      <c r="L18" s="67">
        <f ca="1">IFERROR(__xludf.DUMMYFUNCTION("""COMPUTED_VALUE"""),24)</f>
        <v>24</v>
      </c>
      <c r="M18" s="51">
        <f t="shared" ca="1" si="3"/>
        <v>0.92307692307692313</v>
      </c>
      <c r="N18" s="67">
        <f ca="1">IFERROR(__xludf.DUMMYFUNCTION("""COMPUTED_VALUE"""),46)</f>
        <v>46</v>
      </c>
      <c r="O18" s="67">
        <f ca="1">IFERROR(__xludf.DUMMYFUNCTION("""COMPUTED_VALUE"""),3)</f>
        <v>3</v>
      </c>
      <c r="P18" s="51">
        <f t="shared" ca="1" si="4"/>
        <v>6.5217391304347824E-2</v>
      </c>
      <c r="Q18" s="67">
        <f ca="1">IFERROR(__xludf.DUMMYFUNCTION("""COMPUTED_VALUE"""),2)</f>
        <v>2</v>
      </c>
      <c r="R18" s="51">
        <f t="shared" ca="1" si="5"/>
        <v>4.3478260869565216E-2</v>
      </c>
      <c r="S18" s="66"/>
      <c r="T18" s="66"/>
      <c r="U18" s="51" t="str">
        <f t="shared" si="6"/>
        <v/>
      </c>
      <c r="V18" s="66"/>
      <c r="W18" s="51" t="str">
        <f t="shared" si="7"/>
        <v/>
      </c>
      <c r="X18" s="66"/>
      <c r="Y18" s="51" t="str">
        <f t="shared" si="8"/>
        <v/>
      </c>
      <c r="Z18" s="2"/>
      <c r="AA18" s="2"/>
      <c r="AB18" s="2"/>
      <c r="AC18" s="2"/>
      <c r="AD18" s="2"/>
      <c r="AE18" s="2"/>
    </row>
    <row r="19" spans="1:31" ht="12.75" x14ac:dyDescent="0.2">
      <c r="A19" s="53">
        <f ca="1">IFERROR(__xludf.DUMMYFUNCTION("""COMPUTED_VALUE"""),13)</f>
        <v>13</v>
      </c>
      <c r="B19" s="66" t="str">
        <f ca="1">IFERROR(__xludf.DUMMYFUNCTION("""COMPUTED_VALUE"""),"MN Phường 9")</f>
        <v>MN Phường 9</v>
      </c>
      <c r="C19" s="66" t="str">
        <f ca="1">IFERROR(__xludf.DUMMYFUNCTION("""COMPUTED_VALUE"""),"Mầm non")</f>
        <v>Mầm non</v>
      </c>
      <c r="D19" s="66">
        <f ca="1">IFERROR(__xludf.DUMMYFUNCTION("""COMPUTED_VALUE"""),10)</f>
        <v>10</v>
      </c>
      <c r="E19" s="67">
        <f ca="1">IFERROR(__xludf.DUMMYFUNCTION("""COMPUTED_VALUE"""),22)</f>
        <v>22</v>
      </c>
      <c r="F19" s="67">
        <f ca="1">IFERROR(__xludf.DUMMYFUNCTION("""COMPUTED_VALUE"""),22)</f>
        <v>22</v>
      </c>
      <c r="G19" s="51">
        <f t="shared" ca="1" si="0"/>
        <v>1</v>
      </c>
      <c r="H19" s="67">
        <f ca="1">IFERROR(__xludf.DUMMYFUNCTION("""COMPUTED_VALUE"""),22)</f>
        <v>22</v>
      </c>
      <c r="I19" s="51">
        <f t="shared" ca="1" si="1"/>
        <v>1</v>
      </c>
      <c r="J19" s="67">
        <f ca="1">IFERROR(__xludf.DUMMYFUNCTION("""COMPUTED_VALUE"""),21)</f>
        <v>21</v>
      </c>
      <c r="K19" s="51">
        <f t="shared" ca="1" si="2"/>
        <v>0.95454545454545459</v>
      </c>
      <c r="L19" s="67">
        <f ca="1">IFERROR(__xludf.DUMMYFUNCTION("""COMPUTED_VALUE"""),18)</f>
        <v>18</v>
      </c>
      <c r="M19" s="51">
        <f t="shared" ca="1" si="3"/>
        <v>0.81818181818181823</v>
      </c>
      <c r="N19" s="67">
        <f ca="1">IFERROR(__xludf.DUMMYFUNCTION("""COMPUTED_VALUE"""),28)</f>
        <v>28</v>
      </c>
      <c r="O19" s="67">
        <f ca="1">IFERROR(__xludf.DUMMYFUNCTION("""COMPUTED_VALUE"""),8)</f>
        <v>8</v>
      </c>
      <c r="P19" s="51">
        <f t="shared" ca="1" si="4"/>
        <v>0.2857142857142857</v>
      </c>
      <c r="Q19" s="67">
        <f ca="1">IFERROR(__xludf.DUMMYFUNCTION("""COMPUTED_VALUE"""),3)</f>
        <v>3</v>
      </c>
      <c r="R19" s="51">
        <f t="shared" ca="1" si="5"/>
        <v>0.10714285714285714</v>
      </c>
      <c r="S19" s="66"/>
      <c r="T19" s="66"/>
      <c r="U19" s="51" t="str">
        <f t="shared" si="6"/>
        <v/>
      </c>
      <c r="V19" s="66"/>
      <c r="W19" s="51" t="str">
        <f t="shared" si="7"/>
        <v/>
      </c>
      <c r="X19" s="66"/>
      <c r="Y19" s="51" t="str">
        <f t="shared" si="8"/>
        <v/>
      </c>
      <c r="Z19" s="2"/>
      <c r="AA19" s="2"/>
      <c r="AB19" s="2"/>
      <c r="AC19" s="2"/>
      <c r="AD19" s="2"/>
      <c r="AE19" s="2"/>
    </row>
    <row r="20" spans="1:31" ht="12.75" x14ac:dyDescent="0.2">
      <c r="A20" s="53">
        <f ca="1">IFERROR(__xludf.DUMMYFUNCTION("""COMPUTED_VALUE"""),14)</f>
        <v>14</v>
      </c>
      <c r="B20" s="66" t="str">
        <f ca="1">IFERROR(__xludf.DUMMYFUNCTION("""COMPUTED_VALUE"""),"MN Phường 10")</f>
        <v>MN Phường 10</v>
      </c>
      <c r="C20" s="66" t="str">
        <f ca="1">IFERROR(__xludf.DUMMYFUNCTION("""COMPUTED_VALUE"""),"Mầm non")</f>
        <v>Mầm non</v>
      </c>
      <c r="D20" s="66">
        <f ca="1">IFERROR(__xludf.DUMMYFUNCTION("""COMPUTED_VALUE"""),10)</f>
        <v>10</v>
      </c>
      <c r="E20" s="67">
        <f ca="1">IFERROR(__xludf.DUMMYFUNCTION("""COMPUTED_VALUE"""),17)</f>
        <v>17</v>
      </c>
      <c r="F20" s="67">
        <f ca="1">IFERROR(__xludf.DUMMYFUNCTION("""COMPUTED_VALUE"""),17)</f>
        <v>17</v>
      </c>
      <c r="G20" s="51">
        <f t="shared" ca="1" si="0"/>
        <v>1</v>
      </c>
      <c r="H20" s="67">
        <f ca="1">IFERROR(__xludf.DUMMYFUNCTION("""COMPUTED_VALUE"""),17)</f>
        <v>17</v>
      </c>
      <c r="I20" s="51">
        <f t="shared" ca="1" si="1"/>
        <v>1</v>
      </c>
      <c r="J20" s="67">
        <f ca="1">IFERROR(__xludf.DUMMYFUNCTION("""COMPUTED_VALUE"""),17)</f>
        <v>17</v>
      </c>
      <c r="K20" s="51">
        <f t="shared" ca="1" si="2"/>
        <v>1</v>
      </c>
      <c r="L20" s="67">
        <f ca="1">IFERROR(__xludf.DUMMYFUNCTION("""COMPUTED_VALUE"""),17)</f>
        <v>17</v>
      </c>
      <c r="M20" s="51">
        <f t="shared" ca="1" si="3"/>
        <v>1</v>
      </c>
      <c r="N20" s="67">
        <f ca="1">IFERROR(__xludf.DUMMYFUNCTION("""COMPUTED_VALUE"""),16)</f>
        <v>16</v>
      </c>
      <c r="O20" s="67">
        <f ca="1">IFERROR(__xludf.DUMMYFUNCTION("""COMPUTED_VALUE"""),3)</f>
        <v>3</v>
      </c>
      <c r="P20" s="51">
        <f t="shared" ca="1" si="4"/>
        <v>0.1875</v>
      </c>
      <c r="Q20" s="67">
        <f ca="1">IFERROR(__xludf.DUMMYFUNCTION("""COMPUTED_VALUE"""),0)</f>
        <v>0</v>
      </c>
      <c r="R20" s="51">
        <f t="shared" ca="1" si="5"/>
        <v>0</v>
      </c>
      <c r="S20" s="66"/>
      <c r="T20" s="66"/>
      <c r="U20" s="51" t="str">
        <f t="shared" si="6"/>
        <v/>
      </c>
      <c r="V20" s="66"/>
      <c r="W20" s="51" t="str">
        <f t="shared" si="7"/>
        <v/>
      </c>
      <c r="X20" s="66"/>
      <c r="Y20" s="51" t="str">
        <f t="shared" si="8"/>
        <v/>
      </c>
      <c r="Z20" s="2"/>
      <c r="AA20" s="2"/>
      <c r="AB20" s="2"/>
      <c r="AC20" s="2"/>
      <c r="AD20" s="2"/>
      <c r="AE20" s="2"/>
    </row>
    <row r="21" spans="1:31" ht="12.75" x14ac:dyDescent="0.2">
      <c r="A21" s="53">
        <f ca="1">IFERROR(__xludf.DUMMYFUNCTION("""COMPUTED_VALUE"""),15)</f>
        <v>15</v>
      </c>
      <c r="B21" s="66" t="str">
        <f ca="1">IFERROR(__xludf.DUMMYFUNCTION("""COMPUTED_VALUE"""),"MN Phường 11")</f>
        <v>MN Phường 11</v>
      </c>
      <c r="C21" s="66" t="str">
        <f ca="1">IFERROR(__xludf.DUMMYFUNCTION("""COMPUTED_VALUE"""),"Mầm non")</f>
        <v>Mầm non</v>
      </c>
      <c r="D21" s="66">
        <f ca="1">IFERROR(__xludf.DUMMYFUNCTION("""COMPUTED_VALUE"""),10)</f>
        <v>10</v>
      </c>
      <c r="E21" s="67">
        <f ca="1">IFERROR(__xludf.DUMMYFUNCTION("""COMPUTED_VALUE"""),21)</f>
        <v>21</v>
      </c>
      <c r="F21" s="67">
        <f ca="1">IFERROR(__xludf.DUMMYFUNCTION("""COMPUTED_VALUE"""),21)</f>
        <v>21</v>
      </c>
      <c r="G21" s="51">
        <f t="shared" ca="1" si="0"/>
        <v>1</v>
      </c>
      <c r="H21" s="67">
        <f ca="1">IFERROR(__xludf.DUMMYFUNCTION("""COMPUTED_VALUE"""),21)</f>
        <v>21</v>
      </c>
      <c r="I21" s="51">
        <f t="shared" ca="1" si="1"/>
        <v>1</v>
      </c>
      <c r="J21" s="67">
        <f ca="1">IFERROR(__xludf.DUMMYFUNCTION("""COMPUTED_VALUE"""),20)</f>
        <v>20</v>
      </c>
      <c r="K21" s="51">
        <f t="shared" ca="1" si="2"/>
        <v>0.95238095238095233</v>
      </c>
      <c r="L21" s="67">
        <f ca="1">IFERROR(__xludf.DUMMYFUNCTION("""COMPUTED_VALUE"""),19)</f>
        <v>19</v>
      </c>
      <c r="M21" s="51">
        <f t="shared" ca="1" si="3"/>
        <v>0.90476190476190477</v>
      </c>
      <c r="N21" s="67">
        <f ca="1">IFERROR(__xludf.DUMMYFUNCTION("""COMPUTED_VALUE"""),19)</f>
        <v>19</v>
      </c>
      <c r="O21" s="67">
        <f ca="1">IFERROR(__xludf.DUMMYFUNCTION("""COMPUTED_VALUE"""),7)</f>
        <v>7</v>
      </c>
      <c r="P21" s="51">
        <f t="shared" ca="1" si="4"/>
        <v>0.36842105263157893</v>
      </c>
      <c r="Q21" s="67">
        <f ca="1">IFERROR(__xludf.DUMMYFUNCTION("""COMPUTED_VALUE"""),3)</f>
        <v>3</v>
      </c>
      <c r="R21" s="51">
        <f t="shared" ca="1" si="5"/>
        <v>0.15789473684210525</v>
      </c>
      <c r="S21" s="66"/>
      <c r="T21" s="66"/>
      <c r="U21" s="51" t="str">
        <f t="shared" si="6"/>
        <v/>
      </c>
      <c r="V21" s="66"/>
      <c r="W21" s="51" t="str">
        <f t="shared" si="7"/>
        <v/>
      </c>
      <c r="X21" s="66"/>
      <c r="Y21" s="51" t="str">
        <f t="shared" si="8"/>
        <v/>
      </c>
      <c r="Z21" s="2"/>
      <c r="AA21" s="2"/>
      <c r="AB21" s="2"/>
      <c r="AC21" s="2"/>
      <c r="AD21" s="2"/>
      <c r="AE21" s="2"/>
    </row>
    <row r="22" spans="1:31" ht="12.75" x14ac:dyDescent="0.2">
      <c r="A22" s="53">
        <f ca="1">IFERROR(__xludf.DUMMYFUNCTION("""COMPUTED_VALUE"""),16)</f>
        <v>16</v>
      </c>
      <c r="B22" s="66" t="str">
        <f ca="1">IFERROR(__xludf.DUMMYFUNCTION("""COMPUTED_VALUE"""),"MN Phường 13")</f>
        <v>MN Phường 13</v>
      </c>
      <c r="C22" s="66" t="str">
        <f ca="1">IFERROR(__xludf.DUMMYFUNCTION("""COMPUTED_VALUE"""),"Mầm non")</f>
        <v>Mầm non</v>
      </c>
      <c r="D22" s="66">
        <f ca="1">IFERROR(__xludf.DUMMYFUNCTION("""COMPUTED_VALUE"""),10)</f>
        <v>10</v>
      </c>
      <c r="E22" s="67">
        <f ca="1">IFERROR(__xludf.DUMMYFUNCTION("""COMPUTED_VALUE"""),28)</f>
        <v>28</v>
      </c>
      <c r="F22" s="67">
        <f ca="1">IFERROR(__xludf.DUMMYFUNCTION("""COMPUTED_VALUE"""),28)</f>
        <v>28</v>
      </c>
      <c r="G22" s="51">
        <f t="shared" ca="1" si="0"/>
        <v>1</v>
      </c>
      <c r="H22" s="67">
        <f ca="1">IFERROR(__xludf.DUMMYFUNCTION("""COMPUTED_VALUE"""),28)</f>
        <v>28</v>
      </c>
      <c r="I22" s="51">
        <f t="shared" ca="1" si="1"/>
        <v>1</v>
      </c>
      <c r="J22" s="67">
        <f ca="1">IFERROR(__xludf.DUMMYFUNCTION("""COMPUTED_VALUE"""),28)</f>
        <v>28</v>
      </c>
      <c r="K22" s="51">
        <f t="shared" ca="1" si="2"/>
        <v>1</v>
      </c>
      <c r="L22" s="67">
        <f ca="1">IFERROR(__xludf.DUMMYFUNCTION("""COMPUTED_VALUE"""),24)</f>
        <v>24</v>
      </c>
      <c r="M22" s="51">
        <f t="shared" ca="1" si="3"/>
        <v>0.8571428571428571</v>
      </c>
      <c r="N22" s="67">
        <f ca="1">IFERROR(__xludf.DUMMYFUNCTION("""COMPUTED_VALUE"""),37)</f>
        <v>37</v>
      </c>
      <c r="O22" s="67">
        <f ca="1">IFERROR(__xludf.DUMMYFUNCTION("""COMPUTED_VALUE"""),7)</f>
        <v>7</v>
      </c>
      <c r="P22" s="51">
        <f t="shared" ca="1" si="4"/>
        <v>0.1891891891891892</v>
      </c>
      <c r="Q22" s="67">
        <f ca="1">IFERROR(__xludf.DUMMYFUNCTION("""COMPUTED_VALUE"""),1)</f>
        <v>1</v>
      </c>
      <c r="R22" s="51">
        <f t="shared" ca="1" si="5"/>
        <v>2.7027027027027029E-2</v>
      </c>
      <c r="S22" s="66"/>
      <c r="T22" s="66"/>
      <c r="U22" s="51" t="str">
        <f t="shared" si="6"/>
        <v/>
      </c>
      <c r="V22" s="66"/>
      <c r="W22" s="51" t="str">
        <f t="shared" si="7"/>
        <v/>
      </c>
      <c r="X22" s="66"/>
      <c r="Y22" s="51" t="str">
        <f t="shared" si="8"/>
        <v/>
      </c>
      <c r="Z22" s="2"/>
      <c r="AA22" s="2"/>
      <c r="AB22" s="2"/>
      <c r="AC22" s="2"/>
      <c r="AD22" s="2"/>
      <c r="AE22" s="2"/>
    </row>
    <row r="23" spans="1:31" ht="12.75" x14ac:dyDescent="0.2">
      <c r="A23" s="53">
        <f ca="1">IFERROR(__xludf.DUMMYFUNCTION("""COMPUTED_VALUE"""),17)</f>
        <v>17</v>
      </c>
      <c r="B23" s="66" t="str">
        <f ca="1">IFERROR(__xludf.DUMMYFUNCTION("""COMPUTED_VALUE"""),"MN Phường 14")</f>
        <v>MN Phường 14</v>
      </c>
      <c r="C23" s="66" t="str">
        <f ca="1">IFERROR(__xludf.DUMMYFUNCTION("""COMPUTED_VALUE"""),"Mầm non")</f>
        <v>Mầm non</v>
      </c>
      <c r="D23" s="66">
        <f ca="1">IFERROR(__xludf.DUMMYFUNCTION("""COMPUTED_VALUE"""),10)</f>
        <v>10</v>
      </c>
      <c r="E23" s="67">
        <f ca="1">IFERROR(__xludf.DUMMYFUNCTION("""COMPUTED_VALUE"""),30)</f>
        <v>30</v>
      </c>
      <c r="F23" s="67">
        <f ca="1">IFERROR(__xludf.DUMMYFUNCTION("""COMPUTED_VALUE"""),30)</f>
        <v>30</v>
      </c>
      <c r="G23" s="51">
        <f t="shared" ca="1" si="0"/>
        <v>1</v>
      </c>
      <c r="H23" s="67">
        <f ca="1">IFERROR(__xludf.DUMMYFUNCTION("""COMPUTED_VALUE"""),30)</f>
        <v>30</v>
      </c>
      <c r="I23" s="51">
        <f t="shared" ca="1" si="1"/>
        <v>1</v>
      </c>
      <c r="J23" s="67">
        <f ca="1">IFERROR(__xludf.DUMMYFUNCTION("""COMPUTED_VALUE"""),30)</f>
        <v>30</v>
      </c>
      <c r="K23" s="51">
        <f t="shared" ca="1" si="2"/>
        <v>1</v>
      </c>
      <c r="L23" s="67">
        <f ca="1">IFERROR(__xludf.DUMMYFUNCTION("""COMPUTED_VALUE"""),26)</f>
        <v>26</v>
      </c>
      <c r="M23" s="51">
        <f t="shared" ca="1" si="3"/>
        <v>0.8666666666666667</v>
      </c>
      <c r="N23" s="67">
        <f ca="1">IFERROR(__xludf.DUMMYFUNCTION("""COMPUTED_VALUE"""),53)</f>
        <v>53</v>
      </c>
      <c r="O23" s="67">
        <f ca="1">IFERROR(__xludf.DUMMYFUNCTION("""COMPUTED_VALUE"""),4)</f>
        <v>4</v>
      </c>
      <c r="P23" s="51">
        <f t="shared" ca="1" si="4"/>
        <v>7.5471698113207544E-2</v>
      </c>
      <c r="Q23" s="67">
        <f ca="1">IFERROR(__xludf.DUMMYFUNCTION("""COMPUTED_VALUE"""),2)</f>
        <v>2</v>
      </c>
      <c r="R23" s="51">
        <f t="shared" ca="1" si="5"/>
        <v>3.7735849056603772E-2</v>
      </c>
      <c r="S23" s="66"/>
      <c r="T23" s="66"/>
      <c r="U23" s="51" t="str">
        <f t="shared" si="6"/>
        <v/>
      </c>
      <c r="V23" s="66"/>
      <c r="W23" s="51" t="str">
        <f t="shared" si="7"/>
        <v/>
      </c>
      <c r="X23" s="66"/>
      <c r="Y23" s="51" t="str">
        <f t="shared" si="8"/>
        <v/>
      </c>
      <c r="Z23" s="2"/>
      <c r="AA23" s="2"/>
      <c r="AB23" s="2"/>
      <c r="AC23" s="2"/>
      <c r="AD23" s="2"/>
      <c r="AE23" s="2"/>
    </row>
    <row r="24" spans="1:31" ht="12.75" x14ac:dyDescent="0.2">
      <c r="A24" s="53">
        <f ca="1">IFERROR(__xludf.DUMMYFUNCTION("""COMPUTED_VALUE"""),18)</f>
        <v>18</v>
      </c>
      <c r="B24" s="66" t="str">
        <f ca="1">IFERROR(__xludf.DUMMYFUNCTION("""COMPUTED_VALUE"""),"MN Phường 15A")</f>
        <v>MN Phường 15A</v>
      </c>
      <c r="C24" s="66" t="str">
        <f ca="1">IFERROR(__xludf.DUMMYFUNCTION("""COMPUTED_VALUE"""),"Mầm non")</f>
        <v>Mầm non</v>
      </c>
      <c r="D24" s="66">
        <f ca="1">IFERROR(__xludf.DUMMYFUNCTION("""COMPUTED_VALUE"""),10)</f>
        <v>10</v>
      </c>
      <c r="E24" s="67">
        <f ca="1">IFERROR(__xludf.DUMMYFUNCTION("""COMPUTED_VALUE"""),21)</f>
        <v>21</v>
      </c>
      <c r="F24" s="67">
        <f ca="1">IFERROR(__xludf.DUMMYFUNCTION("""COMPUTED_VALUE"""),21)</f>
        <v>21</v>
      </c>
      <c r="G24" s="51">
        <f t="shared" ca="1" si="0"/>
        <v>1</v>
      </c>
      <c r="H24" s="67">
        <f ca="1">IFERROR(__xludf.DUMMYFUNCTION("""COMPUTED_VALUE"""),21)</f>
        <v>21</v>
      </c>
      <c r="I24" s="51">
        <f t="shared" ca="1" si="1"/>
        <v>1</v>
      </c>
      <c r="J24" s="67">
        <f ca="1">IFERROR(__xludf.DUMMYFUNCTION("""COMPUTED_VALUE"""),21)</f>
        <v>21</v>
      </c>
      <c r="K24" s="51">
        <f t="shared" ca="1" si="2"/>
        <v>1</v>
      </c>
      <c r="L24" s="67">
        <f ca="1">IFERROR(__xludf.DUMMYFUNCTION("""COMPUTED_VALUE"""),19)</f>
        <v>19</v>
      </c>
      <c r="M24" s="51">
        <f t="shared" ca="1" si="3"/>
        <v>0.90476190476190477</v>
      </c>
      <c r="N24" s="67">
        <f ca="1">IFERROR(__xludf.DUMMYFUNCTION("""COMPUTED_VALUE"""),60)</f>
        <v>60</v>
      </c>
      <c r="O24" s="67">
        <f ca="1">IFERROR(__xludf.DUMMYFUNCTION("""COMPUTED_VALUE"""),5)</f>
        <v>5</v>
      </c>
      <c r="P24" s="51">
        <f t="shared" ca="1" si="4"/>
        <v>8.3333333333333329E-2</v>
      </c>
      <c r="Q24" s="67">
        <f ca="1">IFERROR(__xludf.DUMMYFUNCTION("""COMPUTED_VALUE"""),5)</f>
        <v>5</v>
      </c>
      <c r="R24" s="51">
        <f t="shared" ca="1" si="5"/>
        <v>8.3333333333333329E-2</v>
      </c>
      <c r="S24" s="66"/>
      <c r="T24" s="66"/>
      <c r="U24" s="51" t="str">
        <f t="shared" si="6"/>
        <v/>
      </c>
      <c r="V24" s="66"/>
      <c r="W24" s="51" t="str">
        <f t="shared" si="7"/>
        <v/>
      </c>
      <c r="X24" s="66"/>
      <c r="Y24" s="51" t="str">
        <f t="shared" si="8"/>
        <v/>
      </c>
      <c r="Z24" s="2"/>
      <c r="AA24" s="2"/>
      <c r="AB24" s="2"/>
      <c r="AC24" s="2"/>
      <c r="AD24" s="2"/>
      <c r="AE24" s="2"/>
    </row>
    <row r="25" spans="1:31" ht="12.75" x14ac:dyDescent="0.2">
      <c r="A25" s="53">
        <f ca="1">IFERROR(__xludf.DUMMYFUNCTION("""COMPUTED_VALUE"""),19)</f>
        <v>19</v>
      </c>
      <c r="B25" s="66" t="str">
        <f ca="1">IFERROR(__xludf.DUMMYFUNCTION("""COMPUTED_VALUE"""),"MN Phường 15B")</f>
        <v>MN Phường 15B</v>
      </c>
      <c r="C25" s="66" t="str">
        <f ca="1">IFERROR(__xludf.DUMMYFUNCTION("""COMPUTED_VALUE"""),"Mầm non")</f>
        <v>Mầm non</v>
      </c>
      <c r="D25" s="66">
        <f ca="1">IFERROR(__xludf.DUMMYFUNCTION("""COMPUTED_VALUE"""),10)</f>
        <v>10</v>
      </c>
      <c r="E25" s="67">
        <f ca="1">IFERROR(__xludf.DUMMYFUNCTION("""COMPUTED_VALUE"""),42)</f>
        <v>42</v>
      </c>
      <c r="F25" s="67">
        <f ca="1">IFERROR(__xludf.DUMMYFUNCTION("""COMPUTED_VALUE"""),42)</f>
        <v>42</v>
      </c>
      <c r="G25" s="51">
        <f t="shared" ca="1" si="0"/>
        <v>1</v>
      </c>
      <c r="H25" s="67">
        <f ca="1">IFERROR(__xludf.DUMMYFUNCTION("""COMPUTED_VALUE"""),42)</f>
        <v>42</v>
      </c>
      <c r="I25" s="51">
        <f t="shared" ca="1" si="1"/>
        <v>1</v>
      </c>
      <c r="J25" s="67">
        <f ca="1">IFERROR(__xludf.DUMMYFUNCTION("""COMPUTED_VALUE"""),42)</f>
        <v>42</v>
      </c>
      <c r="K25" s="51">
        <f t="shared" ca="1" si="2"/>
        <v>1</v>
      </c>
      <c r="L25" s="67">
        <f ca="1">IFERROR(__xludf.DUMMYFUNCTION("""COMPUTED_VALUE"""),26)</f>
        <v>26</v>
      </c>
      <c r="M25" s="51">
        <f t="shared" ca="1" si="3"/>
        <v>0.61904761904761907</v>
      </c>
      <c r="N25" s="67">
        <f ca="1">IFERROR(__xludf.DUMMYFUNCTION("""COMPUTED_VALUE"""),69)</f>
        <v>69</v>
      </c>
      <c r="O25" s="67">
        <f ca="1">IFERROR(__xludf.DUMMYFUNCTION("""COMPUTED_VALUE"""),5)</f>
        <v>5</v>
      </c>
      <c r="P25" s="51">
        <f t="shared" ca="1" si="4"/>
        <v>7.2463768115942032E-2</v>
      </c>
      <c r="Q25" s="67">
        <f ca="1">IFERROR(__xludf.DUMMYFUNCTION("""COMPUTED_VALUE"""),2)</f>
        <v>2</v>
      </c>
      <c r="R25" s="51">
        <f t="shared" ca="1" si="5"/>
        <v>2.8985507246376812E-2</v>
      </c>
      <c r="S25" s="66"/>
      <c r="T25" s="66"/>
      <c r="U25" s="51" t="str">
        <f t="shared" si="6"/>
        <v/>
      </c>
      <c r="V25" s="66"/>
      <c r="W25" s="51" t="str">
        <f t="shared" si="7"/>
        <v/>
      </c>
      <c r="X25" s="66"/>
      <c r="Y25" s="51" t="str">
        <f t="shared" si="8"/>
        <v/>
      </c>
      <c r="Z25" s="2"/>
      <c r="AA25" s="2"/>
      <c r="AB25" s="2"/>
      <c r="AC25" s="2"/>
      <c r="AD25" s="2"/>
      <c r="AE25" s="2"/>
    </row>
    <row r="26" spans="1:31" ht="12.75" x14ac:dyDescent="0.2">
      <c r="A26" s="53">
        <f ca="1">IFERROR(__xludf.DUMMYFUNCTION("""COMPUTED_VALUE"""),20)</f>
        <v>20</v>
      </c>
      <c r="B26" s="66" t="str">
        <f ca="1">IFERROR(__xludf.DUMMYFUNCTION("""COMPUTED_VALUE"""),"MN Khải Tâm")</f>
        <v>MN Khải Tâm</v>
      </c>
      <c r="C26" s="66" t="str">
        <f ca="1">IFERROR(__xludf.DUMMYFUNCTION("""COMPUTED_VALUE"""),"Mầm non")</f>
        <v>Mầm non</v>
      </c>
      <c r="D26" s="66">
        <f ca="1">IFERROR(__xludf.DUMMYFUNCTION("""COMPUTED_VALUE"""),10)</f>
        <v>10</v>
      </c>
      <c r="E26" s="67">
        <f ca="1">IFERROR(__xludf.DUMMYFUNCTION("""COMPUTED_VALUE"""),29)</f>
        <v>29</v>
      </c>
      <c r="F26" s="67">
        <f ca="1">IFERROR(__xludf.DUMMYFUNCTION("""COMPUTED_VALUE"""),29)</f>
        <v>29</v>
      </c>
      <c r="G26" s="51">
        <f t="shared" ca="1" si="0"/>
        <v>1</v>
      </c>
      <c r="H26" s="67">
        <f ca="1">IFERROR(__xludf.DUMMYFUNCTION("""COMPUTED_VALUE"""),29)</f>
        <v>29</v>
      </c>
      <c r="I26" s="51">
        <f t="shared" ca="1" si="1"/>
        <v>1</v>
      </c>
      <c r="J26" s="67">
        <f ca="1">IFERROR(__xludf.DUMMYFUNCTION("""COMPUTED_VALUE"""),26)</f>
        <v>26</v>
      </c>
      <c r="K26" s="51">
        <f t="shared" ca="1" si="2"/>
        <v>0.89655172413793105</v>
      </c>
      <c r="L26" s="67">
        <f ca="1">IFERROR(__xludf.DUMMYFUNCTION("""COMPUTED_VALUE"""),15)</f>
        <v>15</v>
      </c>
      <c r="M26" s="51">
        <f t="shared" ca="1" si="3"/>
        <v>0.51724137931034486</v>
      </c>
      <c r="N26" s="67">
        <f ca="1">IFERROR(__xludf.DUMMYFUNCTION("""COMPUTED_VALUE"""),18)</f>
        <v>18</v>
      </c>
      <c r="O26" s="67">
        <f ca="1">IFERROR(__xludf.DUMMYFUNCTION("""COMPUTED_VALUE"""),1)</f>
        <v>1</v>
      </c>
      <c r="P26" s="51">
        <f t="shared" ca="1" si="4"/>
        <v>5.5555555555555552E-2</v>
      </c>
      <c r="Q26" s="67">
        <f ca="1">IFERROR(__xludf.DUMMYFUNCTION("""COMPUTED_VALUE"""),0)</f>
        <v>0</v>
      </c>
      <c r="R26" s="51">
        <f t="shared" ca="1" si="5"/>
        <v>0</v>
      </c>
      <c r="S26" s="66"/>
      <c r="T26" s="66"/>
      <c r="U26" s="51" t="str">
        <f t="shared" si="6"/>
        <v/>
      </c>
      <c r="V26" s="66"/>
      <c r="W26" s="51" t="str">
        <f t="shared" si="7"/>
        <v/>
      </c>
      <c r="X26" s="66"/>
      <c r="Y26" s="51" t="str">
        <f t="shared" si="8"/>
        <v/>
      </c>
      <c r="Z26" s="2"/>
      <c r="AA26" s="2"/>
      <c r="AB26" s="2"/>
      <c r="AC26" s="2"/>
      <c r="AD26" s="2"/>
      <c r="AE26" s="2"/>
    </row>
    <row r="27" spans="1:31" ht="12.75" x14ac:dyDescent="0.2">
      <c r="A27" s="53">
        <f ca="1">IFERROR(__xludf.DUMMYFUNCTION("""COMPUTED_VALUE"""),21)</f>
        <v>21</v>
      </c>
      <c r="B27" s="66" t="str">
        <f ca="1">IFERROR(__xludf.DUMMYFUNCTION("""COMPUTED_VALUE"""),"MN Sài Gòn Sáng Tạo")</f>
        <v>MN Sài Gòn Sáng Tạo</v>
      </c>
      <c r="C27" s="66" t="str">
        <f ca="1">IFERROR(__xludf.DUMMYFUNCTION("""COMPUTED_VALUE"""),"Mầm non")</f>
        <v>Mầm non</v>
      </c>
      <c r="D27" s="66">
        <f ca="1">IFERROR(__xludf.DUMMYFUNCTION("""COMPUTED_VALUE"""),10)</f>
        <v>10</v>
      </c>
      <c r="E27" s="67">
        <f ca="1">IFERROR(__xludf.DUMMYFUNCTION("""COMPUTED_VALUE"""),31)</f>
        <v>31</v>
      </c>
      <c r="F27" s="67">
        <f ca="1">IFERROR(__xludf.DUMMYFUNCTION("""COMPUTED_VALUE"""),31)</f>
        <v>31</v>
      </c>
      <c r="G27" s="51">
        <f t="shared" ca="1" si="0"/>
        <v>1</v>
      </c>
      <c r="H27" s="67">
        <f ca="1">IFERROR(__xludf.DUMMYFUNCTION("""COMPUTED_VALUE"""),31)</f>
        <v>31</v>
      </c>
      <c r="I27" s="51">
        <f t="shared" ca="1" si="1"/>
        <v>1</v>
      </c>
      <c r="J27" s="67">
        <f ca="1">IFERROR(__xludf.DUMMYFUNCTION("""COMPUTED_VALUE"""),31)</f>
        <v>31</v>
      </c>
      <c r="K27" s="51">
        <f t="shared" ca="1" si="2"/>
        <v>1</v>
      </c>
      <c r="L27" s="67">
        <f ca="1">IFERROR(__xludf.DUMMYFUNCTION("""COMPUTED_VALUE"""),4)</f>
        <v>4</v>
      </c>
      <c r="M27" s="51">
        <f t="shared" ca="1" si="3"/>
        <v>0.12903225806451613</v>
      </c>
      <c r="N27" s="67">
        <f ca="1">IFERROR(__xludf.DUMMYFUNCTION("""COMPUTED_VALUE"""),18)</f>
        <v>18</v>
      </c>
      <c r="O27" s="67">
        <f ca="1">IFERROR(__xludf.DUMMYFUNCTION("""COMPUTED_VALUE"""),0)</f>
        <v>0</v>
      </c>
      <c r="P27" s="51">
        <f t="shared" ca="1" si="4"/>
        <v>0</v>
      </c>
      <c r="Q27" s="67">
        <f ca="1">IFERROR(__xludf.DUMMYFUNCTION("""COMPUTED_VALUE"""),0)</f>
        <v>0</v>
      </c>
      <c r="R27" s="51">
        <f t="shared" ca="1" si="5"/>
        <v>0</v>
      </c>
      <c r="S27" s="66"/>
      <c r="T27" s="66"/>
      <c r="U27" s="51" t="str">
        <f t="shared" si="6"/>
        <v/>
      </c>
      <c r="V27" s="66"/>
      <c r="W27" s="51" t="str">
        <f t="shared" si="7"/>
        <v/>
      </c>
      <c r="X27" s="66"/>
      <c r="Y27" s="51" t="str">
        <f t="shared" si="8"/>
        <v/>
      </c>
      <c r="Z27" s="2"/>
      <c r="AA27" s="2"/>
      <c r="AB27" s="2"/>
      <c r="AC27" s="2"/>
      <c r="AD27" s="2"/>
      <c r="AE27" s="2"/>
    </row>
    <row r="28" spans="1:31" ht="12.75" x14ac:dyDescent="0.2">
      <c r="A28" s="53">
        <f ca="1">IFERROR(__xludf.DUMMYFUNCTION("""COMPUTED_VALUE"""),22)</f>
        <v>22</v>
      </c>
      <c r="B28" s="66" t="str">
        <f ca="1">IFERROR(__xludf.DUMMYFUNCTION("""COMPUTED_VALUE"""),"MN Lan Anh")</f>
        <v>MN Lan Anh</v>
      </c>
      <c r="C28" s="66" t="str">
        <f ca="1">IFERROR(__xludf.DUMMYFUNCTION("""COMPUTED_VALUE"""),"Mầm non")</f>
        <v>Mầm non</v>
      </c>
      <c r="D28" s="66">
        <f ca="1">IFERROR(__xludf.DUMMYFUNCTION("""COMPUTED_VALUE"""),10)</f>
        <v>10</v>
      </c>
      <c r="E28" s="67">
        <f ca="1">IFERROR(__xludf.DUMMYFUNCTION("""COMPUTED_VALUE"""),63)</f>
        <v>63</v>
      </c>
      <c r="F28" s="67">
        <f ca="1">IFERROR(__xludf.DUMMYFUNCTION("""COMPUTED_VALUE"""),63)</f>
        <v>63</v>
      </c>
      <c r="G28" s="51">
        <f t="shared" ca="1" si="0"/>
        <v>1</v>
      </c>
      <c r="H28" s="67">
        <f ca="1">IFERROR(__xludf.DUMMYFUNCTION("""COMPUTED_VALUE"""),63)</f>
        <v>63</v>
      </c>
      <c r="I28" s="51">
        <f t="shared" ca="1" si="1"/>
        <v>1</v>
      </c>
      <c r="J28" s="67">
        <f ca="1">IFERROR(__xludf.DUMMYFUNCTION("""COMPUTED_VALUE"""),63)</f>
        <v>63</v>
      </c>
      <c r="K28" s="51">
        <f t="shared" ca="1" si="2"/>
        <v>1</v>
      </c>
      <c r="L28" s="67">
        <f ca="1">IFERROR(__xludf.DUMMYFUNCTION("""COMPUTED_VALUE"""),24)</f>
        <v>24</v>
      </c>
      <c r="M28" s="51">
        <f t="shared" ca="1" si="3"/>
        <v>0.38095238095238093</v>
      </c>
      <c r="N28" s="67">
        <f ca="1">IFERROR(__xludf.DUMMYFUNCTION("""COMPUTED_VALUE"""),60)</f>
        <v>60</v>
      </c>
      <c r="O28" s="67">
        <f ca="1">IFERROR(__xludf.DUMMYFUNCTION("""COMPUTED_VALUE"""),2)</f>
        <v>2</v>
      </c>
      <c r="P28" s="51">
        <f t="shared" ca="1" si="4"/>
        <v>3.3333333333333333E-2</v>
      </c>
      <c r="Q28" s="67">
        <f ca="1">IFERROR(__xludf.DUMMYFUNCTION("""COMPUTED_VALUE"""),2)</f>
        <v>2</v>
      </c>
      <c r="R28" s="51">
        <f t="shared" ca="1" si="5"/>
        <v>3.3333333333333333E-2</v>
      </c>
      <c r="S28" s="66"/>
      <c r="T28" s="66"/>
      <c r="U28" s="51" t="str">
        <f t="shared" si="6"/>
        <v/>
      </c>
      <c r="V28" s="66"/>
      <c r="W28" s="51" t="str">
        <f t="shared" si="7"/>
        <v/>
      </c>
      <c r="X28" s="66"/>
      <c r="Y28" s="51" t="str">
        <f t="shared" si="8"/>
        <v/>
      </c>
      <c r="Z28" s="2"/>
      <c r="AA28" s="2"/>
      <c r="AB28" s="2"/>
      <c r="AC28" s="2"/>
      <c r="AD28" s="2"/>
      <c r="AE28" s="2"/>
    </row>
    <row r="29" spans="1:31" ht="12.75" x14ac:dyDescent="0.2">
      <c r="A29" s="53">
        <f ca="1">IFERROR(__xludf.DUMMYFUNCTION("""COMPUTED_VALUE"""),23)</f>
        <v>23</v>
      </c>
      <c r="B29" s="66" t="str">
        <f ca="1">IFERROR(__xludf.DUMMYFUNCTION("""COMPUTED_VALUE"""),"MN Cỏ Ba Lá")</f>
        <v>MN Cỏ Ba Lá</v>
      </c>
      <c r="C29" s="66" t="str">
        <f ca="1">IFERROR(__xludf.DUMMYFUNCTION("""COMPUTED_VALUE"""),"Mầm non")</f>
        <v>Mầm non</v>
      </c>
      <c r="D29" s="66">
        <f ca="1">IFERROR(__xludf.DUMMYFUNCTION("""COMPUTED_VALUE"""),10)</f>
        <v>10</v>
      </c>
      <c r="E29" s="67">
        <f ca="1">IFERROR(__xludf.DUMMYFUNCTION("""COMPUTED_VALUE"""),23)</f>
        <v>23</v>
      </c>
      <c r="F29" s="67">
        <f ca="1">IFERROR(__xludf.DUMMYFUNCTION("""COMPUTED_VALUE"""),23)</f>
        <v>23</v>
      </c>
      <c r="G29" s="51">
        <f t="shared" ca="1" si="0"/>
        <v>1</v>
      </c>
      <c r="H29" s="67">
        <f ca="1">IFERROR(__xludf.DUMMYFUNCTION("""COMPUTED_VALUE"""),23)</f>
        <v>23</v>
      </c>
      <c r="I29" s="51">
        <f t="shared" ca="1" si="1"/>
        <v>1</v>
      </c>
      <c r="J29" s="67">
        <f ca="1">IFERROR(__xludf.DUMMYFUNCTION("""COMPUTED_VALUE"""),21)</f>
        <v>21</v>
      </c>
      <c r="K29" s="51">
        <f t="shared" ca="1" si="2"/>
        <v>0.91304347826086951</v>
      </c>
      <c r="L29" s="67">
        <f ca="1">IFERROR(__xludf.DUMMYFUNCTION("""COMPUTED_VALUE"""),13)</f>
        <v>13</v>
      </c>
      <c r="M29" s="51">
        <f t="shared" ca="1" si="3"/>
        <v>0.56521739130434778</v>
      </c>
      <c r="N29" s="67">
        <f ca="1">IFERROR(__xludf.DUMMYFUNCTION("""COMPUTED_VALUE"""),22)</f>
        <v>22</v>
      </c>
      <c r="O29" s="67">
        <f ca="1">IFERROR(__xludf.DUMMYFUNCTION("""COMPUTED_VALUE"""),1)</f>
        <v>1</v>
      </c>
      <c r="P29" s="51">
        <f t="shared" ca="1" si="4"/>
        <v>4.5454545454545456E-2</v>
      </c>
      <c r="Q29" s="67">
        <f ca="1">IFERROR(__xludf.DUMMYFUNCTION("""COMPUTED_VALUE"""),0)</f>
        <v>0</v>
      </c>
      <c r="R29" s="51">
        <f t="shared" ca="1" si="5"/>
        <v>0</v>
      </c>
      <c r="S29" s="66"/>
      <c r="T29" s="66"/>
      <c r="U29" s="51" t="str">
        <f t="shared" si="6"/>
        <v/>
      </c>
      <c r="V29" s="66"/>
      <c r="W29" s="51" t="str">
        <f t="shared" si="7"/>
        <v/>
      </c>
      <c r="X29" s="66"/>
      <c r="Y29" s="51" t="str">
        <f t="shared" si="8"/>
        <v/>
      </c>
      <c r="Z29" s="2"/>
      <c r="AA29" s="2"/>
      <c r="AB29" s="2"/>
      <c r="AC29" s="2"/>
      <c r="AD29" s="2"/>
      <c r="AE29" s="2"/>
    </row>
    <row r="30" spans="1:31" ht="12.75" x14ac:dyDescent="0.2">
      <c r="A30" s="53">
        <f ca="1">IFERROR(__xludf.DUMMYFUNCTION("""COMPUTED_VALUE"""),24)</f>
        <v>24</v>
      </c>
      <c r="B30" s="66" t="str">
        <f ca="1">IFERROR(__xludf.DUMMYFUNCTION("""COMPUTED_VALUE"""),"MG Thanh Tâm")</f>
        <v>MG Thanh Tâm</v>
      </c>
      <c r="C30" s="66" t="str">
        <f ca="1">IFERROR(__xludf.DUMMYFUNCTION("""COMPUTED_VALUE"""),"Mầm non")</f>
        <v>Mầm non</v>
      </c>
      <c r="D30" s="66">
        <f ca="1">IFERROR(__xludf.DUMMYFUNCTION("""COMPUTED_VALUE"""),10)</f>
        <v>10</v>
      </c>
      <c r="E30" s="67">
        <f ca="1">IFERROR(__xludf.DUMMYFUNCTION("""COMPUTED_VALUE"""),11)</f>
        <v>11</v>
      </c>
      <c r="F30" s="67">
        <f ca="1">IFERROR(__xludf.DUMMYFUNCTION("""COMPUTED_VALUE"""),11)</f>
        <v>11</v>
      </c>
      <c r="G30" s="51">
        <f t="shared" ca="1" si="0"/>
        <v>1</v>
      </c>
      <c r="H30" s="67">
        <f ca="1">IFERROR(__xludf.DUMMYFUNCTION("""COMPUTED_VALUE"""),11)</f>
        <v>11</v>
      </c>
      <c r="I30" s="51">
        <f t="shared" ca="1" si="1"/>
        <v>1</v>
      </c>
      <c r="J30" s="67">
        <f ca="1">IFERROR(__xludf.DUMMYFUNCTION("""COMPUTED_VALUE"""),11)</f>
        <v>11</v>
      </c>
      <c r="K30" s="51">
        <f t="shared" ca="1" si="2"/>
        <v>1</v>
      </c>
      <c r="L30" s="67">
        <f ca="1">IFERROR(__xludf.DUMMYFUNCTION("""COMPUTED_VALUE"""),3)</f>
        <v>3</v>
      </c>
      <c r="M30" s="51">
        <f t="shared" ca="1" si="3"/>
        <v>0.27272727272727271</v>
      </c>
      <c r="N30" s="67">
        <f ca="1">IFERROR(__xludf.DUMMYFUNCTION("""COMPUTED_VALUE"""),81)</f>
        <v>81</v>
      </c>
      <c r="O30" s="67">
        <f ca="1">IFERROR(__xludf.DUMMYFUNCTION("""COMPUTED_VALUE"""),3)</f>
        <v>3</v>
      </c>
      <c r="P30" s="51">
        <f t="shared" ca="1" si="4"/>
        <v>3.7037037037037035E-2</v>
      </c>
      <c r="Q30" s="67">
        <f ca="1">IFERROR(__xludf.DUMMYFUNCTION("""COMPUTED_VALUE"""),1)</f>
        <v>1</v>
      </c>
      <c r="R30" s="51">
        <f t="shared" ca="1" si="5"/>
        <v>1.2345679012345678E-2</v>
      </c>
      <c r="S30" s="66"/>
      <c r="T30" s="66"/>
      <c r="U30" s="51" t="str">
        <f t="shared" si="6"/>
        <v/>
      </c>
      <c r="V30" s="66"/>
      <c r="W30" s="51" t="str">
        <f t="shared" si="7"/>
        <v/>
      </c>
      <c r="X30" s="66"/>
      <c r="Y30" s="51" t="str">
        <f t="shared" si="8"/>
        <v/>
      </c>
      <c r="Z30" s="2"/>
      <c r="AA30" s="2"/>
      <c r="AB30" s="2"/>
      <c r="AC30" s="2"/>
      <c r="AD30" s="2"/>
      <c r="AE30" s="2"/>
    </row>
    <row r="31" spans="1:31" ht="12.75" x14ac:dyDescent="0.2">
      <c r="A31" s="53">
        <f ca="1">IFERROR(__xludf.DUMMYFUNCTION("""COMPUTED_VALUE"""),25)</f>
        <v>25</v>
      </c>
      <c r="B31" s="66" t="str">
        <f ca="1">IFERROR(__xludf.DUMMYFUNCTION("""COMPUTED_VALUE"""),"MN12A")</f>
        <v>MN12A</v>
      </c>
      <c r="C31" s="66" t="str">
        <f ca="1">IFERROR(__xludf.DUMMYFUNCTION("""COMPUTED_VALUE"""),"Mầm non")</f>
        <v>Mầm non</v>
      </c>
      <c r="D31" s="66">
        <f ca="1">IFERROR(__xludf.DUMMYFUNCTION("""COMPUTED_VALUE"""),10)</f>
        <v>10</v>
      </c>
      <c r="E31" s="67">
        <f ca="1">IFERROR(__xludf.DUMMYFUNCTION("""COMPUTED_VALUE"""),14)</f>
        <v>14</v>
      </c>
      <c r="F31" s="67">
        <f ca="1">IFERROR(__xludf.DUMMYFUNCTION("""COMPUTED_VALUE"""),14)</f>
        <v>14</v>
      </c>
      <c r="G31" s="51">
        <f t="shared" ca="1" si="0"/>
        <v>1</v>
      </c>
      <c r="H31" s="67">
        <f ca="1">IFERROR(__xludf.DUMMYFUNCTION("""COMPUTED_VALUE"""),14)</f>
        <v>14</v>
      </c>
      <c r="I31" s="51">
        <f t="shared" ca="1" si="1"/>
        <v>1</v>
      </c>
      <c r="J31" s="67">
        <f ca="1">IFERROR(__xludf.DUMMYFUNCTION("""COMPUTED_VALUE"""),14)</f>
        <v>14</v>
      </c>
      <c r="K31" s="51">
        <f t="shared" ca="1" si="2"/>
        <v>1</v>
      </c>
      <c r="L31" s="67">
        <f ca="1">IFERROR(__xludf.DUMMYFUNCTION("""COMPUTED_VALUE"""),3)</f>
        <v>3</v>
      </c>
      <c r="M31" s="51">
        <f t="shared" ca="1" si="3"/>
        <v>0.21428571428571427</v>
      </c>
      <c r="N31" s="67">
        <f ca="1">IFERROR(__xludf.DUMMYFUNCTION("""COMPUTED_VALUE"""),45)</f>
        <v>45</v>
      </c>
      <c r="O31" s="67">
        <f ca="1">IFERROR(__xludf.DUMMYFUNCTION("""COMPUTED_VALUE"""),0)</f>
        <v>0</v>
      </c>
      <c r="P31" s="51">
        <f t="shared" ca="1" si="4"/>
        <v>0</v>
      </c>
      <c r="Q31" s="67">
        <f ca="1">IFERROR(__xludf.DUMMYFUNCTION("""COMPUTED_VALUE"""),0)</f>
        <v>0</v>
      </c>
      <c r="R31" s="51">
        <f t="shared" ca="1" si="5"/>
        <v>0</v>
      </c>
      <c r="S31" s="66"/>
      <c r="T31" s="66"/>
      <c r="U31" s="51" t="str">
        <f t="shared" si="6"/>
        <v/>
      </c>
      <c r="V31" s="66"/>
      <c r="W31" s="51" t="str">
        <f t="shared" si="7"/>
        <v/>
      </c>
      <c r="X31" s="66"/>
      <c r="Y31" s="51" t="str">
        <f t="shared" si="8"/>
        <v/>
      </c>
      <c r="Z31" s="2"/>
      <c r="AA31" s="2"/>
      <c r="AB31" s="2"/>
      <c r="AC31" s="2"/>
      <c r="AD31" s="2"/>
      <c r="AE31" s="2"/>
    </row>
    <row r="32" spans="1:31" ht="12.75" x14ac:dyDescent="0.2">
      <c r="A32" s="53">
        <f ca="1">IFERROR(__xludf.DUMMYFUNCTION("""COMPUTED_VALUE"""),26)</f>
        <v>26</v>
      </c>
      <c r="B32" s="66" t="str">
        <f ca="1">IFERROR(__xludf.DUMMYFUNCTION("""COMPUTED_VALUE"""),"MN Con Mèo Vàng")</f>
        <v>MN Con Mèo Vàng</v>
      </c>
      <c r="C32" s="66" t="str">
        <f ca="1">IFERROR(__xludf.DUMMYFUNCTION("""COMPUTED_VALUE"""),"Mầm non")</f>
        <v>Mầm non</v>
      </c>
      <c r="D32" s="66">
        <f ca="1">IFERROR(__xludf.DUMMYFUNCTION("""COMPUTED_VALUE"""),10)</f>
        <v>10</v>
      </c>
      <c r="E32" s="67">
        <f ca="1">IFERROR(__xludf.DUMMYFUNCTION("""COMPUTED_VALUE"""),18)</f>
        <v>18</v>
      </c>
      <c r="F32" s="67">
        <f ca="1">IFERROR(__xludf.DUMMYFUNCTION("""COMPUTED_VALUE"""),18)</f>
        <v>18</v>
      </c>
      <c r="G32" s="51">
        <f t="shared" ca="1" si="0"/>
        <v>1</v>
      </c>
      <c r="H32" s="67">
        <f ca="1">IFERROR(__xludf.DUMMYFUNCTION("""COMPUTED_VALUE"""),18)</f>
        <v>18</v>
      </c>
      <c r="I32" s="51">
        <f t="shared" ca="1" si="1"/>
        <v>1</v>
      </c>
      <c r="J32" s="67">
        <f ca="1">IFERROR(__xludf.DUMMYFUNCTION("""COMPUTED_VALUE"""),18)</f>
        <v>18</v>
      </c>
      <c r="K32" s="51">
        <f t="shared" ca="1" si="2"/>
        <v>1</v>
      </c>
      <c r="L32" s="67">
        <f ca="1">IFERROR(__xludf.DUMMYFUNCTION("""COMPUTED_VALUE"""),0)</f>
        <v>0</v>
      </c>
      <c r="M32" s="51">
        <f t="shared" ca="1" si="3"/>
        <v>0</v>
      </c>
      <c r="N32" s="67">
        <f ca="1">IFERROR(__xludf.DUMMYFUNCTION("""COMPUTED_VALUE"""),10)</f>
        <v>10</v>
      </c>
      <c r="O32" s="67">
        <f ca="1">IFERROR(__xludf.DUMMYFUNCTION("""COMPUTED_VALUE"""),0)</f>
        <v>0</v>
      </c>
      <c r="P32" s="51">
        <f t="shared" ca="1" si="4"/>
        <v>0</v>
      </c>
      <c r="Q32" s="67">
        <f ca="1">IFERROR(__xludf.DUMMYFUNCTION("""COMPUTED_VALUE"""),0)</f>
        <v>0</v>
      </c>
      <c r="R32" s="51">
        <f t="shared" ca="1" si="5"/>
        <v>0</v>
      </c>
      <c r="S32" s="66"/>
      <c r="T32" s="66"/>
      <c r="U32" s="51" t="str">
        <f t="shared" si="6"/>
        <v/>
      </c>
      <c r="V32" s="66"/>
      <c r="W32" s="51" t="str">
        <f t="shared" si="7"/>
        <v/>
      </c>
      <c r="X32" s="66"/>
      <c r="Y32" s="51" t="str">
        <f t="shared" si="8"/>
        <v/>
      </c>
      <c r="Z32" s="2"/>
      <c r="AA32" s="2"/>
      <c r="AB32" s="2"/>
      <c r="AC32" s="2"/>
      <c r="AD32" s="2"/>
      <c r="AE32" s="2"/>
    </row>
    <row r="33" spans="1:31" ht="12.75" x14ac:dyDescent="0.2">
      <c r="A33" s="53">
        <f ca="1">IFERROR(__xludf.DUMMYFUNCTION("""COMPUTED_VALUE"""),27)</f>
        <v>27</v>
      </c>
      <c r="B33" s="66" t="str">
        <f ca="1">IFERROR(__xludf.DUMMYFUNCTION("""COMPUTED_VALUE"""),"MN Việt Úc")</f>
        <v>MN Việt Úc</v>
      </c>
      <c r="C33" s="66" t="str">
        <f ca="1">IFERROR(__xludf.DUMMYFUNCTION("""COMPUTED_VALUE"""),"Mầm non")</f>
        <v>Mầm non</v>
      </c>
      <c r="D33" s="66">
        <f ca="1">IFERROR(__xludf.DUMMYFUNCTION("""COMPUTED_VALUE"""),10)</f>
        <v>10</v>
      </c>
      <c r="E33" s="67">
        <f ca="1">IFERROR(__xludf.DUMMYFUNCTION("""COMPUTED_VALUE"""),46)</f>
        <v>46</v>
      </c>
      <c r="F33" s="67">
        <f ca="1">IFERROR(__xludf.DUMMYFUNCTION("""COMPUTED_VALUE"""),46)</f>
        <v>46</v>
      </c>
      <c r="G33" s="51">
        <f t="shared" ca="1" si="0"/>
        <v>1</v>
      </c>
      <c r="H33" s="67">
        <f ca="1">IFERROR(__xludf.DUMMYFUNCTION("""COMPUTED_VALUE"""),46)</f>
        <v>46</v>
      </c>
      <c r="I33" s="51">
        <f t="shared" ca="1" si="1"/>
        <v>1</v>
      </c>
      <c r="J33" s="67">
        <f ca="1">IFERROR(__xludf.DUMMYFUNCTION("""COMPUTED_VALUE"""),43)</f>
        <v>43</v>
      </c>
      <c r="K33" s="51">
        <f t="shared" ca="1" si="2"/>
        <v>0.93478260869565222</v>
      </c>
      <c r="L33" s="67">
        <f ca="1">IFERROR(__xludf.DUMMYFUNCTION("""COMPUTED_VALUE"""),22)</f>
        <v>22</v>
      </c>
      <c r="M33" s="51">
        <f t="shared" ca="1" si="3"/>
        <v>0.47826086956521741</v>
      </c>
      <c r="N33" s="67">
        <f ca="1">IFERROR(__xludf.DUMMYFUNCTION("""COMPUTED_VALUE"""),62)</f>
        <v>62</v>
      </c>
      <c r="O33" s="67">
        <f ca="1">IFERROR(__xludf.DUMMYFUNCTION("""COMPUTED_VALUE"""),11)</f>
        <v>11</v>
      </c>
      <c r="P33" s="51">
        <f t="shared" ca="1" si="4"/>
        <v>0.17741935483870969</v>
      </c>
      <c r="Q33" s="67">
        <f ca="1">IFERROR(__xludf.DUMMYFUNCTION("""COMPUTED_VALUE"""),2)</f>
        <v>2</v>
      </c>
      <c r="R33" s="51">
        <f t="shared" ca="1" si="5"/>
        <v>3.2258064516129031E-2</v>
      </c>
      <c r="S33" s="66"/>
      <c r="T33" s="66"/>
      <c r="U33" s="51" t="str">
        <f t="shared" si="6"/>
        <v/>
      </c>
      <c r="V33" s="66"/>
      <c r="W33" s="51" t="str">
        <f t="shared" si="7"/>
        <v/>
      </c>
      <c r="X33" s="66"/>
      <c r="Y33" s="51" t="str">
        <f t="shared" si="8"/>
        <v/>
      </c>
      <c r="Z33" s="2"/>
      <c r="AA33" s="2"/>
      <c r="AB33" s="2"/>
      <c r="AC33" s="2"/>
      <c r="AD33" s="2"/>
      <c r="AE33" s="2"/>
    </row>
    <row r="34" spans="1:31" ht="12.75" x14ac:dyDescent="0.2">
      <c r="A34" s="53">
        <f ca="1">IFERROR(__xludf.DUMMYFUNCTION("""COMPUTED_VALUE"""),28)</f>
        <v>28</v>
      </c>
      <c r="B34" s="66" t="str">
        <f ca="1">IFERROR(__xludf.DUMMYFUNCTION("""COMPUTED_VALUE"""),"MN Ánh Sao")</f>
        <v>MN Ánh Sao</v>
      </c>
      <c r="C34" s="66" t="str">
        <f ca="1">IFERROR(__xludf.DUMMYFUNCTION("""COMPUTED_VALUE"""),"Mầm non")</f>
        <v>Mầm non</v>
      </c>
      <c r="D34" s="66">
        <f ca="1">IFERROR(__xludf.DUMMYFUNCTION("""COMPUTED_VALUE"""),10)</f>
        <v>10</v>
      </c>
      <c r="E34" s="67">
        <f ca="1">IFERROR(__xludf.DUMMYFUNCTION("""COMPUTED_VALUE"""),22)</f>
        <v>22</v>
      </c>
      <c r="F34" s="67">
        <f ca="1">IFERROR(__xludf.DUMMYFUNCTION("""COMPUTED_VALUE"""),22)</f>
        <v>22</v>
      </c>
      <c r="G34" s="51">
        <f t="shared" ca="1" si="0"/>
        <v>1</v>
      </c>
      <c r="H34" s="67">
        <f ca="1">IFERROR(__xludf.DUMMYFUNCTION("""COMPUTED_VALUE"""),22)</f>
        <v>22</v>
      </c>
      <c r="I34" s="51">
        <f t="shared" ca="1" si="1"/>
        <v>1</v>
      </c>
      <c r="J34" s="67">
        <f ca="1">IFERROR(__xludf.DUMMYFUNCTION("""COMPUTED_VALUE"""),19)</f>
        <v>19</v>
      </c>
      <c r="K34" s="51">
        <f t="shared" ca="1" si="2"/>
        <v>0.86363636363636365</v>
      </c>
      <c r="L34" s="67">
        <f ca="1">IFERROR(__xludf.DUMMYFUNCTION("""COMPUTED_VALUE"""),15)</f>
        <v>15</v>
      </c>
      <c r="M34" s="51">
        <f t="shared" ca="1" si="3"/>
        <v>0.68181818181818177</v>
      </c>
      <c r="N34" s="67">
        <f ca="1">IFERROR(__xludf.DUMMYFUNCTION("""COMPUTED_VALUE"""),99)</f>
        <v>99</v>
      </c>
      <c r="O34" s="67">
        <f ca="1">IFERROR(__xludf.DUMMYFUNCTION("""COMPUTED_VALUE"""),1)</f>
        <v>1</v>
      </c>
      <c r="P34" s="51">
        <f t="shared" ca="1" si="4"/>
        <v>1.0101010101010102E-2</v>
      </c>
      <c r="Q34" s="67">
        <f ca="1">IFERROR(__xludf.DUMMYFUNCTION("""COMPUTED_VALUE"""),0)</f>
        <v>0</v>
      </c>
      <c r="R34" s="51">
        <f t="shared" ca="1" si="5"/>
        <v>0</v>
      </c>
      <c r="S34" s="66"/>
      <c r="T34" s="66"/>
      <c r="U34" s="51" t="str">
        <f t="shared" si="6"/>
        <v/>
      </c>
      <c r="V34" s="66"/>
      <c r="W34" s="51" t="str">
        <f t="shared" si="7"/>
        <v/>
      </c>
      <c r="X34" s="66"/>
      <c r="Y34" s="51" t="str">
        <f t="shared" si="8"/>
        <v/>
      </c>
      <c r="Z34" s="2"/>
      <c r="AA34" s="2"/>
      <c r="AB34" s="2"/>
      <c r="AC34" s="2"/>
      <c r="AD34" s="2"/>
      <c r="AE34" s="2"/>
    </row>
    <row r="35" spans="1:31" ht="12.75" x14ac:dyDescent="0.2">
      <c r="A35" s="53">
        <f ca="1">IFERROR(__xludf.DUMMYFUNCTION("""COMPUTED_VALUE"""),29)</f>
        <v>29</v>
      </c>
      <c r="B35" s="66" t="str">
        <f ca="1">IFERROR(__xludf.DUMMYFUNCTION("""COMPUTED_VALUE"""),"MN Vạn An")</f>
        <v>MN Vạn An</v>
      </c>
      <c r="C35" s="66" t="str">
        <f ca="1">IFERROR(__xludf.DUMMYFUNCTION("""COMPUTED_VALUE"""),"Mầm non")</f>
        <v>Mầm non</v>
      </c>
      <c r="D35" s="66">
        <f ca="1">IFERROR(__xludf.DUMMYFUNCTION("""COMPUTED_VALUE"""),10)</f>
        <v>10</v>
      </c>
      <c r="E35" s="67">
        <f ca="1">IFERROR(__xludf.DUMMYFUNCTION("""COMPUTED_VALUE"""),68)</f>
        <v>68</v>
      </c>
      <c r="F35" s="67">
        <f ca="1">IFERROR(__xludf.DUMMYFUNCTION("""COMPUTED_VALUE"""),68)</f>
        <v>68</v>
      </c>
      <c r="G35" s="51">
        <f t="shared" ca="1" si="0"/>
        <v>1</v>
      </c>
      <c r="H35" s="67">
        <f ca="1">IFERROR(__xludf.DUMMYFUNCTION("""COMPUTED_VALUE"""),68)</f>
        <v>68</v>
      </c>
      <c r="I35" s="51">
        <f t="shared" ca="1" si="1"/>
        <v>1</v>
      </c>
      <c r="J35" s="67">
        <f ca="1">IFERROR(__xludf.DUMMYFUNCTION("""COMPUTED_VALUE"""),66)</f>
        <v>66</v>
      </c>
      <c r="K35" s="51">
        <f t="shared" ca="1" si="2"/>
        <v>0.97058823529411764</v>
      </c>
      <c r="L35" s="67">
        <f ca="1">IFERROR(__xludf.DUMMYFUNCTION("""COMPUTED_VALUE"""),18)</f>
        <v>18</v>
      </c>
      <c r="M35" s="51">
        <f t="shared" ca="1" si="3"/>
        <v>0.26470588235294118</v>
      </c>
      <c r="N35" s="67">
        <f ca="1">IFERROR(__xludf.DUMMYFUNCTION("""COMPUTED_VALUE"""),54)</f>
        <v>54</v>
      </c>
      <c r="O35" s="67">
        <f ca="1">IFERROR(__xludf.DUMMYFUNCTION("""COMPUTED_VALUE"""),2)</f>
        <v>2</v>
      </c>
      <c r="P35" s="51">
        <f t="shared" ca="1" si="4"/>
        <v>3.7037037037037035E-2</v>
      </c>
      <c r="Q35" s="67">
        <f ca="1">IFERROR(__xludf.DUMMYFUNCTION("""COMPUTED_VALUE"""),0)</f>
        <v>0</v>
      </c>
      <c r="R35" s="51">
        <f t="shared" ca="1" si="5"/>
        <v>0</v>
      </c>
      <c r="S35" s="66"/>
      <c r="T35" s="66"/>
      <c r="U35" s="51" t="str">
        <f t="shared" si="6"/>
        <v/>
      </c>
      <c r="V35" s="66"/>
      <c r="W35" s="51" t="str">
        <f t="shared" si="7"/>
        <v/>
      </c>
      <c r="X35" s="66"/>
      <c r="Y35" s="51" t="str">
        <f t="shared" si="8"/>
        <v/>
      </c>
      <c r="Z35" s="2"/>
      <c r="AA35" s="2"/>
      <c r="AB35" s="2"/>
      <c r="AC35" s="2"/>
      <c r="AD35" s="2"/>
      <c r="AE35" s="2"/>
    </row>
    <row r="36" spans="1:31" ht="12.75" x14ac:dyDescent="0.2">
      <c r="A36" s="53">
        <f ca="1">IFERROR(__xludf.DUMMYFUNCTION("""COMPUTED_VALUE"""),30)</f>
        <v>30</v>
      </c>
      <c r="B36" s="66"/>
      <c r="C36" s="66"/>
      <c r="D36" s="66">
        <f ca="1">IFERROR(__xludf.DUMMYFUNCTION("""COMPUTED_VALUE"""),10)</f>
        <v>10</v>
      </c>
      <c r="E36" s="67">
        <f ca="1">IFERROR(__xludf.DUMMYFUNCTION("""COMPUTED_VALUE"""),14)</f>
        <v>14</v>
      </c>
      <c r="F36" s="67">
        <f ca="1">IFERROR(__xludf.DUMMYFUNCTION("""COMPUTED_VALUE"""),14)</f>
        <v>14</v>
      </c>
      <c r="G36" s="51">
        <f t="shared" ca="1" si="0"/>
        <v>1</v>
      </c>
      <c r="H36" s="67">
        <f ca="1">IFERROR(__xludf.DUMMYFUNCTION("""COMPUTED_VALUE"""),14)</f>
        <v>14</v>
      </c>
      <c r="I36" s="51">
        <f t="shared" ca="1" si="1"/>
        <v>1</v>
      </c>
      <c r="J36" s="67">
        <f ca="1">IFERROR(__xludf.DUMMYFUNCTION("""COMPUTED_VALUE"""),13)</f>
        <v>13</v>
      </c>
      <c r="K36" s="51">
        <f t="shared" ca="1" si="2"/>
        <v>0.9285714285714286</v>
      </c>
      <c r="L36" s="67">
        <f ca="1">IFERROR(__xludf.DUMMYFUNCTION("""COMPUTED_VALUE"""),9)</f>
        <v>9</v>
      </c>
      <c r="M36" s="51">
        <f t="shared" ca="1" si="3"/>
        <v>0.6428571428571429</v>
      </c>
      <c r="N36" s="67">
        <f ca="1">IFERROR(__xludf.DUMMYFUNCTION("""COMPUTED_VALUE"""),12)</f>
        <v>12</v>
      </c>
      <c r="O36" s="67">
        <f ca="1">IFERROR(__xludf.DUMMYFUNCTION("""COMPUTED_VALUE"""),0)</f>
        <v>0</v>
      </c>
      <c r="P36" s="51">
        <f t="shared" ca="1" si="4"/>
        <v>0</v>
      </c>
      <c r="Q36" s="67">
        <f ca="1">IFERROR(__xludf.DUMMYFUNCTION("""COMPUTED_VALUE"""),0)</f>
        <v>0</v>
      </c>
      <c r="R36" s="51">
        <f t="shared" ca="1" si="5"/>
        <v>0</v>
      </c>
      <c r="S36" s="66"/>
      <c r="T36" s="66"/>
      <c r="U36" s="51" t="str">
        <f t="shared" si="6"/>
        <v/>
      </c>
      <c r="V36" s="66"/>
      <c r="W36" s="51" t="str">
        <f t="shared" si="7"/>
        <v/>
      </c>
      <c r="X36" s="66"/>
      <c r="Y36" s="51" t="str">
        <f t="shared" si="8"/>
        <v/>
      </c>
      <c r="Z36" s="2"/>
      <c r="AA36" s="2"/>
      <c r="AB36" s="2"/>
      <c r="AC36" s="2"/>
      <c r="AD36" s="2"/>
      <c r="AE36" s="2"/>
    </row>
    <row r="37" spans="1:31" ht="12.75" x14ac:dyDescent="0.2">
      <c r="A37" s="53">
        <f ca="1">IFERROR(__xludf.DUMMYFUNCTION("""COMPUTED_VALUE"""),31)</f>
        <v>31</v>
      </c>
      <c r="B37" s="66" t="str">
        <f ca="1">IFERROR(__xludf.DUMMYFUNCTION("""COMPUTED_VALUE"""),"MN Bình Minh")</f>
        <v>MN Bình Minh</v>
      </c>
      <c r="C37" s="66" t="str">
        <f ca="1">IFERROR(__xludf.DUMMYFUNCTION("""COMPUTED_VALUE"""),"Mầm non")</f>
        <v>Mầm non</v>
      </c>
      <c r="D37" s="66">
        <f ca="1">IFERROR(__xludf.DUMMYFUNCTION("""COMPUTED_VALUE"""),10)</f>
        <v>10</v>
      </c>
      <c r="E37" s="67">
        <f ca="1">IFERROR(__xludf.DUMMYFUNCTION("""COMPUTED_VALUE"""),10)</f>
        <v>10</v>
      </c>
      <c r="F37" s="67">
        <f ca="1">IFERROR(__xludf.DUMMYFUNCTION("""COMPUTED_VALUE"""),10)</f>
        <v>10</v>
      </c>
      <c r="G37" s="51">
        <f t="shared" ca="1" si="0"/>
        <v>1</v>
      </c>
      <c r="H37" s="67">
        <f ca="1">IFERROR(__xludf.DUMMYFUNCTION("""COMPUTED_VALUE"""),10)</f>
        <v>10</v>
      </c>
      <c r="I37" s="51">
        <f t="shared" ca="1" si="1"/>
        <v>1</v>
      </c>
      <c r="J37" s="67">
        <f ca="1">IFERROR(__xludf.DUMMYFUNCTION("""COMPUTED_VALUE"""),9)</f>
        <v>9</v>
      </c>
      <c r="K37" s="51">
        <f t="shared" ca="1" si="2"/>
        <v>0.9</v>
      </c>
      <c r="L37" s="67">
        <f ca="1">IFERROR(__xludf.DUMMYFUNCTION("""COMPUTED_VALUE"""),2)</f>
        <v>2</v>
      </c>
      <c r="M37" s="51">
        <f t="shared" ca="1" si="3"/>
        <v>0.2</v>
      </c>
      <c r="N37" s="67">
        <f ca="1">IFERROR(__xludf.DUMMYFUNCTION("""COMPUTED_VALUE"""),4)</f>
        <v>4</v>
      </c>
      <c r="O37" s="67">
        <f ca="1">IFERROR(__xludf.DUMMYFUNCTION("""COMPUTED_VALUE"""),0)</f>
        <v>0</v>
      </c>
      <c r="P37" s="51">
        <f t="shared" ca="1" si="4"/>
        <v>0</v>
      </c>
      <c r="Q37" s="67">
        <f ca="1">IFERROR(__xludf.DUMMYFUNCTION("""COMPUTED_VALUE"""),0)</f>
        <v>0</v>
      </c>
      <c r="R37" s="51">
        <f t="shared" ca="1" si="5"/>
        <v>0</v>
      </c>
      <c r="S37" s="66"/>
      <c r="T37" s="66"/>
      <c r="U37" s="51" t="str">
        <f t="shared" si="6"/>
        <v/>
      </c>
      <c r="V37" s="66"/>
      <c r="W37" s="51" t="str">
        <f t="shared" si="7"/>
        <v/>
      </c>
      <c r="X37" s="66"/>
      <c r="Y37" s="51" t="str">
        <f t="shared" si="8"/>
        <v/>
      </c>
      <c r="Z37" s="2"/>
      <c r="AA37" s="2"/>
      <c r="AB37" s="2"/>
      <c r="AC37" s="2"/>
      <c r="AD37" s="2"/>
      <c r="AE37" s="2"/>
    </row>
    <row r="38" spans="1:31" ht="12.75" x14ac:dyDescent="0.2">
      <c r="A38" s="53">
        <f ca="1">IFERROR(__xludf.DUMMYFUNCTION("""COMPUTED_VALUE"""),32)</f>
        <v>32</v>
      </c>
      <c r="B38" s="66" t="str">
        <f ca="1">IFERROR(__xludf.DUMMYFUNCTION("""COMPUTED_VALUE"""),"MN Ngôi Sao Việt")</f>
        <v>MN Ngôi Sao Việt</v>
      </c>
      <c r="C38" s="66" t="str">
        <f ca="1">IFERROR(__xludf.DUMMYFUNCTION("""COMPUTED_VALUE"""),"Mầm non")</f>
        <v>Mầm non</v>
      </c>
      <c r="D38" s="66">
        <f ca="1">IFERROR(__xludf.DUMMYFUNCTION("""COMPUTED_VALUE"""),10)</f>
        <v>10</v>
      </c>
      <c r="E38" s="67">
        <f ca="1">IFERROR(__xludf.DUMMYFUNCTION("""COMPUTED_VALUE"""),33)</f>
        <v>33</v>
      </c>
      <c r="F38" s="67">
        <f ca="1">IFERROR(__xludf.DUMMYFUNCTION("""COMPUTED_VALUE"""),33)</f>
        <v>33</v>
      </c>
      <c r="G38" s="51">
        <f t="shared" ca="1" si="0"/>
        <v>1</v>
      </c>
      <c r="H38" s="67">
        <f ca="1">IFERROR(__xludf.DUMMYFUNCTION("""COMPUTED_VALUE"""),33)</f>
        <v>33</v>
      </c>
      <c r="I38" s="51">
        <f t="shared" ca="1" si="1"/>
        <v>1</v>
      </c>
      <c r="J38" s="67">
        <f ca="1">IFERROR(__xludf.DUMMYFUNCTION("""COMPUTED_VALUE"""),33)</f>
        <v>33</v>
      </c>
      <c r="K38" s="51">
        <f t="shared" ca="1" si="2"/>
        <v>1</v>
      </c>
      <c r="L38" s="67">
        <f ca="1">IFERROR(__xludf.DUMMYFUNCTION("""COMPUTED_VALUE"""),28)</f>
        <v>28</v>
      </c>
      <c r="M38" s="51">
        <f t="shared" ca="1" si="3"/>
        <v>0.84848484848484851</v>
      </c>
      <c r="N38" s="67">
        <f ca="1">IFERROR(__xludf.DUMMYFUNCTION("""COMPUTED_VALUE"""),36)</f>
        <v>36</v>
      </c>
      <c r="O38" s="67">
        <f ca="1">IFERROR(__xludf.DUMMYFUNCTION("""COMPUTED_VALUE"""),1)</f>
        <v>1</v>
      </c>
      <c r="P38" s="51">
        <f t="shared" ca="1" si="4"/>
        <v>2.7777777777777776E-2</v>
      </c>
      <c r="Q38" s="67">
        <f ca="1">IFERROR(__xludf.DUMMYFUNCTION("""COMPUTED_VALUE"""),0)</f>
        <v>0</v>
      </c>
      <c r="R38" s="51">
        <f t="shared" ca="1" si="5"/>
        <v>0</v>
      </c>
      <c r="S38" s="66"/>
      <c r="T38" s="66"/>
      <c r="U38" s="51" t="str">
        <f t="shared" si="6"/>
        <v/>
      </c>
      <c r="V38" s="66"/>
      <c r="W38" s="51" t="str">
        <f t="shared" si="7"/>
        <v/>
      </c>
      <c r="X38" s="66"/>
      <c r="Y38" s="51" t="str">
        <f t="shared" si="8"/>
        <v/>
      </c>
      <c r="Z38" s="2"/>
      <c r="AA38" s="2"/>
      <c r="AB38" s="2"/>
      <c r="AC38" s="2"/>
      <c r="AD38" s="2"/>
      <c r="AE38" s="2"/>
    </row>
    <row r="39" spans="1:31" ht="12.75" x14ac:dyDescent="0.2">
      <c r="A39" s="53">
        <f ca="1">IFERROR(__xludf.DUMMYFUNCTION("""COMPUTED_VALUE"""),33)</f>
        <v>33</v>
      </c>
      <c r="B39" s="66" t="str">
        <f ca="1">IFERROR(__xludf.DUMMYFUNCTION("""COMPUTED_VALUE"""),"MN Vườn Ươm Tương Lai")</f>
        <v>MN Vườn Ươm Tương Lai</v>
      </c>
      <c r="C39" s="66" t="str">
        <f ca="1">IFERROR(__xludf.DUMMYFUNCTION("""COMPUTED_VALUE"""),"Mầm non")</f>
        <v>Mầm non</v>
      </c>
      <c r="D39" s="66">
        <f ca="1">IFERROR(__xludf.DUMMYFUNCTION("""COMPUTED_VALUE"""),10)</f>
        <v>10</v>
      </c>
      <c r="E39" s="67">
        <f ca="1">IFERROR(__xludf.DUMMYFUNCTION("""COMPUTED_VALUE"""),17)</f>
        <v>17</v>
      </c>
      <c r="F39" s="67">
        <f ca="1">IFERROR(__xludf.DUMMYFUNCTION("""COMPUTED_VALUE"""),17)</f>
        <v>17</v>
      </c>
      <c r="G39" s="51">
        <f t="shared" ca="1" si="0"/>
        <v>1</v>
      </c>
      <c r="H39" s="67">
        <f ca="1">IFERROR(__xludf.DUMMYFUNCTION("""COMPUTED_VALUE"""),17)</f>
        <v>17</v>
      </c>
      <c r="I39" s="51">
        <f t="shared" ca="1" si="1"/>
        <v>1</v>
      </c>
      <c r="J39" s="67">
        <f ca="1">IFERROR(__xludf.DUMMYFUNCTION("""COMPUTED_VALUE"""),16)</f>
        <v>16</v>
      </c>
      <c r="K39" s="51">
        <f t="shared" ca="1" si="2"/>
        <v>0.94117647058823528</v>
      </c>
      <c r="L39" s="67">
        <f ca="1">IFERROR(__xludf.DUMMYFUNCTION("""COMPUTED_VALUE"""),3)</f>
        <v>3</v>
      </c>
      <c r="M39" s="51">
        <f t="shared" ca="1" si="3"/>
        <v>0.17647058823529413</v>
      </c>
      <c r="N39" s="67">
        <f ca="1">IFERROR(__xludf.DUMMYFUNCTION("""COMPUTED_VALUE"""),44)</f>
        <v>44</v>
      </c>
      <c r="O39" s="67">
        <f ca="1">IFERROR(__xludf.DUMMYFUNCTION("""COMPUTED_VALUE"""),0)</f>
        <v>0</v>
      </c>
      <c r="P39" s="51">
        <f t="shared" ca="1" si="4"/>
        <v>0</v>
      </c>
      <c r="Q39" s="67">
        <f ca="1">IFERROR(__xludf.DUMMYFUNCTION("""COMPUTED_VALUE"""),0)</f>
        <v>0</v>
      </c>
      <c r="R39" s="51">
        <f t="shared" ca="1" si="5"/>
        <v>0</v>
      </c>
      <c r="S39" s="66"/>
      <c r="T39" s="66"/>
      <c r="U39" s="51" t="str">
        <f t="shared" si="6"/>
        <v/>
      </c>
      <c r="V39" s="66"/>
      <c r="W39" s="51" t="str">
        <f t="shared" si="7"/>
        <v/>
      </c>
      <c r="X39" s="66"/>
      <c r="Y39" s="51" t="str">
        <f t="shared" si="8"/>
        <v/>
      </c>
      <c r="Z39" s="2"/>
      <c r="AA39" s="2"/>
      <c r="AB39" s="2"/>
      <c r="AC39" s="2"/>
      <c r="AD39" s="2"/>
      <c r="AE39" s="2"/>
    </row>
    <row r="40" spans="1:31" ht="12.75" x14ac:dyDescent="0.2">
      <c r="A40" s="53">
        <f ca="1">IFERROR(__xludf.DUMMYFUNCTION("""COMPUTED_VALUE"""),34)</f>
        <v>34</v>
      </c>
      <c r="B40" s="66" t="str">
        <f ca="1">IFERROR(__xludf.DUMMYFUNCTION("""COMPUTED_VALUE"""),"MN Yêu Con")</f>
        <v>MN Yêu Con</v>
      </c>
      <c r="C40" s="66" t="str">
        <f ca="1">IFERROR(__xludf.DUMMYFUNCTION("""COMPUTED_VALUE"""),"Mầm non")</f>
        <v>Mầm non</v>
      </c>
      <c r="D40" s="66">
        <f ca="1">IFERROR(__xludf.DUMMYFUNCTION("""COMPUTED_VALUE"""),10)</f>
        <v>10</v>
      </c>
      <c r="E40" s="67">
        <f ca="1">IFERROR(__xludf.DUMMYFUNCTION("""COMPUTED_VALUE"""),19)</f>
        <v>19</v>
      </c>
      <c r="F40" s="67">
        <f ca="1">IFERROR(__xludf.DUMMYFUNCTION("""COMPUTED_VALUE"""),19)</f>
        <v>19</v>
      </c>
      <c r="G40" s="51">
        <f t="shared" ca="1" si="0"/>
        <v>1</v>
      </c>
      <c r="H40" s="67">
        <f ca="1">IFERROR(__xludf.DUMMYFUNCTION("""COMPUTED_VALUE"""),19)</f>
        <v>19</v>
      </c>
      <c r="I40" s="51">
        <f t="shared" ca="1" si="1"/>
        <v>1</v>
      </c>
      <c r="J40" s="67">
        <f ca="1">IFERROR(__xludf.DUMMYFUNCTION("""COMPUTED_VALUE"""),19)</f>
        <v>19</v>
      </c>
      <c r="K40" s="51">
        <f t="shared" ca="1" si="2"/>
        <v>1</v>
      </c>
      <c r="L40" s="67">
        <f ca="1">IFERROR(__xludf.DUMMYFUNCTION("""COMPUTED_VALUE"""),17)</f>
        <v>17</v>
      </c>
      <c r="M40" s="51">
        <f t="shared" ca="1" si="3"/>
        <v>0.89473684210526316</v>
      </c>
      <c r="N40" s="67">
        <f ca="1">IFERROR(__xludf.DUMMYFUNCTION("""COMPUTED_VALUE"""),17)</f>
        <v>17</v>
      </c>
      <c r="O40" s="67">
        <f ca="1">IFERROR(__xludf.DUMMYFUNCTION("""COMPUTED_VALUE"""),0)</f>
        <v>0</v>
      </c>
      <c r="P40" s="51">
        <f t="shared" ca="1" si="4"/>
        <v>0</v>
      </c>
      <c r="Q40" s="67">
        <f ca="1">IFERROR(__xludf.DUMMYFUNCTION("""COMPUTED_VALUE"""),0)</f>
        <v>0</v>
      </c>
      <c r="R40" s="51">
        <f t="shared" ca="1" si="5"/>
        <v>0</v>
      </c>
      <c r="S40" s="66"/>
      <c r="T40" s="66"/>
      <c r="U40" s="51" t="str">
        <f t="shared" si="6"/>
        <v/>
      </c>
      <c r="V40" s="66"/>
      <c r="W40" s="51" t="str">
        <f t="shared" si="7"/>
        <v/>
      </c>
      <c r="X40" s="66"/>
      <c r="Y40" s="51" t="str">
        <f t="shared" si="8"/>
        <v/>
      </c>
      <c r="Z40" s="2"/>
      <c r="AA40" s="2"/>
      <c r="AB40" s="2"/>
      <c r="AC40" s="2"/>
      <c r="AD40" s="2"/>
      <c r="AE40" s="2"/>
    </row>
    <row r="41" spans="1:31" ht="12.75" x14ac:dyDescent="0.2">
      <c r="A41" s="53">
        <f ca="1">IFERROR(__xludf.DUMMYFUNCTION("""COMPUTED_VALUE"""),35)</f>
        <v>35</v>
      </c>
      <c r="B41" s="66" t="str">
        <f ca="1">IFERROR(__xludf.DUMMYFUNCTION("""COMPUTED_VALUE"""),"MN Tương Lai")</f>
        <v>MN Tương Lai</v>
      </c>
      <c r="C41" s="66" t="str">
        <f ca="1">IFERROR(__xludf.DUMMYFUNCTION("""COMPUTED_VALUE"""),"Mầm non")</f>
        <v>Mầm non</v>
      </c>
      <c r="D41" s="66">
        <f ca="1">IFERROR(__xludf.DUMMYFUNCTION("""COMPUTED_VALUE"""),10)</f>
        <v>10</v>
      </c>
      <c r="E41" s="67">
        <f ca="1">IFERROR(__xludf.DUMMYFUNCTION("""COMPUTED_VALUE"""),18)</f>
        <v>18</v>
      </c>
      <c r="F41" s="67">
        <f ca="1">IFERROR(__xludf.DUMMYFUNCTION("""COMPUTED_VALUE"""),18)</f>
        <v>18</v>
      </c>
      <c r="G41" s="51">
        <f t="shared" ca="1" si="0"/>
        <v>1</v>
      </c>
      <c r="H41" s="67">
        <f ca="1">IFERROR(__xludf.DUMMYFUNCTION("""COMPUTED_VALUE"""),18)</f>
        <v>18</v>
      </c>
      <c r="I41" s="51">
        <f t="shared" ca="1" si="1"/>
        <v>1</v>
      </c>
      <c r="J41" s="67">
        <f ca="1">IFERROR(__xludf.DUMMYFUNCTION("""COMPUTED_VALUE"""),18)</f>
        <v>18</v>
      </c>
      <c r="K41" s="51">
        <f t="shared" ca="1" si="2"/>
        <v>1</v>
      </c>
      <c r="L41" s="67">
        <f ca="1">IFERROR(__xludf.DUMMYFUNCTION("""COMPUTED_VALUE"""),14)</f>
        <v>14</v>
      </c>
      <c r="M41" s="51">
        <f t="shared" ca="1" si="3"/>
        <v>0.77777777777777779</v>
      </c>
      <c r="N41" s="67">
        <f ca="1">IFERROR(__xludf.DUMMYFUNCTION("""COMPUTED_VALUE"""),18)</f>
        <v>18</v>
      </c>
      <c r="O41" s="67">
        <f ca="1">IFERROR(__xludf.DUMMYFUNCTION("""COMPUTED_VALUE"""),1)</f>
        <v>1</v>
      </c>
      <c r="P41" s="51">
        <f t="shared" ca="1" si="4"/>
        <v>5.5555555555555552E-2</v>
      </c>
      <c r="Q41" s="67">
        <f ca="1">IFERROR(__xludf.DUMMYFUNCTION("""COMPUTED_VALUE"""),0)</f>
        <v>0</v>
      </c>
      <c r="R41" s="51">
        <f t="shared" ca="1" si="5"/>
        <v>0</v>
      </c>
      <c r="S41" s="66"/>
      <c r="T41" s="66"/>
      <c r="U41" s="51" t="str">
        <f t="shared" si="6"/>
        <v/>
      </c>
      <c r="V41" s="66"/>
      <c r="W41" s="51" t="str">
        <f t="shared" si="7"/>
        <v/>
      </c>
      <c r="X41" s="66"/>
      <c r="Y41" s="51" t="str">
        <f t="shared" si="8"/>
        <v/>
      </c>
      <c r="Z41" s="2"/>
      <c r="AA41" s="2"/>
      <c r="AB41" s="2"/>
      <c r="AC41" s="2"/>
      <c r="AD41" s="2"/>
      <c r="AE41" s="2"/>
    </row>
    <row r="42" spans="1:31" ht="12.75" x14ac:dyDescent="0.2">
      <c r="A42" s="53">
        <f ca="1">IFERROR(__xludf.DUMMYFUNCTION("""COMPUTED_VALUE"""),36)</f>
        <v>36</v>
      </c>
      <c r="B42" s="66" t="str">
        <f ca="1">IFERROR(__xludf.DUMMYFUNCTION("""COMPUTED_VALUE"""),"MN Thành Phố Tuổi Thơ")</f>
        <v>MN Thành Phố Tuổi Thơ</v>
      </c>
      <c r="C42" s="66" t="str">
        <f ca="1">IFERROR(__xludf.DUMMYFUNCTION("""COMPUTED_VALUE"""),"Mầm non")</f>
        <v>Mầm non</v>
      </c>
      <c r="D42" s="66">
        <f ca="1">IFERROR(__xludf.DUMMYFUNCTION("""COMPUTED_VALUE"""),10)</f>
        <v>10</v>
      </c>
      <c r="E42" s="67">
        <f ca="1">IFERROR(__xludf.DUMMYFUNCTION("""COMPUTED_VALUE"""),20)</f>
        <v>20</v>
      </c>
      <c r="F42" s="67">
        <f ca="1">IFERROR(__xludf.DUMMYFUNCTION("""COMPUTED_VALUE"""),20)</f>
        <v>20</v>
      </c>
      <c r="G42" s="51">
        <f t="shared" ca="1" si="0"/>
        <v>1</v>
      </c>
      <c r="H42" s="67">
        <f ca="1">IFERROR(__xludf.DUMMYFUNCTION("""COMPUTED_VALUE"""),20)</f>
        <v>20</v>
      </c>
      <c r="I42" s="51">
        <f t="shared" ca="1" si="1"/>
        <v>1</v>
      </c>
      <c r="J42" s="67">
        <f ca="1">IFERROR(__xludf.DUMMYFUNCTION("""COMPUTED_VALUE"""),20)</f>
        <v>20</v>
      </c>
      <c r="K42" s="51">
        <f t="shared" ca="1" si="2"/>
        <v>1</v>
      </c>
      <c r="L42" s="67">
        <f ca="1">IFERROR(__xludf.DUMMYFUNCTION("""COMPUTED_VALUE"""),6)</f>
        <v>6</v>
      </c>
      <c r="M42" s="51">
        <f t="shared" ca="1" si="3"/>
        <v>0.3</v>
      </c>
      <c r="N42" s="67">
        <f ca="1">IFERROR(__xludf.DUMMYFUNCTION("""COMPUTED_VALUE"""),13)</f>
        <v>13</v>
      </c>
      <c r="O42" s="67">
        <f ca="1">IFERROR(__xludf.DUMMYFUNCTION("""COMPUTED_VALUE"""),0)</f>
        <v>0</v>
      </c>
      <c r="P42" s="51">
        <f t="shared" ca="1" si="4"/>
        <v>0</v>
      </c>
      <c r="Q42" s="67">
        <f ca="1">IFERROR(__xludf.DUMMYFUNCTION("""COMPUTED_VALUE"""),0)</f>
        <v>0</v>
      </c>
      <c r="R42" s="51">
        <f t="shared" ca="1" si="5"/>
        <v>0</v>
      </c>
      <c r="S42" s="66"/>
      <c r="T42" s="66"/>
      <c r="U42" s="51" t="str">
        <f t="shared" si="6"/>
        <v/>
      </c>
      <c r="V42" s="66"/>
      <c r="W42" s="51" t="str">
        <f t="shared" si="7"/>
        <v/>
      </c>
      <c r="X42" s="66"/>
      <c r="Y42" s="51" t="str">
        <f t="shared" si="8"/>
        <v/>
      </c>
      <c r="Z42" s="2"/>
      <c r="AA42" s="2"/>
      <c r="AB42" s="2"/>
      <c r="AC42" s="2"/>
      <c r="AD42" s="2"/>
      <c r="AE42" s="2"/>
    </row>
    <row r="43" spans="1:31" ht="12.75" x14ac:dyDescent="0.2">
      <c r="A43" s="53">
        <f ca="1">IFERROR(__xludf.DUMMYFUNCTION("""COMPUTED_VALUE"""),37)</f>
        <v>37</v>
      </c>
      <c r="B43" s="66" t="str">
        <f ca="1">IFERROR(__xludf.DUMMYFUNCTION("""COMPUTED_VALUE"""),"MN Anh Nhi Hạnh")</f>
        <v>MN Anh Nhi Hạnh</v>
      </c>
      <c r="C43" s="66" t="str">
        <f ca="1">IFERROR(__xludf.DUMMYFUNCTION("""COMPUTED_VALUE"""),"Mầm non")</f>
        <v>Mầm non</v>
      </c>
      <c r="D43" s="66">
        <f ca="1">IFERROR(__xludf.DUMMYFUNCTION("""COMPUTED_VALUE"""),10)</f>
        <v>10</v>
      </c>
      <c r="E43" s="67">
        <f ca="1">IFERROR(__xludf.DUMMYFUNCTION("""COMPUTED_VALUE"""),23)</f>
        <v>23</v>
      </c>
      <c r="F43" s="67">
        <f ca="1">IFERROR(__xludf.DUMMYFUNCTION("""COMPUTED_VALUE"""),23)</f>
        <v>23</v>
      </c>
      <c r="G43" s="51">
        <f t="shared" ca="1" si="0"/>
        <v>1</v>
      </c>
      <c r="H43" s="67">
        <f ca="1">IFERROR(__xludf.DUMMYFUNCTION("""COMPUTED_VALUE"""),23)</f>
        <v>23</v>
      </c>
      <c r="I43" s="51">
        <f t="shared" ca="1" si="1"/>
        <v>1</v>
      </c>
      <c r="J43" s="67">
        <f ca="1">IFERROR(__xludf.DUMMYFUNCTION("""COMPUTED_VALUE"""),13)</f>
        <v>13</v>
      </c>
      <c r="K43" s="51">
        <f t="shared" ca="1" si="2"/>
        <v>0.56521739130434778</v>
      </c>
      <c r="L43" s="67">
        <f ca="1">IFERROR(__xludf.DUMMYFUNCTION("""COMPUTED_VALUE"""),2)</f>
        <v>2</v>
      </c>
      <c r="M43" s="51">
        <f t="shared" ca="1" si="3"/>
        <v>8.6956521739130432E-2</v>
      </c>
      <c r="N43" s="67">
        <f ca="1">IFERROR(__xludf.DUMMYFUNCTION("""COMPUTED_VALUE"""),9)</f>
        <v>9</v>
      </c>
      <c r="O43" s="67">
        <f ca="1">IFERROR(__xludf.DUMMYFUNCTION("""COMPUTED_VALUE"""),0)</f>
        <v>0</v>
      </c>
      <c r="P43" s="51">
        <f t="shared" ca="1" si="4"/>
        <v>0</v>
      </c>
      <c r="Q43" s="67">
        <f ca="1">IFERROR(__xludf.DUMMYFUNCTION("""COMPUTED_VALUE"""),0)</f>
        <v>0</v>
      </c>
      <c r="R43" s="51">
        <f t="shared" ca="1" si="5"/>
        <v>0</v>
      </c>
      <c r="S43" s="66"/>
      <c r="T43" s="66"/>
      <c r="U43" s="51" t="str">
        <f t="shared" si="6"/>
        <v/>
      </c>
      <c r="V43" s="66"/>
      <c r="W43" s="51" t="str">
        <f t="shared" si="7"/>
        <v/>
      </c>
      <c r="X43" s="66"/>
      <c r="Y43" s="51" t="str">
        <f t="shared" si="8"/>
        <v/>
      </c>
      <c r="Z43" s="2"/>
      <c r="AA43" s="2"/>
      <c r="AB43" s="2"/>
      <c r="AC43" s="2"/>
      <c r="AD43" s="2"/>
      <c r="AE43" s="2"/>
    </row>
    <row r="44" spans="1:31" ht="12.75" x14ac:dyDescent="0.2">
      <c r="A44" s="53">
        <f ca="1">IFERROR(__xludf.DUMMYFUNCTION("""COMPUTED_VALUE"""),38)</f>
        <v>38</v>
      </c>
      <c r="B44" s="66" t="str">
        <f ca="1">IFERROR(__xludf.DUMMYFUNCTION("""COMPUTED_VALUE"""),"MN Chuồn chuồn Kim")</f>
        <v>MN Chuồn chuồn Kim</v>
      </c>
      <c r="C44" s="66" t="str">
        <f ca="1">IFERROR(__xludf.DUMMYFUNCTION("""COMPUTED_VALUE"""),"Mầm non")</f>
        <v>Mầm non</v>
      </c>
      <c r="D44" s="66">
        <f ca="1">IFERROR(__xludf.DUMMYFUNCTION("""COMPUTED_VALUE"""),10)</f>
        <v>10</v>
      </c>
      <c r="E44" s="67">
        <f ca="1">IFERROR(__xludf.DUMMYFUNCTION("""COMPUTED_VALUE"""),17)</f>
        <v>17</v>
      </c>
      <c r="F44" s="67">
        <f ca="1">IFERROR(__xludf.DUMMYFUNCTION("""COMPUTED_VALUE"""),17)</f>
        <v>17</v>
      </c>
      <c r="G44" s="51">
        <f t="shared" ca="1" si="0"/>
        <v>1</v>
      </c>
      <c r="H44" s="67">
        <f ca="1">IFERROR(__xludf.DUMMYFUNCTION("""COMPUTED_VALUE"""),17)</f>
        <v>17</v>
      </c>
      <c r="I44" s="51">
        <f t="shared" ca="1" si="1"/>
        <v>1</v>
      </c>
      <c r="J44" s="67">
        <f ca="1">IFERROR(__xludf.DUMMYFUNCTION("""COMPUTED_VALUE"""),17)</f>
        <v>17</v>
      </c>
      <c r="K44" s="51">
        <f t="shared" ca="1" si="2"/>
        <v>1</v>
      </c>
      <c r="L44" s="67">
        <f ca="1">IFERROR(__xludf.DUMMYFUNCTION("""COMPUTED_VALUE"""),4)</f>
        <v>4</v>
      </c>
      <c r="M44" s="51">
        <f t="shared" ca="1" si="3"/>
        <v>0.23529411764705882</v>
      </c>
      <c r="N44" s="67">
        <f ca="1">IFERROR(__xludf.DUMMYFUNCTION("""COMPUTED_VALUE"""),0)</f>
        <v>0</v>
      </c>
      <c r="O44" s="67">
        <f ca="1">IFERROR(__xludf.DUMMYFUNCTION("""COMPUTED_VALUE"""),0)</f>
        <v>0</v>
      </c>
      <c r="P44" s="51" t="str">
        <f t="shared" ca="1" si="4"/>
        <v/>
      </c>
      <c r="Q44" s="67">
        <f ca="1">IFERROR(__xludf.DUMMYFUNCTION("""COMPUTED_VALUE"""),0)</f>
        <v>0</v>
      </c>
      <c r="R44" s="51" t="str">
        <f t="shared" ca="1" si="5"/>
        <v/>
      </c>
      <c r="S44" s="66"/>
      <c r="T44" s="66"/>
      <c r="U44" s="51" t="str">
        <f t="shared" si="6"/>
        <v/>
      </c>
      <c r="V44" s="66"/>
      <c r="W44" s="51" t="str">
        <f t="shared" si="7"/>
        <v/>
      </c>
      <c r="X44" s="66"/>
      <c r="Y44" s="51" t="str">
        <f t="shared" si="8"/>
        <v/>
      </c>
      <c r="Z44" s="2"/>
      <c r="AA44" s="2"/>
      <c r="AB44" s="2"/>
      <c r="AC44" s="2"/>
      <c r="AD44" s="2"/>
      <c r="AE44" s="2"/>
    </row>
    <row r="45" spans="1:31" ht="12.75" x14ac:dyDescent="0.2">
      <c r="A45" s="53">
        <f ca="1">IFERROR(__xludf.DUMMYFUNCTION("""COMPUTED_VALUE"""),39)</f>
        <v>39</v>
      </c>
      <c r="B45" s="66" t="str">
        <f ca="1">IFERROR(__xludf.DUMMYFUNCTION("""COMPUTED_VALUE"""),"MN Gbolal Ecokids")</f>
        <v>MN Gbolal Ecokids</v>
      </c>
      <c r="C45" s="66" t="str">
        <f ca="1">IFERROR(__xludf.DUMMYFUNCTION("""COMPUTED_VALUE"""),"Mầm non")</f>
        <v>Mầm non</v>
      </c>
      <c r="D45" s="66">
        <f ca="1">IFERROR(__xludf.DUMMYFUNCTION("""COMPUTED_VALUE"""),10)</f>
        <v>10</v>
      </c>
      <c r="E45" s="67">
        <f ca="1">IFERROR(__xludf.DUMMYFUNCTION("""COMPUTED_VALUE"""),35)</f>
        <v>35</v>
      </c>
      <c r="F45" s="67">
        <f ca="1">IFERROR(__xludf.DUMMYFUNCTION("""COMPUTED_VALUE"""),35)</f>
        <v>35</v>
      </c>
      <c r="G45" s="51">
        <f t="shared" ca="1" si="0"/>
        <v>1</v>
      </c>
      <c r="H45" s="67">
        <f ca="1">IFERROR(__xludf.DUMMYFUNCTION("""COMPUTED_VALUE"""),35)</f>
        <v>35</v>
      </c>
      <c r="I45" s="51">
        <f t="shared" ca="1" si="1"/>
        <v>1</v>
      </c>
      <c r="J45" s="67">
        <f ca="1">IFERROR(__xludf.DUMMYFUNCTION("""COMPUTED_VALUE"""),25)</f>
        <v>25</v>
      </c>
      <c r="K45" s="51">
        <f t="shared" ca="1" si="2"/>
        <v>0.7142857142857143</v>
      </c>
      <c r="L45" s="67">
        <f ca="1">IFERROR(__xludf.DUMMYFUNCTION("""COMPUTED_VALUE"""),15)</f>
        <v>15</v>
      </c>
      <c r="M45" s="51">
        <f t="shared" ca="1" si="3"/>
        <v>0.42857142857142855</v>
      </c>
      <c r="N45" s="67">
        <f ca="1">IFERROR(__xludf.DUMMYFUNCTION("""COMPUTED_VALUE"""),21)</f>
        <v>21</v>
      </c>
      <c r="O45" s="67">
        <f ca="1">IFERROR(__xludf.DUMMYFUNCTION("""COMPUTED_VALUE"""),0)</f>
        <v>0</v>
      </c>
      <c r="P45" s="51">
        <f t="shared" ca="1" si="4"/>
        <v>0</v>
      </c>
      <c r="Q45" s="67">
        <f ca="1">IFERROR(__xludf.DUMMYFUNCTION("""COMPUTED_VALUE"""),0)</f>
        <v>0</v>
      </c>
      <c r="R45" s="51">
        <f t="shared" ca="1" si="5"/>
        <v>0</v>
      </c>
      <c r="S45" s="66"/>
      <c r="T45" s="66"/>
      <c r="U45" s="51" t="str">
        <f t="shared" si="6"/>
        <v/>
      </c>
      <c r="V45" s="66"/>
      <c r="W45" s="51" t="str">
        <f t="shared" si="7"/>
        <v/>
      </c>
      <c r="X45" s="66"/>
      <c r="Y45" s="51" t="str">
        <f t="shared" si="8"/>
        <v/>
      </c>
      <c r="Z45" s="2"/>
      <c r="AA45" s="2"/>
      <c r="AB45" s="2"/>
      <c r="AC45" s="2"/>
      <c r="AD45" s="2"/>
      <c r="AE45" s="2"/>
    </row>
    <row r="46" spans="1:31" ht="12.75" x14ac:dyDescent="0.2">
      <c r="A46" s="53">
        <f ca="1">IFERROR(__xludf.DUMMYFUNCTION("""COMPUTED_VALUE"""),40)</f>
        <v>40</v>
      </c>
      <c r="B46" s="66" t="str">
        <f ca="1">IFERROR(__xludf.DUMMYFUNCTION("""COMPUTED_VALUE"""),"Lớp MG 12B")</f>
        <v>Lớp MG 12B</v>
      </c>
      <c r="C46" s="66" t="str">
        <f ca="1">IFERROR(__xludf.DUMMYFUNCTION("""COMPUTED_VALUE"""),"Mầm non")</f>
        <v>Mầm non</v>
      </c>
      <c r="D46" s="66">
        <f ca="1">IFERROR(__xludf.DUMMYFUNCTION("""COMPUTED_VALUE"""),10)</f>
        <v>10</v>
      </c>
      <c r="E46" s="67">
        <f ca="1">IFERROR(__xludf.DUMMYFUNCTION("""COMPUTED_VALUE"""),10)</f>
        <v>10</v>
      </c>
      <c r="F46" s="67">
        <f ca="1">IFERROR(__xludf.DUMMYFUNCTION("""COMPUTED_VALUE"""),10)</f>
        <v>10</v>
      </c>
      <c r="G46" s="51">
        <f t="shared" ca="1" si="0"/>
        <v>1</v>
      </c>
      <c r="H46" s="67">
        <f ca="1">IFERROR(__xludf.DUMMYFUNCTION("""COMPUTED_VALUE"""),9)</f>
        <v>9</v>
      </c>
      <c r="I46" s="51">
        <f t="shared" ca="1" si="1"/>
        <v>0.9</v>
      </c>
      <c r="J46" s="67">
        <f ca="1">IFERROR(__xludf.DUMMYFUNCTION("""COMPUTED_VALUE"""),9)</f>
        <v>9</v>
      </c>
      <c r="K46" s="51">
        <f t="shared" ca="1" si="2"/>
        <v>0.9</v>
      </c>
      <c r="L46" s="67">
        <f ca="1">IFERROR(__xludf.DUMMYFUNCTION("""COMPUTED_VALUE"""),4)</f>
        <v>4</v>
      </c>
      <c r="M46" s="51">
        <f t="shared" ca="1" si="3"/>
        <v>0.4</v>
      </c>
      <c r="N46" s="67">
        <f ca="1">IFERROR(__xludf.DUMMYFUNCTION("""COMPUTED_VALUE"""),23)</f>
        <v>23</v>
      </c>
      <c r="O46" s="67">
        <f ca="1">IFERROR(__xludf.DUMMYFUNCTION("""COMPUTED_VALUE"""),1)</f>
        <v>1</v>
      </c>
      <c r="P46" s="51">
        <f t="shared" ca="1" si="4"/>
        <v>4.3478260869565216E-2</v>
      </c>
      <c r="Q46" s="67">
        <f ca="1">IFERROR(__xludf.DUMMYFUNCTION("""COMPUTED_VALUE"""),1)</f>
        <v>1</v>
      </c>
      <c r="R46" s="51">
        <f t="shared" ca="1" si="5"/>
        <v>4.3478260869565216E-2</v>
      </c>
      <c r="S46" s="66"/>
      <c r="T46" s="66"/>
      <c r="U46" s="51" t="str">
        <f t="shared" si="6"/>
        <v/>
      </c>
      <c r="V46" s="66"/>
      <c r="W46" s="51" t="str">
        <f t="shared" si="7"/>
        <v/>
      </c>
      <c r="X46" s="66"/>
      <c r="Y46" s="51" t="str">
        <f t="shared" si="8"/>
        <v/>
      </c>
      <c r="Z46" s="2"/>
      <c r="AA46" s="2"/>
      <c r="AB46" s="2"/>
      <c r="AC46" s="2"/>
      <c r="AD46" s="2"/>
      <c r="AE46" s="2"/>
    </row>
    <row r="47" spans="1:31" ht="12.75" x14ac:dyDescent="0.2">
      <c r="A47" s="53">
        <f ca="1">IFERROR(__xludf.DUMMYFUNCTION("""COMPUTED_VALUE"""),41)</f>
        <v>41</v>
      </c>
      <c r="B47" s="66" t="str">
        <f ca="1">IFERROR(__xludf.DUMMYFUNCTION("""COMPUTED_VALUE"""),"Lớp Vườn Thiên Thần")</f>
        <v>Lớp Vườn Thiên Thần</v>
      </c>
      <c r="C47" s="66" t="str">
        <f ca="1">IFERROR(__xludf.DUMMYFUNCTION("""COMPUTED_VALUE"""),"Mầm non")</f>
        <v>Mầm non</v>
      </c>
      <c r="D47" s="66">
        <f ca="1">IFERROR(__xludf.DUMMYFUNCTION("""COMPUTED_VALUE"""),10)</f>
        <v>10</v>
      </c>
      <c r="E47" s="67">
        <f ca="1">IFERROR(__xludf.DUMMYFUNCTION("""COMPUTED_VALUE"""),10)</f>
        <v>10</v>
      </c>
      <c r="F47" s="67">
        <f ca="1">IFERROR(__xludf.DUMMYFUNCTION("""COMPUTED_VALUE"""),10)</f>
        <v>10</v>
      </c>
      <c r="G47" s="51">
        <f t="shared" ca="1" si="0"/>
        <v>1</v>
      </c>
      <c r="H47" s="67">
        <f ca="1">IFERROR(__xludf.DUMMYFUNCTION("""COMPUTED_VALUE"""),10)</f>
        <v>10</v>
      </c>
      <c r="I47" s="51">
        <f t="shared" ca="1" si="1"/>
        <v>1</v>
      </c>
      <c r="J47" s="67">
        <f ca="1">IFERROR(__xludf.DUMMYFUNCTION("""COMPUTED_VALUE"""),10)</f>
        <v>10</v>
      </c>
      <c r="K47" s="51">
        <f t="shared" ca="1" si="2"/>
        <v>1</v>
      </c>
      <c r="L47" s="67">
        <f ca="1">IFERROR(__xludf.DUMMYFUNCTION("""COMPUTED_VALUE"""),7)</f>
        <v>7</v>
      </c>
      <c r="M47" s="51">
        <f t="shared" ca="1" si="3"/>
        <v>0.7</v>
      </c>
      <c r="N47" s="67">
        <f ca="1">IFERROR(__xludf.DUMMYFUNCTION("""COMPUTED_VALUE"""),3)</f>
        <v>3</v>
      </c>
      <c r="O47" s="67">
        <f ca="1">IFERROR(__xludf.DUMMYFUNCTION("""COMPUTED_VALUE"""),0)</f>
        <v>0</v>
      </c>
      <c r="P47" s="51">
        <f t="shared" ca="1" si="4"/>
        <v>0</v>
      </c>
      <c r="Q47" s="67">
        <f ca="1">IFERROR(__xludf.DUMMYFUNCTION("""COMPUTED_VALUE"""),0)</f>
        <v>0</v>
      </c>
      <c r="R47" s="51">
        <f t="shared" ca="1" si="5"/>
        <v>0</v>
      </c>
      <c r="S47" s="66"/>
      <c r="T47" s="66"/>
      <c r="U47" s="51" t="str">
        <f t="shared" si="6"/>
        <v/>
      </c>
      <c r="V47" s="66"/>
      <c r="W47" s="51" t="str">
        <f t="shared" si="7"/>
        <v/>
      </c>
      <c r="X47" s="66"/>
      <c r="Y47" s="51" t="str">
        <f t="shared" si="8"/>
        <v/>
      </c>
      <c r="Z47" s="2"/>
      <c r="AA47" s="2"/>
      <c r="AB47" s="2"/>
      <c r="AC47" s="2"/>
      <c r="AD47" s="2"/>
      <c r="AE47" s="2"/>
    </row>
    <row r="48" spans="1:31" ht="12.75" x14ac:dyDescent="0.2">
      <c r="A48" s="53">
        <f ca="1">IFERROR(__xludf.DUMMYFUNCTION("""COMPUTED_VALUE"""),42)</f>
        <v>42</v>
      </c>
      <c r="B48" s="66" t="str">
        <f ca="1">IFERROR(__xludf.DUMMYFUNCTION("""COMPUTED_VALUE"""),"Nhóm trẻ Minh Khuê")</f>
        <v>Nhóm trẻ Minh Khuê</v>
      </c>
      <c r="C48" s="66" t="str">
        <f ca="1">IFERROR(__xludf.DUMMYFUNCTION("""COMPUTED_VALUE"""),"Mầm non")</f>
        <v>Mầm non</v>
      </c>
      <c r="D48" s="66">
        <f ca="1">IFERROR(__xludf.DUMMYFUNCTION("""COMPUTED_VALUE"""),10)</f>
        <v>10</v>
      </c>
      <c r="E48" s="67">
        <f ca="1">IFERROR(__xludf.DUMMYFUNCTION("""COMPUTED_VALUE"""),5)</f>
        <v>5</v>
      </c>
      <c r="F48" s="67">
        <f ca="1">IFERROR(__xludf.DUMMYFUNCTION("""COMPUTED_VALUE"""),5)</f>
        <v>5</v>
      </c>
      <c r="G48" s="51">
        <f t="shared" ca="1" si="0"/>
        <v>1</v>
      </c>
      <c r="H48" s="67">
        <f ca="1">IFERROR(__xludf.DUMMYFUNCTION("""COMPUTED_VALUE"""),5)</f>
        <v>5</v>
      </c>
      <c r="I48" s="51">
        <f t="shared" ca="1" si="1"/>
        <v>1</v>
      </c>
      <c r="J48" s="67">
        <f ca="1">IFERROR(__xludf.DUMMYFUNCTION("""COMPUTED_VALUE"""),5)</f>
        <v>5</v>
      </c>
      <c r="K48" s="51">
        <f t="shared" ca="1" si="2"/>
        <v>1</v>
      </c>
      <c r="L48" s="67">
        <f ca="1">IFERROR(__xludf.DUMMYFUNCTION("""COMPUTED_VALUE"""),0)</f>
        <v>0</v>
      </c>
      <c r="M48" s="51">
        <f t="shared" ca="1" si="3"/>
        <v>0</v>
      </c>
      <c r="N48" s="67">
        <f ca="1">IFERROR(__xludf.DUMMYFUNCTION("""COMPUTED_VALUE"""),0)</f>
        <v>0</v>
      </c>
      <c r="O48" s="67">
        <f ca="1">IFERROR(__xludf.DUMMYFUNCTION("""COMPUTED_VALUE"""),0)</f>
        <v>0</v>
      </c>
      <c r="P48" s="51" t="str">
        <f t="shared" ca="1" si="4"/>
        <v/>
      </c>
      <c r="Q48" s="67">
        <f ca="1">IFERROR(__xludf.DUMMYFUNCTION("""COMPUTED_VALUE"""),0)</f>
        <v>0</v>
      </c>
      <c r="R48" s="51" t="str">
        <f t="shared" ca="1" si="5"/>
        <v/>
      </c>
      <c r="S48" s="67">
        <f ca="1">IFERROR(__xludf.DUMMYFUNCTION("""COMPUTED_VALUE"""),0)</f>
        <v>0</v>
      </c>
      <c r="T48" s="66">
        <f ca="1">IFERROR(__xludf.DUMMYFUNCTION("""COMPUTED_VALUE"""),0)</f>
        <v>0</v>
      </c>
      <c r="U48" s="51" t="str">
        <f t="shared" ca="1" si="6"/>
        <v/>
      </c>
      <c r="V48" s="67">
        <f ca="1">IFERROR(__xludf.DUMMYFUNCTION("""COMPUTED_VALUE"""),0)</f>
        <v>0</v>
      </c>
      <c r="W48" s="51" t="str">
        <f t="shared" ca="1" si="7"/>
        <v/>
      </c>
      <c r="X48" s="67">
        <f ca="1">IFERROR(__xludf.DUMMYFUNCTION("""COMPUTED_VALUE"""),0)</f>
        <v>0</v>
      </c>
      <c r="Y48" s="51" t="str">
        <f t="shared" ca="1" si="8"/>
        <v/>
      </c>
      <c r="Z48" s="2"/>
      <c r="AA48" s="2"/>
      <c r="AB48" s="2"/>
      <c r="AC48" s="2"/>
      <c r="AD48" s="2"/>
      <c r="AE48" s="2"/>
    </row>
    <row r="49" spans="1:31" ht="12.75" x14ac:dyDescent="0.2">
      <c r="A49" s="53">
        <f ca="1">IFERROR(__xludf.DUMMYFUNCTION("""COMPUTED_VALUE"""),43)</f>
        <v>43</v>
      </c>
      <c r="B49" s="66" t="str">
        <f ca="1">IFERROR(__xludf.DUMMYFUNCTION("""COMPUTED_VALUE"""),"Nhóm trẻ Sao Việt Mỹ")</f>
        <v>Nhóm trẻ Sao Việt Mỹ</v>
      </c>
      <c r="C49" s="66" t="str">
        <f ca="1">IFERROR(__xludf.DUMMYFUNCTION("""COMPUTED_VALUE"""),"Mầm non")</f>
        <v>Mầm non</v>
      </c>
      <c r="D49" s="66">
        <f ca="1">IFERROR(__xludf.DUMMYFUNCTION("""COMPUTED_VALUE"""),10)</f>
        <v>10</v>
      </c>
      <c r="E49" s="67">
        <f ca="1">IFERROR(__xludf.DUMMYFUNCTION("""COMPUTED_VALUE"""),5)</f>
        <v>5</v>
      </c>
      <c r="F49" s="67">
        <f ca="1">IFERROR(__xludf.DUMMYFUNCTION("""COMPUTED_VALUE"""),5)</f>
        <v>5</v>
      </c>
      <c r="G49" s="51">
        <f t="shared" ca="1" si="0"/>
        <v>1</v>
      </c>
      <c r="H49" s="67">
        <f ca="1">IFERROR(__xludf.DUMMYFUNCTION("""COMPUTED_VALUE"""),5)</f>
        <v>5</v>
      </c>
      <c r="I49" s="51">
        <f t="shared" ca="1" si="1"/>
        <v>1</v>
      </c>
      <c r="J49" s="67">
        <f ca="1">IFERROR(__xludf.DUMMYFUNCTION("""COMPUTED_VALUE"""),5)</f>
        <v>5</v>
      </c>
      <c r="K49" s="51">
        <f t="shared" ca="1" si="2"/>
        <v>1</v>
      </c>
      <c r="L49" s="67">
        <f ca="1">IFERROR(__xludf.DUMMYFUNCTION("""COMPUTED_VALUE"""),0)</f>
        <v>0</v>
      </c>
      <c r="M49" s="51">
        <f t="shared" ca="1" si="3"/>
        <v>0</v>
      </c>
      <c r="N49" s="67">
        <f ca="1">IFERROR(__xludf.DUMMYFUNCTION("""COMPUTED_VALUE"""),0)</f>
        <v>0</v>
      </c>
      <c r="O49" s="67">
        <f ca="1">IFERROR(__xludf.DUMMYFUNCTION("""COMPUTED_VALUE"""),0)</f>
        <v>0</v>
      </c>
      <c r="P49" s="51" t="str">
        <f t="shared" ca="1" si="4"/>
        <v/>
      </c>
      <c r="Q49" s="67">
        <f ca="1">IFERROR(__xludf.DUMMYFUNCTION("""COMPUTED_VALUE"""),0)</f>
        <v>0</v>
      </c>
      <c r="R49" s="51" t="str">
        <f t="shared" ca="1" si="5"/>
        <v/>
      </c>
      <c r="S49" s="66"/>
      <c r="T49" s="66"/>
      <c r="U49" s="51" t="str">
        <f t="shared" si="6"/>
        <v/>
      </c>
      <c r="V49" s="66"/>
      <c r="W49" s="51" t="str">
        <f t="shared" si="7"/>
        <v/>
      </c>
      <c r="X49" s="66"/>
      <c r="Y49" s="51" t="str">
        <f t="shared" si="8"/>
        <v/>
      </c>
      <c r="Z49" s="2"/>
      <c r="AA49" s="2"/>
      <c r="AB49" s="2"/>
      <c r="AC49" s="2"/>
      <c r="AD49" s="2"/>
      <c r="AE49" s="2"/>
    </row>
    <row r="50" spans="1:31" ht="12.75" x14ac:dyDescent="0.2">
      <c r="A50" s="53">
        <f ca="1">IFERROR(__xludf.DUMMYFUNCTION("""COMPUTED_VALUE"""),44)</f>
        <v>44</v>
      </c>
      <c r="B50" s="66" t="str">
        <f ca="1">IFERROR(__xludf.DUMMYFUNCTION("""COMPUTED_VALUE"""),"Nhóm trẻ Khủng Long Con")</f>
        <v>Nhóm trẻ Khủng Long Con</v>
      </c>
      <c r="C50" s="66" t="str">
        <f ca="1">IFERROR(__xludf.DUMMYFUNCTION("""COMPUTED_VALUE"""),"Mầm non")</f>
        <v>Mầm non</v>
      </c>
      <c r="D50" s="66">
        <f ca="1">IFERROR(__xludf.DUMMYFUNCTION("""COMPUTED_VALUE"""),10)</f>
        <v>10</v>
      </c>
      <c r="E50" s="67">
        <f ca="1">IFERROR(__xludf.DUMMYFUNCTION("""COMPUTED_VALUE"""),6)</f>
        <v>6</v>
      </c>
      <c r="F50" s="67">
        <f ca="1">IFERROR(__xludf.DUMMYFUNCTION("""COMPUTED_VALUE"""),6)</f>
        <v>6</v>
      </c>
      <c r="G50" s="51">
        <f t="shared" ca="1" si="0"/>
        <v>1</v>
      </c>
      <c r="H50" s="67">
        <f ca="1">IFERROR(__xludf.DUMMYFUNCTION("""COMPUTED_VALUE"""),6)</f>
        <v>6</v>
      </c>
      <c r="I50" s="51">
        <f t="shared" ca="1" si="1"/>
        <v>1</v>
      </c>
      <c r="J50" s="67">
        <f ca="1">IFERROR(__xludf.DUMMYFUNCTION("""COMPUTED_VALUE"""),6)</f>
        <v>6</v>
      </c>
      <c r="K50" s="51">
        <f t="shared" ca="1" si="2"/>
        <v>1</v>
      </c>
      <c r="L50" s="67">
        <f ca="1">IFERROR(__xludf.DUMMYFUNCTION("""COMPUTED_VALUE"""),4)</f>
        <v>4</v>
      </c>
      <c r="M50" s="51">
        <f t="shared" ca="1" si="3"/>
        <v>0.66666666666666663</v>
      </c>
      <c r="N50" s="67">
        <f ca="1">IFERROR(__xludf.DUMMYFUNCTION("""COMPUTED_VALUE"""),0)</f>
        <v>0</v>
      </c>
      <c r="O50" s="67">
        <f ca="1">IFERROR(__xludf.DUMMYFUNCTION("""COMPUTED_VALUE"""),0)</f>
        <v>0</v>
      </c>
      <c r="P50" s="51" t="str">
        <f t="shared" ca="1" si="4"/>
        <v/>
      </c>
      <c r="Q50" s="67">
        <f ca="1">IFERROR(__xludf.DUMMYFUNCTION("""COMPUTED_VALUE"""),0)</f>
        <v>0</v>
      </c>
      <c r="R50" s="51" t="str">
        <f t="shared" ca="1" si="5"/>
        <v/>
      </c>
      <c r="S50" s="67">
        <f ca="1">IFERROR(__xludf.DUMMYFUNCTION("""COMPUTED_VALUE"""),0)</f>
        <v>0</v>
      </c>
      <c r="T50" s="67">
        <f ca="1">IFERROR(__xludf.DUMMYFUNCTION("""COMPUTED_VALUE"""),0)</f>
        <v>0</v>
      </c>
      <c r="U50" s="51" t="str">
        <f t="shared" ca="1" si="6"/>
        <v/>
      </c>
      <c r="V50" s="67">
        <f ca="1">IFERROR(__xludf.DUMMYFUNCTION("""COMPUTED_VALUE"""),0)</f>
        <v>0</v>
      </c>
      <c r="W50" s="51" t="str">
        <f t="shared" ca="1" si="7"/>
        <v/>
      </c>
      <c r="X50" s="67">
        <f ca="1">IFERROR(__xludf.DUMMYFUNCTION("""COMPUTED_VALUE"""),0)</f>
        <v>0</v>
      </c>
      <c r="Y50" s="51" t="str">
        <f t="shared" ca="1" si="8"/>
        <v/>
      </c>
      <c r="Z50" s="2"/>
      <c r="AA50" s="2"/>
      <c r="AB50" s="2"/>
      <c r="AC50" s="2"/>
      <c r="AD50" s="2"/>
      <c r="AE50" s="2"/>
    </row>
    <row r="51" spans="1:31" ht="12.75" x14ac:dyDescent="0.2">
      <c r="A51" s="53">
        <f ca="1">IFERROR(__xludf.DUMMYFUNCTION("""COMPUTED_VALUE"""),45)</f>
        <v>45</v>
      </c>
      <c r="B51" s="66" t="str">
        <f ca="1">IFERROR(__xludf.DUMMYFUNCTION("""COMPUTED_VALUE"""),"Mầm non Thực Hành")</f>
        <v>Mầm non Thực Hành</v>
      </c>
      <c r="C51" s="66" t="str">
        <f ca="1">IFERROR(__xludf.DUMMYFUNCTION("""COMPUTED_VALUE"""),"Mầm non")</f>
        <v>Mầm non</v>
      </c>
      <c r="D51" s="66">
        <f ca="1">IFERROR(__xludf.DUMMYFUNCTION("""COMPUTED_VALUE"""),10)</f>
        <v>10</v>
      </c>
      <c r="E51" s="67">
        <f ca="1">IFERROR(__xludf.DUMMYFUNCTION("""COMPUTED_VALUE"""),32)</f>
        <v>32</v>
      </c>
      <c r="F51" s="67">
        <f ca="1">IFERROR(__xludf.DUMMYFUNCTION("""COMPUTED_VALUE"""),31)</f>
        <v>31</v>
      </c>
      <c r="G51" s="51">
        <f t="shared" ca="1" si="0"/>
        <v>0.96875</v>
      </c>
      <c r="H51" s="67">
        <f ca="1">IFERROR(__xludf.DUMMYFUNCTION("""COMPUTED_VALUE"""),31)</f>
        <v>31</v>
      </c>
      <c r="I51" s="51">
        <f t="shared" ca="1" si="1"/>
        <v>0.96875</v>
      </c>
      <c r="J51" s="67">
        <f ca="1">IFERROR(__xludf.DUMMYFUNCTION("""COMPUTED_VALUE"""),28)</f>
        <v>28</v>
      </c>
      <c r="K51" s="51">
        <f t="shared" ca="1" si="2"/>
        <v>0.875</v>
      </c>
      <c r="L51" s="67">
        <f ca="1">IFERROR(__xludf.DUMMYFUNCTION("""COMPUTED_VALUE"""),6)</f>
        <v>6</v>
      </c>
      <c r="M51" s="51">
        <f t="shared" ca="1" si="3"/>
        <v>0.1875</v>
      </c>
      <c r="N51" s="67">
        <f ca="1">IFERROR(__xludf.DUMMYFUNCTION("""COMPUTED_VALUE"""),46)</f>
        <v>46</v>
      </c>
      <c r="O51" s="67">
        <f ca="1">IFERROR(__xludf.DUMMYFUNCTION("""COMPUTED_VALUE"""),3)</f>
        <v>3</v>
      </c>
      <c r="P51" s="51">
        <f t="shared" ca="1" si="4"/>
        <v>6.5217391304347824E-2</v>
      </c>
      <c r="Q51" s="67">
        <f ca="1">IFERROR(__xludf.DUMMYFUNCTION("""COMPUTED_VALUE"""),1)</f>
        <v>1</v>
      </c>
      <c r="R51" s="51">
        <f t="shared" ca="1" si="5"/>
        <v>2.1739130434782608E-2</v>
      </c>
      <c r="S51" s="66"/>
      <c r="T51" s="66"/>
      <c r="U51" s="51" t="str">
        <f t="shared" si="6"/>
        <v/>
      </c>
      <c r="V51" s="66"/>
      <c r="W51" s="51" t="str">
        <f t="shared" si="7"/>
        <v/>
      </c>
      <c r="X51" s="66"/>
      <c r="Y51" s="51" t="str">
        <f t="shared" si="8"/>
        <v/>
      </c>
      <c r="Z51" s="2"/>
      <c r="AA51" s="2"/>
      <c r="AB51" s="2"/>
      <c r="AC51" s="2"/>
      <c r="AD51" s="2"/>
      <c r="AE51" s="2"/>
    </row>
    <row r="52" spans="1:31" ht="12.75" x14ac:dyDescent="0.2">
      <c r="A52" s="55" t="str">
        <f ca="1">IFERROR(__xludf.DUMMYFUNCTION("""COMPUTED_VALUE"""),"Tiểu học")</f>
        <v>Tiểu học</v>
      </c>
      <c r="B52" s="66"/>
      <c r="C52" s="66"/>
      <c r="D52" s="66"/>
      <c r="E52" s="67">
        <f ca="1">IFERROR(__xludf.DUMMYFUNCTION("""COMPUTED_VALUE"""),1031)</f>
        <v>1031</v>
      </c>
      <c r="F52" s="67">
        <f ca="1">IFERROR(__xludf.DUMMYFUNCTION("""COMPUTED_VALUE"""),1029)</f>
        <v>1029</v>
      </c>
      <c r="G52" s="51">
        <f t="shared" ca="1" si="0"/>
        <v>0.99806013579049468</v>
      </c>
      <c r="H52" s="67">
        <f ca="1">IFERROR(__xludf.DUMMYFUNCTION("""COMPUTED_VALUE"""),1028)</f>
        <v>1028</v>
      </c>
      <c r="I52" s="51">
        <f t="shared" ca="1" si="1"/>
        <v>0.99709020368574197</v>
      </c>
      <c r="J52" s="67">
        <f ca="1">IFERROR(__xludf.DUMMYFUNCTION("""COMPUTED_VALUE"""),987)</f>
        <v>987</v>
      </c>
      <c r="K52" s="51">
        <f t="shared" ca="1" si="2"/>
        <v>0.95732298739088262</v>
      </c>
      <c r="L52" s="67">
        <f ca="1">IFERROR(__xludf.DUMMYFUNCTION("""COMPUTED_VALUE"""),632)</f>
        <v>632</v>
      </c>
      <c r="M52" s="51">
        <f t="shared" ca="1" si="3"/>
        <v>0.61299709020368576</v>
      </c>
      <c r="N52" s="67">
        <f ca="1">IFERROR(__xludf.DUMMYFUNCTION("""COMPUTED_VALUE"""),19721)</f>
        <v>19721</v>
      </c>
      <c r="O52" s="67">
        <f ca="1">IFERROR(__xludf.DUMMYFUNCTION("""COMPUTED_VALUE"""),6394)</f>
        <v>6394</v>
      </c>
      <c r="P52" s="51">
        <f t="shared" ca="1" si="4"/>
        <v>0.32422290958876326</v>
      </c>
      <c r="Q52" s="67">
        <f ca="1">IFERROR(__xludf.DUMMYFUNCTION("""COMPUTED_VALUE"""),4273)</f>
        <v>4273</v>
      </c>
      <c r="R52" s="51">
        <f t="shared" ca="1" si="5"/>
        <v>0.21667258252624105</v>
      </c>
      <c r="S52" s="67">
        <f ca="1">IFERROR(__xludf.DUMMYFUNCTION("""COMPUTED_VALUE"""),0)</f>
        <v>0</v>
      </c>
      <c r="T52" s="67">
        <f ca="1">IFERROR(__xludf.DUMMYFUNCTION("""COMPUTED_VALUE"""),0)</f>
        <v>0</v>
      </c>
      <c r="U52" s="51" t="str">
        <f t="shared" ca="1" si="6"/>
        <v/>
      </c>
      <c r="V52" s="66"/>
      <c r="W52" s="51" t="str">
        <f t="shared" ca="1" si="7"/>
        <v/>
      </c>
      <c r="X52" s="67">
        <f ca="1">IFERROR(__xludf.DUMMYFUNCTION("""COMPUTED_VALUE"""),0)</f>
        <v>0</v>
      </c>
      <c r="Y52" s="51" t="str">
        <f t="shared" ca="1" si="8"/>
        <v/>
      </c>
      <c r="Z52" s="2"/>
      <c r="AA52" s="2"/>
      <c r="AB52" s="2"/>
      <c r="AC52" s="2"/>
      <c r="AD52" s="2"/>
      <c r="AE52" s="2"/>
    </row>
    <row r="53" spans="1:31" ht="12.75" x14ac:dyDescent="0.2">
      <c r="A53" s="53">
        <f ca="1">IFERROR(__xludf.DUMMYFUNCTION("""COMPUTED_VALUE"""),1)</f>
        <v>1</v>
      </c>
      <c r="B53" s="66" t="str">
        <f ca="1">IFERROR(__xludf.DUMMYFUNCTION("""COMPUTED_VALUE"""),"TH Hồ Thị Kỷ")</f>
        <v>TH Hồ Thị Kỷ</v>
      </c>
      <c r="C53" s="66" t="str">
        <f ca="1">IFERROR(__xludf.DUMMYFUNCTION("""COMPUTED_VALUE"""),"Tiểu học")</f>
        <v>Tiểu học</v>
      </c>
      <c r="D53" s="66">
        <f ca="1">IFERROR(__xludf.DUMMYFUNCTION("""COMPUTED_VALUE"""),10)</f>
        <v>10</v>
      </c>
      <c r="E53" s="67">
        <f ca="1">IFERROR(__xludf.DUMMYFUNCTION("""COMPUTED_VALUE"""),71)</f>
        <v>71</v>
      </c>
      <c r="F53" s="67">
        <f ca="1">IFERROR(__xludf.DUMMYFUNCTION("""COMPUTED_VALUE"""),71)</f>
        <v>71</v>
      </c>
      <c r="G53" s="51">
        <f t="shared" ca="1" si="0"/>
        <v>1</v>
      </c>
      <c r="H53" s="67">
        <f ca="1">IFERROR(__xludf.DUMMYFUNCTION("""COMPUTED_VALUE"""),70)</f>
        <v>70</v>
      </c>
      <c r="I53" s="51">
        <f t="shared" ca="1" si="1"/>
        <v>0.9859154929577465</v>
      </c>
      <c r="J53" s="67">
        <f ca="1">IFERROR(__xludf.DUMMYFUNCTION("""COMPUTED_VALUE"""),70)</f>
        <v>70</v>
      </c>
      <c r="K53" s="51">
        <f t="shared" ca="1" si="2"/>
        <v>0.9859154929577465</v>
      </c>
      <c r="L53" s="67">
        <f ca="1">IFERROR(__xludf.DUMMYFUNCTION("""COMPUTED_VALUE"""),39)</f>
        <v>39</v>
      </c>
      <c r="M53" s="51">
        <f t="shared" ca="1" si="3"/>
        <v>0.54929577464788737</v>
      </c>
      <c r="N53" s="67">
        <f ca="1">IFERROR(__xludf.DUMMYFUNCTION("""COMPUTED_VALUE"""),1017)</f>
        <v>1017</v>
      </c>
      <c r="O53" s="67">
        <f ca="1">IFERROR(__xludf.DUMMYFUNCTION("""COMPUTED_VALUE"""),835)</f>
        <v>835</v>
      </c>
      <c r="P53" s="51">
        <f t="shared" ca="1" si="4"/>
        <v>0.82104228121927236</v>
      </c>
      <c r="Q53" s="67">
        <f ca="1">IFERROR(__xludf.DUMMYFUNCTION("""COMPUTED_VALUE"""),616)</f>
        <v>616</v>
      </c>
      <c r="R53" s="51">
        <f t="shared" ca="1" si="5"/>
        <v>0.60570304818092424</v>
      </c>
      <c r="S53" s="66"/>
      <c r="T53" s="66"/>
      <c r="U53" s="51" t="str">
        <f t="shared" si="6"/>
        <v/>
      </c>
      <c r="V53" s="66"/>
      <c r="W53" s="51" t="str">
        <f t="shared" si="7"/>
        <v/>
      </c>
      <c r="X53" s="66"/>
      <c r="Y53" s="51" t="str">
        <f t="shared" si="8"/>
        <v/>
      </c>
      <c r="Z53" s="2"/>
      <c r="AA53" s="2"/>
      <c r="AB53" s="2"/>
      <c r="AC53" s="2"/>
      <c r="AD53" s="2"/>
      <c r="AE53" s="2"/>
    </row>
    <row r="54" spans="1:31" ht="12.75" x14ac:dyDescent="0.2">
      <c r="A54" s="53">
        <f ca="1">IFERROR(__xludf.DUMMYFUNCTION("""COMPUTED_VALUE"""),2)</f>
        <v>2</v>
      </c>
      <c r="B54" s="66"/>
      <c r="C54" s="66"/>
      <c r="D54" s="66">
        <f ca="1">IFERROR(__xludf.DUMMYFUNCTION("""COMPUTED_VALUE"""),10)</f>
        <v>10</v>
      </c>
      <c r="E54" s="67">
        <f ca="1">IFERROR(__xludf.DUMMYFUNCTION("""COMPUTED_VALUE"""),49)</f>
        <v>49</v>
      </c>
      <c r="F54" s="67">
        <f ca="1">IFERROR(__xludf.DUMMYFUNCTION("""COMPUTED_VALUE"""),49)</f>
        <v>49</v>
      </c>
      <c r="G54" s="51">
        <f t="shared" ca="1" si="0"/>
        <v>1</v>
      </c>
      <c r="H54" s="67">
        <f ca="1">IFERROR(__xludf.DUMMYFUNCTION("""COMPUTED_VALUE"""),49)</f>
        <v>49</v>
      </c>
      <c r="I54" s="51">
        <f t="shared" ca="1" si="1"/>
        <v>1</v>
      </c>
      <c r="J54" s="67">
        <f ca="1">IFERROR(__xludf.DUMMYFUNCTION("""COMPUTED_VALUE"""),48)</f>
        <v>48</v>
      </c>
      <c r="K54" s="51">
        <f t="shared" ca="1" si="2"/>
        <v>0.97959183673469385</v>
      </c>
      <c r="L54" s="67">
        <f ca="1">IFERROR(__xludf.DUMMYFUNCTION("""COMPUTED_VALUE"""),40)</f>
        <v>40</v>
      </c>
      <c r="M54" s="51">
        <f t="shared" ca="1" si="3"/>
        <v>0.81632653061224492</v>
      </c>
      <c r="N54" s="67">
        <f ca="1">IFERROR(__xludf.DUMMYFUNCTION("""COMPUTED_VALUE"""),729)</f>
        <v>729</v>
      </c>
      <c r="O54" s="67">
        <f ca="1">IFERROR(__xludf.DUMMYFUNCTION("""COMPUTED_VALUE"""),174)</f>
        <v>174</v>
      </c>
      <c r="P54" s="51">
        <f t="shared" ca="1" si="4"/>
        <v>0.23868312757201646</v>
      </c>
      <c r="Q54" s="67">
        <f ca="1">IFERROR(__xludf.DUMMYFUNCTION("""COMPUTED_VALUE"""),214)</f>
        <v>214</v>
      </c>
      <c r="R54" s="51">
        <f t="shared" ca="1" si="5"/>
        <v>0.2935528120713306</v>
      </c>
      <c r="S54" s="67">
        <f ca="1">IFERROR(__xludf.DUMMYFUNCTION("""COMPUTED_VALUE"""),0)</f>
        <v>0</v>
      </c>
      <c r="T54" s="66">
        <f ca="1">IFERROR(__xludf.DUMMYFUNCTION("""COMPUTED_VALUE"""),0)</f>
        <v>0</v>
      </c>
      <c r="U54" s="51" t="str">
        <f t="shared" ca="1" si="6"/>
        <v/>
      </c>
      <c r="V54" s="67">
        <f ca="1">IFERROR(__xludf.DUMMYFUNCTION("""COMPUTED_VALUE"""),0)</f>
        <v>0</v>
      </c>
      <c r="W54" s="51" t="str">
        <f t="shared" ca="1" si="7"/>
        <v/>
      </c>
      <c r="X54" s="67">
        <f ca="1">IFERROR(__xludf.DUMMYFUNCTION("""COMPUTED_VALUE"""),0)</f>
        <v>0</v>
      </c>
      <c r="Y54" s="51" t="str">
        <f t="shared" ca="1" si="8"/>
        <v/>
      </c>
      <c r="Z54" s="2"/>
      <c r="AA54" s="2"/>
      <c r="AB54" s="2"/>
      <c r="AC54" s="2"/>
      <c r="AD54" s="2"/>
      <c r="AE54" s="2"/>
    </row>
    <row r="55" spans="1:31" ht="12.75" x14ac:dyDescent="0.2">
      <c r="A55" s="53">
        <f ca="1">IFERROR(__xludf.DUMMYFUNCTION("""COMPUTED_VALUE"""),3)</f>
        <v>3</v>
      </c>
      <c r="B55" s="66" t="str">
        <f ca="1">IFERROR(__xludf.DUMMYFUNCTION("""COMPUTED_VALUE"""),"TH Trần Nhân Tôn")</f>
        <v>TH Trần Nhân Tôn</v>
      </c>
      <c r="C55" s="66" t="str">
        <f ca="1">IFERROR(__xludf.DUMMYFUNCTION("""COMPUTED_VALUE"""),"Tiểu học")</f>
        <v>Tiểu học</v>
      </c>
      <c r="D55" s="66">
        <f ca="1">IFERROR(__xludf.DUMMYFUNCTION("""COMPUTED_VALUE"""),10)</f>
        <v>10</v>
      </c>
      <c r="E55" s="67">
        <f ca="1">IFERROR(__xludf.DUMMYFUNCTION("""COMPUTED_VALUE"""),38)</f>
        <v>38</v>
      </c>
      <c r="F55" s="67">
        <f ca="1">IFERROR(__xludf.DUMMYFUNCTION("""COMPUTED_VALUE"""),38)</f>
        <v>38</v>
      </c>
      <c r="G55" s="51">
        <f t="shared" ca="1" si="0"/>
        <v>1</v>
      </c>
      <c r="H55" s="67">
        <f ca="1">IFERROR(__xludf.DUMMYFUNCTION("""COMPUTED_VALUE"""),38)</f>
        <v>38</v>
      </c>
      <c r="I55" s="51">
        <f t="shared" ca="1" si="1"/>
        <v>1</v>
      </c>
      <c r="J55" s="67">
        <f ca="1">IFERROR(__xludf.DUMMYFUNCTION("""COMPUTED_VALUE"""),38)</f>
        <v>38</v>
      </c>
      <c r="K55" s="51">
        <f t="shared" ca="1" si="2"/>
        <v>1</v>
      </c>
      <c r="L55" s="67">
        <f ca="1">IFERROR(__xludf.DUMMYFUNCTION("""COMPUTED_VALUE"""),34)</f>
        <v>34</v>
      </c>
      <c r="M55" s="51">
        <f t="shared" ca="1" si="3"/>
        <v>0.89473684210526316</v>
      </c>
      <c r="N55" s="67">
        <f ca="1">IFERROR(__xludf.DUMMYFUNCTION("""COMPUTED_VALUE"""),523)</f>
        <v>523</v>
      </c>
      <c r="O55" s="67">
        <f ca="1">IFERROR(__xludf.DUMMYFUNCTION("""COMPUTED_VALUE"""),385)</f>
        <v>385</v>
      </c>
      <c r="P55" s="51">
        <f t="shared" ca="1" si="4"/>
        <v>0.73613766730401531</v>
      </c>
      <c r="Q55" s="67">
        <f ca="1">IFERROR(__xludf.DUMMYFUNCTION("""COMPUTED_VALUE"""),356)</f>
        <v>356</v>
      </c>
      <c r="R55" s="51">
        <f t="shared" ca="1" si="5"/>
        <v>0.68068833652007643</v>
      </c>
      <c r="S55" s="66"/>
      <c r="T55" s="66"/>
      <c r="U55" s="51" t="str">
        <f t="shared" si="6"/>
        <v/>
      </c>
      <c r="V55" s="66"/>
      <c r="W55" s="51" t="str">
        <f t="shared" si="7"/>
        <v/>
      </c>
      <c r="X55" s="66"/>
      <c r="Y55" s="51" t="str">
        <f t="shared" si="8"/>
        <v/>
      </c>
      <c r="Z55" s="2"/>
      <c r="AA55" s="2"/>
      <c r="AB55" s="2"/>
      <c r="AC55" s="2"/>
      <c r="AD55" s="2"/>
      <c r="AE55" s="2"/>
    </row>
    <row r="56" spans="1:31" ht="12.75" x14ac:dyDescent="0.2">
      <c r="A56" s="53">
        <f ca="1">IFERROR(__xludf.DUMMYFUNCTION("""COMPUTED_VALUE"""),4)</f>
        <v>4</v>
      </c>
      <c r="B56" s="66" t="str">
        <f ca="1">IFERROR(__xludf.DUMMYFUNCTION("""COMPUTED_VALUE"""),"TH Trần Quang Cơ")</f>
        <v>TH Trần Quang Cơ</v>
      </c>
      <c r="C56" s="66" t="str">
        <f ca="1">IFERROR(__xludf.DUMMYFUNCTION("""COMPUTED_VALUE"""),"Tiểu học")</f>
        <v>Tiểu học</v>
      </c>
      <c r="D56" s="66">
        <f ca="1">IFERROR(__xludf.DUMMYFUNCTION("""COMPUTED_VALUE"""),10)</f>
        <v>10</v>
      </c>
      <c r="E56" s="67">
        <f ca="1">IFERROR(__xludf.DUMMYFUNCTION("""COMPUTED_VALUE"""),63)</f>
        <v>63</v>
      </c>
      <c r="F56" s="67">
        <f ca="1">IFERROR(__xludf.DUMMYFUNCTION("""COMPUTED_VALUE"""),63)</f>
        <v>63</v>
      </c>
      <c r="G56" s="51">
        <f t="shared" ca="1" si="0"/>
        <v>1</v>
      </c>
      <c r="H56" s="67">
        <f ca="1">IFERROR(__xludf.DUMMYFUNCTION("""COMPUTED_VALUE"""),63)</f>
        <v>63</v>
      </c>
      <c r="I56" s="51">
        <f t="shared" ca="1" si="1"/>
        <v>1</v>
      </c>
      <c r="J56" s="67">
        <f ca="1">IFERROR(__xludf.DUMMYFUNCTION("""COMPUTED_VALUE"""),61)</f>
        <v>61</v>
      </c>
      <c r="K56" s="51">
        <f t="shared" ca="1" si="2"/>
        <v>0.96825396825396826</v>
      </c>
      <c r="L56" s="67">
        <f ca="1">IFERROR(__xludf.DUMMYFUNCTION("""COMPUTED_VALUE"""),38)</f>
        <v>38</v>
      </c>
      <c r="M56" s="51">
        <f t="shared" ca="1" si="3"/>
        <v>0.60317460317460314</v>
      </c>
      <c r="N56" s="67">
        <f ca="1">IFERROR(__xludf.DUMMYFUNCTION("""COMPUTED_VALUE"""),733)</f>
        <v>733</v>
      </c>
      <c r="O56" s="67">
        <f ca="1">IFERROR(__xludf.DUMMYFUNCTION("""COMPUTED_VALUE"""),433)</f>
        <v>433</v>
      </c>
      <c r="P56" s="51">
        <f t="shared" ca="1" si="4"/>
        <v>0.59072305593451568</v>
      </c>
      <c r="Q56" s="67">
        <f ca="1">IFERROR(__xludf.DUMMYFUNCTION("""COMPUTED_VALUE"""),261)</f>
        <v>261</v>
      </c>
      <c r="R56" s="51">
        <f t="shared" ca="1" si="5"/>
        <v>0.35607094133697137</v>
      </c>
      <c r="S56" s="67">
        <f ca="1">IFERROR(__xludf.DUMMYFUNCTION("""COMPUTED_VALUE"""),0)</f>
        <v>0</v>
      </c>
      <c r="T56" s="66">
        <f ca="1">IFERROR(__xludf.DUMMYFUNCTION("""COMPUTED_VALUE"""),0)</f>
        <v>0</v>
      </c>
      <c r="U56" s="51" t="str">
        <f t="shared" ca="1" si="6"/>
        <v/>
      </c>
      <c r="V56" s="66"/>
      <c r="W56" s="51" t="str">
        <f t="shared" ca="1" si="7"/>
        <v/>
      </c>
      <c r="X56" s="66"/>
      <c r="Y56" s="51" t="str">
        <f t="shared" ca="1" si="8"/>
        <v/>
      </c>
      <c r="Z56" s="2"/>
      <c r="AA56" s="2"/>
      <c r="AB56" s="2"/>
      <c r="AC56" s="2"/>
      <c r="AD56" s="2"/>
      <c r="AE56" s="2"/>
    </row>
    <row r="57" spans="1:31" ht="12.75" x14ac:dyDescent="0.2">
      <c r="A57" s="53">
        <f ca="1">IFERROR(__xludf.DUMMYFUNCTION("""COMPUTED_VALUE"""),5)</f>
        <v>5</v>
      </c>
      <c r="B57" s="66" t="str">
        <f ca="1">IFERROR(__xludf.DUMMYFUNCTION("""COMPUTED_VALUE"""),"TH Nguyễn Chí Thanh")</f>
        <v>TH Nguyễn Chí Thanh</v>
      </c>
      <c r="C57" s="66" t="str">
        <f ca="1">IFERROR(__xludf.DUMMYFUNCTION("""COMPUTED_VALUE"""),"Tiểu học")</f>
        <v>Tiểu học</v>
      </c>
      <c r="D57" s="66">
        <f ca="1">IFERROR(__xludf.DUMMYFUNCTION("""COMPUTED_VALUE"""),10)</f>
        <v>10</v>
      </c>
      <c r="E57" s="67">
        <f ca="1">IFERROR(__xludf.DUMMYFUNCTION("""COMPUTED_VALUE"""),40)</f>
        <v>40</v>
      </c>
      <c r="F57" s="67">
        <f ca="1">IFERROR(__xludf.DUMMYFUNCTION("""COMPUTED_VALUE"""),40)</f>
        <v>40</v>
      </c>
      <c r="G57" s="51">
        <f t="shared" ca="1" si="0"/>
        <v>1</v>
      </c>
      <c r="H57" s="67">
        <f ca="1">IFERROR(__xludf.DUMMYFUNCTION("""COMPUTED_VALUE"""),40)</f>
        <v>40</v>
      </c>
      <c r="I57" s="51">
        <f t="shared" ca="1" si="1"/>
        <v>1</v>
      </c>
      <c r="J57" s="67">
        <f ca="1">IFERROR(__xludf.DUMMYFUNCTION("""COMPUTED_VALUE"""),40)</f>
        <v>40</v>
      </c>
      <c r="K57" s="51">
        <f t="shared" ca="1" si="2"/>
        <v>1</v>
      </c>
      <c r="L57" s="67">
        <f ca="1">IFERROR(__xludf.DUMMYFUNCTION("""COMPUTED_VALUE"""),16)</f>
        <v>16</v>
      </c>
      <c r="M57" s="51">
        <f t="shared" ca="1" si="3"/>
        <v>0.4</v>
      </c>
      <c r="N57" s="67">
        <f ca="1">IFERROR(__xludf.DUMMYFUNCTION("""COMPUTED_VALUE"""),6724)</f>
        <v>6724</v>
      </c>
      <c r="O57" s="67">
        <f ca="1">IFERROR(__xludf.DUMMYFUNCTION("""COMPUTED_VALUE"""),142)</f>
        <v>142</v>
      </c>
      <c r="P57" s="51">
        <f t="shared" ca="1" si="4"/>
        <v>2.1118381915526473E-2</v>
      </c>
      <c r="Q57" s="67">
        <f ca="1">IFERROR(__xludf.DUMMYFUNCTION("""COMPUTED_VALUE"""),196)</f>
        <v>196</v>
      </c>
      <c r="R57" s="51">
        <f t="shared" ca="1" si="5"/>
        <v>2.9149315883402735E-2</v>
      </c>
      <c r="S57" s="67">
        <f ca="1">IFERROR(__xludf.DUMMYFUNCTION("""COMPUTED_VALUE"""),0)</f>
        <v>0</v>
      </c>
      <c r="T57" s="67">
        <f ca="1">IFERROR(__xludf.DUMMYFUNCTION("""COMPUTED_VALUE"""),0)</f>
        <v>0</v>
      </c>
      <c r="U57" s="51" t="str">
        <f t="shared" ca="1" si="6"/>
        <v/>
      </c>
      <c r="V57" s="67">
        <f ca="1">IFERROR(__xludf.DUMMYFUNCTION("""COMPUTED_VALUE"""),0)</f>
        <v>0</v>
      </c>
      <c r="W57" s="51" t="str">
        <f t="shared" ca="1" si="7"/>
        <v/>
      </c>
      <c r="X57" s="67">
        <f ca="1">IFERROR(__xludf.DUMMYFUNCTION("""COMPUTED_VALUE"""),0)</f>
        <v>0</v>
      </c>
      <c r="Y57" s="51" t="str">
        <f t="shared" ca="1" si="8"/>
        <v/>
      </c>
      <c r="Z57" s="2"/>
      <c r="AA57" s="2"/>
      <c r="AB57" s="2"/>
      <c r="AC57" s="2"/>
      <c r="AD57" s="2"/>
      <c r="AE57" s="2"/>
    </row>
    <row r="58" spans="1:31" ht="12.75" x14ac:dyDescent="0.2">
      <c r="A58" s="53">
        <f ca="1">IFERROR(__xludf.DUMMYFUNCTION("""COMPUTED_VALUE"""),6)</f>
        <v>6</v>
      </c>
      <c r="B58" s="66" t="str">
        <f ca="1">IFERROR(__xludf.DUMMYFUNCTION("""COMPUTED_VALUE"""),"TH Dương Minh Châu")</f>
        <v>TH Dương Minh Châu</v>
      </c>
      <c r="C58" s="66" t="str">
        <f ca="1">IFERROR(__xludf.DUMMYFUNCTION("""COMPUTED_VALUE"""),"Tiểu học")</f>
        <v>Tiểu học</v>
      </c>
      <c r="D58" s="66">
        <f ca="1">IFERROR(__xludf.DUMMYFUNCTION("""COMPUTED_VALUE"""),10)</f>
        <v>10</v>
      </c>
      <c r="E58" s="67">
        <f ca="1">IFERROR(__xludf.DUMMYFUNCTION("""COMPUTED_VALUE"""),92)</f>
        <v>92</v>
      </c>
      <c r="F58" s="67">
        <f ca="1">IFERROR(__xludf.DUMMYFUNCTION("""COMPUTED_VALUE"""),91)</f>
        <v>91</v>
      </c>
      <c r="G58" s="51">
        <f t="shared" ca="1" si="0"/>
        <v>0.98913043478260865</v>
      </c>
      <c r="H58" s="67">
        <f ca="1">IFERROR(__xludf.DUMMYFUNCTION("""COMPUTED_VALUE"""),91)</f>
        <v>91</v>
      </c>
      <c r="I58" s="51">
        <f t="shared" ca="1" si="1"/>
        <v>0.98913043478260865</v>
      </c>
      <c r="J58" s="67">
        <f ca="1">IFERROR(__xludf.DUMMYFUNCTION("""COMPUTED_VALUE"""),84)</f>
        <v>84</v>
      </c>
      <c r="K58" s="51">
        <f t="shared" ca="1" si="2"/>
        <v>0.91304347826086951</v>
      </c>
      <c r="L58" s="67">
        <f ca="1">IFERROR(__xludf.DUMMYFUNCTION("""COMPUTED_VALUE"""),56)</f>
        <v>56</v>
      </c>
      <c r="M58" s="51">
        <f t="shared" ca="1" si="3"/>
        <v>0.60869565217391308</v>
      </c>
      <c r="N58" s="67">
        <f ca="1">IFERROR(__xludf.DUMMYFUNCTION("""COMPUTED_VALUE"""),1167)</f>
        <v>1167</v>
      </c>
      <c r="O58" s="67">
        <f ca="1">IFERROR(__xludf.DUMMYFUNCTION("""COMPUTED_VALUE"""),559)</f>
        <v>559</v>
      </c>
      <c r="P58" s="51">
        <f t="shared" ca="1" si="4"/>
        <v>0.47900599828620394</v>
      </c>
      <c r="Q58" s="67">
        <f ca="1">IFERROR(__xludf.DUMMYFUNCTION("""COMPUTED_VALUE"""),346)</f>
        <v>346</v>
      </c>
      <c r="R58" s="51">
        <f t="shared" ca="1" si="5"/>
        <v>0.29648671808054844</v>
      </c>
      <c r="S58" s="67">
        <f ca="1">IFERROR(__xludf.DUMMYFUNCTION("""COMPUTED_VALUE"""),0)</f>
        <v>0</v>
      </c>
      <c r="T58" s="66">
        <f ca="1">IFERROR(__xludf.DUMMYFUNCTION("""COMPUTED_VALUE"""),0)</f>
        <v>0</v>
      </c>
      <c r="U58" s="51" t="str">
        <f t="shared" ca="1" si="6"/>
        <v/>
      </c>
      <c r="V58" s="67">
        <f ca="1">IFERROR(__xludf.DUMMYFUNCTION("""COMPUTED_VALUE"""),0)</f>
        <v>0</v>
      </c>
      <c r="W58" s="51" t="str">
        <f t="shared" ca="1" si="7"/>
        <v/>
      </c>
      <c r="X58" s="67">
        <f ca="1">IFERROR(__xludf.DUMMYFUNCTION("""COMPUTED_VALUE"""),0)</f>
        <v>0</v>
      </c>
      <c r="Y58" s="51" t="str">
        <f t="shared" ca="1" si="8"/>
        <v/>
      </c>
      <c r="Z58" s="2"/>
      <c r="AA58" s="2"/>
      <c r="AB58" s="2"/>
      <c r="AC58" s="2"/>
      <c r="AD58" s="2"/>
      <c r="AE58" s="2"/>
    </row>
    <row r="59" spans="1:31" ht="12.75" x14ac:dyDescent="0.2">
      <c r="A59" s="53">
        <f ca="1">IFERROR(__xludf.DUMMYFUNCTION("""COMPUTED_VALUE"""),7)</f>
        <v>7</v>
      </c>
      <c r="B59" s="66" t="str">
        <f ca="1">IFERROR(__xludf.DUMMYFUNCTION("""COMPUTED_VALUE"""),"TH Trần Văn Kiểu")</f>
        <v>TH Trần Văn Kiểu</v>
      </c>
      <c r="C59" s="66" t="str">
        <f ca="1">IFERROR(__xludf.DUMMYFUNCTION("""COMPUTED_VALUE"""),"Tiểu học")</f>
        <v>Tiểu học</v>
      </c>
      <c r="D59" s="66">
        <f ca="1">IFERROR(__xludf.DUMMYFUNCTION("""COMPUTED_VALUE"""),10)</f>
        <v>10</v>
      </c>
      <c r="E59" s="67">
        <f ca="1">IFERROR(__xludf.DUMMYFUNCTION("""COMPUTED_VALUE"""),52)</f>
        <v>52</v>
      </c>
      <c r="F59" s="67">
        <f ca="1">IFERROR(__xludf.DUMMYFUNCTION("""COMPUTED_VALUE"""),52)</f>
        <v>52</v>
      </c>
      <c r="G59" s="51">
        <f t="shared" ca="1" si="0"/>
        <v>1</v>
      </c>
      <c r="H59" s="67">
        <f ca="1">IFERROR(__xludf.DUMMYFUNCTION("""COMPUTED_VALUE"""),52)</f>
        <v>52</v>
      </c>
      <c r="I59" s="51">
        <f t="shared" ca="1" si="1"/>
        <v>1</v>
      </c>
      <c r="J59" s="67">
        <f ca="1">IFERROR(__xludf.DUMMYFUNCTION("""COMPUTED_VALUE"""),49)</f>
        <v>49</v>
      </c>
      <c r="K59" s="51">
        <f t="shared" ca="1" si="2"/>
        <v>0.94230769230769229</v>
      </c>
      <c r="L59" s="67">
        <f ca="1">IFERROR(__xludf.DUMMYFUNCTION("""COMPUTED_VALUE"""),14)</f>
        <v>14</v>
      </c>
      <c r="M59" s="51">
        <f t="shared" ca="1" si="3"/>
        <v>0.26923076923076922</v>
      </c>
      <c r="N59" s="67">
        <f ca="1">IFERROR(__xludf.DUMMYFUNCTION("""COMPUTED_VALUE"""),667)</f>
        <v>667</v>
      </c>
      <c r="O59" s="67">
        <f ca="1">IFERROR(__xludf.DUMMYFUNCTION("""COMPUTED_VALUE"""),407)</f>
        <v>407</v>
      </c>
      <c r="P59" s="51">
        <f t="shared" ca="1" si="4"/>
        <v>0.61019490254872566</v>
      </c>
      <c r="Q59" s="67">
        <f ca="1">IFERROR(__xludf.DUMMYFUNCTION("""COMPUTED_VALUE"""),269)</f>
        <v>269</v>
      </c>
      <c r="R59" s="51">
        <f t="shared" ca="1" si="5"/>
        <v>0.4032983508245877</v>
      </c>
      <c r="S59" s="66"/>
      <c r="T59" s="66"/>
      <c r="U59" s="51" t="str">
        <f t="shared" si="6"/>
        <v/>
      </c>
      <c r="V59" s="66"/>
      <c r="W59" s="51" t="str">
        <f t="shared" si="7"/>
        <v/>
      </c>
      <c r="X59" s="66"/>
      <c r="Y59" s="51" t="str">
        <f t="shared" si="8"/>
        <v/>
      </c>
      <c r="Z59" s="2"/>
      <c r="AA59" s="2"/>
      <c r="AB59" s="2"/>
      <c r="AC59" s="2"/>
      <c r="AD59" s="2"/>
      <c r="AE59" s="2"/>
    </row>
    <row r="60" spans="1:31" ht="12.75" x14ac:dyDescent="0.2">
      <c r="A60" s="53">
        <f ca="1">IFERROR(__xludf.DUMMYFUNCTION("""COMPUTED_VALUE"""),8)</f>
        <v>8</v>
      </c>
      <c r="B60" s="66" t="str">
        <f ca="1">IFERROR(__xludf.DUMMYFUNCTION("""COMPUTED_VALUE"""),"TH Nhật Tảo")</f>
        <v>TH Nhật Tảo</v>
      </c>
      <c r="C60" s="66" t="str">
        <f ca="1">IFERROR(__xludf.DUMMYFUNCTION("""COMPUTED_VALUE"""),"Tiểu học")</f>
        <v>Tiểu học</v>
      </c>
      <c r="D60" s="66">
        <f ca="1">IFERROR(__xludf.DUMMYFUNCTION("""COMPUTED_VALUE"""),10)</f>
        <v>10</v>
      </c>
      <c r="E60" s="67">
        <f ca="1">IFERROR(__xludf.DUMMYFUNCTION("""COMPUTED_VALUE"""),23)</f>
        <v>23</v>
      </c>
      <c r="F60" s="67">
        <f ca="1">IFERROR(__xludf.DUMMYFUNCTION("""COMPUTED_VALUE"""),23)</f>
        <v>23</v>
      </c>
      <c r="G60" s="51">
        <f t="shared" ca="1" si="0"/>
        <v>1</v>
      </c>
      <c r="H60" s="67">
        <f ca="1">IFERROR(__xludf.DUMMYFUNCTION("""COMPUTED_VALUE"""),23)</f>
        <v>23</v>
      </c>
      <c r="I60" s="51">
        <f t="shared" ca="1" si="1"/>
        <v>1</v>
      </c>
      <c r="J60" s="67">
        <f ca="1">IFERROR(__xludf.DUMMYFUNCTION("""COMPUTED_VALUE"""),23)</f>
        <v>23</v>
      </c>
      <c r="K60" s="51">
        <f t="shared" ca="1" si="2"/>
        <v>1</v>
      </c>
      <c r="L60" s="67">
        <f ca="1">IFERROR(__xludf.DUMMYFUNCTION("""COMPUTED_VALUE"""),15)</f>
        <v>15</v>
      </c>
      <c r="M60" s="51">
        <f t="shared" ca="1" si="3"/>
        <v>0.65217391304347827</v>
      </c>
      <c r="N60" s="67">
        <f ca="1">IFERROR(__xludf.DUMMYFUNCTION("""COMPUTED_VALUE"""),244)</f>
        <v>244</v>
      </c>
      <c r="O60" s="67">
        <f ca="1">IFERROR(__xludf.DUMMYFUNCTION("""COMPUTED_VALUE"""),155)</f>
        <v>155</v>
      </c>
      <c r="P60" s="51">
        <f t="shared" ca="1" si="4"/>
        <v>0.63524590163934425</v>
      </c>
      <c r="Q60" s="67">
        <f ca="1">IFERROR(__xludf.DUMMYFUNCTION("""COMPUTED_VALUE"""),107)</f>
        <v>107</v>
      </c>
      <c r="R60" s="51">
        <f t="shared" ca="1" si="5"/>
        <v>0.43852459016393441</v>
      </c>
      <c r="S60" s="66"/>
      <c r="T60" s="66"/>
      <c r="U60" s="51" t="str">
        <f t="shared" si="6"/>
        <v/>
      </c>
      <c r="V60" s="66"/>
      <c r="W60" s="51" t="str">
        <f t="shared" si="7"/>
        <v/>
      </c>
      <c r="X60" s="66"/>
      <c r="Y60" s="51" t="str">
        <f t="shared" si="8"/>
        <v/>
      </c>
      <c r="Z60" s="2"/>
      <c r="AA60" s="2"/>
      <c r="AB60" s="2"/>
      <c r="AC60" s="2"/>
      <c r="AD60" s="2"/>
      <c r="AE60" s="2"/>
    </row>
    <row r="61" spans="1:31" ht="12.75" x14ac:dyDescent="0.2">
      <c r="A61" s="53">
        <f ca="1">IFERROR(__xludf.DUMMYFUNCTION("""COMPUTED_VALUE"""),9)</f>
        <v>9</v>
      </c>
      <c r="B61" s="66" t="str">
        <f ca="1">IFERROR(__xludf.DUMMYFUNCTION("""COMPUTED_VALUE"""),"TH Điện Biên")</f>
        <v>TH Điện Biên</v>
      </c>
      <c r="C61" s="66" t="str">
        <f ca="1">IFERROR(__xludf.DUMMYFUNCTION("""COMPUTED_VALUE"""),"Tiểu học")</f>
        <v>Tiểu học</v>
      </c>
      <c r="D61" s="66">
        <f ca="1">IFERROR(__xludf.DUMMYFUNCTION("""COMPUTED_VALUE"""),10)</f>
        <v>10</v>
      </c>
      <c r="E61" s="67">
        <f ca="1">IFERROR(__xludf.DUMMYFUNCTION("""COMPUTED_VALUE"""),25)</f>
        <v>25</v>
      </c>
      <c r="F61" s="67">
        <f ca="1">IFERROR(__xludf.DUMMYFUNCTION("""COMPUTED_VALUE"""),25)</f>
        <v>25</v>
      </c>
      <c r="G61" s="51">
        <f t="shared" ca="1" si="0"/>
        <v>1</v>
      </c>
      <c r="H61" s="67">
        <f ca="1">IFERROR(__xludf.DUMMYFUNCTION("""COMPUTED_VALUE"""),25)</f>
        <v>25</v>
      </c>
      <c r="I61" s="51">
        <f t="shared" ca="1" si="1"/>
        <v>1</v>
      </c>
      <c r="J61" s="67">
        <f ca="1">IFERROR(__xludf.DUMMYFUNCTION("""COMPUTED_VALUE"""),25)</f>
        <v>25</v>
      </c>
      <c r="K61" s="51">
        <f t="shared" ca="1" si="2"/>
        <v>1</v>
      </c>
      <c r="L61" s="67">
        <f ca="1">IFERROR(__xludf.DUMMYFUNCTION("""COMPUTED_VALUE"""),15)</f>
        <v>15</v>
      </c>
      <c r="M61" s="51">
        <f t="shared" ca="1" si="3"/>
        <v>0.6</v>
      </c>
      <c r="N61" s="67">
        <f ca="1">IFERROR(__xludf.DUMMYFUNCTION("""COMPUTED_VALUE"""),255)</f>
        <v>255</v>
      </c>
      <c r="O61" s="67">
        <f ca="1">IFERROR(__xludf.DUMMYFUNCTION("""COMPUTED_VALUE"""),136)</f>
        <v>136</v>
      </c>
      <c r="P61" s="51">
        <f t="shared" ca="1" si="4"/>
        <v>0.53333333333333333</v>
      </c>
      <c r="Q61" s="67">
        <f ca="1">IFERROR(__xludf.DUMMYFUNCTION("""COMPUTED_VALUE"""),94)</f>
        <v>94</v>
      </c>
      <c r="R61" s="51">
        <f t="shared" ca="1" si="5"/>
        <v>0.36862745098039218</v>
      </c>
      <c r="S61" s="67">
        <f ca="1">IFERROR(__xludf.DUMMYFUNCTION("""COMPUTED_VALUE"""),0)</f>
        <v>0</v>
      </c>
      <c r="T61" s="66">
        <f ca="1">IFERROR(__xludf.DUMMYFUNCTION("""COMPUTED_VALUE"""),0)</f>
        <v>0</v>
      </c>
      <c r="U61" s="51" t="str">
        <f t="shared" ca="1" si="6"/>
        <v/>
      </c>
      <c r="V61" s="67">
        <f ca="1">IFERROR(__xludf.DUMMYFUNCTION("""COMPUTED_VALUE"""),0)</f>
        <v>0</v>
      </c>
      <c r="W61" s="51" t="str">
        <f t="shared" ca="1" si="7"/>
        <v/>
      </c>
      <c r="X61" s="67">
        <f ca="1">IFERROR(__xludf.DUMMYFUNCTION("""COMPUTED_VALUE"""),0)</f>
        <v>0</v>
      </c>
      <c r="Y61" s="51" t="str">
        <f t="shared" ca="1" si="8"/>
        <v/>
      </c>
      <c r="Z61" s="2"/>
      <c r="AA61" s="2"/>
      <c r="AB61" s="2"/>
      <c r="AC61" s="2"/>
      <c r="AD61" s="2"/>
      <c r="AE61" s="2"/>
    </row>
    <row r="62" spans="1:31" ht="12.75" x14ac:dyDescent="0.2">
      <c r="A62" s="53">
        <f ca="1">IFERROR(__xludf.DUMMYFUNCTION("""COMPUTED_VALUE"""),10)</f>
        <v>10</v>
      </c>
      <c r="B62" s="66" t="str">
        <f ca="1">IFERROR(__xludf.DUMMYFUNCTION("""COMPUTED_VALUE"""),"TH Thiên Hộ Dương")</f>
        <v>TH Thiên Hộ Dương</v>
      </c>
      <c r="C62" s="66" t="str">
        <f ca="1">IFERROR(__xludf.DUMMYFUNCTION("""COMPUTED_VALUE"""),"Tiểu học")</f>
        <v>Tiểu học</v>
      </c>
      <c r="D62" s="66">
        <f ca="1">IFERROR(__xludf.DUMMYFUNCTION("""COMPUTED_VALUE"""),10)</f>
        <v>10</v>
      </c>
      <c r="E62" s="67">
        <f ca="1">IFERROR(__xludf.DUMMYFUNCTION("""COMPUTED_VALUE"""),70)</f>
        <v>70</v>
      </c>
      <c r="F62" s="67">
        <f ca="1">IFERROR(__xludf.DUMMYFUNCTION("""COMPUTED_VALUE"""),70)</f>
        <v>70</v>
      </c>
      <c r="G62" s="51">
        <f t="shared" ca="1" si="0"/>
        <v>1</v>
      </c>
      <c r="H62" s="67">
        <f ca="1">IFERROR(__xludf.DUMMYFUNCTION("""COMPUTED_VALUE"""),70)</f>
        <v>70</v>
      </c>
      <c r="I62" s="51">
        <f t="shared" ca="1" si="1"/>
        <v>1</v>
      </c>
      <c r="J62" s="67">
        <f ca="1">IFERROR(__xludf.DUMMYFUNCTION("""COMPUTED_VALUE"""),68)</f>
        <v>68</v>
      </c>
      <c r="K62" s="51">
        <f t="shared" ca="1" si="2"/>
        <v>0.97142857142857142</v>
      </c>
      <c r="L62" s="67">
        <f ca="1">IFERROR(__xludf.DUMMYFUNCTION("""COMPUTED_VALUE"""),53)</f>
        <v>53</v>
      </c>
      <c r="M62" s="51">
        <f t="shared" ca="1" si="3"/>
        <v>0.75714285714285712</v>
      </c>
      <c r="N62" s="67">
        <f ca="1">IFERROR(__xludf.DUMMYFUNCTION("""COMPUTED_VALUE"""),1035)</f>
        <v>1035</v>
      </c>
      <c r="O62" s="67">
        <f ca="1">IFERROR(__xludf.DUMMYFUNCTION("""COMPUTED_VALUE"""),464)</f>
        <v>464</v>
      </c>
      <c r="P62" s="51">
        <f t="shared" ca="1" si="4"/>
        <v>0.44830917874396137</v>
      </c>
      <c r="Q62" s="67">
        <f ca="1">IFERROR(__xludf.DUMMYFUNCTION("""COMPUTED_VALUE"""),247)</f>
        <v>247</v>
      </c>
      <c r="R62" s="51">
        <f t="shared" ca="1" si="5"/>
        <v>0.23864734299516907</v>
      </c>
      <c r="S62" s="66"/>
      <c r="T62" s="66"/>
      <c r="U62" s="51" t="str">
        <f t="shared" si="6"/>
        <v/>
      </c>
      <c r="V62" s="66"/>
      <c r="W62" s="51" t="str">
        <f t="shared" si="7"/>
        <v/>
      </c>
      <c r="X62" s="66"/>
      <c r="Y62" s="51" t="str">
        <f t="shared" si="8"/>
        <v/>
      </c>
      <c r="Z62" s="2"/>
      <c r="AA62" s="2"/>
      <c r="AB62" s="2"/>
      <c r="AC62" s="2"/>
      <c r="AD62" s="2"/>
      <c r="AE62" s="2"/>
    </row>
    <row r="63" spans="1:31" ht="12.75" x14ac:dyDescent="0.2">
      <c r="A63" s="53">
        <f ca="1">IFERROR(__xludf.DUMMYFUNCTION("""COMPUTED_VALUE"""),11)</f>
        <v>11</v>
      </c>
      <c r="B63" s="66" t="str">
        <f ca="1">IFERROR(__xludf.DUMMYFUNCTION("""COMPUTED_VALUE"""),"TH Triệu Thị Trinh")</f>
        <v>TH Triệu Thị Trinh</v>
      </c>
      <c r="C63" s="66" t="str">
        <f ca="1">IFERROR(__xludf.DUMMYFUNCTION("""COMPUTED_VALUE"""),"Tiểu học")</f>
        <v>Tiểu học</v>
      </c>
      <c r="D63" s="66">
        <f ca="1">IFERROR(__xludf.DUMMYFUNCTION("""COMPUTED_VALUE"""),10)</f>
        <v>10</v>
      </c>
      <c r="E63" s="67">
        <f ca="1">IFERROR(__xludf.DUMMYFUNCTION("""COMPUTED_VALUE"""),65)</f>
        <v>65</v>
      </c>
      <c r="F63" s="67">
        <f ca="1">IFERROR(__xludf.DUMMYFUNCTION("""COMPUTED_VALUE"""),65)</f>
        <v>65</v>
      </c>
      <c r="G63" s="51">
        <f t="shared" ca="1" si="0"/>
        <v>1</v>
      </c>
      <c r="H63" s="67">
        <f ca="1">IFERROR(__xludf.DUMMYFUNCTION("""COMPUTED_VALUE"""),65)</f>
        <v>65</v>
      </c>
      <c r="I63" s="51">
        <f t="shared" ca="1" si="1"/>
        <v>1</v>
      </c>
      <c r="J63" s="67">
        <f ca="1">IFERROR(__xludf.DUMMYFUNCTION("""COMPUTED_VALUE"""),63)</f>
        <v>63</v>
      </c>
      <c r="K63" s="51">
        <f t="shared" ca="1" si="2"/>
        <v>0.96923076923076923</v>
      </c>
      <c r="L63" s="67">
        <f ca="1">IFERROR(__xludf.DUMMYFUNCTION("""COMPUTED_VALUE"""),27)</f>
        <v>27</v>
      </c>
      <c r="M63" s="51">
        <f t="shared" ca="1" si="3"/>
        <v>0.41538461538461541</v>
      </c>
      <c r="N63" s="67">
        <f ca="1">IFERROR(__xludf.DUMMYFUNCTION("""COMPUTED_VALUE"""),823)</f>
        <v>823</v>
      </c>
      <c r="O63" s="67">
        <f ca="1">IFERROR(__xludf.DUMMYFUNCTION("""COMPUTED_VALUE"""),296)</f>
        <v>296</v>
      </c>
      <c r="P63" s="51">
        <f t="shared" ca="1" si="4"/>
        <v>0.35965978128797083</v>
      </c>
      <c r="Q63" s="67">
        <f ca="1">IFERROR(__xludf.DUMMYFUNCTION("""COMPUTED_VALUE"""),184)</f>
        <v>184</v>
      </c>
      <c r="R63" s="51">
        <f t="shared" ca="1" si="5"/>
        <v>0.22357229647630619</v>
      </c>
      <c r="S63" s="66"/>
      <c r="T63" s="66"/>
      <c r="U63" s="51" t="str">
        <f t="shared" si="6"/>
        <v/>
      </c>
      <c r="V63" s="66"/>
      <c r="W63" s="51" t="str">
        <f t="shared" si="7"/>
        <v/>
      </c>
      <c r="X63" s="66"/>
      <c r="Y63" s="51" t="str">
        <f t="shared" si="8"/>
        <v/>
      </c>
      <c r="Z63" s="2"/>
      <c r="AA63" s="2"/>
      <c r="AB63" s="2"/>
      <c r="AC63" s="2"/>
      <c r="AD63" s="2"/>
      <c r="AE63" s="2"/>
    </row>
    <row r="64" spans="1:31" ht="12.75" x14ac:dyDescent="0.2">
      <c r="A64" s="53">
        <f ca="1">IFERROR(__xludf.DUMMYFUNCTION("""COMPUTED_VALUE"""),12)</f>
        <v>12</v>
      </c>
      <c r="B64" s="66" t="str">
        <f ca="1">IFERROR(__xludf.DUMMYFUNCTION("""COMPUTED_VALUE"""),"TH Hoàng Diệu")</f>
        <v>TH Hoàng Diệu</v>
      </c>
      <c r="C64" s="66" t="str">
        <f ca="1">IFERROR(__xludf.DUMMYFUNCTION("""COMPUTED_VALUE"""),"Tiểu học")</f>
        <v>Tiểu học</v>
      </c>
      <c r="D64" s="66">
        <f ca="1">IFERROR(__xludf.DUMMYFUNCTION("""COMPUTED_VALUE"""),10)</f>
        <v>10</v>
      </c>
      <c r="E64" s="67">
        <f ca="1">IFERROR(__xludf.DUMMYFUNCTION("""COMPUTED_VALUE"""),22)</f>
        <v>22</v>
      </c>
      <c r="F64" s="67">
        <f ca="1">IFERROR(__xludf.DUMMYFUNCTION("""COMPUTED_VALUE"""),22)</f>
        <v>22</v>
      </c>
      <c r="G64" s="51">
        <f t="shared" ca="1" si="0"/>
        <v>1</v>
      </c>
      <c r="H64" s="67">
        <f ca="1">IFERROR(__xludf.DUMMYFUNCTION("""COMPUTED_VALUE"""),22)</f>
        <v>22</v>
      </c>
      <c r="I64" s="51">
        <f t="shared" ca="1" si="1"/>
        <v>1</v>
      </c>
      <c r="J64" s="67">
        <f ca="1">IFERROR(__xludf.DUMMYFUNCTION("""COMPUTED_VALUE"""),22)</f>
        <v>22</v>
      </c>
      <c r="K64" s="51">
        <f t="shared" ca="1" si="2"/>
        <v>1</v>
      </c>
      <c r="L64" s="67">
        <f ca="1">IFERROR(__xludf.DUMMYFUNCTION("""COMPUTED_VALUE"""),11)</f>
        <v>11</v>
      </c>
      <c r="M64" s="51">
        <f t="shared" ca="1" si="3"/>
        <v>0.5</v>
      </c>
      <c r="N64" s="67">
        <f ca="1">IFERROR(__xludf.DUMMYFUNCTION("""COMPUTED_VALUE"""),214)</f>
        <v>214</v>
      </c>
      <c r="O64" s="67">
        <f ca="1">IFERROR(__xludf.DUMMYFUNCTION("""COMPUTED_VALUE"""),68)</f>
        <v>68</v>
      </c>
      <c r="P64" s="51">
        <f t="shared" ca="1" si="4"/>
        <v>0.31775700934579437</v>
      </c>
      <c r="Q64" s="67">
        <f ca="1">IFERROR(__xludf.DUMMYFUNCTION("""COMPUTED_VALUE"""),47)</f>
        <v>47</v>
      </c>
      <c r="R64" s="51">
        <f t="shared" ca="1" si="5"/>
        <v>0.21962616822429906</v>
      </c>
      <c r="S64" s="66"/>
      <c r="T64" s="66"/>
      <c r="U64" s="51" t="str">
        <f t="shared" si="6"/>
        <v/>
      </c>
      <c r="V64" s="66"/>
      <c r="W64" s="51" t="str">
        <f t="shared" si="7"/>
        <v/>
      </c>
      <c r="X64" s="66"/>
      <c r="Y64" s="51" t="str">
        <f t="shared" si="8"/>
        <v/>
      </c>
      <c r="Z64" s="2"/>
      <c r="AA64" s="2"/>
      <c r="AB64" s="2"/>
      <c r="AC64" s="2"/>
      <c r="AD64" s="2"/>
      <c r="AE64" s="2"/>
    </row>
    <row r="65" spans="1:31" ht="12.75" x14ac:dyDescent="0.2">
      <c r="A65" s="53">
        <f ca="1">IFERROR(__xludf.DUMMYFUNCTION("""COMPUTED_VALUE"""),13)</f>
        <v>13</v>
      </c>
      <c r="B65" s="66" t="str">
        <f ca="1">IFERROR(__xludf.DUMMYFUNCTION("""COMPUTED_VALUE"""),"TH Lê Thị Riêng")</f>
        <v>TH Lê Thị Riêng</v>
      </c>
      <c r="C65" s="66" t="str">
        <f ca="1">IFERROR(__xludf.DUMMYFUNCTION("""COMPUTED_VALUE"""),"Tiểu học")</f>
        <v>Tiểu học</v>
      </c>
      <c r="D65" s="66">
        <f ca="1">IFERROR(__xludf.DUMMYFUNCTION("""COMPUTED_VALUE"""),10)</f>
        <v>10</v>
      </c>
      <c r="E65" s="66">
        <f ca="1">IFERROR(__xludf.DUMMYFUNCTION("""COMPUTED_VALUE"""),53)</f>
        <v>53</v>
      </c>
      <c r="F65" s="66">
        <f ca="1">IFERROR(__xludf.DUMMYFUNCTION("""COMPUTED_VALUE"""),53)</f>
        <v>53</v>
      </c>
      <c r="G65" s="51">
        <f t="shared" ca="1" si="0"/>
        <v>1</v>
      </c>
      <c r="H65" s="66">
        <f ca="1">IFERROR(__xludf.DUMMYFUNCTION("""COMPUTED_VALUE"""),53)</f>
        <v>53</v>
      </c>
      <c r="I65" s="51">
        <f t="shared" ca="1" si="1"/>
        <v>1</v>
      </c>
      <c r="J65" s="66">
        <f ca="1">IFERROR(__xludf.DUMMYFUNCTION("""COMPUTED_VALUE"""),48)</f>
        <v>48</v>
      </c>
      <c r="K65" s="51">
        <f t="shared" ca="1" si="2"/>
        <v>0.90566037735849059</v>
      </c>
      <c r="L65" s="66">
        <f ca="1">IFERROR(__xludf.DUMMYFUNCTION("""COMPUTED_VALUE"""),17)</f>
        <v>17</v>
      </c>
      <c r="M65" s="51">
        <f t="shared" ca="1" si="3"/>
        <v>0.32075471698113206</v>
      </c>
      <c r="N65" s="67">
        <f ca="1">IFERROR(__xludf.DUMMYFUNCTION("""COMPUTED_VALUE"""),780)</f>
        <v>780</v>
      </c>
      <c r="O65" s="67">
        <f ca="1">IFERROR(__xludf.DUMMYFUNCTION("""COMPUTED_VALUE"""),395)</f>
        <v>395</v>
      </c>
      <c r="P65" s="51">
        <f t="shared" ca="1" si="4"/>
        <v>0.50641025641025639</v>
      </c>
      <c r="Q65" s="67">
        <f ca="1">IFERROR(__xludf.DUMMYFUNCTION("""COMPUTED_VALUE"""),144)</f>
        <v>144</v>
      </c>
      <c r="R65" s="51">
        <f t="shared" ca="1" si="5"/>
        <v>0.18461538461538463</v>
      </c>
      <c r="S65" s="66"/>
      <c r="T65" s="66"/>
      <c r="U65" s="51" t="str">
        <f t="shared" si="6"/>
        <v/>
      </c>
      <c r="V65" s="66"/>
      <c r="W65" s="51" t="str">
        <f t="shared" si="7"/>
        <v/>
      </c>
      <c r="X65" s="66"/>
      <c r="Y65" s="51" t="str">
        <f t="shared" si="8"/>
        <v/>
      </c>
      <c r="Z65" s="2"/>
      <c r="AA65" s="2"/>
      <c r="AB65" s="2"/>
      <c r="AC65" s="2"/>
      <c r="AD65" s="2"/>
      <c r="AE65" s="2"/>
    </row>
    <row r="66" spans="1:31" ht="12.75" x14ac:dyDescent="0.2">
      <c r="A66" s="53">
        <f ca="1">IFERROR(__xludf.DUMMYFUNCTION("""COMPUTED_VALUE"""),14)</f>
        <v>14</v>
      </c>
      <c r="B66" s="66"/>
      <c r="C66" s="66"/>
      <c r="D66" s="66">
        <f ca="1">IFERROR(__xludf.DUMMYFUNCTION("""COMPUTED_VALUE"""),10)</f>
        <v>10</v>
      </c>
      <c r="E66" s="67">
        <f ca="1">IFERROR(__xludf.DUMMYFUNCTION("""COMPUTED_VALUE"""),45)</f>
        <v>45</v>
      </c>
      <c r="F66" s="67">
        <f ca="1">IFERROR(__xludf.DUMMYFUNCTION("""COMPUTED_VALUE"""),45)</f>
        <v>45</v>
      </c>
      <c r="G66" s="51">
        <f t="shared" ca="1" si="0"/>
        <v>1</v>
      </c>
      <c r="H66" s="67">
        <f ca="1">IFERROR(__xludf.DUMMYFUNCTION("""COMPUTED_VALUE"""),45)</f>
        <v>45</v>
      </c>
      <c r="I66" s="51">
        <f t="shared" ca="1" si="1"/>
        <v>1</v>
      </c>
      <c r="J66" s="67">
        <f ca="1">IFERROR(__xludf.DUMMYFUNCTION("""COMPUTED_VALUE"""),45)</f>
        <v>45</v>
      </c>
      <c r="K66" s="51">
        <f t="shared" ca="1" si="2"/>
        <v>1</v>
      </c>
      <c r="L66" s="67">
        <f ca="1">IFERROR(__xludf.DUMMYFUNCTION("""COMPUTED_VALUE"""),39)</f>
        <v>39</v>
      </c>
      <c r="M66" s="51">
        <f t="shared" ca="1" si="3"/>
        <v>0.8666666666666667</v>
      </c>
      <c r="N66" s="67">
        <f ca="1">IFERROR(__xludf.DUMMYFUNCTION("""COMPUTED_VALUE"""),717)</f>
        <v>717</v>
      </c>
      <c r="O66" s="67">
        <f ca="1">IFERROR(__xludf.DUMMYFUNCTION("""COMPUTED_VALUE"""),405)</f>
        <v>405</v>
      </c>
      <c r="P66" s="51">
        <f t="shared" ca="1" si="4"/>
        <v>0.56485355648535562</v>
      </c>
      <c r="Q66" s="67">
        <f ca="1">IFERROR(__xludf.DUMMYFUNCTION("""COMPUTED_VALUE"""),180)</f>
        <v>180</v>
      </c>
      <c r="R66" s="51">
        <f t="shared" ca="1" si="5"/>
        <v>0.2510460251046025</v>
      </c>
      <c r="S66" s="66"/>
      <c r="T66" s="66"/>
      <c r="U66" s="51" t="str">
        <f t="shared" si="6"/>
        <v/>
      </c>
      <c r="V66" s="66"/>
      <c r="W66" s="51" t="str">
        <f t="shared" si="7"/>
        <v/>
      </c>
      <c r="X66" s="66"/>
      <c r="Y66" s="51" t="str">
        <f t="shared" si="8"/>
        <v/>
      </c>
      <c r="Z66" s="2"/>
      <c r="AA66" s="2"/>
      <c r="AB66" s="2"/>
      <c r="AC66" s="2"/>
      <c r="AD66" s="2"/>
      <c r="AE66" s="2"/>
    </row>
    <row r="67" spans="1:31" ht="12.75" x14ac:dyDescent="0.2">
      <c r="A67" s="53">
        <f ca="1">IFERROR(__xludf.DUMMYFUNCTION("""COMPUTED_VALUE"""),15)</f>
        <v>15</v>
      </c>
      <c r="B67" s="66" t="str">
        <f ca="1">IFERROR(__xludf.DUMMYFUNCTION("""COMPUTED_VALUE"""),"TH Võ Trường Toản")</f>
        <v>TH Võ Trường Toản</v>
      </c>
      <c r="C67" s="66" t="str">
        <f ca="1">IFERROR(__xludf.DUMMYFUNCTION("""COMPUTED_VALUE"""),"Tiểu học")</f>
        <v>Tiểu học</v>
      </c>
      <c r="D67" s="66">
        <f ca="1">IFERROR(__xludf.DUMMYFUNCTION("""COMPUTED_VALUE"""),10)</f>
        <v>10</v>
      </c>
      <c r="E67" s="67">
        <f ca="1">IFERROR(__xludf.DUMMYFUNCTION("""COMPUTED_VALUE"""),75)</f>
        <v>75</v>
      </c>
      <c r="F67" s="67">
        <f ca="1">IFERROR(__xludf.DUMMYFUNCTION("""COMPUTED_VALUE"""),74)</f>
        <v>74</v>
      </c>
      <c r="G67" s="51">
        <f t="shared" ca="1" si="0"/>
        <v>0.98666666666666669</v>
      </c>
      <c r="H67" s="67">
        <f ca="1">IFERROR(__xludf.DUMMYFUNCTION("""COMPUTED_VALUE"""),74)</f>
        <v>74</v>
      </c>
      <c r="I67" s="51">
        <f t="shared" ca="1" si="1"/>
        <v>0.98666666666666669</v>
      </c>
      <c r="J67" s="67">
        <f ca="1">IFERROR(__xludf.DUMMYFUNCTION("""COMPUTED_VALUE"""),66)</f>
        <v>66</v>
      </c>
      <c r="K67" s="51">
        <f t="shared" ca="1" si="2"/>
        <v>0.88</v>
      </c>
      <c r="L67" s="67">
        <f ca="1">IFERROR(__xludf.DUMMYFUNCTION("""COMPUTED_VALUE"""),43)</f>
        <v>43</v>
      </c>
      <c r="M67" s="51">
        <f t="shared" ca="1" si="3"/>
        <v>0.57333333333333336</v>
      </c>
      <c r="N67" s="67">
        <f ca="1">IFERROR(__xludf.DUMMYFUNCTION("""COMPUTED_VALUE"""),1030)</f>
        <v>1030</v>
      </c>
      <c r="O67" s="67">
        <f ca="1">IFERROR(__xludf.DUMMYFUNCTION("""COMPUTED_VALUE"""),362)</f>
        <v>362</v>
      </c>
      <c r="P67" s="51">
        <f t="shared" ca="1" si="4"/>
        <v>0.35145631067961164</v>
      </c>
      <c r="Q67" s="67">
        <f ca="1">IFERROR(__xludf.DUMMYFUNCTION("""COMPUTED_VALUE"""),190)</f>
        <v>190</v>
      </c>
      <c r="R67" s="51">
        <f t="shared" ca="1" si="5"/>
        <v>0.18446601941747573</v>
      </c>
      <c r="S67" s="66"/>
      <c r="T67" s="66"/>
      <c r="U67" s="51" t="str">
        <f t="shared" si="6"/>
        <v/>
      </c>
      <c r="V67" s="66"/>
      <c r="W67" s="51" t="str">
        <f t="shared" si="7"/>
        <v/>
      </c>
      <c r="X67" s="66"/>
      <c r="Y67" s="51" t="str">
        <f t="shared" si="8"/>
        <v/>
      </c>
      <c r="Z67" s="2"/>
      <c r="AA67" s="2"/>
      <c r="AB67" s="2"/>
      <c r="AC67" s="2"/>
      <c r="AD67" s="2"/>
      <c r="AE67" s="2"/>
    </row>
    <row r="68" spans="1:31" ht="12.75" x14ac:dyDescent="0.2">
      <c r="A68" s="53">
        <f ca="1">IFERROR(__xludf.DUMMYFUNCTION("""COMPUTED_VALUE"""),16)</f>
        <v>16</v>
      </c>
      <c r="B68" s="66" t="str">
        <f ca="1">IFERROR(__xludf.DUMMYFUNCTION("""COMPUTED_VALUE"""),"TH Bắc Hải")</f>
        <v>TH Bắc Hải</v>
      </c>
      <c r="C68" s="66" t="str">
        <f ca="1">IFERROR(__xludf.DUMMYFUNCTION("""COMPUTED_VALUE"""),"Tiểu học")</f>
        <v>Tiểu học</v>
      </c>
      <c r="D68" s="66">
        <f ca="1">IFERROR(__xludf.DUMMYFUNCTION("""COMPUTED_VALUE"""),10)</f>
        <v>10</v>
      </c>
      <c r="E68" s="67">
        <f ca="1">IFERROR(__xludf.DUMMYFUNCTION("""COMPUTED_VALUE"""),71)</f>
        <v>71</v>
      </c>
      <c r="F68" s="67">
        <f ca="1">IFERROR(__xludf.DUMMYFUNCTION("""COMPUTED_VALUE"""),71)</f>
        <v>71</v>
      </c>
      <c r="G68" s="51">
        <f t="shared" ca="1" si="0"/>
        <v>1</v>
      </c>
      <c r="H68" s="67">
        <f ca="1">IFERROR(__xludf.DUMMYFUNCTION("""COMPUTED_VALUE"""),71)</f>
        <v>71</v>
      </c>
      <c r="I68" s="51">
        <f t="shared" ca="1" si="1"/>
        <v>1</v>
      </c>
      <c r="J68" s="67">
        <f ca="1">IFERROR(__xludf.DUMMYFUNCTION("""COMPUTED_VALUE"""),67)</f>
        <v>67</v>
      </c>
      <c r="K68" s="51">
        <f t="shared" ca="1" si="2"/>
        <v>0.94366197183098588</v>
      </c>
      <c r="L68" s="67">
        <f ca="1">IFERROR(__xludf.DUMMYFUNCTION("""COMPUTED_VALUE"""),49)</f>
        <v>49</v>
      </c>
      <c r="M68" s="51">
        <f t="shared" ca="1" si="3"/>
        <v>0.6901408450704225</v>
      </c>
      <c r="N68" s="67">
        <f ca="1">IFERROR(__xludf.DUMMYFUNCTION("""COMPUTED_VALUE"""),1028)</f>
        <v>1028</v>
      </c>
      <c r="O68" s="67">
        <f ca="1">IFERROR(__xludf.DUMMYFUNCTION("""COMPUTED_VALUE"""),580)</f>
        <v>580</v>
      </c>
      <c r="P68" s="51">
        <f t="shared" ca="1" si="4"/>
        <v>0.56420233463035019</v>
      </c>
      <c r="Q68" s="67">
        <f ca="1">IFERROR(__xludf.DUMMYFUNCTION("""COMPUTED_VALUE"""),304)</f>
        <v>304</v>
      </c>
      <c r="R68" s="51">
        <f t="shared" ca="1" si="5"/>
        <v>0.29571984435797666</v>
      </c>
      <c r="S68" s="66"/>
      <c r="T68" s="66"/>
      <c r="U68" s="51" t="str">
        <f t="shared" si="6"/>
        <v/>
      </c>
      <c r="V68" s="66"/>
      <c r="W68" s="51" t="str">
        <f t="shared" si="7"/>
        <v/>
      </c>
      <c r="X68" s="66"/>
      <c r="Y68" s="51" t="str">
        <f t="shared" si="8"/>
        <v/>
      </c>
      <c r="Z68" s="2"/>
      <c r="AA68" s="2"/>
      <c r="AB68" s="2"/>
      <c r="AC68" s="2"/>
      <c r="AD68" s="2"/>
      <c r="AE68" s="2"/>
    </row>
    <row r="69" spans="1:31" ht="12.75" x14ac:dyDescent="0.2">
      <c r="A69" s="53">
        <f ca="1">IFERROR(__xludf.DUMMYFUNCTION("""COMPUTED_VALUE"""),17)</f>
        <v>17</v>
      </c>
      <c r="B69" s="66" t="str">
        <f ca="1">IFERROR(__xludf.DUMMYFUNCTION("""COMPUTED_VALUE"""),"TH Tô Hiến Thành")</f>
        <v>TH Tô Hiến Thành</v>
      </c>
      <c r="C69" s="66" t="str">
        <f ca="1">IFERROR(__xludf.DUMMYFUNCTION("""COMPUTED_VALUE"""),"Tiểu học")</f>
        <v>Tiểu học</v>
      </c>
      <c r="D69" s="66">
        <f ca="1">IFERROR(__xludf.DUMMYFUNCTION("""COMPUTED_VALUE"""),10)</f>
        <v>10</v>
      </c>
      <c r="E69" s="67">
        <f ca="1">IFERROR(__xludf.DUMMYFUNCTION("""COMPUTED_VALUE"""),26)</f>
        <v>26</v>
      </c>
      <c r="F69" s="67">
        <f ca="1">IFERROR(__xludf.DUMMYFUNCTION("""COMPUTED_VALUE"""),26)</f>
        <v>26</v>
      </c>
      <c r="G69" s="51">
        <f t="shared" ca="1" si="0"/>
        <v>1</v>
      </c>
      <c r="H69" s="67">
        <f ca="1">IFERROR(__xludf.DUMMYFUNCTION("""COMPUTED_VALUE"""),26)</f>
        <v>26</v>
      </c>
      <c r="I69" s="51">
        <f t="shared" ca="1" si="1"/>
        <v>1</v>
      </c>
      <c r="J69" s="67">
        <f ca="1">IFERROR(__xludf.DUMMYFUNCTION("""COMPUTED_VALUE"""),26)</f>
        <v>26</v>
      </c>
      <c r="K69" s="51">
        <f t="shared" ca="1" si="2"/>
        <v>1</v>
      </c>
      <c r="L69" s="67">
        <f ca="1">IFERROR(__xludf.DUMMYFUNCTION("""COMPUTED_VALUE"""),17)</f>
        <v>17</v>
      </c>
      <c r="M69" s="51">
        <f t="shared" ca="1" si="3"/>
        <v>0.65384615384615385</v>
      </c>
      <c r="N69" s="67">
        <f ca="1">IFERROR(__xludf.DUMMYFUNCTION("""COMPUTED_VALUE"""),267)</f>
        <v>267</v>
      </c>
      <c r="O69" s="67">
        <f ca="1">IFERROR(__xludf.DUMMYFUNCTION("""COMPUTED_VALUE"""),87)</f>
        <v>87</v>
      </c>
      <c r="P69" s="51">
        <f t="shared" ca="1" si="4"/>
        <v>0.3258426966292135</v>
      </c>
      <c r="Q69" s="67">
        <f ca="1">IFERROR(__xludf.DUMMYFUNCTION("""COMPUTED_VALUE"""),106)</f>
        <v>106</v>
      </c>
      <c r="R69" s="51">
        <f t="shared" ca="1" si="5"/>
        <v>0.39700374531835209</v>
      </c>
      <c r="S69" s="66"/>
      <c r="T69" s="66"/>
      <c r="U69" s="51" t="str">
        <f t="shared" si="6"/>
        <v/>
      </c>
      <c r="V69" s="66"/>
      <c r="W69" s="51" t="str">
        <f t="shared" si="7"/>
        <v/>
      </c>
      <c r="X69" s="66"/>
      <c r="Y69" s="51" t="str">
        <f t="shared" si="8"/>
        <v/>
      </c>
      <c r="Z69" s="2"/>
      <c r="AA69" s="2"/>
      <c r="AB69" s="2"/>
      <c r="AC69" s="2"/>
      <c r="AD69" s="2"/>
      <c r="AE69" s="2"/>
    </row>
    <row r="70" spans="1:31" ht="12.75" x14ac:dyDescent="0.2">
      <c r="A70" s="53">
        <f ca="1">IFERROR(__xludf.DUMMYFUNCTION("""COMPUTED_VALUE"""),18)</f>
        <v>18</v>
      </c>
      <c r="B70" s="66" t="str">
        <f ca="1">IFERROR(__xludf.DUMMYFUNCTION("""COMPUTED_VALUE"""),"TH Quốc Tế Á Châu")</f>
        <v>TH Quốc Tế Á Châu</v>
      </c>
      <c r="C70" s="66" t="str">
        <f ca="1">IFERROR(__xludf.DUMMYFUNCTION("""COMPUTED_VALUE"""),"Tiểu học")</f>
        <v>Tiểu học</v>
      </c>
      <c r="D70" s="66">
        <f ca="1">IFERROR(__xludf.DUMMYFUNCTION("""COMPUTED_VALUE"""),10)</f>
        <v>10</v>
      </c>
      <c r="E70" s="67">
        <f ca="1">IFERROR(__xludf.DUMMYFUNCTION("""COMPUTED_VALUE"""),151)</f>
        <v>151</v>
      </c>
      <c r="F70" s="67">
        <f ca="1">IFERROR(__xludf.DUMMYFUNCTION("""COMPUTED_VALUE"""),151)</f>
        <v>151</v>
      </c>
      <c r="G70" s="51">
        <f t="shared" ref="G70:G78" ca="1" si="9">IFERROR(F70/E70,"")</f>
        <v>1</v>
      </c>
      <c r="H70" s="67">
        <f ca="1">IFERROR(__xludf.DUMMYFUNCTION("""COMPUTED_VALUE"""),151)</f>
        <v>151</v>
      </c>
      <c r="I70" s="51">
        <f t="shared" ref="I70:I78" ca="1" si="10">IFERROR(H70/E70,"")</f>
        <v>1</v>
      </c>
      <c r="J70" s="67">
        <f ca="1">IFERROR(__xludf.DUMMYFUNCTION("""COMPUTED_VALUE"""),144)</f>
        <v>144</v>
      </c>
      <c r="K70" s="51">
        <f t="shared" ref="K70:K78" ca="1" si="11">IFERROR(J70/E70,"")</f>
        <v>0.95364238410596025</v>
      </c>
      <c r="L70" s="67">
        <f ca="1">IFERROR(__xludf.DUMMYFUNCTION("""COMPUTED_VALUE"""),109)</f>
        <v>109</v>
      </c>
      <c r="M70" s="51">
        <f t="shared" ref="M70:M78" ca="1" si="12">IFERROR(L70/E70,"")</f>
        <v>0.72185430463576161</v>
      </c>
      <c r="N70" s="67">
        <f ca="1">IFERROR(__xludf.DUMMYFUNCTION("""COMPUTED_VALUE"""),768)</f>
        <v>768</v>
      </c>
      <c r="O70" s="67">
        <f ca="1">IFERROR(__xludf.DUMMYFUNCTION("""COMPUTED_VALUE"""),160)</f>
        <v>160</v>
      </c>
      <c r="P70" s="51">
        <f t="shared" ref="P70:P78" ca="1" si="13">IFERROR(O70/N70,"")</f>
        <v>0.20833333333333334</v>
      </c>
      <c r="Q70" s="67">
        <f ca="1">IFERROR(__xludf.DUMMYFUNCTION("""COMPUTED_VALUE"""),206)</f>
        <v>206</v>
      </c>
      <c r="R70" s="51">
        <f t="shared" ref="R70:R78" ca="1" si="14">IFERROR(Q70/N70,"")</f>
        <v>0.26822916666666669</v>
      </c>
      <c r="S70" s="66"/>
      <c r="T70" s="66"/>
      <c r="U70" s="51" t="str">
        <f t="shared" ref="U70:U78" si="15">IFERROR(T70/S70,"")</f>
        <v/>
      </c>
      <c r="V70" s="66"/>
      <c r="W70" s="51" t="str">
        <f t="shared" ref="W70:W78" si="16">IFERROR(V70/S70,"")</f>
        <v/>
      </c>
      <c r="X70" s="66"/>
      <c r="Y70" s="51" t="str">
        <f t="shared" ref="Y70:Y78" si="17">IFERROR(X70/S70,"")</f>
        <v/>
      </c>
      <c r="Z70" s="2"/>
      <c r="AA70" s="2"/>
      <c r="AB70" s="2"/>
      <c r="AC70" s="2"/>
      <c r="AD70" s="2"/>
      <c r="AE70" s="2"/>
    </row>
    <row r="71" spans="1:31" ht="12.75" x14ac:dyDescent="0.2">
      <c r="A71" s="53">
        <f ca="1">IFERROR(__xludf.DUMMYFUNCTION("""COMPUTED_VALUE"""),19)</f>
        <v>19</v>
      </c>
      <c r="B71" s="66" t="str">
        <f ca="1">IFERROR(__xludf.DUMMYFUNCTION("""COMPUTED_VALUE"""),"TH Quốc Tế Việt Úc")</f>
        <v>TH Quốc Tế Việt Úc</v>
      </c>
      <c r="C71" s="66" t="str">
        <f ca="1">IFERROR(__xludf.DUMMYFUNCTION("""COMPUTED_VALUE"""),"Tiểu học")</f>
        <v>Tiểu học</v>
      </c>
      <c r="D71" s="66">
        <f ca="1">IFERROR(__xludf.DUMMYFUNCTION("""COMPUTED_VALUE"""),10)</f>
        <v>10</v>
      </c>
      <c r="E71" s="67">
        <f ca="1">IFERROR(__xludf.DUMMYFUNCTION("""COMPUTED_VALUE"""),0)</f>
        <v>0</v>
      </c>
      <c r="F71" s="67">
        <f ca="1">IFERROR(__xludf.DUMMYFUNCTION("""COMPUTED_VALUE"""),0)</f>
        <v>0</v>
      </c>
      <c r="G71" s="51" t="str">
        <f t="shared" ca="1" si="9"/>
        <v/>
      </c>
      <c r="H71" s="67">
        <f ca="1">IFERROR(__xludf.DUMMYFUNCTION("""COMPUTED_VALUE"""),0)</f>
        <v>0</v>
      </c>
      <c r="I71" s="51" t="str">
        <f t="shared" ca="1" si="10"/>
        <v/>
      </c>
      <c r="J71" s="67">
        <f ca="1">IFERROR(__xludf.DUMMYFUNCTION("""COMPUTED_VALUE"""),0)</f>
        <v>0</v>
      </c>
      <c r="K71" s="51" t="str">
        <f t="shared" ca="1" si="11"/>
        <v/>
      </c>
      <c r="L71" s="67">
        <f ca="1">IFERROR(__xludf.DUMMYFUNCTION("""COMPUTED_VALUE"""),0)</f>
        <v>0</v>
      </c>
      <c r="M71" s="51" t="str">
        <f t="shared" ca="1" si="12"/>
        <v/>
      </c>
      <c r="N71" s="67">
        <f ca="1">IFERROR(__xludf.DUMMYFUNCTION("""COMPUTED_VALUE"""),1000)</f>
        <v>1000</v>
      </c>
      <c r="O71" s="67">
        <f ca="1">IFERROR(__xludf.DUMMYFUNCTION("""COMPUTED_VALUE"""),351)</f>
        <v>351</v>
      </c>
      <c r="P71" s="51">
        <f t="shared" ca="1" si="13"/>
        <v>0.35099999999999998</v>
      </c>
      <c r="Q71" s="67">
        <f ca="1">IFERROR(__xludf.DUMMYFUNCTION("""COMPUTED_VALUE"""),206)</f>
        <v>206</v>
      </c>
      <c r="R71" s="51">
        <f t="shared" ca="1" si="14"/>
        <v>0.20599999999999999</v>
      </c>
      <c r="S71" s="66"/>
      <c r="T71" s="66"/>
      <c r="U71" s="51" t="str">
        <f t="shared" si="15"/>
        <v/>
      </c>
      <c r="V71" s="66"/>
      <c r="W71" s="51" t="str">
        <f t="shared" si="16"/>
        <v/>
      </c>
      <c r="X71" s="66"/>
      <c r="Y71" s="51" t="str">
        <f t="shared" si="17"/>
        <v/>
      </c>
      <c r="Z71" s="2"/>
      <c r="AA71" s="2"/>
      <c r="AB71" s="2"/>
      <c r="AC71" s="2"/>
      <c r="AD71" s="2"/>
      <c r="AE71" s="2"/>
    </row>
    <row r="72" spans="1:31" ht="12.75" x14ac:dyDescent="0.2">
      <c r="A72" s="55" t="str">
        <f ca="1">IFERROR(__xludf.DUMMYFUNCTION("""COMPUTED_VALUE"""),"THCS")</f>
        <v>THCS</v>
      </c>
      <c r="B72" s="66"/>
      <c r="C72" s="66"/>
      <c r="D72" s="66"/>
      <c r="E72" s="67">
        <f ca="1">IFERROR(__xludf.DUMMYFUNCTION("""COMPUTED_VALUE"""),1095)</f>
        <v>1095</v>
      </c>
      <c r="F72" s="67">
        <f ca="1">IFERROR(__xludf.DUMMYFUNCTION("""COMPUTED_VALUE"""),1093)</f>
        <v>1093</v>
      </c>
      <c r="G72" s="51">
        <f t="shared" ca="1" si="9"/>
        <v>0.9981735159817352</v>
      </c>
      <c r="H72" s="67">
        <f ca="1">IFERROR(__xludf.DUMMYFUNCTION("""COMPUTED_VALUE"""),1093)</f>
        <v>1093</v>
      </c>
      <c r="I72" s="51">
        <f t="shared" ca="1" si="10"/>
        <v>0.9981735159817352</v>
      </c>
      <c r="J72" s="67">
        <f ca="1">IFERROR(__xludf.DUMMYFUNCTION("""COMPUTED_VALUE"""),1064)</f>
        <v>1064</v>
      </c>
      <c r="K72" s="51">
        <f t="shared" ca="1" si="11"/>
        <v>0.97168949771689495</v>
      </c>
      <c r="L72" s="67">
        <f ca="1">IFERROR(__xludf.DUMMYFUNCTION("""COMPUTED_VALUE"""),619)</f>
        <v>619</v>
      </c>
      <c r="M72" s="51">
        <f t="shared" ca="1" si="12"/>
        <v>0.56529680365296808</v>
      </c>
      <c r="N72" s="67">
        <f ca="1">IFERROR(__xludf.DUMMYFUNCTION("""COMPUTED_VALUE"""),250)</f>
        <v>250</v>
      </c>
      <c r="O72" s="67">
        <f ca="1">IFERROR(__xludf.DUMMYFUNCTION("""COMPUTED_VALUE"""),250)</f>
        <v>250</v>
      </c>
      <c r="P72" s="51">
        <f t="shared" ca="1" si="13"/>
        <v>1</v>
      </c>
      <c r="Q72" s="67">
        <f ca="1">IFERROR(__xludf.DUMMYFUNCTION("""COMPUTED_VALUE"""),1129)</f>
        <v>1129</v>
      </c>
      <c r="R72" s="51">
        <f t="shared" ca="1" si="14"/>
        <v>4.516</v>
      </c>
      <c r="S72" s="67">
        <f ca="1">IFERROR(__xludf.DUMMYFUNCTION("""COMPUTED_VALUE"""),1039)</f>
        <v>1039</v>
      </c>
      <c r="T72" s="66">
        <f ca="1">IFERROR(__xludf.DUMMYFUNCTION("""COMPUTED_VALUE"""),1039)</f>
        <v>1039</v>
      </c>
      <c r="U72" s="51">
        <f t="shared" ca="1" si="15"/>
        <v>1</v>
      </c>
      <c r="V72" s="67">
        <f ca="1">IFERROR(__xludf.DUMMYFUNCTION("""COMPUTED_VALUE"""),1029)</f>
        <v>1029</v>
      </c>
      <c r="W72" s="51">
        <f t="shared" ca="1" si="16"/>
        <v>0.99037536092396539</v>
      </c>
      <c r="X72" s="67">
        <f ca="1">IFERROR(__xludf.DUMMYFUNCTION("""COMPUTED_VALUE"""),1029)</f>
        <v>1029</v>
      </c>
      <c r="Y72" s="51">
        <f t="shared" ca="1" si="17"/>
        <v>0.99037536092396539</v>
      </c>
      <c r="Z72" s="2"/>
      <c r="AA72" s="2"/>
      <c r="AB72" s="2"/>
      <c r="AC72" s="2"/>
      <c r="AD72" s="2"/>
      <c r="AE72" s="2"/>
    </row>
    <row r="73" spans="1:31" ht="12.75" x14ac:dyDescent="0.2">
      <c r="A73" s="53">
        <f ca="1">IFERROR(__xludf.DUMMYFUNCTION("""COMPUTED_VALUE"""),1)</f>
        <v>1</v>
      </c>
      <c r="B73" s="66" t="str">
        <f ca="1">IFERROR(__xludf.DUMMYFUNCTION("""COMPUTED_VALUE"""),"THCS Cách Mạng Tháng Tám")</f>
        <v>THCS Cách Mạng Tháng Tám</v>
      </c>
      <c r="C73" s="66" t="str">
        <f ca="1">IFERROR(__xludf.DUMMYFUNCTION("""COMPUTED_VALUE"""),"THCS")</f>
        <v>THCS</v>
      </c>
      <c r="D73" s="66">
        <f ca="1">IFERROR(__xludf.DUMMYFUNCTION("""COMPUTED_VALUE"""),10)</f>
        <v>10</v>
      </c>
      <c r="E73" s="67">
        <f ca="1">IFERROR(__xludf.DUMMYFUNCTION("""COMPUTED_VALUE"""),44)</f>
        <v>44</v>
      </c>
      <c r="F73" s="67">
        <f ca="1">IFERROR(__xludf.DUMMYFUNCTION("""COMPUTED_VALUE"""),44)</f>
        <v>44</v>
      </c>
      <c r="G73" s="51">
        <f t="shared" ca="1" si="9"/>
        <v>1</v>
      </c>
      <c r="H73" s="67">
        <f ca="1">IFERROR(__xludf.DUMMYFUNCTION("""COMPUTED_VALUE"""),44)</f>
        <v>44</v>
      </c>
      <c r="I73" s="51">
        <f t="shared" ca="1" si="10"/>
        <v>1</v>
      </c>
      <c r="J73" s="67">
        <f ca="1">IFERROR(__xludf.DUMMYFUNCTION("""COMPUTED_VALUE"""),39)</f>
        <v>39</v>
      </c>
      <c r="K73" s="51">
        <f t="shared" ca="1" si="11"/>
        <v>0.88636363636363635</v>
      </c>
      <c r="L73" s="67">
        <f ca="1">IFERROR(__xludf.DUMMYFUNCTION("""COMPUTED_VALUE"""),14)</f>
        <v>14</v>
      </c>
      <c r="M73" s="51">
        <f t="shared" ca="1" si="12"/>
        <v>0.31818181818181818</v>
      </c>
      <c r="N73" s="67">
        <f ca="1">IFERROR(__xludf.DUMMYFUNCTION("""COMPUTED_VALUE"""),124)</f>
        <v>124</v>
      </c>
      <c r="O73" s="67">
        <f ca="1">IFERROR(__xludf.DUMMYFUNCTION("""COMPUTED_VALUE"""),77)</f>
        <v>77</v>
      </c>
      <c r="P73" s="51">
        <f t="shared" ca="1" si="13"/>
        <v>0.62096774193548387</v>
      </c>
      <c r="Q73" s="67">
        <f ca="1">IFERROR(__xludf.DUMMYFUNCTION("""COMPUTED_VALUE"""),44)</f>
        <v>44</v>
      </c>
      <c r="R73" s="51">
        <f t="shared" ca="1" si="14"/>
        <v>0.35483870967741937</v>
      </c>
      <c r="S73" s="67">
        <f ca="1">IFERROR(__xludf.DUMMYFUNCTION("""COMPUTED_VALUE"""),338)</f>
        <v>338</v>
      </c>
      <c r="T73" s="66">
        <f ca="1">IFERROR(__xludf.DUMMYFUNCTION("""COMPUTED_VALUE"""),338)</f>
        <v>338</v>
      </c>
      <c r="U73" s="51">
        <f t="shared" ca="1" si="15"/>
        <v>1</v>
      </c>
      <c r="V73" s="67">
        <f ca="1">IFERROR(__xludf.DUMMYFUNCTION("""COMPUTED_VALUE"""),306)</f>
        <v>306</v>
      </c>
      <c r="W73" s="51">
        <f t="shared" ca="1" si="16"/>
        <v>0.90532544378698221</v>
      </c>
      <c r="X73" s="67">
        <f ca="1">IFERROR(__xludf.DUMMYFUNCTION("""COMPUTED_VALUE"""),42)</f>
        <v>42</v>
      </c>
      <c r="Y73" s="51">
        <f t="shared" ca="1" si="17"/>
        <v>0.1242603550295858</v>
      </c>
      <c r="Z73" s="2"/>
      <c r="AA73" s="2"/>
      <c r="AB73" s="2"/>
      <c r="AC73" s="2"/>
      <c r="AD73" s="2"/>
      <c r="AE73" s="2"/>
    </row>
    <row r="74" spans="1:31" ht="12.75" x14ac:dyDescent="0.2">
      <c r="A74" s="53">
        <f ca="1">IFERROR(__xludf.DUMMYFUNCTION("""COMPUTED_VALUE"""),2)</f>
        <v>2</v>
      </c>
      <c r="B74" s="66"/>
      <c r="C74" s="66"/>
      <c r="D74" s="66">
        <f ca="1">IFERROR(__xludf.DUMMYFUNCTION("""COMPUTED_VALUE"""),10)</f>
        <v>10</v>
      </c>
      <c r="E74" s="67" t="str">
        <f ca="1">IFERROR(__xludf.DUMMYFUNCTION("""COMPUTED_VALUE"""),"80")</f>
        <v>80</v>
      </c>
      <c r="F74" s="67" t="str">
        <f ca="1">IFERROR(__xludf.DUMMYFUNCTION("""COMPUTED_VALUE"""),"80")</f>
        <v>80</v>
      </c>
      <c r="G74" s="51">
        <f t="shared" ca="1" si="9"/>
        <v>1</v>
      </c>
      <c r="H74" s="67" t="str">
        <f ca="1">IFERROR(__xludf.DUMMYFUNCTION("""COMPUTED_VALUE"""),"80")</f>
        <v>80</v>
      </c>
      <c r="I74" s="51">
        <f t="shared" ca="1" si="10"/>
        <v>1</v>
      </c>
      <c r="J74" s="67" t="str">
        <f ca="1">IFERROR(__xludf.DUMMYFUNCTION("""COMPUTED_VALUE"""),"80")</f>
        <v>80</v>
      </c>
      <c r="K74" s="51">
        <f t="shared" ca="1" si="11"/>
        <v>1</v>
      </c>
      <c r="L74" s="67" t="str">
        <f ca="1">IFERROR(__xludf.DUMMYFUNCTION("""COMPUTED_VALUE"""),"60")</f>
        <v>60</v>
      </c>
      <c r="M74" s="51">
        <f t="shared" ca="1" si="12"/>
        <v>0.75</v>
      </c>
      <c r="N74" s="67" t="str">
        <f ca="1">IFERROR(__xludf.DUMMYFUNCTION("""COMPUTED_VALUE"""),"350")</f>
        <v>350</v>
      </c>
      <c r="O74" s="67" t="str">
        <f ca="1">IFERROR(__xludf.DUMMYFUNCTION("""COMPUTED_VALUE"""),"161")</f>
        <v>161</v>
      </c>
      <c r="P74" s="51">
        <f t="shared" ca="1" si="13"/>
        <v>0.46</v>
      </c>
      <c r="Q74" s="67" t="str">
        <f ca="1">IFERROR(__xludf.DUMMYFUNCTION("""COMPUTED_VALUE"""),"120")</f>
        <v>120</v>
      </c>
      <c r="R74" s="51">
        <f t="shared" ca="1" si="14"/>
        <v>0.34285714285714286</v>
      </c>
      <c r="S74" s="67" t="str">
        <f ca="1">IFERROR(__xludf.DUMMYFUNCTION("""COMPUTED_VALUE"""),"788")</f>
        <v>788</v>
      </c>
      <c r="T74" s="66" t="str">
        <f ca="1">IFERROR(__xludf.DUMMYFUNCTION("""COMPUTED_VALUE"""),"720")</f>
        <v>720</v>
      </c>
      <c r="U74" s="51">
        <f t="shared" ca="1" si="15"/>
        <v>0.91370558375634514</v>
      </c>
      <c r="V74" s="67" t="str">
        <f ca="1">IFERROR(__xludf.DUMMYFUNCTION("""COMPUTED_VALUE"""),"654")</f>
        <v>654</v>
      </c>
      <c r="W74" s="51">
        <f t="shared" ca="1" si="16"/>
        <v>0.82994923857868019</v>
      </c>
      <c r="X74" s="67" t="str">
        <f ca="1">IFERROR(__xludf.DUMMYFUNCTION("""COMPUTED_VALUE"""),"210")</f>
        <v>210</v>
      </c>
      <c r="Y74" s="51">
        <f t="shared" ca="1" si="17"/>
        <v>0.26649746192893403</v>
      </c>
      <c r="Z74" s="2"/>
      <c r="AA74" s="2"/>
      <c r="AB74" s="2"/>
      <c r="AC74" s="2"/>
      <c r="AD74" s="2"/>
      <c r="AE74" s="2"/>
    </row>
    <row r="75" spans="1:31" ht="12.75" x14ac:dyDescent="0.2">
      <c r="A75" s="53">
        <f ca="1">IFERROR(__xludf.DUMMYFUNCTION("""COMPUTED_VALUE"""),3)</f>
        <v>3</v>
      </c>
      <c r="B75" s="66" t="str">
        <f ca="1">IFERROR(__xludf.DUMMYFUNCTION("""COMPUTED_VALUE"""),"THCS Lạc Hồng")</f>
        <v>THCS Lạc Hồng</v>
      </c>
      <c r="C75" s="66" t="str">
        <f ca="1">IFERROR(__xludf.DUMMYFUNCTION("""COMPUTED_VALUE"""),"THCS")</f>
        <v>THCS</v>
      </c>
      <c r="D75" s="66">
        <f ca="1">IFERROR(__xludf.DUMMYFUNCTION("""COMPUTED_VALUE"""),10)</f>
        <v>10</v>
      </c>
      <c r="E75" s="67">
        <f ca="1">IFERROR(__xludf.DUMMYFUNCTION("""COMPUTED_VALUE"""),71)</f>
        <v>71</v>
      </c>
      <c r="F75" s="67">
        <f ca="1">IFERROR(__xludf.DUMMYFUNCTION("""COMPUTED_VALUE"""),71)</f>
        <v>71</v>
      </c>
      <c r="G75" s="51">
        <f t="shared" ca="1" si="9"/>
        <v>1</v>
      </c>
      <c r="H75" s="67">
        <f ca="1">IFERROR(__xludf.DUMMYFUNCTION("""COMPUTED_VALUE"""),71)</f>
        <v>71</v>
      </c>
      <c r="I75" s="51">
        <f t="shared" ca="1" si="10"/>
        <v>1</v>
      </c>
      <c r="J75" s="67">
        <f ca="1">IFERROR(__xludf.DUMMYFUNCTION("""COMPUTED_VALUE"""),67)</f>
        <v>67</v>
      </c>
      <c r="K75" s="51">
        <f t="shared" ca="1" si="11"/>
        <v>0.94366197183098588</v>
      </c>
      <c r="L75" s="67">
        <f ca="1">IFERROR(__xludf.DUMMYFUNCTION("""COMPUTED_VALUE"""),30)</f>
        <v>30</v>
      </c>
      <c r="M75" s="51">
        <f t="shared" ca="1" si="12"/>
        <v>0.42253521126760563</v>
      </c>
      <c r="N75" s="67">
        <f ca="1">IFERROR(__xludf.DUMMYFUNCTION("""COMPUTED_VALUE"""),391)</f>
        <v>391</v>
      </c>
      <c r="O75" s="67">
        <f ca="1">IFERROR(__xludf.DUMMYFUNCTION("""COMPUTED_VALUE"""),269)</f>
        <v>269</v>
      </c>
      <c r="P75" s="51">
        <f t="shared" ca="1" si="13"/>
        <v>0.68797953964194369</v>
      </c>
      <c r="Q75" s="67">
        <f ca="1">IFERROR(__xludf.DUMMYFUNCTION("""COMPUTED_VALUE"""),181)</f>
        <v>181</v>
      </c>
      <c r="R75" s="51">
        <f t="shared" ca="1" si="14"/>
        <v>0.46291560102301788</v>
      </c>
      <c r="S75" s="67">
        <f ca="1">IFERROR(__xludf.DUMMYFUNCTION("""COMPUTED_VALUE"""),793)</f>
        <v>793</v>
      </c>
      <c r="T75" s="66">
        <f ca="1">IFERROR(__xludf.DUMMYFUNCTION("""COMPUTED_VALUE"""),732)</f>
        <v>732</v>
      </c>
      <c r="U75" s="51">
        <f t="shared" ca="1" si="15"/>
        <v>0.92307692307692313</v>
      </c>
      <c r="V75" s="67">
        <f ca="1">IFERROR(__xludf.DUMMYFUNCTION("""COMPUTED_VALUE"""),689)</f>
        <v>689</v>
      </c>
      <c r="W75" s="51">
        <f t="shared" ca="1" si="16"/>
        <v>0.86885245901639341</v>
      </c>
      <c r="X75" s="67">
        <f ca="1">IFERROR(__xludf.DUMMYFUNCTION("""COMPUTED_VALUE"""),183)</f>
        <v>183</v>
      </c>
      <c r="Y75" s="51">
        <f t="shared" ca="1" si="17"/>
        <v>0.23076923076923078</v>
      </c>
      <c r="Z75" s="2"/>
      <c r="AA75" s="2"/>
      <c r="AB75" s="2"/>
      <c r="AC75" s="2"/>
      <c r="AD75" s="2"/>
      <c r="AE75" s="2"/>
    </row>
    <row r="76" spans="1:31" ht="12.75" x14ac:dyDescent="0.2">
      <c r="A76" s="53">
        <f ca="1">IFERROR(__xludf.DUMMYFUNCTION("""COMPUTED_VALUE"""),4)</f>
        <v>4</v>
      </c>
      <c r="B76" s="66"/>
      <c r="C76" s="66"/>
      <c r="D76" s="66">
        <f ca="1">IFERROR(__xludf.DUMMYFUNCTION("""COMPUTED_VALUE"""),10)</f>
        <v>10</v>
      </c>
      <c r="E76" s="67">
        <f ca="1">IFERROR(__xludf.DUMMYFUNCTION("""COMPUTED_VALUE"""),78)</f>
        <v>78</v>
      </c>
      <c r="F76" s="67">
        <f ca="1">IFERROR(__xludf.DUMMYFUNCTION("""COMPUTED_VALUE"""),78)</f>
        <v>78</v>
      </c>
      <c r="G76" s="51">
        <f t="shared" ca="1" si="9"/>
        <v>1</v>
      </c>
      <c r="H76" s="67">
        <f ca="1">IFERROR(__xludf.DUMMYFUNCTION("""COMPUTED_VALUE"""),78)</f>
        <v>78</v>
      </c>
      <c r="I76" s="51">
        <f t="shared" ca="1" si="10"/>
        <v>1</v>
      </c>
      <c r="J76" s="67">
        <f ca="1">IFERROR(__xludf.DUMMYFUNCTION("""COMPUTED_VALUE"""),78)</f>
        <v>78</v>
      </c>
      <c r="K76" s="51">
        <f t="shared" ca="1" si="11"/>
        <v>1</v>
      </c>
      <c r="L76" s="67">
        <f ca="1">IFERROR(__xludf.DUMMYFUNCTION("""COMPUTED_VALUE"""),35)</f>
        <v>35</v>
      </c>
      <c r="M76" s="51">
        <f t="shared" ca="1" si="12"/>
        <v>0.44871794871794873</v>
      </c>
      <c r="N76" s="67">
        <f ca="1">IFERROR(__xludf.DUMMYFUNCTION("""COMPUTED_VALUE"""),295)</f>
        <v>295</v>
      </c>
      <c r="O76" s="67">
        <f ca="1">IFERROR(__xludf.DUMMYFUNCTION("""COMPUTED_VALUE"""),250)</f>
        <v>250</v>
      </c>
      <c r="P76" s="51">
        <f t="shared" ca="1" si="13"/>
        <v>0.84745762711864403</v>
      </c>
      <c r="Q76" s="67">
        <f ca="1">IFERROR(__xludf.DUMMYFUNCTION("""COMPUTED_VALUE"""),250)</f>
        <v>250</v>
      </c>
      <c r="R76" s="51">
        <f t="shared" ca="1" si="14"/>
        <v>0.84745762711864403</v>
      </c>
      <c r="S76" s="67">
        <f ca="1">IFERROR(__xludf.DUMMYFUNCTION("""COMPUTED_VALUE"""),1039)</f>
        <v>1039</v>
      </c>
      <c r="T76" s="66">
        <f ca="1">IFERROR(__xludf.DUMMYFUNCTION("""COMPUTED_VALUE"""),1039)</f>
        <v>1039</v>
      </c>
      <c r="U76" s="51">
        <f t="shared" ca="1" si="15"/>
        <v>1</v>
      </c>
      <c r="V76" s="67">
        <f ca="1">IFERROR(__xludf.DUMMYFUNCTION("""COMPUTED_VALUE"""),1039)</f>
        <v>1039</v>
      </c>
      <c r="W76" s="51">
        <f t="shared" ca="1" si="16"/>
        <v>1</v>
      </c>
      <c r="X76" s="67">
        <f ca="1">IFERROR(__xludf.DUMMYFUNCTION("""COMPUTED_VALUE"""),300)</f>
        <v>300</v>
      </c>
      <c r="Y76" s="51">
        <f t="shared" ca="1" si="17"/>
        <v>0.28873917228103946</v>
      </c>
      <c r="Z76" s="2"/>
      <c r="AA76" s="2"/>
      <c r="AB76" s="2"/>
      <c r="AC76" s="2"/>
      <c r="AD76" s="2"/>
      <c r="AE76" s="2"/>
    </row>
    <row r="77" spans="1:31" ht="12.75" x14ac:dyDescent="0.2">
      <c r="A77" s="53">
        <f ca="1">IFERROR(__xludf.DUMMYFUNCTION("""COMPUTED_VALUE"""),5)</f>
        <v>5</v>
      </c>
      <c r="B77" s="66" t="str">
        <f ca="1">IFERROR(__xludf.DUMMYFUNCTION("""COMPUTED_VALUE"""),"THCS Hòang Văn Thụ")</f>
        <v>THCS Hòang Văn Thụ</v>
      </c>
      <c r="C77" s="66" t="str">
        <f ca="1">IFERROR(__xludf.DUMMYFUNCTION("""COMPUTED_VALUE"""),"THCS")</f>
        <v>THCS</v>
      </c>
      <c r="D77" s="66">
        <f ca="1">IFERROR(__xludf.DUMMYFUNCTION("""COMPUTED_VALUE"""),10)</f>
        <v>10</v>
      </c>
      <c r="E77" s="67">
        <f ca="1">IFERROR(__xludf.DUMMYFUNCTION("""COMPUTED_VALUE"""),94)</f>
        <v>94</v>
      </c>
      <c r="F77" s="67">
        <f ca="1">IFERROR(__xludf.DUMMYFUNCTION("""COMPUTED_VALUE"""),94)</f>
        <v>94</v>
      </c>
      <c r="G77" s="51">
        <f t="shared" ca="1" si="9"/>
        <v>1</v>
      </c>
      <c r="H77" s="67">
        <f ca="1">IFERROR(__xludf.DUMMYFUNCTION("""COMPUTED_VALUE"""),94)</f>
        <v>94</v>
      </c>
      <c r="I77" s="51">
        <f t="shared" ca="1" si="10"/>
        <v>1</v>
      </c>
      <c r="J77" s="67">
        <f ca="1">IFERROR(__xludf.DUMMYFUNCTION("""COMPUTED_VALUE"""),91)</f>
        <v>91</v>
      </c>
      <c r="K77" s="51">
        <f t="shared" ca="1" si="11"/>
        <v>0.96808510638297873</v>
      </c>
      <c r="L77" s="67">
        <f ca="1">IFERROR(__xludf.DUMMYFUNCTION("""COMPUTED_VALUE"""),54)</f>
        <v>54</v>
      </c>
      <c r="M77" s="51">
        <f t="shared" ca="1" si="12"/>
        <v>0.57446808510638303</v>
      </c>
      <c r="N77" s="67">
        <f ca="1">IFERROR(__xludf.DUMMYFUNCTION("""COMPUTED_VALUE"""),467)</f>
        <v>467</v>
      </c>
      <c r="O77" s="67">
        <f ca="1">IFERROR(__xludf.DUMMYFUNCTION("""COMPUTED_VALUE"""),265)</f>
        <v>265</v>
      </c>
      <c r="P77" s="51">
        <f t="shared" ca="1" si="13"/>
        <v>0.56745182012847961</v>
      </c>
      <c r="Q77" s="67">
        <f ca="1">IFERROR(__xludf.DUMMYFUNCTION("""COMPUTED_VALUE"""),194)</f>
        <v>194</v>
      </c>
      <c r="R77" s="51">
        <f t="shared" ca="1" si="14"/>
        <v>0.41541755888650966</v>
      </c>
      <c r="S77" s="67">
        <f ca="1">IFERROR(__xludf.DUMMYFUNCTION("""COMPUTED_VALUE"""),1264)</f>
        <v>1264</v>
      </c>
      <c r="T77" s="66">
        <f ca="1">IFERROR(__xludf.DUMMYFUNCTION("""COMPUTED_VALUE"""),1108)</f>
        <v>1108</v>
      </c>
      <c r="U77" s="51">
        <f t="shared" ca="1" si="15"/>
        <v>0.87658227848101267</v>
      </c>
      <c r="V77" s="67">
        <f ca="1">IFERROR(__xludf.DUMMYFUNCTION("""COMPUTED_VALUE"""),1049)</f>
        <v>1049</v>
      </c>
      <c r="W77" s="51">
        <f t="shared" ca="1" si="16"/>
        <v>0.82990506329113922</v>
      </c>
      <c r="X77" s="67">
        <f ca="1">IFERROR(__xludf.DUMMYFUNCTION("""COMPUTED_VALUE"""),372)</f>
        <v>372</v>
      </c>
      <c r="Y77" s="51">
        <f t="shared" ca="1" si="17"/>
        <v>0.29430379746835444</v>
      </c>
      <c r="Z77" s="2"/>
      <c r="AA77" s="2"/>
      <c r="AB77" s="2"/>
      <c r="AC77" s="2"/>
      <c r="AD77" s="2"/>
      <c r="AE77" s="2"/>
    </row>
    <row r="78" spans="1:31" ht="12.75" x14ac:dyDescent="0.2">
      <c r="A78" s="53">
        <f ca="1">IFERROR(__xludf.DUMMYFUNCTION("""COMPUTED_VALUE"""),6)</f>
        <v>6</v>
      </c>
      <c r="B78" s="66" t="str">
        <f ca="1">IFERROR(__xludf.DUMMYFUNCTION("""COMPUTED_VALUE"""),"THCS Nguyễn Tri Phương")</f>
        <v>THCS Nguyễn Tri Phương</v>
      </c>
      <c r="C78" s="66" t="str">
        <f ca="1">IFERROR(__xludf.DUMMYFUNCTION("""COMPUTED_VALUE"""),"THCS")</f>
        <v>THCS</v>
      </c>
      <c r="D78" s="66">
        <f ca="1">IFERROR(__xludf.DUMMYFUNCTION("""COMPUTED_VALUE"""),10)</f>
        <v>10</v>
      </c>
      <c r="E78" s="67">
        <f ca="1">IFERROR(__xludf.DUMMYFUNCTION("""COMPUTED_VALUE"""),84)</f>
        <v>84</v>
      </c>
      <c r="F78" s="67">
        <f ca="1">IFERROR(__xludf.DUMMYFUNCTION("""COMPUTED_VALUE"""),83)</f>
        <v>83</v>
      </c>
      <c r="G78" s="51">
        <f t="shared" ca="1" si="9"/>
        <v>0.98809523809523814</v>
      </c>
      <c r="H78" s="67">
        <f ca="1">IFERROR(__xludf.DUMMYFUNCTION("""COMPUTED_VALUE"""),83)</f>
        <v>83</v>
      </c>
      <c r="I78" s="51">
        <f t="shared" ca="1" si="10"/>
        <v>0.98809523809523814</v>
      </c>
      <c r="J78" s="67">
        <f ca="1">IFERROR(__xludf.DUMMYFUNCTION("""COMPUTED_VALUE"""),81)</f>
        <v>81</v>
      </c>
      <c r="K78" s="51">
        <f t="shared" ca="1" si="11"/>
        <v>0.9642857142857143</v>
      </c>
      <c r="L78" s="67">
        <f ca="1">IFERROR(__xludf.DUMMYFUNCTION("""COMPUTED_VALUE"""),50)</f>
        <v>50</v>
      </c>
      <c r="M78" s="51">
        <f t="shared" ca="1" si="12"/>
        <v>0.59523809523809523</v>
      </c>
      <c r="N78" s="67">
        <f ca="1">IFERROR(__xludf.DUMMYFUNCTION("""COMPUTED_VALUE"""),455)</f>
        <v>455</v>
      </c>
      <c r="O78" s="67">
        <f ca="1">IFERROR(__xludf.DUMMYFUNCTION("""COMPUTED_VALUE"""),305)</f>
        <v>305</v>
      </c>
      <c r="P78" s="51">
        <f t="shared" ca="1" si="13"/>
        <v>0.67032967032967028</v>
      </c>
      <c r="Q78" s="67">
        <f ca="1">IFERROR(__xludf.DUMMYFUNCTION("""COMPUTED_VALUE"""),274)</f>
        <v>274</v>
      </c>
      <c r="R78" s="51">
        <f t="shared" ca="1" si="14"/>
        <v>0.60219780219780217</v>
      </c>
      <c r="S78" s="67">
        <f ca="1">IFERROR(__xludf.DUMMYFUNCTION("""COMPUTED_VALUE"""),931)</f>
        <v>931</v>
      </c>
      <c r="T78" s="66">
        <f ca="1">IFERROR(__xludf.DUMMYFUNCTION("""COMPUTED_VALUE"""),887)</f>
        <v>887</v>
      </c>
      <c r="U78" s="51">
        <f t="shared" ca="1" si="15"/>
        <v>0.95273899033297527</v>
      </c>
      <c r="V78" s="67">
        <f ca="1">IFERROR(__xludf.DUMMYFUNCTION("""COMPUTED_VALUE"""),871)</f>
        <v>871</v>
      </c>
      <c r="W78" s="51">
        <f t="shared" ca="1" si="16"/>
        <v>0.93555316863587545</v>
      </c>
      <c r="X78" s="67">
        <f ca="1">IFERROR(__xludf.DUMMYFUNCTION("""COMPUTED_VALUE"""),420)</f>
        <v>420</v>
      </c>
      <c r="Y78" s="51">
        <f t="shared" ca="1" si="17"/>
        <v>0.45112781954887216</v>
      </c>
      <c r="Z78" s="2"/>
      <c r="AA78" s="2"/>
      <c r="AB78" s="2"/>
      <c r="AC78" s="2"/>
      <c r="AD78" s="2"/>
      <c r="AE78" s="2"/>
    </row>
    <row r="79" spans="1:31" ht="12.75" x14ac:dyDescent="0.2">
      <c r="A79" s="53">
        <f ca="1">IFERROR(__xludf.DUMMYFUNCTION("""COMPUTED_VALUE"""),7)</f>
        <v>7</v>
      </c>
      <c r="B79" s="66" t="str">
        <f ca="1">IFERROR(__xludf.DUMMYFUNCTION("""COMPUTED_VALUE"""),"THCS Hòa Hưng")</f>
        <v>THCS Hòa Hưng</v>
      </c>
      <c r="C79" s="66" t="str">
        <f ca="1">IFERROR(__xludf.DUMMYFUNCTION("""COMPUTED_VALUE"""),"THCS")</f>
        <v>THCS</v>
      </c>
      <c r="D79" s="66">
        <f ca="1">IFERROR(__xludf.DUMMYFUNCTION("""COMPUTED_VALUE"""),10)</f>
        <v>10</v>
      </c>
      <c r="E79" s="67">
        <f ca="1">IFERROR(__xludf.DUMMYFUNCTION("""COMPUTED_VALUE"""),28)</f>
        <v>28</v>
      </c>
      <c r="F79" s="67">
        <f ca="1">IFERROR(__xludf.DUMMYFUNCTION("""COMPUTED_VALUE"""),28)</f>
        <v>28</v>
      </c>
      <c r="G79" s="67"/>
      <c r="H79" s="67">
        <f ca="1">IFERROR(__xludf.DUMMYFUNCTION("""COMPUTED_VALUE"""),28)</f>
        <v>28</v>
      </c>
      <c r="I79" s="67"/>
      <c r="J79" s="67">
        <f ca="1">IFERROR(__xludf.DUMMYFUNCTION("""COMPUTED_VALUE"""),25)</f>
        <v>25</v>
      </c>
      <c r="K79" s="67"/>
      <c r="L79" s="67">
        <f ca="1">IFERROR(__xludf.DUMMYFUNCTION("""COMPUTED_VALUE"""),10)</f>
        <v>10</v>
      </c>
      <c r="M79" s="67"/>
      <c r="N79" s="67">
        <f ca="1">IFERROR(__xludf.DUMMYFUNCTION("""COMPUTED_VALUE"""),157)</f>
        <v>157</v>
      </c>
      <c r="O79" s="67">
        <f ca="1">IFERROR(__xludf.DUMMYFUNCTION("""COMPUTED_VALUE"""),102)</f>
        <v>102</v>
      </c>
      <c r="P79" s="67"/>
      <c r="Q79" s="67">
        <f ca="1">IFERROR(__xludf.DUMMYFUNCTION("""COMPUTED_VALUE"""),68)</f>
        <v>68</v>
      </c>
      <c r="R79" s="67"/>
      <c r="S79" s="66">
        <f ca="1">IFERROR(__xludf.DUMMYFUNCTION("""COMPUTED_VALUE"""),105)</f>
        <v>105</v>
      </c>
      <c r="T79" s="66">
        <f ca="1">IFERROR(__xludf.DUMMYFUNCTION("""COMPUTED_VALUE"""),82)</f>
        <v>82</v>
      </c>
      <c r="U79" s="66"/>
      <c r="V79" s="66">
        <f ca="1">IFERROR(__xludf.DUMMYFUNCTION("""COMPUTED_VALUE"""),71)</f>
        <v>71</v>
      </c>
      <c r="W79" s="66"/>
      <c r="X79" s="66">
        <f ca="1">IFERROR(__xludf.DUMMYFUNCTION("""COMPUTED_VALUE"""),17)</f>
        <v>17</v>
      </c>
      <c r="Y79" s="66"/>
      <c r="Z79" s="2"/>
      <c r="AA79" s="2"/>
      <c r="AB79" s="2"/>
      <c r="AC79" s="2"/>
      <c r="AD79" s="2"/>
      <c r="AE79" s="2"/>
    </row>
    <row r="80" spans="1:31" ht="12.75" x14ac:dyDescent="0.2">
      <c r="A80" s="53">
        <f ca="1">IFERROR(__xludf.DUMMYFUNCTION("""COMPUTED_VALUE"""),8)</f>
        <v>8</v>
      </c>
      <c r="B80" s="66" t="str">
        <f ca="1">IFERROR(__xludf.DUMMYFUNCTION("""COMPUTED_VALUE"""),"TH, THCS Pennschool")</f>
        <v>TH, THCS Pennschool</v>
      </c>
      <c r="C80" s="66" t="str">
        <f ca="1">IFERROR(__xludf.DUMMYFUNCTION("""COMPUTED_VALUE"""),"THCS")</f>
        <v>THCS</v>
      </c>
      <c r="D80" s="66">
        <f ca="1">IFERROR(__xludf.DUMMYFUNCTION("""COMPUTED_VALUE"""),10)</f>
        <v>10</v>
      </c>
      <c r="E80" s="67">
        <f ca="1">IFERROR(__xludf.DUMMYFUNCTION("""COMPUTED_VALUE"""),81)</f>
        <v>81</v>
      </c>
      <c r="F80" s="67">
        <f ca="1">IFERROR(__xludf.DUMMYFUNCTION("""COMPUTED_VALUE"""),81)</f>
        <v>81</v>
      </c>
      <c r="G80" s="67"/>
      <c r="H80" s="67">
        <f ca="1">IFERROR(__xludf.DUMMYFUNCTION("""COMPUTED_VALUE"""),81)</f>
        <v>81</v>
      </c>
      <c r="I80" s="67"/>
      <c r="J80" s="67">
        <f ca="1">IFERROR(__xludf.DUMMYFUNCTION("""COMPUTED_VALUE"""),81)</f>
        <v>81</v>
      </c>
      <c r="K80" s="67"/>
      <c r="L80" s="67">
        <f ca="1">IFERROR(__xludf.DUMMYFUNCTION("""COMPUTED_VALUE"""),77)</f>
        <v>77</v>
      </c>
      <c r="M80" s="67"/>
      <c r="N80" s="67">
        <f ca="1">IFERROR(__xludf.DUMMYFUNCTION("""COMPUTED_VALUE"""),484)</f>
        <v>484</v>
      </c>
      <c r="O80" s="67">
        <f ca="1">IFERROR(__xludf.DUMMYFUNCTION("""COMPUTED_VALUE"""),72)</f>
        <v>72</v>
      </c>
      <c r="P80" s="67"/>
      <c r="Q80" s="67">
        <f ca="1">IFERROR(__xludf.DUMMYFUNCTION("""COMPUTED_VALUE"""),58)</f>
        <v>58</v>
      </c>
      <c r="R80" s="67"/>
      <c r="S80" s="67">
        <f ca="1">IFERROR(__xludf.DUMMYFUNCTION("""COMPUTED_VALUE"""),153)</f>
        <v>153</v>
      </c>
      <c r="T80" s="66">
        <f ca="1">IFERROR(__xludf.DUMMYFUNCTION("""COMPUTED_VALUE"""),153)</f>
        <v>153</v>
      </c>
      <c r="U80" s="66"/>
      <c r="V80" s="67">
        <f ca="1">IFERROR(__xludf.DUMMYFUNCTION("""COMPUTED_VALUE"""),148)</f>
        <v>148</v>
      </c>
      <c r="W80" s="67"/>
      <c r="X80" s="67">
        <f ca="1">IFERROR(__xludf.DUMMYFUNCTION("""COMPUTED_VALUE"""),120)</f>
        <v>120</v>
      </c>
      <c r="Y80" s="67"/>
      <c r="Z80" s="2"/>
      <c r="AA80" s="2"/>
      <c r="AB80" s="2"/>
      <c r="AC80" s="2"/>
      <c r="AD80" s="2"/>
      <c r="AE80" s="2"/>
    </row>
    <row r="81" spans="1:31" ht="12.75" x14ac:dyDescent="0.2">
      <c r="A81" s="53">
        <f ca="1">IFERROR(__xludf.DUMMYFUNCTION("""COMPUTED_VALUE"""),9)</f>
        <v>9</v>
      </c>
      <c r="B81" s="66" t="str">
        <f ca="1">IFERROR(__xludf.DUMMYFUNCTION("""COMPUTED_VALUE"""),"THCS Sương Nguyệt Anh")</f>
        <v>THCS Sương Nguyệt Anh</v>
      </c>
      <c r="C81" s="66" t="str">
        <f ca="1">IFERROR(__xludf.DUMMYFUNCTION("""COMPUTED_VALUE"""),"THCS")</f>
        <v>THCS</v>
      </c>
      <c r="D81" s="66">
        <f ca="1">IFERROR(__xludf.DUMMYFUNCTION("""COMPUTED_VALUE"""),10)</f>
        <v>10</v>
      </c>
      <c r="E81" s="67">
        <f ca="1">IFERROR(__xludf.DUMMYFUNCTION("""COMPUTED_VALUE"""),0)</f>
        <v>0</v>
      </c>
      <c r="F81" s="67">
        <f ca="1">IFERROR(__xludf.DUMMYFUNCTION("""COMPUTED_VALUE"""),0)</f>
        <v>0</v>
      </c>
      <c r="G81" s="67"/>
      <c r="H81" s="67">
        <f ca="1">IFERROR(__xludf.DUMMYFUNCTION("""COMPUTED_VALUE"""),0)</f>
        <v>0</v>
      </c>
      <c r="I81" s="67"/>
      <c r="J81" s="67">
        <f ca="1">IFERROR(__xludf.DUMMYFUNCTION("""COMPUTED_VALUE"""),0)</f>
        <v>0</v>
      </c>
      <c r="K81" s="67"/>
      <c r="L81" s="67">
        <f ca="1">IFERROR(__xludf.DUMMYFUNCTION("""COMPUTED_VALUE"""),0)</f>
        <v>0</v>
      </c>
      <c r="M81" s="67"/>
      <c r="N81" s="67">
        <f ca="1">IFERROR(__xludf.DUMMYFUNCTION("""COMPUTED_VALUE"""),28)</f>
        <v>28</v>
      </c>
      <c r="O81" s="67">
        <f ca="1">IFERROR(__xludf.DUMMYFUNCTION("""COMPUTED_VALUE"""),12)</f>
        <v>12</v>
      </c>
      <c r="P81" s="67"/>
      <c r="Q81" s="67">
        <f ca="1">IFERROR(__xludf.DUMMYFUNCTION("""COMPUTED_VALUE"""),7)</f>
        <v>7</v>
      </c>
      <c r="R81" s="67"/>
      <c r="S81" s="67">
        <f ca="1">IFERROR(__xludf.DUMMYFUNCTION("""COMPUTED_VALUE"""),368)</f>
        <v>368</v>
      </c>
      <c r="T81" s="67">
        <f ca="1">IFERROR(__xludf.DUMMYFUNCTION("""COMPUTED_VALUE"""),260)</f>
        <v>260</v>
      </c>
      <c r="U81" s="67"/>
      <c r="V81" s="67">
        <f ca="1">IFERROR(__xludf.DUMMYFUNCTION("""COMPUTED_VALUE"""),197)</f>
        <v>197</v>
      </c>
      <c r="W81" s="67"/>
      <c r="X81" s="67">
        <f ca="1">IFERROR(__xludf.DUMMYFUNCTION("""COMPUTED_VALUE"""),28)</f>
        <v>28</v>
      </c>
      <c r="Y81" s="67"/>
      <c r="Z81" s="2"/>
      <c r="AA81" s="2"/>
      <c r="AB81" s="2"/>
      <c r="AC81" s="2"/>
      <c r="AD81" s="2"/>
      <c r="AE81" s="2"/>
    </row>
    <row r="82" spans="1:31" ht="12.75" x14ac:dyDescent="0.2">
      <c r="A82" s="53">
        <f ca="1">IFERROR(__xludf.DUMMYFUNCTION("""COMPUTED_VALUE"""),10)</f>
        <v>10</v>
      </c>
      <c r="B82" s="66" t="str">
        <f ca="1">IFERROR(__xludf.DUMMYFUNCTION("""COMPUTED_VALUE"""),"THCS Diên Hồng")</f>
        <v>THCS Diên Hồng</v>
      </c>
      <c r="C82" s="66" t="str">
        <f ca="1">IFERROR(__xludf.DUMMYFUNCTION("""COMPUTED_VALUE"""),"THCS")</f>
        <v>THCS</v>
      </c>
      <c r="D82" s="66">
        <f ca="1">IFERROR(__xludf.DUMMYFUNCTION("""COMPUTED_VALUE"""),10)</f>
        <v>10</v>
      </c>
      <c r="E82" s="67">
        <f ca="1">IFERROR(__xludf.DUMMYFUNCTION("""COMPUTED_VALUE"""),409)</f>
        <v>409</v>
      </c>
      <c r="F82" s="67">
        <f ca="1">IFERROR(__xludf.DUMMYFUNCTION("""COMPUTED_VALUE"""),409)</f>
        <v>409</v>
      </c>
      <c r="G82" s="67"/>
      <c r="H82" s="67">
        <f ca="1">IFERROR(__xludf.DUMMYFUNCTION("""COMPUTED_VALUE"""),409)</f>
        <v>409</v>
      </c>
      <c r="I82" s="67"/>
      <c r="J82" s="67">
        <f ca="1">IFERROR(__xludf.DUMMYFUNCTION("""COMPUTED_VALUE"""),400)</f>
        <v>400</v>
      </c>
      <c r="K82" s="67"/>
      <c r="L82" s="67">
        <f ca="1">IFERROR(__xludf.DUMMYFUNCTION("""COMPUTED_VALUE"""),163)</f>
        <v>163</v>
      </c>
      <c r="M82" s="67"/>
      <c r="N82" s="67">
        <f ca="1">IFERROR(__xludf.DUMMYFUNCTION("""COMPUTED_VALUE"""),0)</f>
        <v>0</v>
      </c>
      <c r="O82" s="67">
        <f ca="1">IFERROR(__xludf.DUMMYFUNCTION("""COMPUTED_VALUE"""),0)</f>
        <v>0</v>
      </c>
      <c r="P82" s="67"/>
      <c r="Q82" s="67">
        <f ca="1">IFERROR(__xludf.DUMMYFUNCTION("""COMPUTED_VALUE"""),0)</f>
        <v>0</v>
      </c>
      <c r="R82" s="67"/>
      <c r="S82" s="67">
        <f ca="1">IFERROR(__xludf.DUMMYFUNCTION("""COMPUTED_VALUE"""),1143)</f>
        <v>1143</v>
      </c>
      <c r="T82" s="66">
        <f ca="1">IFERROR(__xludf.DUMMYFUNCTION("""COMPUTED_VALUE"""),93)</f>
        <v>93</v>
      </c>
      <c r="U82" s="66"/>
      <c r="V82" s="67">
        <f ca="1">IFERROR(__xludf.DUMMYFUNCTION("""COMPUTED_VALUE"""),569)</f>
        <v>569</v>
      </c>
      <c r="W82" s="67"/>
      <c r="X82" s="67">
        <f ca="1">IFERROR(__xludf.DUMMYFUNCTION("""COMPUTED_VALUE"""),259)</f>
        <v>259</v>
      </c>
      <c r="Y82" s="67"/>
      <c r="Z82" s="2"/>
      <c r="AA82" s="2"/>
      <c r="AB82" s="2"/>
      <c r="AC82" s="2"/>
      <c r="AD82" s="2"/>
      <c r="AE82" s="2"/>
    </row>
    <row r="83" spans="1:31" ht="12.75" x14ac:dyDescent="0.2">
      <c r="A83" s="53">
        <f ca="1">IFERROR(__xludf.DUMMYFUNCTION("""COMPUTED_VALUE"""),11)</f>
        <v>11</v>
      </c>
      <c r="B83" s="66" t="str">
        <f ca="1">IFERROR(__xludf.DUMMYFUNCTION("""COMPUTED_VALUE"""),"THCS,THPT Quốc Tế Việt Úc")</f>
        <v>THCS,THPT Quốc Tế Việt Úc</v>
      </c>
      <c r="C83" s="66" t="str">
        <f ca="1">IFERROR(__xludf.DUMMYFUNCTION("""COMPUTED_VALUE"""),"THCS")</f>
        <v>THCS</v>
      </c>
      <c r="D83" s="66">
        <f ca="1">IFERROR(__xludf.DUMMYFUNCTION("""COMPUTED_VALUE"""),10)</f>
        <v>10</v>
      </c>
      <c r="E83" s="67">
        <f ca="1">IFERROR(__xludf.DUMMYFUNCTION("""COMPUTED_VALUE"""),206)</f>
        <v>206</v>
      </c>
      <c r="F83" s="67">
        <f ca="1">IFERROR(__xludf.DUMMYFUNCTION("""COMPUTED_VALUE"""),205)</f>
        <v>205</v>
      </c>
      <c r="G83" s="67"/>
      <c r="H83" s="67">
        <f ca="1">IFERROR(__xludf.DUMMYFUNCTION("""COMPUTED_VALUE"""),205)</f>
        <v>205</v>
      </c>
      <c r="I83" s="67"/>
      <c r="J83" s="67">
        <f ca="1">IFERROR(__xludf.DUMMYFUNCTION("""COMPUTED_VALUE"""),202)</f>
        <v>202</v>
      </c>
      <c r="K83" s="67"/>
      <c r="L83" s="67">
        <f ca="1">IFERROR(__xludf.DUMMYFUNCTION("""COMPUTED_VALUE"""),186)</f>
        <v>186</v>
      </c>
      <c r="M83" s="67"/>
      <c r="N83" s="67">
        <f ca="1">IFERROR(__xludf.DUMMYFUNCTION("""COMPUTED_VALUE"""),171)</f>
        <v>171</v>
      </c>
      <c r="O83" s="67">
        <f ca="1">IFERROR(__xludf.DUMMYFUNCTION("""COMPUTED_VALUE"""),103)</f>
        <v>103</v>
      </c>
      <c r="P83" s="67"/>
      <c r="Q83" s="67">
        <f ca="1">IFERROR(__xludf.DUMMYFUNCTION("""COMPUTED_VALUE"""),53)</f>
        <v>53</v>
      </c>
      <c r="R83" s="67"/>
      <c r="S83" s="67">
        <f ca="1">IFERROR(__xludf.DUMMYFUNCTION("""COMPUTED_VALUE"""),407)</f>
        <v>407</v>
      </c>
      <c r="T83" s="66">
        <f ca="1">IFERROR(__xludf.DUMMYFUNCTION("""COMPUTED_VALUE"""),383)</f>
        <v>383</v>
      </c>
      <c r="U83" s="66"/>
      <c r="V83" s="67">
        <f ca="1">IFERROR(__xludf.DUMMYFUNCTION("""COMPUTED_VALUE"""),368)</f>
        <v>368</v>
      </c>
      <c r="W83" s="67"/>
      <c r="X83" s="67">
        <f ca="1">IFERROR(__xludf.DUMMYFUNCTION("""COMPUTED_VALUE"""),153)</f>
        <v>153</v>
      </c>
      <c r="Y83" s="67"/>
      <c r="Z83" s="2"/>
      <c r="AA83" s="2"/>
      <c r="AB83" s="2"/>
      <c r="AC83" s="2"/>
      <c r="AD83" s="2"/>
      <c r="AE83" s="2"/>
    </row>
    <row r="84" spans="1:31" ht="12.75" x14ac:dyDescent="0.2">
      <c r="A84" s="53">
        <f ca="1">IFERROR(__xludf.DUMMYFUNCTION("""COMPUTED_VALUE"""),12)</f>
        <v>12</v>
      </c>
      <c r="B84" s="66" t="str">
        <f ca="1">IFERROR(__xludf.DUMMYFUNCTION("""COMPUTED_VALUE"""),"THCS Quốc Tế Á Châu")</f>
        <v>THCS Quốc Tế Á Châu</v>
      </c>
      <c r="C84" s="66" t="str">
        <f ca="1">IFERROR(__xludf.DUMMYFUNCTION("""COMPUTED_VALUE"""),"THCS")</f>
        <v>THCS</v>
      </c>
      <c r="D84" s="66"/>
      <c r="E84" s="67">
        <f ca="1">IFERROR(__xludf.DUMMYFUNCTION("""COMPUTED_VALUE"""),645)</f>
        <v>645</v>
      </c>
      <c r="F84" s="67">
        <f ca="1">IFERROR(__xludf.DUMMYFUNCTION("""COMPUTED_VALUE"""),643)</f>
        <v>643</v>
      </c>
      <c r="G84" s="67"/>
      <c r="H84" s="67">
        <f ca="1">IFERROR(__xludf.DUMMYFUNCTION("""COMPUTED_VALUE"""),642)</f>
        <v>642</v>
      </c>
      <c r="I84" s="67"/>
      <c r="J84" s="67">
        <f ca="1">IFERROR(__xludf.DUMMYFUNCTION("""COMPUTED_VALUE"""),570)</f>
        <v>570</v>
      </c>
      <c r="K84" s="67"/>
      <c r="L84" s="67">
        <f ca="1">IFERROR(__xludf.DUMMYFUNCTION("""COMPUTED_VALUE"""),316)</f>
        <v>316</v>
      </c>
      <c r="M84" s="67"/>
      <c r="N84" s="67">
        <f ca="1">IFERROR(__xludf.DUMMYFUNCTION("""COMPUTED_VALUE"""),530)</f>
        <v>530</v>
      </c>
      <c r="O84" s="67">
        <f ca="1">IFERROR(__xludf.DUMMYFUNCTION("""COMPUTED_VALUE"""),302)</f>
        <v>302</v>
      </c>
      <c r="P84" s="67"/>
      <c r="Q84" s="67">
        <f ca="1">IFERROR(__xludf.DUMMYFUNCTION("""COMPUTED_VALUE"""),218)</f>
        <v>218</v>
      </c>
      <c r="R84" s="67"/>
      <c r="S84" s="67">
        <f ca="1">IFERROR(__xludf.DUMMYFUNCTION("""COMPUTED_VALUE"""),9679)</f>
        <v>9679</v>
      </c>
      <c r="T84" s="66">
        <f ca="1">IFERROR(__xludf.DUMMYFUNCTION("""COMPUTED_VALUE"""),9037)</f>
        <v>9037</v>
      </c>
      <c r="U84" s="66"/>
      <c r="V84" s="67">
        <f ca="1">IFERROR(__xludf.DUMMYFUNCTION("""COMPUTED_VALUE"""),8945)</f>
        <v>8945</v>
      </c>
      <c r="W84" s="67"/>
      <c r="X84" s="67">
        <f ca="1">IFERROR(__xludf.DUMMYFUNCTION("""COMPUTED_VALUE"""),3032)</f>
        <v>3032</v>
      </c>
      <c r="Y84" s="67"/>
      <c r="Z84" s="2"/>
      <c r="AA84" s="2"/>
      <c r="AB84" s="2"/>
      <c r="AC84" s="2"/>
      <c r="AD84" s="2"/>
      <c r="AE84" s="2"/>
    </row>
    <row r="85" spans="1:31" ht="12.75" x14ac:dyDescent="0.2">
      <c r="A85" s="55" t="str">
        <f ca="1">IFERROR(__xludf.DUMMYFUNCTION("""COMPUTED_VALUE"""),"THPT")</f>
        <v>THPT</v>
      </c>
      <c r="B85" s="66"/>
      <c r="C85" s="66"/>
      <c r="D85" s="66">
        <f ca="1">IFERROR(__xludf.DUMMYFUNCTION("""COMPUTED_VALUE"""),10)</f>
        <v>10</v>
      </c>
      <c r="E85" s="67">
        <f ca="1">IFERROR(__xludf.DUMMYFUNCTION("""COMPUTED_VALUE"""),80)</f>
        <v>80</v>
      </c>
      <c r="F85" s="67">
        <f ca="1">IFERROR(__xludf.DUMMYFUNCTION("""COMPUTED_VALUE"""),79)</f>
        <v>79</v>
      </c>
      <c r="G85" s="67"/>
      <c r="H85" s="67">
        <f ca="1">IFERROR(__xludf.DUMMYFUNCTION("""COMPUTED_VALUE"""),79)</f>
        <v>79</v>
      </c>
      <c r="I85" s="67"/>
      <c r="J85" s="67">
        <f ca="1">IFERROR(__xludf.DUMMYFUNCTION("""COMPUTED_VALUE"""),76)</f>
        <v>76</v>
      </c>
      <c r="K85" s="67"/>
      <c r="L85" s="67">
        <f ca="1">IFERROR(__xludf.DUMMYFUNCTION("""COMPUTED_VALUE"""),61)</f>
        <v>61</v>
      </c>
      <c r="M85" s="67"/>
      <c r="N85" s="67">
        <f ca="1">IFERROR(__xludf.DUMMYFUNCTION("""COMPUTED_VALUE"""),249)</f>
        <v>249</v>
      </c>
      <c r="O85" s="67">
        <f ca="1">IFERROR(__xludf.DUMMYFUNCTION("""COMPUTED_VALUE"""),183)</f>
        <v>183</v>
      </c>
      <c r="P85" s="67"/>
      <c r="Q85" s="67">
        <f ca="1">IFERROR(__xludf.DUMMYFUNCTION("""COMPUTED_VALUE"""),150)</f>
        <v>150</v>
      </c>
      <c r="R85" s="67"/>
      <c r="S85" s="67">
        <f ca="1">IFERROR(__xludf.DUMMYFUNCTION("""COMPUTED_VALUE"""),1147)</f>
        <v>1147</v>
      </c>
      <c r="T85" s="67">
        <f ca="1">IFERROR(__xludf.DUMMYFUNCTION("""COMPUTED_VALUE"""),1128)</f>
        <v>1128</v>
      </c>
      <c r="U85" s="67"/>
      <c r="V85" s="67">
        <f ca="1">IFERROR(__xludf.DUMMYFUNCTION("""COMPUTED_VALUE"""),1108)</f>
        <v>1108</v>
      </c>
      <c r="W85" s="67"/>
      <c r="X85" s="67">
        <f ca="1">IFERROR(__xludf.DUMMYFUNCTION("""COMPUTED_VALUE"""),444)</f>
        <v>444</v>
      </c>
      <c r="Y85" s="67"/>
      <c r="Z85" s="2"/>
      <c r="AA85" s="2"/>
      <c r="AB85" s="2"/>
      <c r="AC85" s="2"/>
      <c r="AD85" s="2"/>
      <c r="AE85" s="2"/>
    </row>
    <row r="86" spans="1:31" ht="12.75" x14ac:dyDescent="0.2">
      <c r="A86" s="53">
        <f ca="1">IFERROR(__xludf.DUMMYFUNCTION("""COMPUTED_VALUE"""),1)</f>
        <v>1</v>
      </c>
      <c r="B86" s="66" t="str">
        <f ca="1">IFERROR(__xludf.DUMMYFUNCTION("""COMPUTED_VALUE"""),"THPT Sương Nguyệt Anh")</f>
        <v>THPT Sương Nguyệt Anh</v>
      </c>
      <c r="C86" s="66" t="str">
        <f ca="1">IFERROR(__xludf.DUMMYFUNCTION("""COMPUTED_VALUE"""),"THPT")</f>
        <v>THPT</v>
      </c>
      <c r="D86" s="66">
        <f ca="1">IFERROR(__xludf.DUMMYFUNCTION("""COMPUTED_VALUE"""),10)</f>
        <v>10</v>
      </c>
      <c r="E86" s="67">
        <f ca="1">IFERROR(__xludf.DUMMYFUNCTION("""COMPUTED_VALUE"""),91)</f>
        <v>91</v>
      </c>
      <c r="F86" s="67">
        <f ca="1">IFERROR(__xludf.DUMMYFUNCTION("""COMPUTED_VALUE"""),91)</f>
        <v>91</v>
      </c>
      <c r="G86" s="67"/>
      <c r="H86" s="67">
        <f ca="1">IFERROR(__xludf.DUMMYFUNCTION("""COMPUTED_VALUE"""),91)</f>
        <v>91</v>
      </c>
      <c r="I86" s="67"/>
      <c r="J86" s="67">
        <f ca="1">IFERROR(__xludf.DUMMYFUNCTION("""COMPUTED_VALUE"""),80)</f>
        <v>80</v>
      </c>
      <c r="K86" s="67"/>
      <c r="L86" s="67">
        <f ca="1">IFERROR(__xludf.DUMMYFUNCTION("""COMPUTED_VALUE"""),16)</f>
        <v>16</v>
      </c>
      <c r="M86" s="67"/>
      <c r="N86" s="66"/>
      <c r="O86" s="66"/>
      <c r="P86" s="66"/>
      <c r="Q86" s="66"/>
      <c r="R86" s="66"/>
      <c r="S86" s="67">
        <f ca="1">IFERROR(__xludf.DUMMYFUNCTION("""COMPUTED_VALUE"""),1021)</f>
        <v>1021</v>
      </c>
      <c r="T86" s="66">
        <f ca="1">IFERROR(__xludf.DUMMYFUNCTION("""COMPUTED_VALUE"""),958)</f>
        <v>958</v>
      </c>
      <c r="U86" s="66"/>
      <c r="V86" s="67">
        <f ca="1">IFERROR(__xludf.DUMMYFUNCTION("""COMPUTED_VALUE"""),951)</f>
        <v>951</v>
      </c>
      <c r="W86" s="67"/>
      <c r="X86" s="67">
        <f ca="1">IFERROR(__xludf.DUMMYFUNCTION("""COMPUTED_VALUE"""),104)</f>
        <v>104</v>
      </c>
      <c r="Y86" s="67"/>
      <c r="Z86" s="2"/>
      <c r="AA86" s="2"/>
      <c r="AB86" s="2"/>
      <c r="AC86" s="2"/>
      <c r="AD86" s="2"/>
      <c r="AE86" s="2"/>
    </row>
    <row r="87" spans="1:31" ht="12.75" x14ac:dyDescent="0.2">
      <c r="A87" s="53">
        <f ca="1">IFERROR(__xludf.DUMMYFUNCTION("""COMPUTED_VALUE"""),2)</f>
        <v>2</v>
      </c>
      <c r="B87" s="66" t="str">
        <f ca="1">IFERROR(__xludf.DUMMYFUNCTION("""COMPUTED_VALUE"""),"THPT Diên Hồng")</f>
        <v>THPT Diên Hồng</v>
      </c>
      <c r="C87" s="66" t="str">
        <f ca="1">IFERROR(__xludf.DUMMYFUNCTION("""COMPUTED_VALUE"""),"THPT")</f>
        <v>THPT</v>
      </c>
      <c r="D87" s="66">
        <f ca="1">IFERROR(__xludf.DUMMYFUNCTION("""COMPUTED_VALUE"""),10)</f>
        <v>10</v>
      </c>
      <c r="E87" s="67">
        <f ca="1">IFERROR(__xludf.DUMMYFUNCTION("""COMPUTED_VALUE"""),26)</f>
        <v>26</v>
      </c>
      <c r="F87" s="67">
        <f ca="1">IFERROR(__xludf.DUMMYFUNCTION("""COMPUTED_VALUE"""),26)</f>
        <v>26</v>
      </c>
      <c r="G87" s="67"/>
      <c r="H87" s="67">
        <f ca="1">IFERROR(__xludf.DUMMYFUNCTION("""COMPUTED_VALUE"""),26)</f>
        <v>26</v>
      </c>
      <c r="I87" s="67"/>
      <c r="J87" s="67">
        <f ca="1">IFERROR(__xludf.DUMMYFUNCTION("""COMPUTED_VALUE"""),26)</f>
        <v>26</v>
      </c>
      <c r="K87" s="67"/>
      <c r="L87" s="67">
        <f ca="1">IFERROR(__xludf.DUMMYFUNCTION("""COMPUTED_VALUE"""),17)</f>
        <v>17</v>
      </c>
      <c r="M87" s="67"/>
      <c r="N87" s="66"/>
      <c r="O87" s="66"/>
      <c r="P87" s="66"/>
      <c r="Q87" s="66"/>
      <c r="R87" s="66"/>
      <c r="S87" s="67">
        <f ca="1">IFERROR(__xludf.DUMMYFUNCTION("""COMPUTED_VALUE"""),229)</f>
        <v>229</v>
      </c>
      <c r="T87" s="67">
        <f ca="1">IFERROR(__xludf.DUMMYFUNCTION("""COMPUTED_VALUE"""),229)</f>
        <v>229</v>
      </c>
      <c r="U87" s="67"/>
      <c r="V87" s="67">
        <f ca="1">IFERROR(__xludf.DUMMYFUNCTION("""COMPUTED_VALUE"""),227)</f>
        <v>227</v>
      </c>
      <c r="W87" s="67"/>
      <c r="X87" s="67">
        <f ca="1">IFERROR(__xludf.DUMMYFUNCTION("""COMPUTED_VALUE"""),77)</f>
        <v>77</v>
      </c>
      <c r="Y87" s="67"/>
      <c r="Z87" s="2"/>
      <c r="AA87" s="2"/>
      <c r="AB87" s="2"/>
      <c r="AC87" s="2"/>
      <c r="AD87" s="2"/>
      <c r="AE87" s="2"/>
    </row>
    <row r="88" spans="1:31" ht="12.75" x14ac:dyDescent="0.2">
      <c r="A88" s="53">
        <f ca="1">IFERROR(__xludf.DUMMYFUNCTION("""COMPUTED_VALUE"""),3)</f>
        <v>3</v>
      </c>
      <c r="B88" s="66" t="str">
        <f ca="1">IFERROR(__xludf.DUMMYFUNCTION("""COMPUTED_VALUE"""),"THPT Hòa Bình")</f>
        <v>THPT Hòa Bình</v>
      </c>
      <c r="C88" s="66" t="str">
        <f ca="1">IFERROR(__xludf.DUMMYFUNCTION("""COMPUTED_VALUE"""),"THPT")</f>
        <v>THPT</v>
      </c>
      <c r="D88" s="66">
        <f ca="1">IFERROR(__xludf.DUMMYFUNCTION("""COMPUTED_VALUE"""),10)</f>
        <v>10</v>
      </c>
      <c r="E88" s="66"/>
      <c r="F88" s="66"/>
      <c r="G88" s="66"/>
      <c r="H88" s="66"/>
      <c r="I88" s="66"/>
      <c r="J88" s="66"/>
      <c r="K88" s="66"/>
      <c r="L88" s="66"/>
      <c r="M88" s="66"/>
      <c r="N88" s="66"/>
      <c r="O88" s="66"/>
      <c r="P88" s="66"/>
      <c r="Q88" s="66"/>
      <c r="R88" s="66"/>
      <c r="S88" s="66"/>
      <c r="T88" s="66"/>
      <c r="U88" s="66"/>
      <c r="V88" s="66"/>
      <c r="W88" s="66"/>
      <c r="X88" s="66"/>
      <c r="Y88" s="66"/>
      <c r="Z88" s="2"/>
      <c r="AA88" s="2"/>
      <c r="AB88" s="2"/>
      <c r="AC88" s="2"/>
      <c r="AD88" s="2"/>
      <c r="AE88" s="2"/>
    </row>
    <row r="89" spans="1:31" ht="12.75" x14ac:dyDescent="0.2">
      <c r="A89" s="53">
        <f ca="1">IFERROR(__xludf.DUMMYFUNCTION("""COMPUTED_VALUE"""),4)</f>
        <v>4</v>
      </c>
      <c r="B89" s="66" t="str">
        <f ca="1">IFERROR(__xludf.DUMMYFUNCTION("""COMPUTED_VALUE"""),"THPT Quốc Tế Việt Úc")</f>
        <v>THPT Quốc Tế Việt Úc</v>
      </c>
      <c r="C89" s="66" t="str">
        <f ca="1">IFERROR(__xludf.DUMMYFUNCTION("""COMPUTED_VALUE"""),"THPT")</f>
        <v>THPT</v>
      </c>
      <c r="D89" s="66">
        <f ca="1">IFERROR(__xludf.DUMMYFUNCTION("""COMPUTED_VALUE"""),10)</f>
        <v>10</v>
      </c>
      <c r="E89" s="67">
        <f ca="1">IFERROR(__xludf.DUMMYFUNCTION("""COMPUTED_VALUE"""),0)</f>
        <v>0</v>
      </c>
      <c r="F89" s="67">
        <f ca="1">IFERROR(__xludf.DUMMYFUNCTION("""COMPUTED_VALUE"""),0)</f>
        <v>0</v>
      </c>
      <c r="G89" s="67"/>
      <c r="H89" s="67">
        <f ca="1">IFERROR(__xludf.DUMMYFUNCTION("""COMPUTED_VALUE"""),0)</f>
        <v>0</v>
      </c>
      <c r="I89" s="67"/>
      <c r="J89" s="67">
        <f ca="1">IFERROR(__xludf.DUMMYFUNCTION("""COMPUTED_VALUE"""),0)</f>
        <v>0</v>
      </c>
      <c r="K89" s="67"/>
      <c r="L89" s="67">
        <f ca="1">IFERROR(__xludf.DUMMYFUNCTION("""COMPUTED_VALUE"""),0)</f>
        <v>0</v>
      </c>
      <c r="M89" s="67"/>
      <c r="N89" s="67">
        <f ca="1">IFERROR(__xludf.DUMMYFUNCTION("""COMPUTED_VALUE"""),0)</f>
        <v>0</v>
      </c>
      <c r="O89" s="67">
        <f ca="1">IFERROR(__xludf.DUMMYFUNCTION("""COMPUTED_VALUE"""),0)</f>
        <v>0</v>
      </c>
      <c r="P89" s="67"/>
      <c r="Q89" s="67">
        <f ca="1">IFERROR(__xludf.DUMMYFUNCTION("""COMPUTED_VALUE"""),0)</f>
        <v>0</v>
      </c>
      <c r="R89" s="67"/>
      <c r="S89" s="67">
        <f ca="1">IFERROR(__xludf.DUMMYFUNCTION("""COMPUTED_VALUE"""),359)</f>
        <v>359</v>
      </c>
      <c r="T89" s="66">
        <f ca="1">IFERROR(__xludf.DUMMYFUNCTION("""COMPUTED_VALUE"""),359)</f>
        <v>359</v>
      </c>
      <c r="U89" s="66"/>
      <c r="V89" s="67">
        <f ca="1">IFERROR(__xludf.DUMMYFUNCTION("""COMPUTED_VALUE"""),357)</f>
        <v>357</v>
      </c>
      <c r="W89" s="67"/>
      <c r="X89" s="67">
        <f ca="1">IFERROR(__xludf.DUMMYFUNCTION("""COMPUTED_VALUE"""),187)</f>
        <v>187</v>
      </c>
      <c r="Y89" s="67"/>
      <c r="Z89" s="2"/>
      <c r="AA89" s="2"/>
      <c r="AB89" s="2"/>
      <c r="AC89" s="2"/>
      <c r="AD89" s="2"/>
      <c r="AE89" s="2"/>
    </row>
    <row r="90" spans="1:31" ht="12.75" x14ac:dyDescent="0.2">
      <c r="A90" s="53">
        <f ca="1">IFERROR(__xludf.DUMMYFUNCTION("""COMPUTED_VALUE"""),5)</f>
        <v>5</v>
      </c>
      <c r="B90" s="66" t="str">
        <f ca="1">IFERROR(__xludf.DUMMYFUNCTION("""COMPUTED_VALUE"""),"THPT Quốc Tế Á Châu")</f>
        <v>THPT Quốc Tế Á Châu</v>
      </c>
      <c r="C90" s="66" t="str">
        <f ca="1">IFERROR(__xludf.DUMMYFUNCTION("""COMPUTED_VALUE"""),"THPT")</f>
        <v>THPT</v>
      </c>
      <c r="D90" s="66">
        <f ca="1">IFERROR(__xludf.DUMMYFUNCTION("""COMPUTED_VALUE"""),10)</f>
        <v>10</v>
      </c>
      <c r="E90" s="67">
        <f ca="1">IFERROR(__xludf.DUMMYFUNCTION("""COMPUTED_VALUE"""),58)</f>
        <v>58</v>
      </c>
      <c r="F90" s="67">
        <f ca="1">IFERROR(__xludf.DUMMYFUNCTION("""COMPUTED_VALUE"""),58)</f>
        <v>58</v>
      </c>
      <c r="G90" s="67"/>
      <c r="H90" s="67">
        <f ca="1">IFERROR(__xludf.DUMMYFUNCTION("""COMPUTED_VALUE"""),58)</f>
        <v>58</v>
      </c>
      <c r="I90" s="67"/>
      <c r="J90" s="67">
        <f ca="1">IFERROR(__xludf.DUMMYFUNCTION("""COMPUTED_VALUE"""),51)</f>
        <v>51</v>
      </c>
      <c r="K90" s="67"/>
      <c r="L90" s="67">
        <f ca="1">IFERROR(__xludf.DUMMYFUNCTION("""COMPUTED_VALUE"""),38)</f>
        <v>38</v>
      </c>
      <c r="M90" s="67"/>
      <c r="N90" s="67">
        <f ca="1">IFERROR(__xludf.DUMMYFUNCTION("""COMPUTED_VALUE"""),275)</f>
        <v>275</v>
      </c>
      <c r="O90" s="67">
        <f ca="1">IFERROR(__xludf.DUMMYFUNCTION("""COMPUTED_VALUE"""),117)</f>
        <v>117</v>
      </c>
      <c r="P90" s="67"/>
      <c r="Q90" s="67">
        <f ca="1">IFERROR(__xludf.DUMMYFUNCTION("""COMPUTED_VALUE"""),68)</f>
        <v>68</v>
      </c>
      <c r="R90" s="67"/>
      <c r="S90" s="67">
        <f ca="1">IFERROR(__xludf.DUMMYFUNCTION("""COMPUTED_VALUE"""),1113)</f>
        <v>1113</v>
      </c>
      <c r="T90" s="67">
        <f ca="1">IFERROR(__xludf.DUMMYFUNCTION("""COMPUTED_VALUE"""),952)</f>
        <v>952</v>
      </c>
      <c r="U90" s="67"/>
      <c r="V90" s="67">
        <f ca="1">IFERROR(__xludf.DUMMYFUNCTION("""COMPUTED_VALUE"""),924)</f>
        <v>924</v>
      </c>
      <c r="W90" s="67"/>
      <c r="X90" s="67">
        <f ca="1">IFERROR(__xludf.DUMMYFUNCTION("""COMPUTED_VALUE"""),443)</f>
        <v>443</v>
      </c>
      <c r="Y90" s="67"/>
      <c r="Z90" s="2"/>
      <c r="AA90" s="2"/>
      <c r="AB90" s="2"/>
      <c r="AC90" s="2"/>
      <c r="AD90" s="2"/>
      <c r="AE90" s="2"/>
    </row>
    <row r="91" spans="1:31" ht="12.75" x14ac:dyDescent="0.2">
      <c r="A91" s="53">
        <f ca="1">IFERROR(__xludf.DUMMYFUNCTION("""COMPUTED_VALUE"""),6)</f>
        <v>6</v>
      </c>
      <c r="B91" s="66" t="str">
        <f ca="1">IFERROR(__xludf.DUMMYFUNCTION("""COMPUTED_VALUE"""),"THPT Vạn Hạnh")</f>
        <v>THPT Vạn Hạnh</v>
      </c>
      <c r="C91" s="66" t="str">
        <f ca="1">IFERROR(__xludf.DUMMYFUNCTION("""COMPUTED_VALUE"""),"THPT")</f>
        <v>THPT</v>
      </c>
      <c r="D91" s="66">
        <f ca="1">IFERROR(__xludf.DUMMYFUNCTION("""COMPUTED_VALUE"""),10)</f>
        <v>10</v>
      </c>
      <c r="E91" s="67">
        <f ca="1">IFERROR(__xludf.DUMMYFUNCTION("""COMPUTED_VALUE"""),37)</f>
        <v>37</v>
      </c>
      <c r="F91" s="67">
        <f ca="1">IFERROR(__xludf.DUMMYFUNCTION("""COMPUTED_VALUE"""),37)</f>
        <v>37</v>
      </c>
      <c r="G91" s="67"/>
      <c r="H91" s="67">
        <f ca="1">IFERROR(__xludf.DUMMYFUNCTION("""COMPUTED_VALUE"""),37)</f>
        <v>37</v>
      </c>
      <c r="I91" s="67"/>
      <c r="J91" s="67">
        <f ca="1">IFERROR(__xludf.DUMMYFUNCTION("""COMPUTED_VALUE"""),35)</f>
        <v>35</v>
      </c>
      <c r="K91" s="67"/>
      <c r="L91" s="67">
        <f ca="1">IFERROR(__xludf.DUMMYFUNCTION("""COMPUTED_VALUE"""),18)</f>
        <v>18</v>
      </c>
      <c r="M91" s="67"/>
      <c r="N91" s="67">
        <f ca="1">IFERROR(__xludf.DUMMYFUNCTION("""COMPUTED_VALUE"""),6)</f>
        <v>6</v>
      </c>
      <c r="O91" s="67">
        <f ca="1">IFERROR(__xludf.DUMMYFUNCTION("""COMPUTED_VALUE"""),2)</f>
        <v>2</v>
      </c>
      <c r="P91" s="67"/>
      <c r="Q91" s="67">
        <f ca="1">IFERROR(__xludf.DUMMYFUNCTION("""COMPUTED_VALUE"""),0)</f>
        <v>0</v>
      </c>
      <c r="R91" s="67"/>
      <c r="S91" s="67">
        <f ca="1">IFERROR(__xludf.DUMMYFUNCTION("""COMPUTED_VALUE"""),111)</f>
        <v>111</v>
      </c>
      <c r="T91" s="67">
        <f ca="1">IFERROR(__xludf.DUMMYFUNCTION("""COMPUTED_VALUE"""),111)</f>
        <v>111</v>
      </c>
      <c r="U91" s="67"/>
      <c r="V91" s="67">
        <f ca="1">IFERROR(__xludf.DUMMYFUNCTION("""COMPUTED_VALUE"""),111)</f>
        <v>111</v>
      </c>
      <c r="W91" s="67"/>
      <c r="X91" s="67">
        <f ca="1">IFERROR(__xludf.DUMMYFUNCTION("""COMPUTED_VALUE"""),39)</f>
        <v>39</v>
      </c>
      <c r="Y91" s="67"/>
      <c r="Z91" s="2"/>
      <c r="AA91" s="2"/>
      <c r="AB91" s="2"/>
      <c r="AC91" s="2"/>
      <c r="AD91" s="2"/>
      <c r="AE91" s="2"/>
    </row>
    <row r="92" spans="1:31" ht="12.75" x14ac:dyDescent="0.2">
      <c r="A92" s="53">
        <f ca="1">IFERROR(__xludf.DUMMYFUNCTION("""COMPUTED_VALUE"""),7)</f>
        <v>7</v>
      </c>
      <c r="B92" s="66" t="str">
        <f ca="1">IFERROR(__xludf.DUMMYFUNCTION("""COMPUTED_VALUE"""),"THPT Duy Tân")</f>
        <v>THPT Duy Tân</v>
      </c>
      <c r="C92" s="66" t="str">
        <f ca="1">IFERROR(__xludf.DUMMYFUNCTION("""COMPUTED_VALUE"""),"THPT")</f>
        <v>THPT</v>
      </c>
      <c r="D92" s="66">
        <f ca="1">IFERROR(__xludf.DUMMYFUNCTION("""COMPUTED_VALUE"""),10)</f>
        <v>10</v>
      </c>
      <c r="E92" s="67">
        <f ca="1">IFERROR(__xludf.DUMMYFUNCTION("""COMPUTED_VALUE"""),121)</f>
        <v>121</v>
      </c>
      <c r="F92" s="67">
        <f ca="1">IFERROR(__xludf.DUMMYFUNCTION("""COMPUTED_VALUE"""),121)</f>
        <v>121</v>
      </c>
      <c r="G92" s="67"/>
      <c r="H92" s="67">
        <f ca="1">IFERROR(__xludf.DUMMYFUNCTION("""COMPUTED_VALUE"""),120)</f>
        <v>120</v>
      </c>
      <c r="I92" s="67"/>
      <c r="J92" s="67">
        <f ca="1">IFERROR(__xludf.DUMMYFUNCTION("""COMPUTED_VALUE"""),86)</f>
        <v>86</v>
      </c>
      <c r="K92" s="67"/>
      <c r="L92" s="67">
        <f ca="1">IFERROR(__xludf.DUMMYFUNCTION("""COMPUTED_VALUE"""),45)</f>
        <v>45</v>
      </c>
      <c r="M92" s="67"/>
      <c r="N92" s="67">
        <f ca="1">IFERROR(__xludf.DUMMYFUNCTION("""COMPUTED_VALUE"""),0)</f>
        <v>0</v>
      </c>
      <c r="O92" s="67">
        <f ca="1">IFERROR(__xludf.DUMMYFUNCTION("""COMPUTED_VALUE"""),0)</f>
        <v>0</v>
      </c>
      <c r="P92" s="67"/>
      <c r="Q92" s="67">
        <f ca="1">IFERROR(__xludf.DUMMYFUNCTION("""COMPUTED_VALUE"""),0)</f>
        <v>0</v>
      </c>
      <c r="R92" s="67"/>
      <c r="S92" s="66">
        <f ca="1">IFERROR(__xludf.DUMMYFUNCTION("""COMPUTED_VALUE"""),1664)</f>
        <v>1664</v>
      </c>
      <c r="T92" s="66">
        <f ca="1">IFERROR(__xludf.DUMMYFUNCTION("""COMPUTED_VALUE"""),1597)</f>
        <v>1597</v>
      </c>
      <c r="U92" s="66"/>
      <c r="V92" s="66">
        <f ca="1">IFERROR(__xludf.DUMMYFUNCTION("""COMPUTED_VALUE"""),1576)</f>
        <v>1576</v>
      </c>
      <c r="W92" s="66"/>
      <c r="X92" s="66">
        <f ca="1">IFERROR(__xludf.DUMMYFUNCTION("""COMPUTED_VALUE"""),463)</f>
        <v>463</v>
      </c>
      <c r="Y92" s="66"/>
      <c r="Z92" s="2"/>
      <c r="AA92" s="2"/>
      <c r="AB92" s="2"/>
      <c r="AC92" s="2"/>
      <c r="AD92" s="2"/>
      <c r="AE92" s="2"/>
    </row>
    <row r="93" spans="1:31" ht="12.75" x14ac:dyDescent="0.2">
      <c r="A93" s="53">
        <f ca="1">IFERROR(__xludf.DUMMYFUNCTION("""COMPUTED_VALUE"""),8)</f>
        <v>8</v>
      </c>
      <c r="B93" s="66" t="str">
        <f ca="1">IFERROR(__xludf.DUMMYFUNCTION("""COMPUTED_VALUE"""),"THPT Nguyễn Du")</f>
        <v>THPT Nguyễn Du</v>
      </c>
      <c r="C93" s="66" t="str">
        <f ca="1">IFERROR(__xludf.DUMMYFUNCTION("""COMPUTED_VALUE"""),"THPT")</f>
        <v>THPT</v>
      </c>
      <c r="D93" s="66">
        <f ca="1">IFERROR(__xludf.DUMMYFUNCTION("""COMPUTED_VALUE"""),10)</f>
        <v>10</v>
      </c>
      <c r="E93" s="67">
        <f ca="1">IFERROR(__xludf.DUMMYFUNCTION("""COMPUTED_VALUE"""),122)</f>
        <v>122</v>
      </c>
      <c r="F93" s="67">
        <f ca="1">IFERROR(__xludf.DUMMYFUNCTION("""COMPUTED_VALUE"""),121)</f>
        <v>121</v>
      </c>
      <c r="G93" s="67"/>
      <c r="H93" s="67">
        <f ca="1">IFERROR(__xludf.DUMMYFUNCTION("""COMPUTED_VALUE"""),121)</f>
        <v>121</v>
      </c>
      <c r="I93" s="67"/>
      <c r="J93" s="67">
        <f ca="1">IFERROR(__xludf.DUMMYFUNCTION("""COMPUTED_VALUE"""),121)</f>
        <v>121</v>
      </c>
      <c r="K93" s="67"/>
      <c r="L93" s="67">
        <f ca="1">IFERROR(__xludf.DUMMYFUNCTION("""COMPUTED_VALUE"""),91)</f>
        <v>91</v>
      </c>
      <c r="M93" s="67"/>
      <c r="N93" s="67">
        <f ca="1">IFERROR(__xludf.DUMMYFUNCTION("""COMPUTED_VALUE"""),0)</f>
        <v>0</v>
      </c>
      <c r="O93" s="67">
        <f ca="1">IFERROR(__xludf.DUMMYFUNCTION("""COMPUTED_VALUE"""),0)</f>
        <v>0</v>
      </c>
      <c r="P93" s="67"/>
      <c r="Q93" s="66">
        <f ca="1">IFERROR(__xludf.DUMMYFUNCTION("""COMPUTED_VALUE"""),0)</f>
        <v>0</v>
      </c>
      <c r="R93" s="66"/>
      <c r="S93" s="66">
        <f ca="1">IFERROR(__xludf.DUMMYFUNCTION("""COMPUTED_VALUE"""),2115)</f>
        <v>2115</v>
      </c>
      <c r="T93" s="66">
        <f ca="1">IFERROR(__xludf.DUMMYFUNCTION("""COMPUTED_VALUE"""),1790)</f>
        <v>1790</v>
      </c>
      <c r="U93" s="66"/>
      <c r="V93" s="66">
        <f ca="1">IFERROR(__xludf.DUMMYFUNCTION("""COMPUTED_VALUE"""),1778)</f>
        <v>1778</v>
      </c>
      <c r="W93" s="66"/>
      <c r="X93" s="66">
        <f ca="1">IFERROR(__xludf.DUMMYFUNCTION("""COMPUTED_VALUE"""),765)</f>
        <v>765</v>
      </c>
      <c r="Y93" s="66"/>
      <c r="Z93" s="2"/>
      <c r="AA93" s="2"/>
      <c r="AB93" s="2"/>
      <c r="AC93" s="2"/>
      <c r="AD93" s="2"/>
      <c r="AE93" s="2"/>
    </row>
    <row r="94" spans="1:31" ht="12.75" x14ac:dyDescent="0.2">
      <c r="A94" s="53">
        <f ca="1">IFERROR(__xludf.DUMMYFUNCTION("""COMPUTED_VALUE"""),9)</f>
        <v>9</v>
      </c>
      <c r="B94" s="66" t="str">
        <f ca="1">IFERROR(__xludf.DUMMYFUNCTION("""COMPUTED_VALUE"""),"THPT Nguyễn Khuyến")</f>
        <v>THPT Nguyễn Khuyến</v>
      </c>
      <c r="C94" s="66" t="str">
        <f ca="1">IFERROR(__xludf.DUMMYFUNCTION("""COMPUTED_VALUE"""),"THPT")</f>
        <v>THPT</v>
      </c>
      <c r="D94" s="66">
        <f ca="1">IFERROR(__xludf.DUMMYFUNCTION("""COMPUTED_VALUE"""),10)</f>
        <v>10</v>
      </c>
      <c r="E94" s="67">
        <f ca="1">IFERROR(__xludf.DUMMYFUNCTION("""COMPUTED_VALUE"""),110)</f>
        <v>110</v>
      </c>
      <c r="F94" s="67">
        <f ca="1">IFERROR(__xludf.DUMMYFUNCTION("""COMPUTED_VALUE"""),110)</f>
        <v>110</v>
      </c>
      <c r="G94" s="67"/>
      <c r="H94" s="67">
        <f ca="1">IFERROR(__xludf.DUMMYFUNCTION("""COMPUTED_VALUE"""),110)</f>
        <v>110</v>
      </c>
      <c r="I94" s="67"/>
      <c r="J94" s="67">
        <f ca="1">IFERROR(__xludf.DUMMYFUNCTION("""COMPUTED_VALUE"""),95)</f>
        <v>95</v>
      </c>
      <c r="K94" s="67"/>
      <c r="L94" s="67">
        <f ca="1">IFERROR(__xludf.DUMMYFUNCTION("""COMPUTED_VALUE"""),30)</f>
        <v>30</v>
      </c>
      <c r="M94" s="67"/>
      <c r="N94" s="67">
        <f ca="1">IFERROR(__xludf.DUMMYFUNCTION("""COMPUTED_VALUE"""),0)</f>
        <v>0</v>
      </c>
      <c r="O94" s="67">
        <f ca="1">IFERROR(__xludf.DUMMYFUNCTION("""COMPUTED_VALUE"""),0)</f>
        <v>0</v>
      </c>
      <c r="P94" s="67"/>
      <c r="Q94" s="66">
        <f ca="1">IFERROR(__xludf.DUMMYFUNCTION("""COMPUTED_VALUE"""),0)</f>
        <v>0</v>
      </c>
      <c r="R94" s="66"/>
      <c r="S94" s="66">
        <f ca="1">IFERROR(__xludf.DUMMYFUNCTION("""COMPUTED_VALUE"""),1920)</f>
        <v>1920</v>
      </c>
      <c r="T94" s="66">
        <f ca="1">IFERROR(__xludf.DUMMYFUNCTION("""COMPUTED_VALUE"""),1913)</f>
        <v>1913</v>
      </c>
      <c r="U94" s="66"/>
      <c r="V94" s="66">
        <f ca="1">IFERROR(__xludf.DUMMYFUNCTION("""COMPUTED_VALUE"""),1913)</f>
        <v>1913</v>
      </c>
      <c r="W94" s="66"/>
      <c r="X94" s="66">
        <f ca="1">IFERROR(__xludf.DUMMYFUNCTION("""COMPUTED_VALUE"""),510)</f>
        <v>510</v>
      </c>
      <c r="Y94" s="66"/>
      <c r="Z94" s="2"/>
      <c r="AA94" s="2"/>
      <c r="AB94" s="2"/>
      <c r="AC94" s="2"/>
      <c r="AD94" s="2"/>
      <c r="AE94" s="2"/>
    </row>
    <row r="95" spans="1:31" ht="12.75" x14ac:dyDescent="0.2">
      <c r="A95" s="53">
        <f ca="1">IFERROR(__xludf.DUMMYFUNCTION("""COMPUTED_VALUE"""),10)</f>
        <v>10</v>
      </c>
      <c r="B95" s="66" t="str">
        <f ca="1">IFERROR(__xludf.DUMMYFUNCTION("""COMPUTED_VALUE"""),"THPT Nguyễn An Ninh")</f>
        <v>THPT Nguyễn An Ninh</v>
      </c>
      <c r="C95" s="66" t="str">
        <f ca="1">IFERROR(__xludf.DUMMYFUNCTION("""COMPUTED_VALUE"""),"THPT")</f>
        <v>THPT</v>
      </c>
      <c r="D95" s="66"/>
      <c r="E95" s="67">
        <f ca="1">IFERROR(__xludf.DUMMYFUNCTION("""COMPUTED_VALUE"""),90)</f>
        <v>90</v>
      </c>
      <c r="F95" s="67">
        <f ca="1">IFERROR(__xludf.DUMMYFUNCTION("""COMPUTED_VALUE"""),90)</f>
        <v>90</v>
      </c>
      <c r="G95" s="67"/>
      <c r="H95" s="67">
        <f ca="1">IFERROR(__xludf.DUMMYFUNCTION("""COMPUTED_VALUE"""),90)</f>
        <v>90</v>
      </c>
      <c r="I95" s="67"/>
      <c r="J95" s="67">
        <f ca="1">IFERROR(__xludf.DUMMYFUNCTION("""COMPUTED_VALUE"""),88)</f>
        <v>88</v>
      </c>
      <c r="K95" s="67"/>
      <c r="L95" s="67">
        <f ca="1">IFERROR(__xludf.DUMMYFUNCTION("""COMPUTED_VALUE"""),53)</f>
        <v>53</v>
      </c>
      <c r="M95" s="67"/>
      <c r="N95" s="67">
        <f ca="1">IFERROR(__xludf.DUMMYFUNCTION("""COMPUTED_VALUE"""),229)</f>
        <v>229</v>
      </c>
      <c r="O95" s="67">
        <f ca="1">IFERROR(__xludf.DUMMYFUNCTION("""COMPUTED_VALUE"""),87)</f>
        <v>87</v>
      </c>
      <c r="P95" s="67"/>
      <c r="Q95" s="67">
        <f ca="1">IFERROR(__xludf.DUMMYFUNCTION("""COMPUTED_VALUE"""),68)</f>
        <v>68</v>
      </c>
      <c r="R95" s="67"/>
      <c r="S95" s="67">
        <f ca="1">IFERROR(__xludf.DUMMYFUNCTION("""COMPUTED_VALUE"""),126)</f>
        <v>126</v>
      </c>
      <c r="T95" s="66">
        <f ca="1">IFERROR(__xludf.DUMMYFUNCTION("""COMPUTED_VALUE"""),101)</f>
        <v>101</v>
      </c>
      <c r="U95" s="66"/>
      <c r="V95" s="67">
        <f ca="1">IFERROR(__xludf.DUMMYFUNCTION("""COMPUTED_VALUE"""),101)</f>
        <v>101</v>
      </c>
      <c r="W95" s="67"/>
      <c r="X95" s="67">
        <f ca="1">IFERROR(__xludf.DUMMYFUNCTION("""COMPUTED_VALUE"""),53)</f>
        <v>53</v>
      </c>
      <c r="Y95" s="67"/>
      <c r="Z95" s="2"/>
      <c r="AA95" s="2"/>
      <c r="AB95" s="2"/>
      <c r="AC95" s="2"/>
      <c r="AD95" s="2"/>
      <c r="AE95" s="2"/>
    </row>
    <row r="96" spans="1:31" ht="12.75" x14ac:dyDescent="0.2">
      <c r="A96" s="55" t="str">
        <f ca="1">IFERROR(__xludf.DUMMYFUNCTION("""COMPUTED_VALUE"""),"Chuyên biệt")</f>
        <v>Chuyên biệt</v>
      </c>
      <c r="B96" s="66"/>
      <c r="C96" s="66"/>
      <c r="D96" s="66">
        <f ca="1">IFERROR(__xludf.DUMMYFUNCTION("""COMPUTED_VALUE"""),10)</f>
        <v>10</v>
      </c>
      <c r="E96" s="67">
        <f ca="1">IFERROR(__xludf.DUMMYFUNCTION("""COMPUTED_VALUE"""),41)</f>
        <v>41</v>
      </c>
      <c r="F96" s="67">
        <f ca="1">IFERROR(__xludf.DUMMYFUNCTION("""COMPUTED_VALUE"""),41)</f>
        <v>41</v>
      </c>
      <c r="G96" s="67"/>
      <c r="H96" s="67">
        <f ca="1">IFERROR(__xludf.DUMMYFUNCTION("""COMPUTED_VALUE"""),41)</f>
        <v>41</v>
      </c>
      <c r="I96" s="67"/>
      <c r="J96" s="67">
        <f ca="1">IFERROR(__xludf.DUMMYFUNCTION("""COMPUTED_VALUE"""),39)</f>
        <v>39</v>
      </c>
      <c r="K96" s="67"/>
      <c r="L96" s="67">
        <f ca="1">IFERROR(__xludf.DUMMYFUNCTION("""COMPUTED_VALUE"""),24)</f>
        <v>24</v>
      </c>
      <c r="M96" s="67"/>
      <c r="N96" s="67">
        <f ca="1">IFERROR(__xludf.DUMMYFUNCTION("""COMPUTED_VALUE"""),97)</f>
        <v>97</v>
      </c>
      <c r="O96" s="67">
        <f ca="1">IFERROR(__xludf.DUMMYFUNCTION("""COMPUTED_VALUE"""),36)</f>
        <v>36</v>
      </c>
      <c r="P96" s="67"/>
      <c r="Q96" s="67">
        <f ca="1">IFERROR(__xludf.DUMMYFUNCTION("""COMPUTED_VALUE"""),27)</f>
        <v>27</v>
      </c>
      <c r="R96" s="67"/>
      <c r="S96" s="67">
        <f ca="1">IFERROR(__xludf.DUMMYFUNCTION("""COMPUTED_VALUE"""),45)</f>
        <v>45</v>
      </c>
      <c r="T96" s="67">
        <f ca="1">IFERROR(__xludf.DUMMYFUNCTION("""COMPUTED_VALUE"""),25)</f>
        <v>25</v>
      </c>
      <c r="U96" s="67"/>
      <c r="V96" s="67">
        <f ca="1">IFERROR(__xludf.DUMMYFUNCTION("""COMPUTED_VALUE"""),25)</f>
        <v>25</v>
      </c>
      <c r="W96" s="67"/>
      <c r="X96" s="67">
        <f ca="1">IFERROR(__xludf.DUMMYFUNCTION("""COMPUTED_VALUE"""),2)</f>
        <v>2</v>
      </c>
      <c r="Y96" s="67"/>
      <c r="Z96" s="2"/>
      <c r="AA96" s="2"/>
      <c r="AB96" s="2"/>
      <c r="AC96" s="2"/>
      <c r="AD96" s="2"/>
      <c r="AE96" s="2"/>
    </row>
    <row r="97" spans="1:31" ht="12.75" x14ac:dyDescent="0.2">
      <c r="A97" s="53">
        <f ca="1">IFERROR(__xludf.DUMMYFUNCTION("""COMPUTED_VALUE"""),1)</f>
        <v>1</v>
      </c>
      <c r="B97" s="66" t="str">
        <f ca="1">IFERROR(__xludf.DUMMYFUNCTION("""COMPUTED_VALUE"""),"PTĐB Nguyễn Đình Chiểu")</f>
        <v>PTĐB Nguyễn Đình Chiểu</v>
      </c>
      <c r="C97" s="66" t="str">
        <f ca="1">IFERROR(__xludf.DUMMYFUNCTION("""COMPUTED_VALUE"""),"Chuyên biệt")</f>
        <v>Chuyên biệt</v>
      </c>
      <c r="D97" s="66">
        <f ca="1">IFERROR(__xludf.DUMMYFUNCTION("""COMPUTED_VALUE"""),10)</f>
        <v>10</v>
      </c>
      <c r="E97" s="67">
        <f ca="1">IFERROR(__xludf.DUMMYFUNCTION("""COMPUTED_VALUE"""),24)</f>
        <v>24</v>
      </c>
      <c r="F97" s="67">
        <f ca="1">IFERROR(__xludf.DUMMYFUNCTION("""COMPUTED_VALUE"""),24)</f>
        <v>24</v>
      </c>
      <c r="G97" s="67"/>
      <c r="H97" s="67">
        <f ca="1">IFERROR(__xludf.DUMMYFUNCTION("""COMPUTED_VALUE"""),24)</f>
        <v>24</v>
      </c>
      <c r="I97" s="67"/>
      <c r="J97" s="67">
        <f ca="1">IFERROR(__xludf.DUMMYFUNCTION("""COMPUTED_VALUE"""),24)</f>
        <v>24</v>
      </c>
      <c r="K97" s="67"/>
      <c r="L97" s="67">
        <f ca="1">IFERROR(__xludf.DUMMYFUNCTION("""COMPUTED_VALUE"""),21)</f>
        <v>21</v>
      </c>
      <c r="M97" s="67"/>
      <c r="N97" s="67">
        <f ca="1">IFERROR(__xludf.DUMMYFUNCTION("""COMPUTED_VALUE"""),83)</f>
        <v>83</v>
      </c>
      <c r="O97" s="67">
        <f ca="1">IFERROR(__xludf.DUMMYFUNCTION("""COMPUTED_VALUE"""),50)</f>
        <v>50</v>
      </c>
      <c r="P97" s="67"/>
      <c r="Q97" s="67">
        <f ca="1">IFERROR(__xludf.DUMMYFUNCTION("""COMPUTED_VALUE"""),41)</f>
        <v>41</v>
      </c>
      <c r="R97" s="67"/>
      <c r="S97" s="67">
        <f ca="1">IFERROR(__xludf.DUMMYFUNCTION("""COMPUTED_VALUE"""),70)</f>
        <v>70</v>
      </c>
      <c r="T97" s="67">
        <f ca="1">IFERROR(__xludf.DUMMYFUNCTION("""COMPUTED_VALUE"""),70)</f>
        <v>70</v>
      </c>
      <c r="U97" s="67"/>
      <c r="V97" s="67">
        <f ca="1">IFERROR(__xludf.DUMMYFUNCTION("""COMPUTED_VALUE"""),70)</f>
        <v>70</v>
      </c>
      <c r="W97" s="67"/>
      <c r="X97" s="67">
        <f ca="1">IFERROR(__xludf.DUMMYFUNCTION("""COMPUTED_VALUE"""),46)</f>
        <v>46</v>
      </c>
      <c r="Y97" s="67"/>
      <c r="Z97" s="2"/>
      <c r="AA97" s="2"/>
      <c r="AB97" s="2"/>
      <c r="AC97" s="2"/>
      <c r="AD97" s="2"/>
      <c r="AE97" s="2"/>
    </row>
    <row r="98" spans="1:31" ht="12.75" x14ac:dyDescent="0.2">
      <c r="A98" s="53">
        <f ca="1">IFERROR(__xludf.DUMMYFUNCTION("""COMPUTED_VALUE"""),2)</f>
        <v>2</v>
      </c>
      <c r="B98" s="66" t="str">
        <f ca="1">IFERROR(__xludf.DUMMYFUNCTION("""COMPUTED_VALUE"""),"Chuyên biệt Quận 10")</f>
        <v>Chuyên biệt Quận 10</v>
      </c>
      <c r="C98" s="66" t="str">
        <f ca="1">IFERROR(__xludf.DUMMYFUNCTION("""COMPUTED_VALUE"""),"Chuyên biệt")</f>
        <v>Chuyên biệt</v>
      </c>
      <c r="D98" s="66">
        <f ca="1">IFERROR(__xludf.DUMMYFUNCTION("""COMPUTED_VALUE"""),10)</f>
        <v>10</v>
      </c>
      <c r="E98" s="67">
        <f ca="1">IFERROR(__xludf.DUMMYFUNCTION("""COMPUTED_VALUE"""),25)</f>
        <v>25</v>
      </c>
      <c r="F98" s="67">
        <f ca="1">IFERROR(__xludf.DUMMYFUNCTION("""COMPUTED_VALUE"""),25)</f>
        <v>25</v>
      </c>
      <c r="G98" s="67"/>
      <c r="H98" s="67">
        <f ca="1">IFERROR(__xludf.DUMMYFUNCTION("""COMPUTED_VALUE"""),25)</f>
        <v>25</v>
      </c>
      <c r="I98" s="67"/>
      <c r="J98" s="67">
        <f ca="1">IFERROR(__xludf.DUMMYFUNCTION("""COMPUTED_VALUE"""),25)</f>
        <v>25</v>
      </c>
      <c r="K98" s="67"/>
      <c r="L98" s="67">
        <f ca="1">IFERROR(__xludf.DUMMYFUNCTION("""COMPUTED_VALUE"""),8)</f>
        <v>8</v>
      </c>
      <c r="M98" s="67"/>
      <c r="N98" s="67">
        <f ca="1">IFERROR(__xludf.DUMMYFUNCTION("""COMPUTED_VALUE"""),49)</f>
        <v>49</v>
      </c>
      <c r="O98" s="67">
        <f ca="1">IFERROR(__xludf.DUMMYFUNCTION("""COMPUTED_VALUE"""),1)</f>
        <v>1</v>
      </c>
      <c r="P98" s="67"/>
      <c r="Q98" s="67">
        <f ca="1">IFERROR(__xludf.DUMMYFUNCTION("""COMPUTED_VALUE"""),0)</f>
        <v>0</v>
      </c>
      <c r="R98" s="67"/>
      <c r="S98" s="67">
        <f ca="1">IFERROR(__xludf.DUMMYFUNCTION("""COMPUTED_VALUE"""),11)</f>
        <v>11</v>
      </c>
      <c r="T98" s="66">
        <f ca="1">IFERROR(__xludf.DUMMYFUNCTION("""COMPUTED_VALUE"""),6)</f>
        <v>6</v>
      </c>
      <c r="U98" s="66"/>
      <c r="V98" s="67">
        <f ca="1">IFERROR(__xludf.DUMMYFUNCTION("""COMPUTED_VALUE"""),6)</f>
        <v>6</v>
      </c>
      <c r="W98" s="67"/>
      <c r="X98" s="67">
        <f ca="1">IFERROR(__xludf.DUMMYFUNCTION("""COMPUTED_VALUE"""),5)</f>
        <v>5</v>
      </c>
      <c r="Y98" s="67"/>
      <c r="Z98" s="2"/>
      <c r="AA98" s="2"/>
      <c r="AB98" s="2"/>
      <c r="AC98" s="2"/>
      <c r="AD98" s="2"/>
      <c r="AE98" s="2"/>
    </row>
    <row r="99" spans="1:31" ht="12.75" x14ac:dyDescent="0.2">
      <c r="A99" s="53">
        <f ca="1">IFERROR(__xludf.DUMMYFUNCTION("""COMPUTED_VALUE"""),3)</f>
        <v>3</v>
      </c>
      <c r="B99" s="66" t="str">
        <f ca="1">IFERROR(__xludf.DUMMYFUNCTION("""COMPUTED_VALUE"""),"Chuyên biệt Ước Mơ")</f>
        <v>Chuyên biệt Ước Mơ</v>
      </c>
      <c r="C99" s="66" t="str">
        <f ca="1">IFERROR(__xludf.DUMMYFUNCTION("""COMPUTED_VALUE"""),"Chuyên biệt")</f>
        <v>Chuyên biệt</v>
      </c>
      <c r="D99" s="66"/>
      <c r="E99" s="67">
        <f ca="1">IFERROR(__xludf.DUMMYFUNCTION("""COMPUTED_VALUE"""),37)</f>
        <v>37</v>
      </c>
      <c r="F99" s="67">
        <f ca="1">IFERROR(__xludf.DUMMYFUNCTION("""COMPUTED_VALUE"""),37)</f>
        <v>37</v>
      </c>
      <c r="G99" s="67"/>
      <c r="H99" s="67">
        <f ca="1">IFERROR(__xludf.DUMMYFUNCTION("""COMPUTED_VALUE"""),37)</f>
        <v>37</v>
      </c>
      <c r="I99" s="67"/>
      <c r="J99" s="67">
        <f ca="1">IFERROR(__xludf.DUMMYFUNCTION("""COMPUTED_VALUE"""),37)</f>
        <v>37</v>
      </c>
      <c r="K99" s="67"/>
      <c r="L99" s="67">
        <f ca="1">IFERROR(__xludf.DUMMYFUNCTION("""COMPUTED_VALUE"""),22)</f>
        <v>22</v>
      </c>
      <c r="M99" s="67"/>
      <c r="N99" s="67">
        <f ca="1">IFERROR(__xludf.DUMMYFUNCTION("""COMPUTED_VALUE"""),0)</f>
        <v>0</v>
      </c>
      <c r="O99" s="67">
        <f ca="1">IFERROR(__xludf.DUMMYFUNCTION("""COMPUTED_VALUE"""),0)</f>
        <v>0</v>
      </c>
      <c r="P99" s="67"/>
      <c r="Q99" s="67">
        <f ca="1">IFERROR(__xludf.DUMMYFUNCTION("""COMPUTED_VALUE"""),0)</f>
        <v>0</v>
      </c>
      <c r="R99" s="67"/>
      <c r="S99" s="66">
        <f ca="1">IFERROR(__xludf.DUMMYFUNCTION("""COMPUTED_VALUE"""),453)</f>
        <v>453</v>
      </c>
      <c r="T99" s="66">
        <f ca="1">IFERROR(__xludf.DUMMYFUNCTION("""COMPUTED_VALUE"""),452)</f>
        <v>452</v>
      </c>
      <c r="U99" s="66"/>
      <c r="V99" s="66">
        <f ca="1">IFERROR(__xludf.DUMMYFUNCTION("""COMPUTED_VALUE"""),448)</f>
        <v>448</v>
      </c>
      <c r="W99" s="66"/>
      <c r="X99" s="66">
        <f ca="1">IFERROR(__xludf.DUMMYFUNCTION("""COMPUTED_VALUE"""),399)</f>
        <v>399</v>
      </c>
      <c r="Y99" s="66"/>
      <c r="Z99" s="2"/>
      <c r="AA99" s="2"/>
      <c r="AB99" s="2"/>
      <c r="AC99" s="2"/>
      <c r="AD99" s="2"/>
      <c r="AE99" s="2"/>
    </row>
    <row r="100" spans="1:31" ht="12.75" x14ac:dyDescent="0.2">
      <c r="A100" s="55" t="str">
        <f ca="1">IFERROR(__xludf.DUMMYFUNCTION("""COMPUTED_VALUE"""),"GDTX")</f>
        <v>GDTX</v>
      </c>
      <c r="B100" s="66"/>
      <c r="C100" s="66"/>
      <c r="D100" s="66">
        <f ca="1">IFERROR(__xludf.DUMMYFUNCTION("""COMPUTED_VALUE"""),10)</f>
        <v>10</v>
      </c>
      <c r="E100" s="67">
        <f ca="1">IFERROR(__xludf.DUMMYFUNCTION("""COMPUTED_VALUE"""),37)</f>
        <v>37</v>
      </c>
      <c r="F100" s="67">
        <f ca="1">IFERROR(__xludf.DUMMYFUNCTION("""COMPUTED_VALUE"""),37)</f>
        <v>37</v>
      </c>
      <c r="G100" s="67"/>
      <c r="H100" s="67">
        <f ca="1">IFERROR(__xludf.DUMMYFUNCTION("""COMPUTED_VALUE"""),37)</f>
        <v>37</v>
      </c>
      <c r="I100" s="67"/>
      <c r="J100" s="67">
        <f ca="1">IFERROR(__xludf.DUMMYFUNCTION("""COMPUTED_VALUE"""),37)</f>
        <v>37</v>
      </c>
      <c r="K100" s="67"/>
      <c r="L100" s="67">
        <f ca="1">IFERROR(__xludf.DUMMYFUNCTION("""COMPUTED_VALUE"""),22)</f>
        <v>22</v>
      </c>
      <c r="M100" s="67"/>
      <c r="N100" s="67">
        <f ca="1">IFERROR(__xludf.DUMMYFUNCTION("""COMPUTED_VALUE"""),0)</f>
        <v>0</v>
      </c>
      <c r="O100" s="67">
        <f ca="1">IFERROR(__xludf.DUMMYFUNCTION("""COMPUTED_VALUE"""),0)</f>
        <v>0</v>
      </c>
      <c r="P100" s="67"/>
      <c r="Q100" s="67">
        <f ca="1">IFERROR(__xludf.DUMMYFUNCTION("""COMPUTED_VALUE"""),0)</f>
        <v>0</v>
      </c>
      <c r="R100" s="67"/>
      <c r="S100" s="67">
        <f ca="1">IFERROR(__xludf.DUMMYFUNCTION("""COMPUTED_VALUE"""),453)</f>
        <v>453</v>
      </c>
      <c r="T100" s="66">
        <f ca="1">IFERROR(__xludf.DUMMYFUNCTION("""COMPUTED_VALUE"""),452)</f>
        <v>452</v>
      </c>
      <c r="U100" s="66"/>
      <c r="V100" s="67">
        <f ca="1">IFERROR(__xludf.DUMMYFUNCTION("""COMPUTED_VALUE"""),448)</f>
        <v>448</v>
      </c>
      <c r="W100" s="67"/>
      <c r="X100" s="67">
        <f ca="1">IFERROR(__xludf.DUMMYFUNCTION("""COMPUTED_VALUE"""),399)</f>
        <v>399</v>
      </c>
      <c r="Y100" s="67"/>
      <c r="Z100" s="2"/>
      <c r="AA100" s="2"/>
      <c r="AB100" s="2"/>
      <c r="AC100" s="2"/>
      <c r="AD100" s="2"/>
      <c r="AE100" s="2"/>
    </row>
    <row r="101" spans="1:31" ht="12.75" x14ac:dyDescent="0.2">
      <c r="A101" s="53">
        <f ca="1">IFERROR(__xludf.DUMMYFUNCTION("""COMPUTED_VALUE"""),1)</f>
        <v>1</v>
      </c>
      <c r="B101" s="66" t="str">
        <f ca="1">IFERROR(__xludf.DUMMYFUNCTION("""COMPUTED_VALUE"""),"TT GDNN-GDTX")</f>
        <v>TT GDNN-GDTX</v>
      </c>
      <c r="C101" s="66" t="str">
        <f ca="1">IFERROR(__xludf.DUMMYFUNCTION("""COMPUTED_VALUE"""),"GDTX")</f>
        <v>GDTX</v>
      </c>
      <c r="D101" s="66">
        <f ca="1">IFERROR(__xludf.DUMMYFUNCTION("""COMPUTED_VALUE"""),10)</f>
        <v>10</v>
      </c>
      <c r="E101" s="67">
        <f ca="1">IFERROR(__xludf.DUMMYFUNCTION("""COMPUTED_VALUE"""),38)</f>
        <v>38</v>
      </c>
      <c r="F101" s="67">
        <f ca="1">IFERROR(__xludf.DUMMYFUNCTION("""COMPUTED_VALUE"""),38)</f>
        <v>38</v>
      </c>
      <c r="G101" s="67"/>
      <c r="H101" s="67">
        <f ca="1">IFERROR(__xludf.DUMMYFUNCTION("""COMPUTED_VALUE"""),38)</f>
        <v>38</v>
      </c>
      <c r="I101" s="67"/>
      <c r="J101" s="67">
        <f ca="1">IFERROR(__xludf.DUMMYFUNCTION("""COMPUTED_VALUE"""),38)</f>
        <v>38</v>
      </c>
      <c r="K101" s="67"/>
      <c r="L101" s="67">
        <f ca="1">IFERROR(__xludf.DUMMYFUNCTION("""COMPUTED_VALUE"""),22)</f>
        <v>22</v>
      </c>
      <c r="M101" s="67"/>
      <c r="N101" s="67">
        <f ca="1">IFERROR(__xludf.DUMMYFUNCTION("""COMPUTED_VALUE"""),0)</f>
        <v>0</v>
      </c>
      <c r="O101" s="67">
        <f ca="1">IFERROR(__xludf.DUMMYFUNCTION("""COMPUTED_VALUE"""),0)</f>
        <v>0</v>
      </c>
      <c r="P101" s="67"/>
      <c r="Q101" s="67">
        <f ca="1">IFERROR(__xludf.DUMMYFUNCTION("""COMPUTED_VALUE"""),0)</f>
        <v>0</v>
      </c>
      <c r="R101" s="67"/>
      <c r="S101" s="67">
        <f ca="1">IFERROR(__xludf.DUMMYFUNCTION("""COMPUTED_VALUE"""),453)</f>
        <v>453</v>
      </c>
      <c r="T101" s="66">
        <f ca="1">IFERROR(__xludf.DUMMYFUNCTION("""COMPUTED_VALUE"""),452)</f>
        <v>452</v>
      </c>
      <c r="U101" s="66"/>
      <c r="V101" s="67">
        <f ca="1">IFERROR(__xludf.DUMMYFUNCTION("""COMPUTED_VALUE"""),448)</f>
        <v>448</v>
      </c>
      <c r="W101" s="67"/>
      <c r="X101" s="67">
        <f ca="1">IFERROR(__xludf.DUMMYFUNCTION("""COMPUTED_VALUE"""),418)</f>
        <v>418</v>
      </c>
      <c r="Y101" s="67"/>
      <c r="Z101" s="2"/>
      <c r="AA101" s="2"/>
      <c r="AB101" s="2"/>
      <c r="AC101" s="2"/>
      <c r="AD101" s="2"/>
      <c r="AE101" s="2"/>
    </row>
    <row r="102" spans="1:31" ht="12.75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1:31" ht="12.75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1:31" ht="12.75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1:31" ht="12.75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1:31" ht="12.75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1:31" ht="12.75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</row>
    <row r="108" spans="1:31" ht="12.75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1:31" ht="12.75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 spans="1:31" ht="12.75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1:31" ht="12.75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1:31" ht="12.75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:31" ht="12.75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 ht="12.75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 ht="12.75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 ht="12.75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 ht="12.75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 ht="12.75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 ht="12.75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 ht="12.75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 ht="12.75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 ht="12.75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 ht="12.75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 ht="12.75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 ht="12.75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ht="12.75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ht="12.75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ht="12.75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ht="12.75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ht="12.75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ht="12.75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ht="12.75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ht="12.75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ht="12.75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ht="12.75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ht="12.75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ht="12.75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ht="12.75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ht="12.75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ht="12.75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2.75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2.75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2.75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2.75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2.75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2.75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2.75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2.75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2.75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2.75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2.75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2.75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2.75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2.75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2.75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2.75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2.75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2.75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2.75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2.75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2.75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2.75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2.75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2.75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2.75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2.75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2.75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2.75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2.75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2.75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2.75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2.75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2.75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2.75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2.75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2.75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2.75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2.75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2.75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2.75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2.75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2.75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2.75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2.75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2.75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2.75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2.75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2.75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2.75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2.75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2.75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2.75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2.75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2.75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2.75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2.75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2.75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2.75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2.75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2.75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2.75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2.75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2.75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2.75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2.75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2.75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2.75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2.75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2.75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2.75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2.75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2.75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2.75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2.75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2.75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2.75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2.75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2.75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2.75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2.75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2.75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2.75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2.75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2.75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2.75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2.75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2.75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2.75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2.75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2.75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2.75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2.75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2.75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2.75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2.75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2.75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2.75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2.75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2.75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2.75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2.75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2.75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2.75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2.75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2.75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2.75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2.75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2.75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2.75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2.75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2.75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2.75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2.75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2.75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2.75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2.75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2.75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2.75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2.75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2.75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2.75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2.75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2.75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2.75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2.75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2.75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2.75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2.75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2.75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2.75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2.75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2.75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2.75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2.75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2.75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2.75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2.75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2.75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2.75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2.75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2.75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2.75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2.75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2.75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2.75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2.75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2.75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2.75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2.75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2.75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2.75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2.75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2.75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2.75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2.75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2.75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2.75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2.75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2.75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2.75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2.75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2.75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2.75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2.75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2.75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2.75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2.75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2.75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2.75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2.75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2.75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2.75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2.75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2.75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2.75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2.75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2.75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2.75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2.75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2.75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2.75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2.75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2.75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2.75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2.75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2.75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2.75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2.75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2.75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2.75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2.75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2.75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2.75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2.75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2.75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2.75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2.75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2.75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2.75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2.75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2.75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2.75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2.75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2.75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2.75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2.75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2.75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2.75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2.75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2.75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2.75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2.75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2.75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2.75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2.75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2.75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2.75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2.75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2.75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2.75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2.75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2.75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2.75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2.75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2.75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2.75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2.75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2.75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2.75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2.75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2.75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2.75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2.75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2.75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2.75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2.75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2.75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2.75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2.75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2.75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2.75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2.75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2.75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2.75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2.75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2.75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2.75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2.75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2.75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2.75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2.75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2.75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2.75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2.75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2.75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2.75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2.75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2.75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2.75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2.75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2.75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2.75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2.75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2.75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2.75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2.75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2.75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2.75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2.75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2.75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2.75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2.75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2.75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2.75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2.75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2.75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2.75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2.75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2.75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2.75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2.75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2.75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2.75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2.75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2.75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2.75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2.75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2.75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2.75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2.75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2.75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2.75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2.75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2.75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2.75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2.75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2.75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2.75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2.75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2.75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2.75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2.75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2.75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2.75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2.75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2.75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2.75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2.75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2.75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2.75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2.75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2.75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2.75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2.75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2.75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2.75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2.75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2.75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2.75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2.75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2.75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2.75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2.75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2.75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2.75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2.75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2.75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2.75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2.75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2.75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2.75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2.75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2.75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2.75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2.75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2.75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2.75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2.75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2.75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2.75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2.75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2.75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2.75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2.75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2.75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2.75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2.75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2.75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2.75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2.75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2.75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2.75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2.75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2.75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2.75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2.75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2.75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2.75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2.75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2.75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2.75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2.75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2.75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2.75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2.75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2.75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2.75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2.75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2.75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2.75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2.75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2.75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2.75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2.75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2.75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2.75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2.75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2.75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2.75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2.75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2.75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2.75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2.75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2.75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2.75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2.75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2.75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2.75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2.75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2.75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2.75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2.75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2.75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2.75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2.75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2.75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2.75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2.75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2.75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2.75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2.75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2.75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2.75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2.75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2.75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2.75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2.75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2.75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2.75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2.75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2.75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2.75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2.75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2.75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2.75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2.75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2.75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2.75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2.75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2.75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2.75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2.75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2.75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2.75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2.75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2.75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2.75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2.75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2.75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2.75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2.75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2.75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2.75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2.75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2.75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2.75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2.75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2.75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2.75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2.75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2.75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2.75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2.75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2.75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2.75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2.75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2.75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2.75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2.75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2.75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2.75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2.75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2.75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2.75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2.75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2.75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2.75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2.75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2.75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2.75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2.75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2.75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2.75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2.75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2.75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2.75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2.75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2.75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2.75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2.75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2.75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2.75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2.75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2.75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2.75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2.75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2.75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2.75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2.75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2.75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2.75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2.75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2.75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2.75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2.75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2.75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2.75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2.75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2.75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2.75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2.75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2.75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2.75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2.75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2.75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2.75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2.75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2.75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2.75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2.75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2.75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2.75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2.75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2.75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2.75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2.75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2.75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2.75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2.75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2.75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2.75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2.75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2.75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2.75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2.75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2.75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2.75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2.75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2.75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2.75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2.75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2.75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2.75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2.75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2.75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2.75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2.75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2.75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2.75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2.75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2.75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2.75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2.75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2.75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2.75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2.75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2.75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2.75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2.75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2.75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2.75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2.75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2.75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2.75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2.75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2.75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2.75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2.75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2.75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2.75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2.75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2.75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2.75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2.75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2.75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2.75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2.75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2.75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2.75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2.75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2.75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2.75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2.75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2.75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2.75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2.75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2.75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2.75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2.75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2.75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2.75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2.75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2.75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2.75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2.75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2.75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2.75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2.75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2.75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2.75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2.75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2.75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2.75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2.75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2.75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2.75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2.75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2.75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2.75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2.75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2.75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2.75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2.75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2.75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2.75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2.75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2.75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2.75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2.75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2.75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2.75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2.75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2.75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2.75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2.75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2.75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2.75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2.75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2.75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2.75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2.75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2.75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2.75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2.75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2.75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2.75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2.75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2.75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2.75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2.75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2.75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2.75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2.75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2.75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2.75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2.75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2.75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2.75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2.75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2.75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2.75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2.75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2.75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2.75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2.75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2.75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2.75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2.75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2.75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2.75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2.75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2.75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2.75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2.75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2.75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2.75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2.75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2.75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2.75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2.75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2.75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2.75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2.75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2.75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2.75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2.75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2.75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2.75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2.75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2.75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2.75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2.75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2.75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2.75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2.75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2.75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2.75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2.75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2.75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2.75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2.75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2.75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2.75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2.75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2.75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2.75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2.75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2.75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2.75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2.75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2.75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2.75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2.75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2.75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2.75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2.75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2.75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2.75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2.75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2.75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2.75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2.75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2.75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2.75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2.75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2.75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2.75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2.75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2.75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2.75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2.75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2.75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2.75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2.75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2.75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2.75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2.75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2.75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2.75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2.75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2.75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2.75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2.75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2.75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2.75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2.75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2.75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2.75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2.75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2.75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2.75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2.75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2.75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2.75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2.75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2.75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2.75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2.75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2.75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2.75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2.75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2.75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2.75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2.75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2.75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2.75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2.75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2.75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2.75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2.75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2.75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2.75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2.75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2.75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2.75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2.75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2.75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2.75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2.75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2.75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2.75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2.75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2.75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2.75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2.75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2.75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2.75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2.75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2.75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2.75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2.75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2.75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2.75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2.75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2.75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2.75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2.75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2.75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2.75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2.75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2.75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2.75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2.75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2.75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2.75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2.75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2.75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2.75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2.75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2.75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2.75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2.75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2.75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2.75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2.75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2.75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2.75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2.75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2.75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2.75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2.75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2.75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2.75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2.75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2.75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2.75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2.75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2.75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2.75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2.75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2.75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2.75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2.75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2.75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2.75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2.75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2.75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2.75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2.75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2.75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2.75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2.75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2.75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2.75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2.75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2.75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2.75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2.75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2.75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2.75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2.75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2.75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2.75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2.75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2.75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2.75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2.75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2.75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2.75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2.75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2.75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2.75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2.75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2.75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2.75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2.75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2.75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2.75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2.75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2.75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2.75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2.75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2.75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2.75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2.75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2.75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2.75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2.75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2.75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2.75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2.75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2.75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2.75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2.75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2.75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2.75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2.75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 ht="12.75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 ht="12.75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  <row r="1000" spans="1:31" ht="12.75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</row>
  </sheetData>
  <mergeCells count="16">
    <mergeCell ref="N3:R3"/>
    <mergeCell ref="S3:Y3"/>
    <mergeCell ref="F4:G4"/>
    <mergeCell ref="H4:I4"/>
    <mergeCell ref="J4:K4"/>
    <mergeCell ref="L4:M4"/>
    <mergeCell ref="O4:P4"/>
    <mergeCell ref="Q4:R4"/>
    <mergeCell ref="T4:U4"/>
    <mergeCell ref="V4:W4"/>
    <mergeCell ref="X4:Y4"/>
    <mergeCell ref="A3:A4"/>
    <mergeCell ref="B3:B4"/>
    <mergeCell ref="C3:C4"/>
    <mergeCell ref="D3:D4"/>
    <mergeCell ref="E3:M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E1000"/>
  <sheetViews>
    <sheetView zoomScale="85" zoomScaleNormal="85" workbookViewId="0">
      <selection activeCell="B21" sqref="B21"/>
    </sheetView>
  </sheetViews>
  <sheetFormatPr defaultColWidth="12.5703125" defaultRowHeight="15.75" customHeight="1" x14ac:dyDescent="0.2"/>
  <cols>
    <col min="1" max="1" width="7.42578125" style="3" customWidth="1"/>
    <col min="2" max="2" width="34.28515625" style="3" customWidth="1"/>
    <col min="3" max="4" width="12.5703125" style="3"/>
    <col min="5" max="5" width="10.42578125" style="3" customWidth="1"/>
    <col min="6" max="13" width="8.85546875" style="3" customWidth="1"/>
    <col min="14" max="14" width="10.42578125" style="3" customWidth="1"/>
    <col min="15" max="18" width="8.85546875" style="3" customWidth="1"/>
    <col min="19" max="19" width="10.42578125" style="3" customWidth="1"/>
    <col min="20" max="25" width="8.85546875" style="3" customWidth="1"/>
    <col min="26" max="16384" width="12.5703125" style="3"/>
  </cols>
  <sheetData>
    <row r="1" spans="1:31" ht="26.25" customHeight="1" x14ac:dyDescent="0.2">
      <c r="A1" s="49" t="s">
        <v>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ht="35.25" customHeight="1" x14ac:dyDescent="0.2">
      <c r="A2" s="4" t="s">
        <v>26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</row>
    <row r="3" spans="1:31" ht="30.75" customHeight="1" x14ac:dyDescent="0.2">
      <c r="A3" s="89" t="str">
        <f ca="1">IFERROR(__xludf.DUMMYFUNCTION("IMPORTRANGE(""https://docs.google.com/spreadsheets/d/1giFCfPZvq6d2WPbrXwJ7ksTcnSjmuNbU5G4IRrh5hOk/edit#gid=0"",""Q11!A15:T500"")"),"STT")</f>
        <v>STT</v>
      </c>
      <c r="B3" s="101" t="str">
        <f ca="1">IFERROR(__xludf.DUMMYFUNCTION("""COMPUTED_VALUE"""),"TRƯỜNG")</f>
        <v>TRƯỜNG</v>
      </c>
      <c r="C3" s="101" t="str">
        <f ca="1">IFERROR(__xludf.DUMMYFUNCTION("""COMPUTED_VALUE"""),"BẬC HỌC (MN, TH, THCS, THPT, CB, GDTX)")</f>
        <v>BẬC HỌC (MN, TH, THCS, THPT, CB, GDTX)</v>
      </c>
      <c r="D3" s="101" t="str">
        <f ca="1">IFERROR(__xludf.DUMMYFUNCTION("""COMPUTED_VALUE"""),"THÀNH PHỐ, QUẬN, HUYỆN")</f>
        <v>THÀNH PHỐ, QUẬN, HUYỆN</v>
      </c>
      <c r="E3" s="93" t="str">
        <f ca="1">IFERROR(__xludf.DUMMYFUNCTION("""COMPUTED_VALUE"""),"Cán bộ - Giáo viên - Nhân viên")</f>
        <v>Cán bộ - Giáo viên - Nhân viên</v>
      </c>
      <c r="F3" s="92"/>
      <c r="G3" s="92"/>
      <c r="H3" s="92"/>
      <c r="I3" s="92"/>
      <c r="J3" s="92"/>
      <c r="K3" s="92"/>
      <c r="L3" s="92"/>
      <c r="M3" s="92"/>
      <c r="N3" s="93" t="str">
        <f ca="1">IFERROR(__xludf.DUMMYFUNCTION("""COMPUTED_VALUE"""),"Học sinh từ 5 đến dưới 12 tuổi")</f>
        <v>Học sinh từ 5 đến dưới 12 tuổi</v>
      </c>
      <c r="O3" s="92"/>
      <c r="P3" s="92"/>
      <c r="Q3" s="92"/>
      <c r="R3" s="92"/>
      <c r="S3" s="94" t="str">
        <f ca="1">IFERROR(__xludf.DUMMYFUNCTION("""COMPUTED_VALUE"""),"Học sinh từ 12 đến dưới 18 tuổi")</f>
        <v>Học sinh từ 12 đến dưới 18 tuổi</v>
      </c>
      <c r="T3" s="95"/>
      <c r="U3" s="95"/>
      <c r="V3" s="95"/>
      <c r="W3" s="95"/>
      <c r="X3" s="95"/>
      <c r="Y3" s="95"/>
      <c r="Z3" s="2"/>
      <c r="AA3" s="2"/>
      <c r="AB3" s="2"/>
      <c r="AC3" s="2"/>
      <c r="AD3" s="2"/>
      <c r="AE3" s="2"/>
    </row>
    <row r="4" spans="1:31" ht="27" customHeight="1" x14ac:dyDescent="0.2">
      <c r="A4" s="90"/>
      <c r="B4" s="88"/>
      <c r="C4" s="88"/>
      <c r="D4" s="88"/>
      <c r="E4" s="58" t="str">
        <f ca="1">IFERROR(__xludf.DUMMYFUNCTION("""COMPUTED_VALUE"""),"Tổng CB-GV-NV")</f>
        <v>Tổng CB-GV-NV</v>
      </c>
      <c r="F4" s="96" t="s">
        <v>22</v>
      </c>
      <c r="G4" s="97"/>
      <c r="H4" s="96" t="s">
        <v>23</v>
      </c>
      <c r="I4" s="97"/>
      <c r="J4" s="96" t="s">
        <v>24</v>
      </c>
      <c r="K4" s="97"/>
      <c r="L4" s="96" t="s">
        <v>25</v>
      </c>
      <c r="M4" s="97"/>
      <c r="N4" s="58" t="str">
        <f ca="1">IFERROR(__xludf.DUMMYFUNCTION("""COMPUTED_VALUE"""),"Tổng học sinh")</f>
        <v>Tổng học sinh</v>
      </c>
      <c r="O4" s="96" t="s">
        <v>22</v>
      </c>
      <c r="P4" s="97"/>
      <c r="Q4" s="96" t="s">
        <v>23</v>
      </c>
      <c r="R4" s="97"/>
      <c r="S4" s="58" t="str">
        <f ca="1">IFERROR(__xludf.DUMMYFUNCTION("""COMPUTED_VALUE"""),"Tổng học sinh")</f>
        <v>Tổng học sinh</v>
      </c>
      <c r="T4" s="98" t="s">
        <v>22</v>
      </c>
      <c r="U4" s="99"/>
      <c r="V4" s="98" t="s">
        <v>23</v>
      </c>
      <c r="W4" s="99"/>
      <c r="X4" s="98" t="s">
        <v>24</v>
      </c>
      <c r="Y4" s="99"/>
      <c r="Z4" s="2"/>
      <c r="AA4" s="2"/>
      <c r="AB4" s="2"/>
      <c r="AC4" s="2"/>
      <c r="AD4" s="2"/>
      <c r="AE4" s="2"/>
    </row>
    <row r="5" spans="1:31" ht="12.75" x14ac:dyDescent="0.2">
      <c r="A5" s="62" t="str">
        <f ca="1">IFERROR(__xludf.DUMMYFUNCTION("""COMPUTED_VALUE"""),"TỔNG TOÀN QUẬN/HUYỆN/TP")</f>
        <v>TỔNG TOÀN QUẬN/HUYỆN/TP</v>
      </c>
      <c r="B5" s="63"/>
      <c r="C5" s="64"/>
      <c r="D5" s="64" t="str">
        <f ca="1">IFERROR(__xludf.DUMMYFUNCTION("""COMPUTED_VALUE"""),"QUẬN 11")</f>
        <v>QUẬN 11</v>
      </c>
      <c r="E5" s="15">
        <f ca="1">IFERROR(__xludf.DUMMYFUNCTION("""COMPUTED_VALUE"""),3641)</f>
        <v>3641</v>
      </c>
      <c r="F5" s="15">
        <f ca="1">IFERROR(__xludf.DUMMYFUNCTION("""COMPUTED_VALUE"""),3595)</f>
        <v>3595</v>
      </c>
      <c r="G5" s="51">
        <f ca="1">IFERROR(F5/E5,"")</f>
        <v>0.98736610821202964</v>
      </c>
      <c r="H5" s="15">
        <f ca="1">IFERROR(__xludf.DUMMYFUNCTION("""COMPUTED_VALUE"""),3583)</f>
        <v>3583</v>
      </c>
      <c r="I5" s="51">
        <f ca="1">IFERROR(H5/E5,"")</f>
        <v>0.98407031035429826</v>
      </c>
      <c r="J5" s="15">
        <f ca="1">IFERROR(__xludf.DUMMYFUNCTION("""COMPUTED_VALUE"""),3447)</f>
        <v>3447</v>
      </c>
      <c r="K5" s="51">
        <f ca="1">IFERROR(J5/E5,"")</f>
        <v>0.94671793463334253</v>
      </c>
      <c r="L5" s="15">
        <f ca="1">IFERROR(__xludf.DUMMYFUNCTION("""COMPUTED_VALUE"""),2305)</f>
        <v>2305</v>
      </c>
      <c r="M5" s="51">
        <f ca="1">IFERROR(L5/E5,"")</f>
        <v>0.63306783850590498</v>
      </c>
      <c r="N5" s="15">
        <f ca="1">IFERROR(__xludf.DUMMYFUNCTION("""COMPUTED_VALUE"""),20274)</f>
        <v>20274</v>
      </c>
      <c r="O5" s="15">
        <f ca="1">IFERROR(__xludf.DUMMYFUNCTION("""COMPUTED_VALUE"""),9354)</f>
        <v>9354</v>
      </c>
      <c r="P5" s="51">
        <f ca="1">IFERROR(O5/N5,"")</f>
        <v>0.461379106244451</v>
      </c>
      <c r="Q5" s="15">
        <f ca="1">IFERROR(__xludf.DUMMYFUNCTION("""COMPUTED_VALUE"""),6345)</f>
        <v>6345</v>
      </c>
      <c r="R5" s="51">
        <f ca="1">IFERROR(Q5/N5,"")</f>
        <v>0.31296241491565552</v>
      </c>
      <c r="S5" s="15">
        <f ca="1">IFERROR(__xludf.DUMMYFUNCTION("""COMPUTED_VALUE"""),17341)</f>
        <v>17341</v>
      </c>
      <c r="T5" s="15">
        <f ca="1">IFERROR(__xludf.DUMMYFUNCTION("""COMPUTED_VALUE"""),15175)</f>
        <v>15175</v>
      </c>
      <c r="U5" s="51">
        <f ca="1">IFERROR(T5/S5,"")</f>
        <v>0.87509370855198665</v>
      </c>
      <c r="V5" s="15">
        <f ca="1">IFERROR(__xludf.DUMMYFUNCTION("""COMPUTED_VALUE"""),15393)</f>
        <v>15393</v>
      </c>
      <c r="W5" s="51">
        <f ca="1">IFERROR(V5/S5,"")</f>
        <v>0.88766507121849947</v>
      </c>
      <c r="X5" s="15">
        <f ca="1">IFERROR(__xludf.DUMMYFUNCTION("""COMPUTED_VALUE"""),7314)</f>
        <v>7314</v>
      </c>
      <c r="Y5" s="51">
        <f ca="1">IFERROR(X5/S5,"")</f>
        <v>0.42177498414162967</v>
      </c>
      <c r="Z5" s="1"/>
      <c r="AA5" s="1"/>
      <c r="AB5" s="1"/>
      <c r="AC5" s="1"/>
      <c r="AD5" s="1"/>
      <c r="AE5" s="1"/>
    </row>
    <row r="6" spans="1:31" ht="12.75" x14ac:dyDescent="0.2">
      <c r="A6" s="53">
        <f ca="1">IFERROR(__xludf.DUMMYFUNCTION("""COMPUTED_VALUE"""),1)</f>
        <v>1</v>
      </c>
      <c r="B6" s="66" t="str">
        <f ca="1">IFERROR(__xludf.DUMMYFUNCTION("""COMPUTED_VALUE"""),"Mầm non Phường 1")</f>
        <v>Mầm non Phường 1</v>
      </c>
      <c r="C6" s="66" t="str">
        <f ca="1">IFERROR(__xludf.DUMMYFUNCTION("""COMPUTED_VALUE"""),"MN")</f>
        <v>MN</v>
      </c>
      <c r="D6" s="66">
        <f ca="1">IFERROR(__xludf.DUMMYFUNCTION("""COMPUTED_VALUE"""),11)</f>
        <v>11</v>
      </c>
      <c r="E6" s="67">
        <f ca="1">IFERROR(__xludf.DUMMYFUNCTION("""COMPUTED_VALUE"""),35)</f>
        <v>35</v>
      </c>
      <c r="F6" s="67">
        <f ca="1">IFERROR(__xludf.DUMMYFUNCTION("""COMPUTED_VALUE"""),35)</f>
        <v>35</v>
      </c>
      <c r="G6" s="51">
        <f t="shared" ref="G6:G69" ca="1" si="0">IFERROR(F6/E6,"")</f>
        <v>1</v>
      </c>
      <c r="H6" s="67">
        <f ca="1">IFERROR(__xludf.DUMMYFUNCTION("""COMPUTED_VALUE"""),35)</f>
        <v>35</v>
      </c>
      <c r="I6" s="51">
        <f t="shared" ref="I6:I69" ca="1" si="1">IFERROR(H6/E6,"")</f>
        <v>1</v>
      </c>
      <c r="J6" s="67">
        <f ca="1">IFERROR(__xludf.DUMMYFUNCTION("""COMPUTED_VALUE"""),35)</f>
        <v>35</v>
      </c>
      <c r="K6" s="51">
        <f t="shared" ref="K6:K69" ca="1" si="2">IFERROR(J6/E6,"")</f>
        <v>1</v>
      </c>
      <c r="L6" s="67">
        <f ca="1">IFERROR(__xludf.DUMMYFUNCTION("""COMPUTED_VALUE"""),34)</f>
        <v>34</v>
      </c>
      <c r="M6" s="51">
        <f t="shared" ref="M6:M69" ca="1" si="3">IFERROR(L6/E6,"")</f>
        <v>0.97142857142857142</v>
      </c>
      <c r="N6" s="67">
        <f ca="1">IFERROR(__xludf.DUMMYFUNCTION("""COMPUTED_VALUE"""),96)</f>
        <v>96</v>
      </c>
      <c r="O6" s="67">
        <f ca="1">IFERROR(__xludf.DUMMYFUNCTION("""COMPUTED_VALUE"""),17)</f>
        <v>17</v>
      </c>
      <c r="P6" s="51">
        <f t="shared" ref="P6:P69" ca="1" si="4">IFERROR(O6/N6,"")</f>
        <v>0.17708333333333334</v>
      </c>
      <c r="Q6" s="67">
        <f ca="1">IFERROR(__xludf.DUMMYFUNCTION("""COMPUTED_VALUE"""),4)</f>
        <v>4</v>
      </c>
      <c r="R6" s="51">
        <f t="shared" ref="R6:R69" ca="1" si="5">IFERROR(Q6/N6,"")</f>
        <v>4.1666666666666664E-2</v>
      </c>
      <c r="S6" s="66"/>
      <c r="T6" s="66"/>
      <c r="U6" s="51" t="str">
        <f t="shared" ref="U6:U69" si="6">IFERROR(T6/S6,"")</f>
        <v/>
      </c>
      <c r="V6" s="66"/>
      <c r="W6" s="51" t="str">
        <f t="shared" ref="W6:W69" si="7">IFERROR(V6/S6,"")</f>
        <v/>
      </c>
      <c r="X6" s="66"/>
      <c r="Y6" s="51" t="str">
        <f t="shared" ref="Y6:Y69" si="8">IFERROR(X6/S6,"")</f>
        <v/>
      </c>
      <c r="Z6" s="2"/>
      <c r="AA6" s="2"/>
      <c r="AB6" s="2"/>
      <c r="AC6" s="2"/>
      <c r="AD6" s="2"/>
      <c r="AE6" s="2"/>
    </row>
    <row r="7" spans="1:31" ht="12.75" x14ac:dyDescent="0.2">
      <c r="A7" s="53">
        <f ca="1">IFERROR(__xludf.DUMMYFUNCTION("""COMPUTED_VALUE"""),2)</f>
        <v>2</v>
      </c>
      <c r="B7" s="66" t="str">
        <f ca="1">IFERROR(__xludf.DUMMYFUNCTION("""COMPUTED_VALUE"""),"Mầm non Phường 2")</f>
        <v>Mầm non Phường 2</v>
      </c>
      <c r="C7" s="66" t="str">
        <f ca="1">IFERROR(__xludf.DUMMYFUNCTION("""COMPUTED_VALUE"""),"MN")</f>
        <v>MN</v>
      </c>
      <c r="D7" s="66">
        <f ca="1">IFERROR(__xludf.DUMMYFUNCTION("""COMPUTED_VALUE"""),11)</f>
        <v>11</v>
      </c>
      <c r="E7" s="67">
        <f ca="1">IFERROR(__xludf.DUMMYFUNCTION("""COMPUTED_VALUE"""),26)</f>
        <v>26</v>
      </c>
      <c r="F7" s="67">
        <f ca="1">IFERROR(__xludf.DUMMYFUNCTION("""COMPUTED_VALUE"""),26)</f>
        <v>26</v>
      </c>
      <c r="G7" s="51">
        <f t="shared" ca="1" si="0"/>
        <v>1</v>
      </c>
      <c r="H7" s="66">
        <f ca="1">IFERROR(__xludf.DUMMYFUNCTION("""COMPUTED_VALUE"""),26)</f>
        <v>26</v>
      </c>
      <c r="I7" s="51">
        <f t="shared" ca="1" si="1"/>
        <v>1</v>
      </c>
      <c r="J7" s="67">
        <f ca="1">IFERROR(__xludf.DUMMYFUNCTION("""COMPUTED_VALUE"""),26)</f>
        <v>26</v>
      </c>
      <c r="K7" s="51">
        <f t="shared" ca="1" si="2"/>
        <v>1</v>
      </c>
      <c r="L7" s="67">
        <f ca="1">IFERROR(__xludf.DUMMYFUNCTION("""COMPUTED_VALUE"""),26)</f>
        <v>26</v>
      </c>
      <c r="M7" s="51">
        <f t="shared" ca="1" si="3"/>
        <v>1</v>
      </c>
      <c r="N7" s="67">
        <f ca="1">IFERROR(__xludf.DUMMYFUNCTION("""COMPUTED_VALUE"""),41)</f>
        <v>41</v>
      </c>
      <c r="O7" s="67">
        <f ca="1">IFERROR(__xludf.DUMMYFUNCTION("""COMPUTED_VALUE"""),2)</f>
        <v>2</v>
      </c>
      <c r="P7" s="51">
        <f t="shared" ca="1" si="4"/>
        <v>4.878048780487805E-2</v>
      </c>
      <c r="Q7" s="67">
        <f ca="1">IFERROR(__xludf.DUMMYFUNCTION("""COMPUTED_VALUE"""),5)</f>
        <v>5</v>
      </c>
      <c r="R7" s="51">
        <f t="shared" ca="1" si="5"/>
        <v>0.12195121951219512</v>
      </c>
      <c r="S7" s="66"/>
      <c r="T7" s="66"/>
      <c r="U7" s="51" t="str">
        <f t="shared" si="6"/>
        <v/>
      </c>
      <c r="V7" s="66"/>
      <c r="W7" s="51" t="str">
        <f t="shared" si="7"/>
        <v/>
      </c>
      <c r="X7" s="66"/>
      <c r="Y7" s="51" t="str">
        <f t="shared" si="8"/>
        <v/>
      </c>
      <c r="Z7" s="2"/>
      <c r="AA7" s="2"/>
      <c r="AB7" s="2"/>
      <c r="AC7" s="2"/>
      <c r="AD7" s="2"/>
      <c r="AE7" s="2"/>
    </row>
    <row r="8" spans="1:31" ht="12.75" x14ac:dyDescent="0.2">
      <c r="A8" s="53">
        <f ca="1">IFERROR(__xludf.DUMMYFUNCTION("""COMPUTED_VALUE"""),3)</f>
        <v>3</v>
      </c>
      <c r="B8" s="66" t="str">
        <f ca="1">IFERROR(__xludf.DUMMYFUNCTION("""COMPUTED_VALUE"""),"Mầm non Phường 3")</f>
        <v>Mầm non Phường 3</v>
      </c>
      <c r="C8" s="66" t="str">
        <f ca="1">IFERROR(__xludf.DUMMYFUNCTION("""COMPUTED_VALUE"""),"MN")</f>
        <v>MN</v>
      </c>
      <c r="D8" s="66">
        <f ca="1">IFERROR(__xludf.DUMMYFUNCTION("""COMPUTED_VALUE"""),11)</f>
        <v>11</v>
      </c>
      <c r="E8" s="67">
        <f ca="1">IFERROR(__xludf.DUMMYFUNCTION("""COMPUTED_VALUE"""),30)</f>
        <v>30</v>
      </c>
      <c r="F8" s="67">
        <f ca="1">IFERROR(__xludf.DUMMYFUNCTION("""COMPUTED_VALUE"""),30)</f>
        <v>30</v>
      </c>
      <c r="G8" s="51">
        <f t="shared" ca="1" si="0"/>
        <v>1</v>
      </c>
      <c r="H8" s="67">
        <f ca="1">IFERROR(__xludf.DUMMYFUNCTION("""COMPUTED_VALUE"""),30)</f>
        <v>30</v>
      </c>
      <c r="I8" s="51">
        <f t="shared" ca="1" si="1"/>
        <v>1</v>
      </c>
      <c r="J8" s="67">
        <f ca="1">IFERROR(__xludf.DUMMYFUNCTION("""COMPUTED_VALUE"""),30)</f>
        <v>30</v>
      </c>
      <c r="K8" s="51">
        <f t="shared" ca="1" si="2"/>
        <v>1</v>
      </c>
      <c r="L8" s="67">
        <f ca="1">IFERROR(__xludf.DUMMYFUNCTION("""COMPUTED_VALUE"""),26)</f>
        <v>26</v>
      </c>
      <c r="M8" s="51">
        <f t="shared" ca="1" si="3"/>
        <v>0.8666666666666667</v>
      </c>
      <c r="N8" s="67">
        <f ca="1">IFERROR(__xludf.DUMMYFUNCTION("""COMPUTED_VALUE"""),94)</f>
        <v>94</v>
      </c>
      <c r="O8" s="67">
        <f ca="1">IFERROR(__xludf.DUMMYFUNCTION("""COMPUTED_VALUE"""),8)</f>
        <v>8</v>
      </c>
      <c r="P8" s="51">
        <f t="shared" ca="1" si="4"/>
        <v>8.5106382978723402E-2</v>
      </c>
      <c r="Q8" s="67">
        <f ca="1">IFERROR(__xludf.DUMMYFUNCTION("""COMPUTED_VALUE"""),7)</f>
        <v>7</v>
      </c>
      <c r="R8" s="51">
        <f t="shared" ca="1" si="5"/>
        <v>7.4468085106382975E-2</v>
      </c>
      <c r="S8" s="66"/>
      <c r="T8" s="66"/>
      <c r="U8" s="51" t="str">
        <f t="shared" si="6"/>
        <v/>
      </c>
      <c r="V8" s="66"/>
      <c r="W8" s="51" t="str">
        <f t="shared" si="7"/>
        <v/>
      </c>
      <c r="X8" s="66"/>
      <c r="Y8" s="51" t="str">
        <f t="shared" si="8"/>
        <v/>
      </c>
      <c r="Z8" s="2"/>
      <c r="AA8" s="2"/>
      <c r="AB8" s="2"/>
      <c r="AC8" s="2"/>
      <c r="AD8" s="2"/>
      <c r="AE8" s="2"/>
    </row>
    <row r="9" spans="1:31" ht="12.75" x14ac:dyDescent="0.2">
      <c r="A9" s="53">
        <f ca="1">IFERROR(__xludf.DUMMYFUNCTION("""COMPUTED_VALUE"""),4)</f>
        <v>4</v>
      </c>
      <c r="B9" s="66" t="str">
        <f ca="1">IFERROR(__xludf.DUMMYFUNCTION("""COMPUTED_VALUE"""),"Mầm non Phường 4")</f>
        <v>Mầm non Phường 4</v>
      </c>
      <c r="C9" s="66" t="str">
        <f ca="1">IFERROR(__xludf.DUMMYFUNCTION("""COMPUTED_VALUE"""),"MN")</f>
        <v>MN</v>
      </c>
      <c r="D9" s="66">
        <f ca="1">IFERROR(__xludf.DUMMYFUNCTION("""COMPUTED_VALUE"""),11)</f>
        <v>11</v>
      </c>
      <c r="E9" s="67">
        <f ca="1">IFERROR(__xludf.DUMMYFUNCTION("""COMPUTED_VALUE"""),14)</f>
        <v>14</v>
      </c>
      <c r="F9" s="67">
        <f ca="1">IFERROR(__xludf.DUMMYFUNCTION("""COMPUTED_VALUE"""),14)</f>
        <v>14</v>
      </c>
      <c r="G9" s="51">
        <f t="shared" ca="1" si="0"/>
        <v>1</v>
      </c>
      <c r="H9" s="67">
        <f ca="1">IFERROR(__xludf.DUMMYFUNCTION("""COMPUTED_VALUE"""),14)</f>
        <v>14</v>
      </c>
      <c r="I9" s="51">
        <f t="shared" ca="1" si="1"/>
        <v>1</v>
      </c>
      <c r="J9" s="67">
        <f ca="1">IFERROR(__xludf.DUMMYFUNCTION("""COMPUTED_VALUE"""),14)</f>
        <v>14</v>
      </c>
      <c r="K9" s="51">
        <f t="shared" ca="1" si="2"/>
        <v>1</v>
      </c>
      <c r="L9" s="67">
        <f ca="1">IFERROR(__xludf.DUMMYFUNCTION("""COMPUTED_VALUE"""),13)</f>
        <v>13</v>
      </c>
      <c r="M9" s="51">
        <f t="shared" ca="1" si="3"/>
        <v>0.9285714285714286</v>
      </c>
      <c r="N9" s="67">
        <f ca="1">IFERROR(__xludf.DUMMYFUNCTION("""COMPUTED_VALUE"""),17)</f>
        <v>17</v>
      </c>
      <c r="O9" s="67">
        <f ca="1">IFERROR(__xludf.DUMMYFUNCTION("""COMPUTED_VALUE"""),7)</f>
        <v>7</v>
      </c>
      <c r="P9" s="51">
        <f t="shared" ca="1" si="4"/>
        <v>0.41176470588235292</v>
      </c>
      <c r="Q9" s="67">
        <f ca="1">IFERROR(__xludf.DUMMYFUNCTION("""COMPUTED_VALUE"""),7)</f>
        <v>7</v>
      </c>
      <c r="R9" s="51">
        <f t="shared" ca="1" si="5"/>
        <v>0.41176470588235292</v>
      </c>
      <c r="S9" s="66"/>
      <c r="T9" s="66"/>
      <c r="U9" s="51" t="str">
        <f t="shared" si="6"/>
        <v/>
      </c>
      <c r="V9" s="66"/>
      <c r="W9" s="51" t="str">
        <f t="shared" si="7"/>
        <v/>
      </c>
      <c r="X9" s="66"/>
      <c r="Y9" s="51" t="str">
        <f t="shared" si="8"/>
        <v/>
      </c>
      <c r="Z9" s="2"/>
      <c r="AA9" s="2"/>
      <c r="AB9" s="2"/>
      <c r="AC9" s="2"/>
      <c r="AD9" s="2"/>
      <c r="AE9" s="2"/>
    </row>
    <row r="10" spans="1:31" ht="12.75" x14ac:dyDescent="0.2">
      <c r="A10" s="53">
        <f ca="1">IFERROR(__xludf.DUMMYFUNCTION("""COMPUTED_VALUE"""),5)</f>
        <v>5</v>
      </c>
      <c r="B10" s="66" t="str">
        <f ca="1">IFERROR(__xludf.DUMMYFUNCTION("""COMPUTED_VALUE"""),"Mầm non Phường 5")</f>
        <v>Mầm non Phường 5</v>
      </c>
      <c r="C10" s="66" t="str">
        <f ca="1">IFERROR(__xludf.DUMMYFUNCTION("""COMPUTED_VALUE"""),"MN")</f>
        <v>MN</v>
      </c>
      <c r="D10" s="66">
        <f ca="1">IFERROR(__xludf.DUMMYFUNCTION("""COMPUTED_VALUE"""),11)</f>
        <v>11</v>
      </c>
      <c r="E10" s="67">
        <f ca="1">IFERROR(__xludf.DUMMYFUNCTION("""COMPUTED_VALUE"""),32)</f>
        <v>32</v>
      </c>
      <c r="F10" s="67">
        <f ca="1">IFERROR(__xludf.DUMMYFUNCTION("""COMPUTED_VALUE"""),32)</f>
        <v>32</v>
      </c>
      <c r="G10" s="51">
        <f t="shared" ca="1" si="0"/>
        <v>1</v>
      </c>
      <c r="H10" s="67">
        <f ca="1">IFERROR(__xludf.DUMMYFUNCTION("""COMPUTED_VALUE"""),32)</f>
        <v>32</v>
      </c>
      <c r="I10" s="51">
        <f t="shared" ca="1" si="1"/>
        <v>1</v>
      </c>
      <c r="J10" s="67">
        <f ca="1">IFERROR(__xludf.DUMMYFUNCTION("""COMPUTED_VALUE"""),32)</f>
        <v>32</v>
      </c>
      <c r="K10" s="51">
        <f t="shared" ca="1" si="2"/>
        <v>1</v>
      </c>
      <c r="L10" s="67">
        <f ca="1">IFERROR(__xludf.DUMMYFUNCTION("""COMPUTED_VALUE"""),26)</f>
        <v>26</v>
      </c>
      <c r="M10" s="51">
        <f t="shared" ca="1" si="3"/>
        <v>0.8125</v>
      </c>
      <c r="N10" s="67">
        <f ca="1">IFERROR(__xludf.DUMMYFUNCTION("""COMPUTED_VALUE"""),55)</f>
        <v>55</v>
      </c>
      <c r="O10" s="67">
        <f ca="1">IFERROR(__xludf.DUMMYFUNCTION("""COMPUTED_VALUE"""),11)</f>
        <v>11</v>
      </c>
      <c r="P10" s="51">
        <f t="shared" ca="1" si="4"/>
        <v>0.2</v>
      </c>
      <c r="Q10" s="67">
        <f ca="1">IFERROR(__xludf.DUMMYFUNCTION("""COMPUTED_VALUE"""),6)</f>
        <v>6</v>
      </c>
      <c r="R10" s="51">
        <f t="shared" ca="1" si="5"/>
        <v>0.10909090909090909</v>
      </c>
      <c r="S10" s="66"/>
      <c r="T10" s="66"/>
      <c r="U10" s="51" t="str">
        <f t="shared" si="6"/>
        <v/>
      </c>
      <c r="V10" s="66"/>
      <c r="W10" s="51" t="str">
        <f t="shared" si="7"/>
        <v/>
      </c>
      <c r="X10" s="66"/>
      <c r="Y10" s="51" t="str">
        <f t="shared" si="8"/>
        <v/>
      </c>
      <c r="Z10" s="2"/>
      <c r="AA10" s="2"/>
      <c r="AB10" s="2"/>
      <c r="AC10" s="2"/>
      <c r="AD10" s="2"/>
      <c r="AE10" s="2"/>
    </row>
    <row r="11" spans="1:31" ht="12.75" x14ac:dyDescent="0.2">
      <c r="A11" s="53">
        <f ca="1">IFERROR(__xludf.DUMMYFUNCTION("""COMPUTED_VALUE"""),6)</f>
        <v>6</v>
      </c>
      <c r="B11" s="66" t="str">
        <f ca="1">IFERROR(__xludf.DUMMYFUNCTION("""COMPUTED_VALUE"""),"Mầm non Phường 6")</f>
        <v>Mầm non Phường 6</v>
      </c>
      <c r="C11" s="66" t="str">
        <f ca="1">IFERROR(__xludf.DUMMYFUNCTION("""COMPUTED_VALUE"""),"MN")</f>
        <v>MN</v>
      </c>
      <c r="D11" s="66">
        <f ca="1">IFERROR(__xludf.DUMMYFUNCTION("""COMPUTED_VALUE"""),11)</f>
        <v>11</v>
      </c>
      <c r="E11" s="67">
        <f ca="1">IFERROR(__xludf.DUMMYFUNCTION("""COMPUTED_VALUE"""),21)</f>
        <v>21</v>
      </c>
      <c r="F11" s="67">
        <f ca="1">IFERROR(__xludf.DUMMYFUNCTION("""COMPUTED_VALUE"""),21)</f>
        <v>21</v>
      </c>
      <c r="G11" s="51">
        <f t="shared" ca="1" si="0"/>
        <v>1</v>
      </c>
      <c r="H11" s="67">
        <f ca="1">IFERROR(__xludf.DUMMYFUNCTION("""COMPUTED_VALUE"""),21)</f>
        <v>21</v>
      </c>
      <c r="I11" s="51">
        <f t="shared" ca="1" si="1"/>
        <v>1</v>
      </c>
      <c r="J11" s="67">
        <f ca="1">IFERROR(__xludf.DUMMYFUNCTION("""COMPUTED_VALUE"""),21)</f>
        <v>21</v>
      </c>
      <c r="K11" s="51">
        <f t="shared" ca="1" si="2"/>
        <v>1</v>
      </c>
      <c r="L11" s="67">
        <f ca="1">IFERROR(__xludf.DUMMYFUNCTION("""COMPUTED_VALUE"""),20)</f>
        <v>20</v>
      </c>
      <c r="M11" s="51">
        <f t="shared" ca="1" si="3"/>
        <v>0.95238095238095233</v>
      </c>
      <c r="N11" s="67">
        <f ca="1">IFERROR(__xludf.DUMMYFUNCTION("""COMPUTED_VALUE"""),20)</f>
        <v>20</v>
      </c>
      <c r="O11" s="67">
        <f ca="1">IFERROR(__xludf.DUMMYFUNCTION("""COMPUTED_VALUE"""),4)</f>
        <v>4</v>
      </c>
      <c r="P11" s="51">
        <f t="shared" ca="1" si="4"/>
        <v>0.2</v>
      </c>
      <c r="Q11" s="67">
        <f ca="1">IFERROR(__xludf.DUMMYFUNCTION("""COMPUTED_VALUE"""),3)</f>
        <v>3</v>
      </c>
      <c r="R11" s="51">
        <f t="shared" ca="1" si="5"/>
        <v>0.15</v>
      </c>
      <c r="S11" s="66"/>
      <c r="T11" s="66"/>
      <c r="U11" s="51" t="str">
        <f t="shared" si="6"/>
        <v/>
      </c>
      <c r="V11" s="66"/>
      <c r="W11" s="51" t="str">
        <f t="shared" si="7"/>
        <v/>
      </c>
      <c r="X11" s="66"/>
      <c r="Y11" s="51" t="str">
        <f t="shared" si="8"/>
        <v/>
      </c>
      <c r="Z11" s="2"/>
      <c r="AA11" s="2"/>
      <c r="AB11" s="2"/>
      <c r="AC11" s="2"/>
      <c r="AD11" s="2"/>
      <c r="AE11" s="2"/>
    </row>
    <row r="12" spans="1:31" ht="12.75" x14ac:dyDescent="0.2">
      <c r="A12" s="53">
        <f ca="1">IFERROR(__xludf.DUMMYFUNCTION("""COMPUTED_VALUE"""),7)</f>
        <v>7</v>
      </c>
      <c r="B12" s="66" t="str">
        <f ca="1">IFERROR(__xludf.DUMMYFUNCTION("""COMPUTED_VALUE"""),"Mầm non Phường 7")</f>
        <v>Mầm non Phường 7</v>
      </c>
      <c r="C12" s="66" t="str">
        <f ca="1">IFERROR(__xludf.DUMMYFUNCTION("""COMPUTED_VALUE"""),"MN")</f>
        <v>MN</v>
      </c>
      <c r="D12" s="66">
        <f ca="1">IFERROR(__xludf.DUMMYFUNCTION("""COMPUTED_VALUE"""),11)</f>
        <v>11</v>
      </c>
      <c r="E12" s="67">
        <f ca="1">IFERROR(__xludf.DUMMYFUNCTION("""COMPUTED_VALUE"""),19)</f>
        <v>19</v>
      </c>
      <c r="F12" s="67">
        <f ca="1">IFERROR(__xludf.DUMMYFUNCTION("""COMPUTED_VALUE"""),19)</f>
        <v>19</v>
      </c>
      <c r="G12" s="51">
        <f t="shared" ca="1" si="0"/>
        <v>1</v>
      </c>
      <c r="H12" s="67">
        <f ca="1">IFERROR(__xludf.DUMMYFUNCTION("""COMPUTED_VALUE"""),19)</f>
        <v>19</v>
      </c>
      <c r="I12" s="51">
        <f t="shared" ca="1" si="1"/>
        <v>1</v>
      </c>
      <c r="J12" s="67">
        <f ca="1">IFERROR(__xludf.DUMMYFUNCTION("""COMPUTED_VALUE"""),19)</f>
        <v>19</v>
      </c>
      <c r="K12" s="51">
        <f t="shared" ca="1" si="2"/>
        <v>1</v>
      </c>
      <c r="L12" s="67">
        <f ca="1">IFERROR(__xludf.DUMMYFUNCTION("""COMPUTED_VALUE"""),17)</f>
        <v>17</v>
      </c>
      <c r="M12" s="51">
        <f t="shared" ca="1" si="3"/>
        <v>0.89473684210526316</v>
      </c>
      <c r="N12" s="67">
        <f ca="1">IFERROR(__xludf.DUMMYFUNCTION("""COMPUTED_VALUE"""),47)</f>
        <v>47</v>
      </c>
      <c r="O12" s="67">
        <f ca="1">IFERROR(__xludf.DUMMYFUNCTION("""COMPUTED_VALUE"""),7)</f>
        <v>7</v>
      </c>
      <c r="P12" s="51">
        <f t="shared" ca="1" si="4"/>
        <v>0.14893617021276595</v>
      </c>
      <c r="Q12" s="67">
        <f ca="1">IFERROR(__xludf.DUMMYFUNCTION("""COMPUTED_VALUE"""),1)</f>
        <v>1</v>
      </c>
      <c r="R12" s="51">
        <f t="shared" ca="1" si="5"/>
        <v>2.1276595744680851E-2</v>
      </c>
      <c r="S12" s="66"/>
      <c r="T12" s="66"/>
      <c r="U12" s="51" t="str">
        <f t="shared" si="6"/>
        <v/>
      </c>
      <c r="V12" s="66"/>
      <c r="W12" s="51" t="str">
        <f t="shared" si="7"/>
        <v/>
      </c>
      <c r="X12" s="66"/>
      <c r="Y12" s="51" t="str">
        <f t="shared" si="8"/>
        <v/>
      </c>
      <c r="Z12" s="2"/>
      <c r="AA12" s="2"/>
      <c r="AB12" s="2"/>
      <c r="AC12" s="2"/>
      <c r="AD12" s="2"/>
      <c r="AE12" s="2"/>
    </row>
    <row r="13" spans="1:31" ht="12.75" x14ac:dyDescent="0.2">
      <c r="A13" s="53">
        <f ca="1">IFERROR(__xludf.DUMMYFUNCTION("""COMPUTED_VALUE"""),8)</f>
        <v>8</v>
      </c>
      <c r="B13" s="66" t="str">
        <f ca="1">IFERROR(__xludf.DUMMYFUNCTION("""COMPUTED_VALUE"""),"Mầm non Phường 8")</f>
        <v>Mầm non Phường 8</v>
      </c>
      <c r="C13" s="66" t="str">
        <f ca="1">IFERROR(__xludf.DUMMYFUNCTION("""COMPUTED_VALUE"""),"MN")</f>
        <v>MN</v>
      </c>
      <c r="D13" s="66">
        <f ca="1">IFERROR(__xludf.DUMMYFUNCTION("""COMPUTED_VALUE"""),11)</f>
        <v>11</v>
      </c>
      <c r="E13" s="67">
        <f ca="1">IFERROR(__xludf.DUMMYFUNCTION("""COMPUTED_VALUE"""),21)</f>
        <v>21</v>
      </c>
      <c r="F13" s="67">
        <f ca="1">IFERROR(__xludf.DUMMYFUNCTION("""COMPUTED_VALUE"""),21)</f>
        <v>21</v>
      </c>
      <c r="G13" s="51">
        <f t="shared" ca="1" si="0"/>
        <v>1</v>
      </c>
      <c r="H13" s="67">
        <f ca="1">IFERROR(__xludf.DUMMYFUNCTION("""COMPUTED_VALUE"""),21)</f>
        <v>21</v>
      </c>
      <c r="I13" s="51">
        <f t="shared" ca="1" si="1"/>
        <v>1</v>
      </c>
      <c r="J13" s="67">
        <f ca="1">IFERROR(__xludf.DUMMYFUNCTION("""COMPUTED_VALUE"""),20)</f>
        <v>20</v>
      </c>
      <c r="K13" s="51">
        <f t="shared" ca="1" si="2"/>
        <v>0.95238095238095233</v>
      </c>
      <c r="L13" s="67">
        <f ca="1">IFERROR(__xludf.DUMMYFUNCTION("""COMPUTED_VALUE"""),20)</f>
        <v>20</v>
      </c>
      <c r="M13" s="51">
        <f t="shared" ca="1" si="3"/>
        <v>0.95238095238095233</v>
      </c>
      <c r="N13" s="67">
        <f ca="1">IFERROR(__xludf.DUMMYFUNCTION("""COMPUTED_VALUE"""),34)</f>
        <v>34</v>
      </c>
      <c r="O13" s="67">
        <f ca="1">IFERROR(__xludf.DUMMYFUNCTION("""COMPUTED_VALUE"""),6)</f>
        <v>6</v>
      </c>
      <c r="P13" s="51">
        <f t="shared" ca="1" si="4"/>
        <v>0.17647058823529413</v>
      </c>
      <c r="Q13" s="67">
        <f ca="1">IFERROR(__xludf.DUMMYFUNCTION("""COMPUTED_VALUE"""),1)</f>
        <v>1</v>
      </c>
      <c r="R13" s="51">
        <f t="shared" ca="1" si="5"/>
        <v>2.9411764705882353E-2</v>
      </c>
      <c r="S13" s="66"/>
      <c r="T13" s="66"/>
      <c r="U13" s="51" t="str">
        <f t="shared" si="6"/>
        <v/>
      </c>
      <c r="V13" s="66"/>
      <c r="W13" s="51" t="str">
        <f t="shared" si="7"/>
        <v/>
      </c>
      <c r="X13" s="66"/>
      <c r="Y13" s="51" t="str">
        <f t="shared" si="8"/>
        <v/>
      </c>
      <c r="Z13" s="2"/>
      <c r="AA13" s="2"/>
      <c r="AB13" s="2"/>
      <c r="AC13" s="2"/>
      <c r="AD13" s="2"/>
      <c r="AE13" s="2"/>
    </row>
    <row r="14" spans="1:31" ht="12.75" x14ac:dyDescent="0.2">
      <c r="A14" s="53">
        <f ca="1">IFERROR(__xludf.DUMMYFUNCTION("""COMPUTED_VALUE"""),9)</f>
        <v>9</v>
      </c>
      <c r="B14" s="66" t="str">
        <f ca="1">IFERROR(__xludf.DUMMYFUNCTION("""COMPUTED_VALUE"""),"Mầm non Phường 9")</f>
        <v>Mầm non Phường 9</v>
      </c>
      <c r="C14" s="66" t="str">
        <f ca="1">IFERROR(__xludf.DUMMYFUNCTION("""COMPUTED_VALUE"""),"MN")</f>
        <v>MN</v>
      </c>
      <c r="D14" s="66">
        <f ca="1">IFERROR(__xludf.DUMMYFUNCTION("""COMPUTED_VALUE"""),11)</f>
        <v>11</v>
      </c>
      <c r="E14" s="67">
        <f ca="1">IFERROR(__xludf.DUMMYFUNCTION("""COMPUTED_VALUE"""),32)</f>
        <v>32</v>
      </c>
      <c r="F14" s="67">
        <f ca="1">IFERROR(__xludf.DUMMYFUNCTION("""COMPUTED_VALUE"""),32)</f>
        <v>32</v>
      </c>
      <c r="G14" s="51">
        <f t="shared" ca="1" si="0"/>
        <v>1</v>
      </c>
      <c r="H14" s="67">
        <f ca="1">IFERROR(__xludf.DUMMYFUNCTION("""COMPUTED_VALUE"""),32)</f>
        <v>32</v>
      </c>
      <c r="I14" s="51">
        <f t="shared" ca="1" si="1"/>
        <v>1</v>
      </c>
      <c r="J14" s="67">
        <f ca="1">IFERROR(__xludf.DUMMYFUNCTION("""COMPUTED_VALUE"""),32)</f>
        <v>32</v>
      </c>
      <c r="K14" s="51">
        <f t="shared" ca="1" si="2"/>
        <v>1</v>
      </c>
      <c r="L14" s="67">
        <f ca="1">IFERROR(__xludf.DUMMYFUNCTION("""COMPUTED_VALUE"""),32)</f>
        <v>32</v>
      </c>
      <c r="M14" s="51">
        <f t="shared" ca="1" si="3"/>
        <v>1</v>
      </c>
      <c r="N14" s="67">
        <f ca="1">IFERROR(__xludf.DUMMYFUNCTION("""COMPUTED_VALUE"""),45)</f>
        <v>45</v>
      </c>
      <c r="O14" s="67">
        <f ca="1">IFERROR(__xludf.DUMMYFUNCTION("""COMPUTED_VALUE"""),6)</f>
        <v>6</v>
      </c>
      <c r="P14" s="51">
        <f t="shared" ca="1" si="4"/>
        <v>0.13333333333333333</v>
      </c>
      <c r="Q14" s="67">
        <f ca="1">IFERROR(__xludf.DUMMYFUNCTION("""COMPUTED_VALUE"""),6)</f>
        <v>6</v>
      </c>
      <c r="R14" s="51">
        <f t="shared" ca="1" si="5"/>
        <v>0.13333333333333333</v>
      </c>
      <c r="S14" s="66"/>
      <c r="T14" s="66"/>
      <c r="U14" s="51" t="str">
        <f t="shared" si="6"/>
        <v/>
      </c>
      <c r="V14" s="66"/>
      <c r="W14" s="51" t="str">
        <f t="shared" si="7"/>
        <v/>
      </c>
      <c r="X14" s="66"/>
      <c r="Y14" s="51" t="str">
        <f t="shared" si="8"/>
        <v/>
      </c>
      <c r="Z14" s="2"/>
      <c r="AA14" s="2"/>
      <c r="AB14" s="2"/>
      <c r="AC14" s="2"/>
      <c r="AD14" s="2"/>
      <c r="AE14" s="2"/>
    </row>
    <row r="15" spans="1:31" ht="12.75" x14ac:dyDescent="0.2">
      <c r="A15" s="53">
        <f ca="1">IFERROR(__xludf.DUMMYFUNCTION("""COMPUTED_VALUE"""),10)</f>
        <v>10</v>
      </c>
      <c r="B15" s="66" t="str">
        <f ca="1">IFERROR(__xludf.DUMMYFUNCTION("""COMPUTED_VALUE"""),"Mầm non 10")</f>
        <v>Mầm non 10</v>
      </c>
      <c r="C15" s="66" t="str">
        <f ca="1">IFERROR(__xludf.DUMMYFUNCTION("""COMPUTED_VALUE"""),"MN")</f>
        <v>MN</v>
      </c>
      <c r="D15" s="66">
        <f ca="1">IFERROR(__xludf.DUMMYFUNCTION("""COMPUTED_VALUE"""),11)</f>
        <v>11</v>
      </c>
      <c r="E15" s="67">
        <f ca="1">IFERROR(__xludf.DUMMYFUNCTION("""COMPUTED_VALUE"""),55)</f>
        <v>55</v>
      </c>
      <c r="F15" s="67">
        <f ca="1">IFERROR(__xludf.DUMMYFUNCTION("""COMPUTED_VALUE"""),55)</f>
        <v>55</v>
      </c>
      <c r="G15" s="51">
        <f t="shared" ca="1" si="0"/>
        <v>1</v>
      </c>
      <c r="H15" s="67">
        <f ca="1">IFERROR(__xludf.DUMMYFUNCTION("""COMPUTED_VALUE"""),55)</f>
        <v>55</v>
      </c>
      <c r="I15" s="51">
        <f t="shared" ca="1" si="1"/>
        <v>1</v>
      </c>
      <c r="J15" s="67">
        <f ca="1">IFERROR(__xludf.DUMMYFUNCTION("""COMPUTED_VALUE"""),55)</f>
        <v>55</v>
      </c>
      <c r="K15" s="51">
        <f t="shared" ca="1" si="2"/>
        <v>1</v>
      </c>
      <c r="L15" s="67">
        <f ca="1">IFERROR(__xludf.DUMMYFUNCTION("""COMPUTED_VALUE"""),53)</f>
        <v>53</v>
      </c>
      <c r="M15" s="51">
        <f t="shared" ca="1" si="3"/>
        <v>0.96363636363636362</v>
      </c>
      <c r="N15" s="67">
        <f ca="1">IFERROR(__xludf.DUMMYFUNCTION("""COMPUTED_VALUE"""),89)</f>
        <v>89</v>
      </c>
      <c r="O15" s="67">
        <f ca="1">IFERROR(__xludf.DUMMYFUNCTION("""COMPUTED_VALUE"""),12)</f>
        <v>12</v>
      </c>
      <c r="P15" s="51">
        <f t="shared" ca="1" si="4"/>
        <v>0.1348314606741573</v>
      </c>
      <c r="Q15" s="67">
        <f ca="1">IFERROR(__xludf.DUMMYFUNCTION("""COMPUTED_VALUE"""),2)</f>
        <v>2</v>
      </c>
      <c r="R15" s="51">
        <f t="shared" ca="1" si="5"/>
        <v>2.247191011235955E-2</v>
      </c>
      <c r="S15" s="66"/>
      <c r="T15" s="66"/>
      <c r="U15" s="51" t="str">
        <f t="shared" si="6"/>
        <v/>
      </c>
      <c r="V15" s="66"/>
      <c r="W15" s="51" t="str">
        <f t="shared" si="7"/>
        <v/>
      </c>
      <c r="X15" s="66"/>
      <c r="Y15" s="51" t="str">
        <f t="shared" si="8"/>
        <v/>
      </c>
      <c r="Z15" s="2"/>
      <c r="AA15" s="2"/>
      <c r="AB15" s="2"/>
      <c r="AC15" s="2"/>
      <c r="AD15" s="2"/>
      <c r="AE15" s="2"/>
    </row>
    <row r="16" spans="1:31" ht="12.75" x14ac:dyDescent="0.2">
      <c r="A16" s="53">
        <f ca="1">IFERROR(__xludf.DUMMYFUNCTION("""COMPUTED_VALUE"""),11)</f>
        <v>11</v>
      </c>
      <c r="B16" s="66" t="str">
        <f ca="1">IFERROR(__xludf.DUMMYFUNCTION("""COMPUTED_VALUE"""),"Mầm non Phường 11")</f>
        <v>Mầm non Phường 11</v>
      </c>
      <c r="C16" s="66" t="str">
        <f ca="1">IFERROR(__xludf.DUMMYFUNCTION("""COMPUTED_VALUE"""),"MN")</f>
        <v>MN</v>
      </c>
      <c r="D16" s="66">
        <f ca="1">IFERROR(__xludf.DUMMYFUNCTION("""COMPUTED_VALUE"""),11)</f>
        <v>11</v>
      </c>
      <c r="E16" s="67">
        <f ca="1">IFERROR(__xludf.DUMMYFUNCTION("""COMPUTED_VALUE"""),23)</f>
        <v>23</v>
      </c>
      <c r="F16" s="67">
        <f ca="1">IFERROR(__xludf.DUMMYFUNCTION("""COMPUTED_VALUE"""),23)</f>
        <v>23</v>
      </c>
      <c r="G16" s="51">
        <f t="shared" ca="1" si="0"/>
        <v>1</v>
      </c>
      <c r="H16" s="67">
        <f ca="1">IFERROR(__xludf.DUMMYFUNCTION("""COMPUTED_VALUE"""),23)</f>
        <v>23</v>
      </c>
      <c r="I16" s="51">
        <f t="shared" ca="1" si="1"/>
        <v>1</v>
      </c>
      <c r="J16" s="67">
        <f ca="1">IFERROR(__xludf.DUMMYFUNCTION("""COMPUTED_VALUE"""),23)</f>
        <v>23</v>
      </c>
      <c r="K16" s="51">
        <f t="shared" ca="1" si="2"/>
        <v>1</v>
      </c>
      <c r="L16" s="67">
        <f ca="1">IFERROR(__xludf.DUMMYFUNCTION("""COMPUTED_VALUE"""),20)</f>
        <v>20</v>
      </c>
      <c r="M16" s="51">
        <f t="shared" ca="1" si="3"/>
        <v>0.86956521739130432</v>
      </c>
      <c r="N16" s="67">
        <f ca="1">IFERROR(__xludf.DUMMYFUNCTION("""COMPUTED_VALUE"""),73)</f>
        <v>73</v>
      </c>
      <c r="O16" s="67">
        <f ca="1">IFERROR(__xludf.DUMMYFUNCTION("""COMPUTED_VALUE"""),2)</f>
        <v>2</v>
      </c>
      <c r="P16" s="51">
        <f t="shared" ca="1" si="4"/>
        <v>2.7397260273972601E-2</v>
      </c>
      <c r="Q16" s="67">
        <f ca="1">IFERROR(__xludf.DUMMYFUNCTION("""COMPUTED_VALUE"""),0)</f>
        <v>0</v>
      </c>
      <c r="R16" s="51">
        <f t="shared" ca="1" si="5"/>
        <v>0</v>
      </c>
      <c r="S16" s="66"/>
      <c r="T16" s="66"/>
      <c r="U16" s="51" t="str">
        <f t="shared" si="6"/>
        <v/>
      </c>
      <c r="V16" s="66"/>
      <c r="W16" s="51" t="str">
        <f t="shared" si="7"/>
        <v/>
      </c>
      <c r="X16" s="66"/>
      <c r="Y16" s="51" t="str">
        <f t="shared" si="8"/>
        <v/>
      </c>
      <c r="Z16" s="2"/>
      <c r="AA16" s="2"/>
      <c r="AB16" s="2"/>
      <c r="AC16" s="2"/>
      <c r="AD16" s="2"/>
      <c r="AE16" s="2"/>
    </row>
    <row r="17" spans="1:31" ht="12.75" x14ac:dyDescent="0.2">
      <c r="A17" s="53">
        <f ca="1">IFERROR(__xludf.DUMMYFUNCTION("""COMPUTED_VALUE"""),12)</f>
        <v>12</v>
      </c>
      <c r="B17" s="66" t="str">
        <f ca="1">IFERROR(__xludf.DUMMYFUNCTION("""COMPUTED_VALUE"""),"Mầm non Phường 12")</f>
        <v>Mầm non Phường 12</v>
      </c>
      <c r="C17" s="66" t="str">
        <f ca="1">IFERROR(__xludf.DUMMYFUNCTION("""COMPUTED_VALUE"""),"MN")</f>
        <v>MN</v>
      </c>
      <c r="D17" s="66">
        <f ca="1">IFERROR(__xludf.DUMMYFUNCTION("""COMPUTED_VALUE"""),11)</f>
        <v>11</v>
      </c>
      <c r="E17" s="67">
        <f ca="1">IFERROR(__xludf.DUMMYFUNCTION("""COMPUTED_VALUE"""),10)</f>
        <v>10</v>
      </c>
      <c r="F17" s="67">
        <f ca="1">IFERROR(__xludf.DUMMYFUNCTION("""COMPUTED_VALUE"""),10)</f>
        <v>10</v>
      </c>
      <c r="G17" s="51">
        <f t="shared" ca="1" si="0"/>
        <v>1</v>
      </c>
      <c r="H17" s="67">
        <f ca="1">IFERROR(__xludf.DUMMYFUNCTION("""COMPUTED_VALUE"""),10)</f>
        <v>10</v>
      </c>
      <c r="I17" s="51">
        <f t="shared" ca="1" si="1"/>
        <v>1</v>
      </c>
      <c r="J17" s="67">
        <f ca="1">IFERROR(__xludf.DUMMYFUNCTION("""COMPUTED_VALUE"""),10)</f>
        <v>10</v>
      </c>
      <c r="K17" s="51">
        <f t="shared" ca="1" si="2"/>
        <v>1</v>
      </c>
      <c r="L17" s="67">
        <f ca="1">IFERROR(__xludf.DUMMYFUNCTION("""COMPUTED_VALUE"""),10)</f>
        <v>10</v>
      </c>
      <c r="M17" s="51">
        <f t="shared" ca="1" si="3"/>
        <v>1</v>
      </c>
      <c r="N17" s="67">
        <f ca="1">IFERROR(__xludf.DUMMYFUNCTION("""COMPUTED_VALUE"""),39)</f>
        <v>39</v>
      </c>
      <c r="O17" s="67">
        <f ca="1">IFERROR(__xludf.DUMMYFUNCTION("""COMPUTED_VALUE"""),3)</f>
        <v>3</v>
      </c>
      <c r="P17" s="51">
        <f t="shared" ca="1" si="4"/>
        <v>7.6923076923076927E-2</v>
      </c>
      <c r="Q17" s="67">
        <f ca="1">IFERROR(__xludf.DUMMYFUNCTION("""COMPUTED_VALUE"""),0)</f>
        <v>0</v>
      </c>
      <c r="R17" s="51">
        <f t="shared" ca="1" si="5"/>
        <v>0</v>
      </c>
      <c r="S17" s="66"/>
      <c r="T17" s="66"/>
      <c r="U17" s="51" t="str">
        <f t="shared" si="6"/>
        <v/>
      </c>
      <c r="V17" s="66"/>
      <c r="W17" s="51" t="str">
        <f t="shared" si="7"/>
        <v/>
      </c>
      <c r="X17" s="66"/>
      <c r="Y17" s="51" t="str">
        <f t="shared" si="8"/>
        <v/>
      </c>
      <c r="Z17" s="2"/>
      <c r="AA17" s="2"/>
      <c r="AB17" s="2"/>
      <c r="AC17" s="2"/>
      <c r="AD17" s="2"/>
      <c r="AE17" s="2"/>
    </row>
    <row r="18" spans="1:31" ht="12.75" x14ac:dyDescent="0.2">
      <c r="A18" s="53">
        <f ca="1">IFERROR(__xludf.DUMMYFUNCTION("""COMPUTED_VALUE"""),13)</f>
        <v>13</v>
      </c>
      <c r="B18" s="66" t="str">
        <f ca="1">IFERROR(__xludf.DUMMYFUNCTION("""COMPUTED_VALUE"""),"Mầm non Phường 13")</f>
        <v>Mầm non Phường 13</v>
      </c>
      <c r="C18" s="66" t="str">
        <f ca="1">IFERROR(__xludf.DUMMYFUNCTION("""COMPUTED_VALUE"""),"MN")</f>
        <v>MN</v>
      </c>
      <c r="D18" s="66">
        <f ca="1">IFERROR(__xludf.DUMMYFUNCTION("""COMPUTED_VALUE"""),11)</f>
        <v>11</v>
      </c>
      <c r="E18" s="67">
        <f ca="1">IFERROR(__xludf.DUMMYFUNCTION("""COMPUTED_VALUE"""),33)</f>
        <v>33</v>
      </c>
      <c r="F18" s="67">
        <f ca="1">IFERROR(__xludf.DUMMYFUNCTION("""COMPUTED_VALUE"""),33)</f>
        <v>33</v>
      </c>
      <c r="G18" s="51">
        <f t="shared" ca="1" si="0"/>
        <v>1</v>
      </c>
      <c r="H18" s="67">
        <f ca="1">IFERROR(__xludf.DUMMYFUNCTION("""COMPUTED_VALUE"""),33)</f>
        <v>33</v>
      </c>
      <c r="I18" s="51">
        <f t="shared" ca="1" si="1"/>
        <v>1</v>
      </c>
      <c r="J18" s="67">
        <f ca="1">IFERROR(__xludf.DUMMYFUNCTION("""COMPUTED_VALUE"""),33)</f>
        <v>33</v>
      </c>
      <c r="K18" s="51">
        <f t="shared" ca="1" si="2"/>
        <v>1</v>
      </c>
      <c r="L18" s="67">
        <f ca="1">IFERROR(__xludf.DUMMYFUNCTION("""COMPUTED_VALUE"""),31)</f>
        <v>31</v>
      </c>
      <c r="M18" s="51">
        <f t="shared" ca="1" si="3"/>
        <v>0.93939393939393945</v>
      </c>
      <c r="N18" s="67">
        <f ca="1">IFERROR(__xludf.DUMMYFUNCTION("""COMPUTED_VALUE"""),34)</f>
        <v>34</v>
      </c>
      <c r="O18" s="67">
        <f ca="1">IFERROR(__xludf.DUMMYFUNCTION("""COMPUTED_VALUE"""),11)</f>
        <v>11</v>
      </c>
      <c r="P18" s="51">
        <f t="shared" ca="1" si="4"/>
        <v>0.3235294117647059</v>
      </c>
      <c r="Q18" s="67">
        <f ca="1">IFERROR(__xludf.DUMMYFUNCTION("""COMPUTED_VALUE"""),4)</f>
        <v>4</v>
      </c>
      <c r="R18" s="51">
        <f t="shared" ca="1" si="5"/>
        <v>0.11764705882352941</v>
      </c>
      <c r="S18" s="66"/>
      <c r="T18" s="66"/>
      <c r="U18" s="51" t="str">
        <f t="shared" si="6"/>
        <v/>
      </c>
      <c r="V18" s="66"/>
      <c r="W18" s="51" t="str">
        <f t="shared" si="7"/>
        <v/>
      </c>
      <c r="X18" s="66"/>
      <c r="Y18" s="51" t="str">
        <f t="shared" si="8"/>
        <v/>
      </c>
      <c r="Z18" s="2"/>
      <c r="AA18" s="2"/>
      <c r="AB18" s="2"/>
      <c r="AC18" s="2"/>
      <c r="AD18" s="2"/>
      <c r="AE18" s="2"/>
    </row>
    <row r="19" spans="1:31" ht="12.75" x14ac:dyDescent="0.2">
      <c r="A19" s="53">
        <f ca="1">IFERROR(__xludf.DUMMYFUNCTION("""COMPUTED_VALUE"""),14)</f>
        <v>14</v>
      </c>
      <c r="B19" s="66" t="str">
        <f ca="1">IFERROR(__xludf.DUMMYFUNCTION("""COMPUTED_VALUE"""),"Mầm non Phường 14")</f>
        <v>Mầm non Phường 14</v>
      </c>
      <c r="C19" s="66" t="str">
        <f ca="1">IFERROR(__xludf.DUMMYFUNCTION("""COMPUTED_VALUE"""),"MN")</f>
        <v>MN</v>
      </c>
      <c r="D19" s="66">
        <f ca="1">IFERROR(__xludf.DUMMYFUNCTION("""COMPUTED_VALUE"""),11)</f>
        <v>11</v>
      </c>
      <c r="E19" s="67">
        <f ca="1">IFERROR(__xludf.DUMMYFUNCTION("""COMPUTED_VALUE"""),31)</f>
        <v>31</v>
      </c>
      <c r="F19" s="67">
        <f ca="1">IFERROR(__xludf.DUMMYFUNCTION("""COMPUTED_VALUE"""),31)</f>
        <v>31</v>
      </c>
      <c r="G19" s="51">
        <f t="shared" ca="1" si="0"/>
        <v>1</v>
      </c>
      <c r="H19" s="67">
        <f ca="1">IFERROR(__xludf.DUMMYFUNCTION("""COMPUTED_VALUE"""),31)</f>
        <v>31</v>
      </c>
      <c r="I19" s="51">
        <f t="shared" ca="1" si="1"/>
        <v>1</v>
      </c>
      <c r="J19" s="67">
        <f ca="1">IFERROR(__xludf.DUMMYFUNCTION("""COMPUTED_VALUE"""),31)</f>
        <v>31</v>
      </c>
      <c r="K19" s="51">
        <f t="shared" ca="1" si="2"/>
        <v>1</v>
      </c>
      <c r="L19" s="67">
        <f ca="1">IFERROR(__xludf.DUMMYFUNCTION("""COMPUTED_VALUE"""),30)</f>
        <v>30</v>
      </c>
      <c r="M19" s="51">
        <f t="shared" ca="1" si="3"/>
        <v>0.967741935483871</v>
      </c>
      <c r="N19" s="67">
        <f ca="1">IFERROR(__xludf.DUMMYFUNCTION("""COMPUTED_VALUE"""),61)</f>
        <v>61</v>
      </c>
      <c r="O19" s="67">
        <f ca="1">IFERROR(__xludf.DUMMYFUNCTION("""COMPUTED_VALUE"""),5)</f>
        <v>5</v>
      </c>
      <c r="P19" s="51">
        <f t="shared" ca="1" si="4"/>
        <v>8.1967213114754092E-2</v>
      </c>
      <c r="Q19" s="67">
        <f ca="1">IFERROR(__xludf.DUMMYFUNCTION("""COMPUTED_VALUE"""),5)</f>
        <v>5</v>
      </c>
      <c r="R19" s="51">
        <f t="shared" ca="1" si="5"/>
        <v>8.1967213114754092E-2</v>
      </c>
      <c r="S19" s="66"/>
      <c r="T19" s="66"/>
      <c r="U19" s="51" t="str">
        <f t="shared" si="6"/>
        <v/>
      </c>
      <c r="V19" s="66"/>
      <c r="W19" s="51" t="str">
        <f t="shared" si="7"/>
        <v/>
      </c>
      <c r="X19" s="66"/>
      <c r="Y19" s="51" t="str">
        <f t="shared" si="8"/>
        <v/>
      </c>
      <c r="Z19" s="2"/>
      <c r="AA19" s="2"/>
      <c r="AB19" s="2"/>
      <c r="AC19" s="2"/>
      <c r="AD19" s="2"/>
      <c r="AE19" s="2"/>
    </row>
    <row r="20" spans="1:31" ht="12.75" x14ac:dyDescent="0.2">
      <c r="A20" s="53">
        <f ca="1">IFERROR(__xludf.DUMMYFUNCTION("""COMPUTED_VALUE"""),15)</f>
        <v>15</v>
      </c>
      <c r="B20" s="66" t="str">
        <f ca="1">IFERROR(__xludf.DUMMYFUNCTION("""COMPUTED_VALUE"""),"Mầm non 15")</f>
        <v>Mầm non 15</v>
      </c>
      <c r="C20" s="66" t="str">
        <f ca="1">IFERROR(__xludf.DUMMYFUNCTION("""COMPUTED_VALUE"""),"MN")</f>
        <v>MN</v>
      </c>
      <c r="D20" s="66">
        <f ca="1">IFERROR(__xludf.DUMMYFUNCTION("""COMPUTED_VALUE"""),11)</f>
        <v>11</v>
      </c>
      <c r="E20" s="67">
        <f ca="1">IFERROR(__xludf.DUMMYFUNCTION("""COMPUTED_VALUE"""),60)</f>
        <v>60</v>
      </c>
      <c r="F20" s="67">
        <f ca="1">IFERROR(__xludf.DUMMYFUNCTION("""COMPUTED_VALUE"""),60)</f>
        <v>60</v>
      </c>
      <c r="G20" s="51">
        <f t="shared" ca="1" si="0"/>
        <v>1</v>
      </c>
      <c r="H20" s="67">
        <f ca="1">IFERROR(__xludf.DUMMYFUNCTION("""COMPUTED_VALUE"""),60)</f>
        <v>60</v>
      </c>
      <c r="I20" s="51">
        <f t="shared" ca="1" si="1"/>
        <v>1</v>
      </c>
      <c r="J20" s="67">
        <f ca="1">IFERROR(__xludf.DUMMYFUNCTION("""COMPUTED_VALUE"""),60)</f>
        <v>60</v>
      </c>
      <c r="K20" s="51">
        <f t="shared" ca="1" si="2"/>
        <v>1</v>
      </c>
      <c r="L20" s="67">
        <f ca="1">IFERROR(__xludf.DUMMYFUNCTION("""COMPUTED_VALUE"""),54)</f>
        <v>54</v>
      </c>
      <c r="M20" s="51">
        <f t="shared" ca="1" si="3"/>
        <v>0.9</v>
      </c>
      <c r="N20" s="67">
        <f ca="1">IFERROR(__xludf.DUMMYFUNCTION("""COMPUTED_VALUE"""),115)</f>
        <v>115</v>
      </c>
      <c r="O20" s="67">
        <f ca="1">IFERROR(__xludf.DUMMYFUNCTION("""COMPUTED_VALUE"""),4)</f>
        <v>4</v>
      </c>
      <c r="P20" s="51">
        <f t="shared" ca="1" si="4"/>
        <v>3.4782608695652174E-2</v>
      </c>
      <c r="Q20" s="67">
        <f ca="1">IFERROR(__xludf.DUMMYFUNCTION("""COMPUTED_VALUE"""),3)</f>
        <v>3</v>
      </c>
      <c r="R20" s="51">
        <f t="shared" ca="1" si="5"/>
        <v>2.6086956521739129E-2</v>
      </c>
      <c r="S20" s="66"/>
      <c r="T20" s="66"/>
      <c r="U20" s="51" t="str">
        <f t="shared" si="6"/>
        <v/>
      </c>
      <c r="V20" s="66"/>
      <c r="W20" s="51" t="str">
        <f t="shared" si="7"/>
        <v/>
      </c>
      <c r="X20" s="66"/>
      <c r="Y20" s="51" t="str">
        <f t="shared" si="8"/>
        <v/>
      </c>
      <c r="Z20" s="2"/>
      <c r="AA20" s="2"/>
      <c r="AB20" s="2"/>
      <c r="AC20" s="2"/>
      <c r="AD20" s="2"/>
      <c r="AE20" s="2"/>
    </row>
    <row r="21" spans="1:31" ht="12.75" x14ac:dyDescent="0.2">
      <c r="A21" s="53">
        <f ca="1">IFERROR(__xludf.DUMMYFUNCTION("""COMPUTED_VALUE"""),16)</f>
        <v>16</v>
      </c>
      <c r="B21" s="66" t="str">
        <f ca="1">IFERROR(__xludf.DUMMYFUNCTION("""COMPUTED_VALUE"""),"Mầm non Phường 16")</f>
        <v>Mầm non Phường 16</v>
      </c>
      <c r="C21" s="66" t="str">
        <f ca="1">IFERROR(__xludf.DUMMYFUNCTION("""COMPUTED_VALUE"""),"MN")</f>
        <v>MN</v>
      </c>
      <c r="D21" s="66">
        <f ca="1">IFERROR(__xludf.DUMMYFUNCTION("""COMPUTED_VALUE"""),11)</f>
        <v>11</v>
      </c>
      <c r="E21" s="67">
        <f ca="1">IFERROR(__xludf.DUMMYFUNCTION("""COMPUTED_VALUE"""),31)</f>
        <v>31</v>
      </c>
      <c r="F21" s="67">
        <f ca="1">IFERROR(__xludf.DUMMYFUNCTION("""COMPUTED_VALUE"""),31)</f>
        <v>31</v>
      </c>
      <c r="G21" s="51">
        <f t="shared" ca="1" si="0"/>
        <v>1</v>
      </c>
      <c r="H21" s="67">
        <f ca="1">IFERROR(__xludf.DUMMYFUNCTION("""COMPUTED_VALUE"""),31)</f>
        <v>31</v>
      </c>
      <c r="I21" s="51">
        <f t="shared" ca="1" si="1"/>
        <v>1</v>
      </c>
      <c r="J21" s="67">
        <f ca="1">IFERROR(__xludf.DUMMYFUNCTION("""COMPUTED_VALUE"""),31)</f>
        <v>31</v>
      </c>
      <c r="K21" s="51">
        <f t="shared" ca="1" si="2"/>
        <v>1</v>
      </c>
      <c r="L21" s="67">
        <f ca="1">IFERROR(__xludf.DUMMYFUNCTION("""COMPUTED_VALUE"""),29)</f>
        <v>29</v>
      </c>
      <c r="M21" s="51">
        <f t="shared" ca="1" si="3"/>
        <v>0.93548387096774188</v>
      </c>
      <c r="N21" s="67">
        <f ca="1">IFERROR(__xludf.DUMMYFUNCTION("""COMPUTED_VALUE"""),76)</f>
        <v>76</v>
      </c>
      <c r="O21" s="67">
        <f ca="1">IFERROR(__xludf.DUMMYFUNCTION("""COMPUTED_VALUE"""),3)</f>
        <v>3</v>
      </c>
      <c r="P21" s="51">
        <f t="shared" ca="1" si="4"/>
        <v>3.9473684210526314E-2</v>
      </c>
      <c r="Q21" s="67">
        <f ca="1">IFERROR(__xludf.DUMMYFUNCTION("""COMPUTED_VALUE"""),0)</f>
        <v>0</v>
      </c>
      <c r="R21" s="51">
        <f t="shared" ca="1" si="5"/>
        <v>0</v>
      </c>
      <c r="S21" s="66"/>
      <c r="T21" s="66"/>
      <c r="U21" s="51" t="str">
        <f t="shared" si="6"/>
        <v/>
      </c>
      <c r="V21" s="66"/>
      <c r="W21" s="51" t="str">
        <f t="shared" si="7"/>
        <v/>
      </c>
      <c r="X21" s="66"/>
      <c r="Y21" s="51" t="str">
        <f t="shared" si="8"/>
        <v/>
      </c>
      <c r="Z21" s="2"/>
      <c r="AA21" s="2"/>
      <c r="AB21" s="2"/>
      <c r="AC21" s="2"/>
      <c r="AD21" s="2"/>
      <c r="AE21" s="2"/>
    </row>
    <row r="22" spans="1:31" ht="12.75" x14ac:dyDescent="0.2">
      <c r="A22" s="53">
        <f ca="1">IFERROR(__xludf.DUMMYFUNCTION("""COMPUTED_VALUE"""),17)</f>
        <v>17</v>
      </c>
      <c r="B22" s="66" t="str">
        <f ca="1">IFERROR(__xludf.DUMMYFUNCTION("""COMPUTED_VALUE"""),"Mầm Non Quận 11")</f>
        <v>Mầm Non Quận 11</v>
      </c>
      <c r="C22" s="66" t="str">
        <f ca="1">IFERROR(__xludf.DUMMYFUNCTION("""COMPUTED_VALUE"""),"MN")</f>
        <v>MN</v>
      </c>
      <c r="D22" s="66">
        <f ca="1">IFERROR(__xludf.DUMMYFUNCTION("""COMPUTED_VALUE"""),11)</f>
        <v>11</v>
      </c>
      <c r="E22" s="67">
        <f ca="1">IFERROR(__xludf.DUMMYFUNCTION("""COMPUTED_VALUE"""),63)</f>
        <v>63</v>
      </c>
      <c r="F22" s="67">
        <f ca="1">IFERROR(__xludf.DUMMYFUNCTION("""COMPUTED_VALUE"""),63)</f>
        <v>63</v>
      </c>
      <c r="G22" s="51">
        <f t="shared" ca="1" si="0"/>
        <v>1</v>
      </c>
      <c r="H22" s="67">
        <f ca="1">IFERROR(__xludf.DUMMYFUNCTION("""COMPUTED_VALUE"""),63)</f>
        <v>63</v>
      </c>
      <c r="I22" s="51">
        <f t="shared" ca="1" si="1"/>
        <v>1</v>
      </c>
      <c r="J22" s="67">
        <f ca="1">IFERROR(__xludf.DUMMYFUNCTION("""COMPUTED_VALUE"""),62)</f>
        <v>62</v>
      </c>
      <c r="K22" s="51">
        <f t="shared" ca="1" si="2"/>
        <v>0.98412698412698407</v>
      </c>
      <c r="L22" s="67">
        <f ca="1">IFERROR(__xludf.DUMMYFUNCTION("""COMPUTED_VALUE"""),59)</f>
        <v>59</v>
      </c>
      <c r="M22" s="51">
        <f t="shared" ca="1" si="3"/>
        <v>0.93650793650793651</v>
      </c>
      <c r="N22" s="67">
        <f ca="1">IFERROR(__xludf.DUMMYFUNCTION("""COMPUTED_VALUE"""),139)</f>
        <v>139</v>
      </c>
      <c r="O22" s="67">
        <f ca="1">IFERROR(__xludf.DUMMYFUNCTION("""COMPUTED_VALUE"""),7)</f>
        <v>7</v>
      </c>
      <c r="P22" s="51">
        <f t="shared" ca="1" si="4"/>
        <v>5.0359712230215826E-2</v>
      </c>
      <c r="Q22" s="67">
        <f ca="1">IFERROR(__xludf.DUMMYFUNCTION("""COMPUTED_VALUE"""),4)</f>
        <v>4</v>
      </c>
      <c r="R22" s="51">
        <f t="shared" ca="1" si="5"/>
        <v>2.8776978417266189E-2</v>
      </c>
      <c r="S22" s="66"/>
      <c r="T22" s="66"/>
      <c r="U22" s="51" t="str">
        <f t="shared" si="6"/>
        <v/>
      </c>
      <c r="V22" s="66"/>
      <c r="W22" s="51" t="str">
        <f t="shared" si="7"/>
        <v/>
      </c>
      <c r="X22" s="66"/>
      <c r="Y22" s="51" t="str">
        <f t="shared" si="8"/>
        <v/>
      </c>
      <c r="Z22" s="2"/>
      <c r="AA22" s="2"/>
      <c r="AB22" s="2"/>
      <c r="AC22" s="2"/>
      <c r="AD22" s="2"/>
      <c r="AE22" s="2"/>
    </row>
    <row r="23" spans="1:31" ht="12.75" x14ac:dyDescent="0.2">
      <c r="A23" s="53">
        <f ca="1">IFERROR(__xludf.DUMMYFUNCTION("""COMPUTED_VALUE"""),18)</f>
        <v>18</v>
      </c>
      <c r="B23" s="66" t="str">
        <f ca="1">IFERROR(__xludf.DUMMYFUNCTION("""COMPUTED_VALUE"""),"Bam Bi Hồng")</f>
        <v>Bam Bi Hồng</v>
      </c>
      <c r="C23" s="66" t="str">
        <f ca="1">IFERROR(__xludf.DUMMYFUNCTION("""COMPUTED_VALUE"""),"MN")</f>
        <v>MN</v>
      </c>
      <c r="D23" s="66">
        <f ca="1">IFERROR(__xludf.DUMMYFUNCTION("""COMPUTED_VALUE"""),11)</f>
        <v>11</v>
      </c>
      <c r="E23" s="67">
        <f ca="1">IFERROR(__xludf.DUMMYFUNCTION("""COMPUTED_VALUE"""),14)</f>
        <v>14</v>
      </c>
      <c r="F23" s="67">
        <f ca="1">IFERROR(__xludf.DUMMYFUNCTION("""COMPUTED_VALUE"""),14)</f>
        <v>14</v>
      </c>
      <c r="G23" s="51">
        <f t="shared" ca="1" si="0"/>
        <v>1</v>
      </c>
      <c r="H23" s="67">
        <f ca="1">IFERROR(__xludf.DUMMYFUNCTION("""COMPUTED_VALUE"""),14)</f>
        <v>14</v>
      </c>
      <c r="I23" s="51">
        <f t="shared" ca="1" si="1"/>
        <v>1</v>
      </c>
      <c r="J23" s="67">
        <f ca="1">IFERROR(__xludf.DUMMYFUNCTION("""COMPUTED_VALUE"""),14)</f>
        <v>14</v>
      </c>
      <c r="K23" s="51">
        <f t="shared" ca="1" si="2"/>
        <v>1</v>
      </c>
      <c r="L23" s="67">
        <f ca="1">IFERROR(__xludf.DUMMYFUNCTION("""COMPUTED_VALUE"""),14)</f>
        <v>14</v>
      </c>
      <c r="M23" s="51">
        <f t="shared" ca="1" si="3"/>
        <v>1</v>
      </c>
      <c r="N23" s="67">
        <f ca="1">IFERROR(__xludf.DUMMYFUNCTION("""COMPUTED_VALUE"""),18)</f>
        <v>18</v>
      </c>
      <c r="O23" s="67">
        <f ca="1">IFERROR(__xludf.DUMMYFUNCTION("""COMPUTED_VALUE"""),1)</f>
        <v>1</v>
      </c>
      <c r="P23" s="51">
        <f t="shared" ca="1" si="4"/>
        <v>5.5555555555555552E-2</v>
      </c>
      <c r="Q23" s="67">
        <f ca="1">IFERROR(__xludf.DUMMYFUNCTION("""COMPUTED_VALUE"""),1)</f>
        <v>1</v>
      </c>
      <c r="R23" s="51">
        <f t="shared" ca="1" si="5"/>
        <v>5.5555555555555552E-2</v>
      </c>
      <c r="S23" s="66"/>
      <c r="T23" s="66"/>
      <c r="U23" s="51" t="str">
        <f t="shared" si="6"/>
        <v/>
      </c>
      <c r="V23" s="66"/>
      <c r="W23" s="51" t="str">
        <f t="shared" si="7"/>
        <v/>
      </c>
      <c r="X23" s="66"/>
      <c r="Y23" s="51" t="str">
        <f t="shared" si="8"/>
        <v/>
      </c>
      <c r="Z23" s="2"/>
      <c r="AA23" s="2"/>
      <c r="AB23" s="2"/>
      <c r="AC23" s="2"/>
      <c r="AD23" s="2"/>
      <c r="AE23" s="2"/>
    </row>
    <row r="24" spans="1:31" ht="12.75" x14ac:dyDescent="0.2">
      <c r="A24" s="53">
        <f ca="1">IFERROR(__xludf.DUMMYFUNCTION("""COMPUTED_VALUE"""),19)</f>
        <v>19</v>
      </c>
      <c r="B24" s="66" t="str">
        <f ca="1">IFERROR(__xludf.DUMMYFUNCTION("""COMPUTED_VALUE"""),"Học Viện Hoa Kỳ")</f>
        <v>Học Viện Hoa Kỳ</v>
      </c>
      <c r="C24" s="66" t="str">
        <f ca="1">IFERROR(__xludf.DUMMYFUNCTION("""COMPUTED_VALUE"""),"MN")</f>
        <v>MN</v>
      </c>
      <c r="D24" s="66">
        <f ca="1">IFERROR(__xludf.DUMMYFUNCTION("""COMPUTED_VALUE"""),11)</f>
        <v>11</v>
      </c>
      <c r="E24" s="67">
        <f ca="1">IFERROR(__xludf.DUMMYFUNCTION("""COMPUTED_VALUE"""),20)</f>
        <v>20</v>
      </c>
      <c r="F24" s="67">
        <f ca="1">IFERROR(__xludf.DUMMYFUNCTION("""COMPUTED_VALUE"""),20)</f>
        <v>20</v>
      </c>
      <c r="G24" s="51">
        <f t="shared" ca="1" si="0"/>
        <v>1</v>
      </c>
      <c r="H24" s="67">
        <f ca="1">IFERROR(__xludf.DUMMYFUNCTION("""COMPUTED_VALUE"""),20)</f>
        <v>20</v>
      </c>
      <c r="I24" s="51">
        <f t="shared" ca="1" si="1"/>
        <v>1</v>
      </c>
      <c r="J24" s="67">
        <f ca="1">IFERROR(__xludf.DUMMYFUNCTION("""COMPUTED_VALUE"""),20)</f>
        <v>20</v>
      </c>
      <c r="K24" s="51">
        <f t="shared" ca="1" si="2"/>
        <v>1</v>
      </c>
      <c r="L24" s="67">
        <f ca="1">IFERROR(__xludf.DUMMYFUNCTION("""COMPUTED_VALUE"""),18)</f>
        <v>18</v>
      </c>
      <c r="M24" s="51">
        <f t="shared" ca="1" si="3"/>
        <v>0.9</v>
      </c>
      <c r="N24" s="67">
        <f ca="1">IFERROR(__xludf.DUMMYFUNCTION("""COMPUTED_VALUE"""),8)</f>
        <v>8</v>
      </c>
      <c r="O24" s="67">
        <f ca="1">IFERROR(__xludf.DUMMYFUNCTION("""COMPUTED_VALUE"""),0)</f>
        <v>0</v>
      </c>
      <c r="P24" s="51">
        <f t="shared" ca="1" si="4"/>
        <v>0</v>
      </c>
      <c r="Q24" s="67">
        <f ca="1">IFERROR(__xludf.DUMMYFUNCTION("""COMPUTED_VALUE"""),0)</f>
        <v>0</v>
      </c>
      <c r="R24" s="51">
        <f t="shared" ca="1" si="5"/>
        <v>0</v>
      </c>
      <c r="S24" s="66"/>
      <c r="T24" s="66"/>
      <c r="U24" s="51" t="str">
        <f t="shared" si="6"/>
        <v/>
      </c>
      <c r="V24" s="66"/>
      <c r="W24" s="51" t="str">
        <f t="shared" si="7"/>
        <v/>
      </c>
      <c r="X24" s="66"/>
      <c r="Y24" s="51" t="str">
        <f t="shared" si="8"/>
        <v/>
      </c>
      <c r="Z24" s="2"/>
      <c r="AA24" s="2"/>
      <c r="AB24" s="2"/>
      <c r="AC24" s="2"/>
      <c r="AD24" s="2"/>
      <c r="AE24" s="2"/>
    </row>
    <row r="25" spans="1:31" ht="12.75" x14ac:dyDescent="0.2">
      <c r="A25" s="53">
        <f ca="1">IFERROR(__xludf.DUMMYFUNCTION("""COMPUTED_VALUE"""),20)</f>
        <v>20</v>
      </c>
      <c r="B25" s="66" t="str">
        <f ca="1">IFERROR(__xludf.DUMMYFUNCTION("""COMPUTED_VALUE"""),"Ánh Dương")</f>
        <v>Ánh Dương</v>
      </c>
      <c r="C25" s="66" t="str">
        <f ca="1">IFERROR(__xludf.DUMMYFUNCTION("""COMPUTED_VALUE"""),"MN")</f>
        <v>MN</v>
      </c>
      <c r="D25" s="66">
        <f ca="1">IFERROR(__xludf.DUMMYFUNCTION("""COMPUTED_VALUE"""),11)</f>
        <v>11</v>
      </c>
      <c r="E25" s="67">
        <f ca="1">IFERROR(__xludf.DUMMYFUNCTION("""COMPUTED_VALUE"""),20)</f>
        <v>20</v>
      </c>
      <c r="F25" s="67">
        <f ca="1">IFERROR(__xludf.DUMMYFUNCTION("""COMPUTED_VALUE"""),20)</f>
        <v>20</v>
      </c>
      <c r="G25" s="51">
        <f t="shared" ca="1" si="0"/>
        <v>1</v>
      </c>
      <c r="H25" s="67">
        <f ca="1">IFERROR(__xludf.DUMMYFUNCTION("""COMPUTED_VALUE"""),20)</f>
        <v>20</v>
      </c>
      <c r="I25" s="51">
        <f t="shared" ca="1" si="1"/>
        <v>1</v>
      </c>
      <c r="J25" s="67">
        <f ca="1">IFERROR(__xludf.DUMMYFUNCTION("""COMPUTED_VALUE"""),20)</f>
        <v>20</v>
      </c>
      <c r="K25" s="51">
        <f t="shared" ca="1" si="2"/>
        <v>1</v>
      </c>
      <c r="L25" s="67">
        <f ca="1">IFERROR(__xludf.DUMMYFUNCTION("""COMPUTED_VALUE"""),20)</f>
        <v>20</v>
      </c>
      <c r="M25" s="51">
        <f t="shared" ca="1" si="3"/>
        <v>1</v>
      </c>
      <c r="N25" s="67">
        <f ca="1">IFERROR(__xludf.DUMMYFUNCTION("""COMPUTED_VALUE"""),50)</f>
        <v>50</v>
      </c>
      <c r="O25" s="67">
        <f ca="1">IFERROR(__xludf.DUMMYFUNCTION("""COMPUTED_VALUE"""),3)</f>
        <v>3</v>
      </c>
      <c r="P25" s="51">
        <f t="shared" ca="1" si="4"/>
        <v>0.06</v>
      </c>
      <c r="Q25" s="67">
        <f ca="1">IFERROR(__xludf.DUMMYFUNCTION("""COMPUTED_VALUE"""),3)</f>
        <v>3</v>
      </c>
      <c r="R25" s="51">
        <f t="shared" ca="1" si="5"/>
        <v>0.06</v>
      </c>
      <c r="S25" s="66"/>
      <c r="T25" s="66"/>
      <c r="U25" s="51" t="str">
        <f t="shared" si="6"/>
        <v/>
      </c>
      <c r="V25" s="66"/>
      <c r="W25" s="51" t="str">
        <f t="shared" si="7"/>
        <v/>
      </c>
      <c r="X25" s="66"/>
      <c r="Y25" s="51" t="str">
        <f t="shared" si="8"/>
        <v/>
      </c>
      <c r="Z25" s="2"/>
      <c r="AA25" s="2"/>
      <c r="AB25" s="2"/>
      <c r="AC25" s="2"/>
      <c r="AD25" s="2"/>
      <c r="AE25" s="2"/>
    </row>
    <row r="26" spans="1:31" ht="12.75" x14ac:dyDescent="0.2">
      <c r="A26" s="53">
        <f ca="1">IFERROR(__xludf.DUMMYFUNCTION("""COMPUTED_VALUE"""),21)</f>
        <v>21</v>
      </c>
      <c r="B26" s="66" t="str">
        <f ca="1">IFERROR(__xludf.DUMMYFUNCTION("""COMPUTED_VALUE"""),"Hoa Mặt Trời")</f>
        <v>Hoa Mặt Trời</v>
      </c>
      <c r="C26" s="66" t="str">
        <f ca="1">IFERROR(__xludf.DUMMYFUNCTION("""COMPUTED_VALUE"""),"MN")</f>
        <v>MN</v>
      </c>
      <c r="D26" s="66">
        <f ca="1">IFERROR(__xludf.DUMMYFUNCTION("""COMPUTED_VALUE"""),11)</f>
        <v>11</v>
      </c>
      <c r="E26" s="67">
        <f ca="1">IFERROR(__xludf.DUMMYFUNCTION("""COMPUTED_VALUE"""),15)</f>
        <v>15</v>
      </c>
      <c r="F26" s="67">
        <f ca="1">IFERROR(__xludf.DUMMYFUNCTION("""COMPUTED_VALUE"""),15)</f>
        <v>15</v>
      </c>
      <c r="G26" s="51">
        <f t="shared" ca="1" si="0"/>
        <v>1</v>
      </c>
      <c r="H26" s="67">
        <f ca="1">IFERROR(__xludf.DUMMYFUNCTION("""COMPUTED_VALUE"""),14)</f>
        <v>14</v>
      </c>
      <c r="I26" s="51">
        <f t="shared" ca="1" si="1"/>
        <v>0.93333333333333335</v>
      </c>
      <c r="J26" s="67">
        <f ca="1">IFERROR(__xludf.DUMMYFUNCTION("""COMPUTED_VALUE"""),12)</f>
        <v>12</v>
      </c>
      <c r="K26" s="51">
        <f t="shared" ca="1" si="2"/>
        <v>0.8</v>
      </c>
      <c r="L26" s="67">
        <f ca="1">IFERROR(__xludf.DUMMYFUNCTION("""COMPUTED_VALUE"""),12)</f>
        <v>12</v>
      </c>
      <c r="M26" s="51">
        <f t="shared" ca="1" si="3"/>
        <v>0.8</v>
      </c>
      <c r="N26" s="67">
        <f ca="1">IFERROR(__xludf.DUMMYFUNCTION("""COMPUTED_VALUE"""),32)</f>
        <v>32</v>
      </c>
      <c r="O26" s="67">
        <f ca="1">IFERROR(__xludf.DUMMYFUNCTION("""COMPUTED_VALUE"""),1)</f>
        <v>1</v>
      </c>
      <c r="P26" s="51">
        <f t="shared" ca="1" si="4"/>
        <v>3.125E-2</v>
      </c>
      <c r="Q26" s="67">
        <f ca="1">IFERROR(__xludf.DUMMYFUNCTION("""COMPUTED_VALUE"""),0)</f>
        <v>0</v>
      </c>
      <c r="R26" s="51">
        <f t="shared" ca="1" si="5"/>
        <v>0</v>
      </c>
      <c r="S26" s="66"/>
      <c r="T26" s="66"/>
      <c r="U26" s="51" t="str">
        <f t="shared" si="6"/>
        <v/>
      </c>
      <c r="V26" s="66"/>
      <c r="W26" s="51" t="str">
        <f t="shared" si="7"/>
        <v/>
      </c>
      <c r="X26" s="66"/>
      <c r="Y26" s="51" t="str">
        <f t="shared" si="8"/>
        <v/>
      </c>
      <c r="Z26" s="2"/>
      <c r="AA26" s="2"/>
      <c r="AB26" s="2"/>
      <c r="AC26" s="2"/>
      <c r="AD26" s="2"/>
      <c r="AE26" s="2"/>
    </row>
    <row r="27" spans="1:31" ht="12.75" x14ac:dyDescent="0.2">
      <c r="A27" s="53">
        <f ca="1">IFERROR(__xludf.DUMMYFUNCTION("""COMPUTED_VALUE"""),22)</f>
        <v>22</v>
      </c>
      <c r="B27" s="66" t="str">
        <f ca="1">IFERROR(__xludf.DUMMYFUNCTION("""COMPUTED_VALUE"""),"Tuổi Thơ")</f>
        <v>Tuổi Thơ</v>
      </c>
      <c r="C27" s="66" t="str">
        <f ca="1">IFERROR(__xludf.DUMMYFUNCTION("""COMPUTED_VALUE"""),"MN")</f>
        <v>MN</v>
      </c>
      <c r="D27" s="66">
        <f ca="1">IFERROR(__xludf.DUMMYFUNCTION("""COMPUTED_VALUE"""),11)</f>
        <v>11</v>
      </c>
      <c r="E27" s="67">
        <f ca="1">IFERROR(__xludf.DUMMYFUNCTION("""COMPUTED_VALUE"""),9)</f>
        <v>9</v>
      </c>
      <c r="F27" s="67">
        <f ca="1">IFERROR(__xludf.DUMMYFUNCTION("""COMPUTED_VALUE"""),9)</f>
        <v>9</v>
      </c>
      <c r="G27" s="51">
        <f t="shared" ca="1" si="0"/>
        <v>1</v>
      </c>
      <c r="H27" s="67">
        <f ca="1">IFERROR(__xludf.DUMMYFUNCTION("""COMPUTED_VALUE"""),9)</f>
        <v>9</v>
      </c>
      <c r="I27" s="51">
        <f t="shared" ca="1" si="1"/>
        <v>1</v>
      </c>
      <c r="J27" s="67">
        <f ca="1">IFERROR(__xludf.DUMMYFUNCTION("""COMPUTED_VALUE"""),9)</f>
        <v>9</v>
      </c>
      <c r="K27" s="51">
        <f t="shared" ca="1" si="2"/>
        <v>1</v>
      </c>
      <c r="L27" s="67">
        <f ca="1">IFERROR(__xludf.DUMMYFUNCTION("""COMPUTED_VALUE"""),0)</f>
        <v>0</v>
      </c>
      <c r="M27" s="51">
        <f t="shared" ca="1" si="3"/>
        <v>0</v>
      </c>
      <c r="N27" s="67">
        <f ca="1">IFERROR(__xludf.DUMMYFUNCTION("""COMPUTED_VALUE"""),14)</f>
        <v>14</v>
      </c>
      <c r="O27" s="67">
        <f ca="1">IFERROR(__xludf.DUMMYFUNCTION("""COMPUTED_VALUE"""),5)</f>
        <v>5</v>
      </c>
      <c r="P27" s="51">
        <f t="shared" ca="1" si="4"/>
        <v>0.35714285714285715</v>
      </c>
      <c r="Q27" s="67">
        <f ca="1">IFERROR(__xludf.DUMMYFUNCTION("""COMPUTED_VALUE"""),3)</f>
        <v>3</v>
      </c>
      <c r="R27" s="51">
        <f t="shared" ca="1" si="5"/>
        <v>0.21428571428571427</v>
      </c>
      <c r="S27" s="66"/>
      <c r="T27" s="66"/>
      <c r="U27" s="51" t="str">
        <f t="shared" si="6"/>
        <v/>
      </c>
      <c r="V27" s="66"/>
      <c r="W27" s="51" t="str">
        <f t="shared" si="7"/>
        <v/>
      </c>
      <c r="X27" s="66"/>
      <c r="Y27" s="51" t="str">
        <f t="shared" si="8"/>
        <v/>
      </c>
      <c r="Z27" s="2"/>
      <c r="AA27" s="2"/>
      <c r="AB27" s="2"/>
      <c r="AC27" s="2"/>
      <c r="AD27" s="2"/>
      <c r="AE27" s="2"/>
    </row>
    <row r="28" spans="1:31" ht="12.75" x14ac:dyDescent="0.2">
      <c r="A28" s="53">
        <f ca="1">IFERROR(__xludf.DUMMYFUNCTION("""COMPUTED_VALUE"""),23)</f>
        <v>23</v>
      </c>
      <c r="B28" s="66" t="str">
        <f ca="1">IFERROR(__xludf.DUMMYFUNCTION("""COMPUTED_VALUE"""),"Việt Anh")</f>
        <v>Việt Anh</v>
      </c>
      <c r="C28" s="66" t="str">
        <f ca="1">IFERROR(__xludf.DUMMYFUNCTION("""COMPUTED_VALUE"""),"MN")</f>
        <v>MN</v>
      </c>
      <c r="D28" s="66">
        <f ca="1">IFERROR(__xludf.DUMMYFUNCTION("""COMPUTED_VALUE"""),11)</f>
        <v>11</v>
      </c>
      <c r="E28" s="67">
        <f ca="1">IFERROR(__xludf.DUMMYFUNCTION("""COMPUTED_VALUE"""),41)</f>
        <v>41</v>
      </c>
      <c r="F28" s="67">
        <f ca="1">IFERROR(__xludf.DUMMYFUNCTION("""COMPUTED_VALUE"""),41)</f>
        <v>41</v>
      </c>
      <c r="G28" s="51">
        <f t="shared" ca="1" si="0"/>
        <v>1</v>
      </c>
      <c r="H28" s="67">
        <f ca="1">IFERROR(__xludf.DUMMYFUNCTION("""COMPUTED_VALUE"""),41)</f>
        <v>41</v>
      </c>
      <c r="I28" s="51">
        <f t="shared" ca="1" si="1"/>
        <v>1</v>
      </c>
      <c r="J28" s="67">
        <f ca="1">IFERROR(__xludf.DUMMYFUNCTION("""COMPUTED_VALUE"""),27)</f>
        <v>27</v>
      </c>
      <c r="K28" s="51">
        <f t="shared" ca="1" si="2"/>
        <v>0.65853658536585369</v>
      </c>
      <c r="L28" s="67">
        <f ca="1">IFERROR(__xludf.DUMMYFUNCTION("""COMPUTED_VALUE"""),11)</f>
        <v>11</v>
      </c>
      <c r="M28" s="51">
        <f t="shared" ca="1" si="3"/>
        <v>0.26829268292682928</v>
      </c>
      <c r="N28" s="67">
        <f ca="1">IFERROR(__xludf.DUMMYFUNCTION("""COMPUTED_VALUE"""),53)</f>
        <v>53</v>
      </c>
      <c r="O28" s="67">
        <f ca="1">IFERROR(__xludf.DUMMYFUNCTION("""COMPUTED_VALUE"""),5)</f>
        <v>5</v>
      </c>
      <c r="P28" s="51">
        <f t="shared" ca="1" si="4"/>
        <v>9.4339622641509441E-2</v>
      </c>
      <c r="Q28" s="67">
        <f ca="1">IFERROR(__xludf.DUMMYFUNCTION("""COMPUTED_VALUE"""),3)</f>
        <v>3</v>
      </c>
      <c r="R28" s="51">
        <f t="shared" ca="1" si="5"/>
        <v>5.6603773584905662E-2</v>
      </c>
      <c r="S28" s="66"/>
      <c r="T28" s="66"/>
      <c r="U28" s="51" t="str">
        <f t="shared" si="6"/>
        <v/>
      </c>
      <c r="V28" s="66"/>
      <c r="W28" s="51" t="str">
        <f t="shared" si="7"/>
        <v/>
      </c>
      <c r="X28" s="66"/>
      <c r="Y28" s="51" t="str">
        <f t="shared" si="8"/>
        <v/>
      </c>
      <c r="Z28" s="2"/>
      <c r="AA28" s="2"/>
      <c r="AB28" s="2"/>
      <c r="AC28" s="2"/>
      <c r="AD28" s="2"/>
      <c r="AE28" s="2"/>
    </row>
    <row r="29" spans="1:31" ht="12.75" x14ac:dyDescent="0.2">
      <c r="A29" s="53">
        <f ca="1">IFERROR(__xludf.DUMMYFUNCTION("""COMPUTED_VALUE"""),24)</f>
        <v>24</v>
      </c>
      <c r="B29" s="66" t="str">
        <f ca="1">IFERROR(__xludf.DUMMYFUNCTION("""COMPUTED_VALUE"""),"Phú Bình")</f>
        <v>Phú Bình</v>
      </c>
      <c r="C29" s="66" t="str">
        <f ca="1">IFERROR(__xludf.DUMMYFUNCTION("""COMPUTED_VALUE"""),"MN")</f>
        <v>MN</v>
      </c>
      <c r="D29" s="66">
        <f ca="1">IFERROR(__xludf.DUMMYFUNCTION("""COMPUTED_VALUE"""),11)</f>
        <v>11</v>
      </c>
      <c r="E29" s="67">
        <f ca="1">IFERROR(__xludf.DUMMYFUNCTION("""COMPUTED_VALUE"""),23)</f>
        <v>23</v>
      </c>
      <c r="F29" s="67">
        <f ca="1">IFERROR(__xludf.DUMMYFUNCTION("""COMPUTED_VALUE"""),23)</f>
        <v>23</v>
      </c>
      <c r="G29" s="51">
        <f t="shared" ca="1" si="0"/>
        <v>1</v>
      </c>
      <c r="H29" s="67">
        <f ca="1">IFERROR(__xludf.DUMMYFUNCTION("""COMPUTED_VALUE"""),23)</f>
        <v>23</v>
      </c>
      <c r="I29" s="51">
        <f t="shared" ca="1" si="1"/>
        <v>1</v>
      </c>
      <c r="J29" s="67">
        <f ca="1">IFERROR(__xludf.DUMMYFUNCTION("""COMPUTED_VALUE"""),23)</f>
        <v>23</v>
      </c>
      <c r="K29" s="51">
        <f t="shared" ca="1" si="2"/>
        <v>1</v>
      </c>
      <c r="L29" s="67">
        <f ca="1">IFERROR(__xludf.DUMMYFUNCTION("""COMPUTED_VALUE"""),11)</f>
        <v>11</v>
      </c>
      <c r="M29" s="51">
        <f t="shared" ca="1" si="3"/>
        <v>0.47826086956521741</v>
      </c>
      <c r="N29" s="67">
        <f ca="1">IFERROR(__xludf.DUMMYFUNCTION("""COMPUTED_VALUE"""),98)</f>
        <v>98</v>
      </c>
      <c r="O29" s="67">
        <f ca="1">IFERROR(__xludf.DUMMYFUNCTION("""COMPUTED_VALUE"""),11)</f>
        <v>11</v>
      </c>
      <c r="P29" s="51">
        <f t="shared" ca="1" si="4"/>
        <v>0.11224489795918367</v>
      </c>
      <c r="Q29" s="67">
        <f ca="1">IFERROR(__xludf.DUMMYFUNCTION("""COMPUTED_VALUE"""),5)</f>
        <v>5</v>
      </c>
      <c r="R29" s="51">
        <f t="shared" ca="1" si="5"/>
        <v>5.1020408163265307E-2</v>
      </c>
      <c r="S29" s="66"/>
      <c r="T29" s="66"/>
      <c r="U29" s="51" t="str">
        <f t="shared" si="6"/>
        <v/>
      </c>
      <c r="V29" s="66"/>
      <c r="W29" s="51" t="str">
        <f t="shared" si="7"/>
        <v/>
      </c>
      <c r="X29" s="66"/>
      <c r="Y29" s="51" t="str">
        <f t="shared" si="8"/>
        <v/>
      </c>
      <c r="Z29" s="2"/>
      <c r="AA29" s="2"/>
      <c r="AB29" s="2"/>
      <c r="AC29" s="2"/>
      <c r="AD29" s="2"/>
      <c r="AE29" s="2"/>
    </row>
    <row r="30" spans="1:31" ht="12.75" x14ac:dyDescent="0.2">
      <c r="A30" s="53">
        <f ca="1">IFERROR(__xludf.DUMMYFUNCTION("""COMPUTED_VALUE"""),25)</f>
        <v>25</v>
      </c>
      <c r="B30" s="66" t="str">
        <f ca="1">IFERROR(__xludf.DUMMYFUNCTION("""COMPUTED_VALUE"""),"Việt Đức")</f>
        <v>Việt Đức</v>
      </c>
      <c r="C30" s="66" t="str">
        <f ca="1">IFERROR(__xludf.DUMMYFUNCTION("""COMPUTED_VALUE"""),"MN")</f>
        <v>MN</v>
      </c>
      <c r="D30" s="66">
        <f ca="1">IFERROR(__xludf.DUMMYFUNCTION("""COMPUTED_VALUE"""),11)</f>
        <v>11</v>
      </c>
      <c r="E30" s="67">
        <f ca="1">IFERROR(__xludf.DUMMYFUNCTION("""COMPUTED_VALUE"""),7)</f>
        <v>7</v>
      </c>
      <c r="F30" s="67">
        <f ca="1">IFERROR(__xludf.DUMMYFUNCTION("""COMPUTED_VALUE"""),5)</f>
        <v>5</v>
      </c>
      <c r="G30" s="51">
        <f t="shared" ca="1" si="0"/>
        <v>0.7142857142857143</v>
      </c>
      <c r="H30" s="67">
        <f ca="1">IFERROR(__xludf.DUMMYFUNCTION("""COMPUTED_VALUE"""),5)</f>
        <v>5</v>
      </c>
      <c r="I30" s="51">
        <f t="shared" ca="1" si="1"/>
        <v>0.7142857142857143</v>
      </c>
      <c r="J30" s="67">
        <f ca="1">IFERROR(__xludf.DUMMYFUNCTION("""COMPUTED_VALUE"""),5)</f>
        <v>5</v>
      </c>
      <c r="K30" s="51">
        <f t="shared" ca="1" si="2"/>
        <v>0.7142857142857143</v>
      </c>
      <c r="L30" s="67">
        <f ca="1">IFERROR(__xludf.DUMMYFUNCTION("""COMPUTED_VALUE"""),2)</f>
        <v>2</v>
      </c>
      <c r="M30" s="51">
        <f t="shared" ca="1" si="3"/>
        <v>0.2857142857142857</v>
      </c>
      <c r="N30" s="67">
        <f ca="1">IFERROR(__xludf.DUMMYFUNCTION("""COMPUTED_VALUE"""),2)</f>
        <v>2</v>
      </c>
      <c r="O30" s="67">
        <f ca="1">IFERROR(__xludf.DUMMYFUNCTION("""COMPUTED_VALUE"""),0)</f>
        <v>0</v>
      </c>
      <c r="P30" s="51">
        <f t="shared" ca="1" si="4"/>
        <v>0</v>
      </c>
      <c r="Q30" s="67">
        <f ca="1">IFERROR(__xludf.DUMMYFUNCTION("""COMPUTED_VALUE"""),0)</f>
        <v>0</v>
      </c>
      <c r="R30" s="51">
        <f t="shared" ca="1" si="5"/>
        <v>0</v>
      </c>
      <c r="S30" s="66"/>
      <c r="T30" s="66"/>
      <c r="U30" s="51" t="str">
        <f t="shared" si="6"/>
        <v/>
      </c>
      <c r="V30" s="66"/>
      <c r="W30" s="51" t="str">
        <f t="shared" si="7"/>
        <v/>
      </c>
      <c r="X30" s="66"/>
      <c r="Y30" s="51" t="str">
        <f t="shared" si="8"/>
        <v/>
      </c>
      <c r="Z30" s="2"/>
      <c r="AA30" s="2"/>
      <c r="AB30" s="2"/>
      <c r="AC30" s="2"/>
      <c r="AD30" s="2"/>
      <c r="AE30" s="2"/>
    </row>
    <row r="31" spans="1:31" ht="12.75" x14ac:dyDescent="0.2">
      <c r="A31" s="53">
        <f ca="1">IFERROR(__xludf.DUMMYFUNCTION("""COMPUTED_VALUE"""),26)</f>
        <v>26</v>
      </c>
      <c r="B31" s="66" t="str">
        <f ca="1">IFERROR(__xludf.DUMMYFUNCTION("""COMPUTED_VALUE"""),"Hoa Hướng Dương")</f>
        <v>Hoa Hướng Dương</v>
      </c>
      <c r="C31" s="66" t="str">
        <f ca="1">IFERROR(__xludf.DUMMYFUNCTION("""COMPUTED_VALUE"""),"MN")</f>
        <v>MN</v>
      </c>
      <c r="D31" s="66">
        <f ca="1">IFERROR(__xludf.DUMMYFUNCTION("""COMPUTED_VALUE"""),11)</f>
        <v>11</v>
      </c>
      <c r="E31" s="67">
        <f ca="1">IFERROR(__xludf.DUMMYFUNCTION("""COMPUTED_VALUE"""),16)</f>
        <v>16</v>
      </c>
      <c r="F31" s="67">
        <f ca="1">IFERROR(__xludf.DUMMYFUNCTION("""COMPUTED_VALUE"""),16)</f>
        <v>16</v>
      </c>
      <c r="G31" s="51">
        <f t="shared" ca="1" si="0"/>
        <v>1</v>
      </c>
      <c r="H31" s="67">
        <f ca="1">IFERROR(__xludf.DUMMYFUNCTION("""COMPUTED_VALUE"""),16)</f>
        <v>16</v>
      </c>
      <c r="I31" s="51">
        <f t="shared" ca="1" si="1"/>
        <v>1</v>
      </c>
      <c r="J31" s="67">
        <f ca="1">IFERROR(__xludf.DUMMYFUNCTION("""COMPUTED_VALUE"""),16)</f>
        <v>16</v>
      </c>
      <c r="K31" s="51">
        <f t="shared" ca="1" si="2"/>
        <v>1</v>
      </c>
      <c r="L31" s="67">
        <f ca="1">IFERROR(__xludf.DUMMYFUNCTION("""COMPUTED_VALUE"""),16)</f>
        <v>16</v>
      </c>
      <c r="M31" s="51">
        <f t="shared" ca="1" si="3"/>
        <v>1</v>
      </c>
      <c r="N31" s="67">
        <f ca="1">IFERROR(__xludf.DUMMYFUNCTION("""COMPUTED_VALUE"""),27)</f>
        <v>27</v>
      </c>
      <c r="O31" s="67">
        <f ca="1">IFERROR(__xludf.DUMMYFUNCTION("""COMPUTED_VALUE"""),9)</f>
        <v>9</v>
      </c>
      <c r="P31" s="51">
        <f t="shared" ca="1" si="4"/>
        <v>0.33333333333333331</v>
      </c>
      <c r="Q31" s="67">
        <f ca="1">IFERROR(__xludf.DUMMYFUNCTION("""COMPUTED_VALUE"""),6)</f>
        <v>6</v>
      </c>
      <c r="R31" s="51">
        <f t="shared" ca="1" si="5"/>
        <v>0.22222222222222221</v>
      </c>
      <c r="S31" s="66"/>
      <c r="T31" s="66"/>
      <c r="U31" s="51" t="str">
        <f t="shared" si="6"/>
        <v/>
      </c>
      <c r="V31" s="66"/>
      <c r="W31" s="51" t="str">
        <f t="shared" si="7"/>
        <v/>
      </c>
      <c r="X31" s="66"/>
      <c r="Y31" s="51" t="str">
        <f t="shared" si="8"/>
        <v/>
      </c>
      <c r="Z31" s="2"/>
      <c r="AA31" s="2"/>
      <c r="AB31" s="2"/>
      <c r="AC31" s="2"/>
      <c r="AD31" s="2"/>
      <c r="AE31" s="2"/>
    </row>
    <row r="32" spans="1:31" ht="12.75" x14ac:dyDescent="0.2">
      <c r="A32" s="53">
        <f ca="1">IFERROR(__xludf.DUMMYFUNCTION("""COMPUTED_VALUE"""),27)</f>
        <v>27</v>
      </c>
      <c r="B32" s="66" t="str">
        <f ca="1">IFERROR(__xludf.DUMMYFUNCTION("""COMPUTED_VALUE"""),"Hương Sen")</f>
        <v>Hương Sen</v>
      </c>
      <c r="C32" s="66" t="str">
        <f ca="1">IFERROR(__xludf.DUMMYFUNCTION("""COMPUTED_VALUE"""),"MN")</f>
        <v>MN</v>
      </c>
      <c r="D32" s="66">
        <f ca="1">IFERROR(__xludf.DUMMYFUNCTION("""COMPUTED_VALUE"""),11)</f>
        <v>11</v>
      </c>
      <c r="E32" s="67">
        <f ca="1">IFERROR(__xludf.DUMMYFUNCTION("""COMPUTED_VALUE"""),26)</f>
        <v>26</v>
      </c>
      <c r="F32" s="67">
        <f ca="1">IFERROR(__xludf.DUMMYFUNCTION("""COMPUTED_VALUE"""),18)</f>
        <v>18</v>
      </c>
      <c r="G32" s="51">
        <f t="shared" ca="1" si="0"/>
        <v>0.69230769230769229</v>
      </c>
      <c r="H32" s="67">
        <f ca="1">IFERROR(__xludf.DUMMYFUNCTION("""COMPUTED_VALUE"""),18)</f>
        <v>18</v>
      </c>
      <c r="I32" s="51">
        <f t="shared" ca="1" si="1"/>
        <v>0.69230769230769229</v>
      </c>
      <c r="J32" s="67">
        <f ca="1">IFERROR(__xludf.DUMMYFUNCTION("""COMPUTED_VALUE"""),18)</f>
        <v>18</v>
      </c>
      <c r="K32" s="51">
        <f t="shared" ca="1" si="2"/>
        <v>0.69230769230769229</v>
      </c>
      <c r="L32" s="67">
        <f ca="1">IFERROR(__xludf.DUMMYFUNCTION("""COMPUTED_VALUE"""),9)</f>
        <v>9</v>
      </c>
      <c r="M32" s="51">
        <f t="shared" ca="1" si="3"/>
        <v>0.34615384615384615</v>
      </c>
      <c r="N32" s="67">
        <f ca="1">IFERROR(__xludf.DUMMYFUNCTION("""COMPUTED_VALUE"""),3)</f>
        <v>3</v>
      </c>
      <c r="O32" s="67">
        <f ca="1">IFERROR(__xludf.DUMMYFUNCTION("""COMPUTED_VALUE"""),0)</f>
        <v>0</v>
      </c>
      <c r="P32" s="51">
        <f t="shared" ca="1" si="4"/>
        <v>0</v>
      </c>
      <c r="Q32" s="67">
        <f ca="1">IFERROR(__xludf.DUMMYFUNCTION("""COMPUTED_VALUE"""),0)</f>
        <v>0</v>
      </c>
      <c r="R32" s="51">
        <f t="shared" ca="1" si="5"/>
        <v>0</v>
      </c>
      <c r="S32" s="66"/>
      <c r="T32" s="66"/>
      <c r="U32" s="51" t="str">
        <f t="shared" si="6"/>
        <v/>
      </c>
      <c r="V32" s="66"/>
      <c r="W32" s="51" t="str">
        <f t="shared" si="7"/>
        <v/>
      </c>
      <c r="X32" s="66"/>
      <c r="Y32" s="51" t="str">
        <f t="shared" si="8"/>
        <v/>
      </c>
      <c r="Z32" s="2"/>
      <c r="AA32" s="2"/>
      <c r="AB32" s="2"/>
      <c r="AC32" s="2"/>
      <c r="AD32" s="2"/>
      <c r="AE32" s="2"/>
    </row>
    <row r="33" spans="1:31" ht="12.75" x14ac:dyDescent="0.2">
      <c r="A33" s="53">
        <f ca="1">IFERROR(__xludf.DUMMYFUNCTION("""COMPUTED_VALUE"""),28)</f>
        <v>28</v>
      </c>
      <c r="B33" s="66" t="str">
        <f ca="1">IFERROR(__xludf.DUMMYFUNCTION("""COMPUTED_VALUE"""),"Mỹ Úc")</f>
        <v>Mỹ Úc</v>
      </c>
      <c r="C33" s="66" t="str">
        <f ca="1">IFERROR(__xludf.DUMMYFUNCTION("""COMPUTED_VALUE"""),"MN")</f>
        <v>MN</v>
      </c>
      <c r="D33" s="66">
        <f ca="1">IFERROR(__xludf.DUMMYFUNCTION("""COMPUTED_VALUE"""),11)</f>
        <v>11</v>
      </c>
      <c r="E33" s="67">
        <f ca="1">IFERROR(__xludf.DUMMYFUNCTION("""COMPUTED_VALUE"""),25)</f>
        <v>25</v>
      </c>
      <c r="F33" s="67">
        <f ca="1">IFERROR(__xludf.DUMMYFUNCTION("""COMPUTED_VALUE"""),25)</f>
        <v>25</v>
      </c>
      <c r="G33" s="51">
        <f t="shared" ca="1" si="0"/>
        <v>1</v>
      </c>
      <c r="H33" s="67">
        <f ca="1">IFERROR(__xludf.DUMMYFUNCTION("""COMPUTED_VALUE"""),25)</f>
        <v>25</v>
      </c>
      <c r="I33" s="51">
        <f t="shared" ca="1" si="1"/>
        <v>1</v>
      </c>
      <c r="J33" s="67">
        <f ca="1">IFERROR(__xludf.DUMMYFUNCTION("""COMPUTED_VALUE"""),9)</f>
        <v>9</v>
      </c>
      <c r="K33" s="51">
        <f t="shared" ca="1" si="2"/>
        <v>0.36</v>
      </c>
      <c r="L33" s="67">
        <f ca="1">IFERROR(__xludf.DUMMYFUNCTION("""COMPUTED_VALUE"""),16)</f>
        <v>16</v>
      </c>
      <c r="M33" s="51">
        <f t="shared" ca="1" si="3"/>
        <v>0.64</v>
      </c>
      <c r="N33" s="67">
        <f ca="1">IFERROR(__xludf.DUMMYFUNCTION("""COMPUTED_VALUE"""),44)</f>
        <v>44</v>
      </c>
      <c r="O33" s="67">
        <f ca="1">IFERROR(__xludf.DUMMYFUNCTION("""COMPUTED_VALUE"""),1)</f>
        <v>1</v>
      </c>
      <c r="P33" s="51">
        <f t="shared" ca="1" si="4"/>
        <v>2.2727272727272728E-2</v>
      </c>
      <c r="Q33" s="67">
        <f ca="1">IFERROR(__xludf.DUMMYFUNCTION("""COMPUTED_VALUE"""),12)</f>
        <v>12</v>
      </c>
      <c r="R33" s="51">
        <f t="shared" ca="1" si="5"/>
        <v>0.27272727272727271</v>
      </c>
      <c r="S33" s="66"/>
      <c r="T33" s="66"/>
      <c r="U33" s="51" t="str">
        <f t="shared" si="6"/>
        <v/>
      </c>
      <c r="V33" s="66"/>
      <c r="W33" s="51" t="str">
        <f t="shared" si="7"/>
        <v/>
      </c>
      <c r="X33" s="66"/>
      <c r="Y33" s="51" t="str">
        <f t="shared" si="8"/>
        <v/>
      </c>
      <c r="Z33" s="2"/>
      <c r="AA33" s="2"/>
      <c r="AB33" s="2"/>
      <c r="AC33" s="2"/>
      <c r="AD33" s="2"/>
      <c r="AE33" s="2"/>
    </row>
    <row r="34" spans="1:31" ht="12.75" x14ac:dyDescent="0.2">
      <c r="A34" s="53">
        <f ca="1">IFERROR(__xludf.DUMMYFUNCTION("""COMPUTED_VALUE"""),29)</f>
        <v>29</v>
      </c>
      <c r="B34" s="66" t="str">
        <f ca="1">IFERROR(__xludf.DUMMYFUNCTION("""COMPUTED_VALUE"""),"Táo Vàng")</f>
        <v>Táo Vàng</v>
      </c>
      <c r="C34" s="66" t="str">
        <f ca="1">IFERROR(__xludf.DUMMYFUNCTION("""COMPUTED_VALUE"""),"MN")</f>
        <v>MN</v>
      </c>
      <c r="D34" s="66">
        <f ca="1">IFERROR(__xludf.DUMMYFUNCTION("""COMPUTED_VALUE"""),11)</f>
        <v>11</v>
      </c>
      <c r="E34" s="67">
        <f ca="1">IFERROR(__xludf.DUMMYFUNCTION("""COMPUTED_VALUE"""),12)</f>
        <v>12</v>
      </c>
      <c r="F34" s="67">
        <f ca="1">IFERROR(__xludf.DUMMYFUNCTION("""COMPUTED_VALUE"""),12)</f>
        <v>12</v>
      </c>
      <c r="G34" s="51">
        <f t="shared" ca="1" si="0"/>
        <v>1</v>
      </c>
      <c r="H34" s="67">
        <f ca="1">IFERROR(__xludf.DUMMYFUNCTION("""COMPUTED_VALUE"""),12)</f>
        <v>12</v>
      </c>
      <c r="I34" s="51">
        <f t="shared" ca="1" si="1"/>
        <v>1</v>
      </c>
      <c r="J34" s="67">
        <f ca="1">IFERROR(__xludf.DUMMYFUNCTION("""COMPUTED_VALUE"""),12)</f>
        <v>12</v>
      </c>
      <c r="K34" s="51">
        <f t="shared" ca="1" si="2"/>
        <v>1</v>
      </c>
      <c r="L34" s="67">
        <f ca="1">IFERROR(__xludf.DUMMYFUNCTION("""COMPUTED_VALUE"""),10)</f>
        <v>10</v>
      </c>
      <c r="M34" s="51">
        <f t="shared" ca="1" si="3"/>
        <v>0.83333333333333337</v>
      </c>
      <c r="N34" s="67">
        <f ca="1">IFERROR(__xludf.DUMMYFUNCTION("""COMPUTED_VALUE"""),49)</f>
        <v>49</v>
      </c>
      <c r="O34" s="67">
        <f ca="1">IFERROR(__xludf.DUMMYFUNCTION("""COMPUTED_VALUE"""),1)</f>
        <v>1</v>
      </c>
      <c r="P34" s="51">
        <f t="shared" ca="1" si="4"/>
        <v>2.0408163265306121E-2</v>
      </c>
      <c r="Q34" s="67">
        <f ca="1">IFERROR(__xludf.DUMMYFUNCTION("""COMPUTED_VALUE"""),1)</f>
        <v>1</v>
      </c>
      <c r="R34" s="51">
        <f t="shared" ca="1" si="5"/>
        <v>2.0408163265306121E-2</v>
      </c>
      <c r="S34" s="66"/>
      <c r="T34" s="66"/>
      <c r="U34" s="51" t="str">
        <f t="shared" si="6"/>
        <v/>
      </c>
      <c r="V34" s="66"/>
      <c r="W34" s="51" t="str">
        <f t="shared" si="7"/>
        <v/>
      </c>
      <c r="X34" s="66"/>
      <c r="Y34" s="51" t="str">
        <f t="shared" si="8"/>
        <v/>
      </c>
      <c r="Z34" s="2"/>
      <c r="AA34" s="2"/>
      <c r="AB34" s="2"/>
      <c r="AC34" s="2"/>
      <c r="AD34" s="2"/>
      <c r="AE34" s="2"/>
    </row>
    <row r="35" spans="1:31" ht="12.75" x14ac:dyDescent="0.2">
      <c r="A35" s="53">
        <f ca="1">IFERROR(__xludf.DUMMYFUNCTION("""COMPUTED_VALUE"""),30)</f>
        <v>30</v>
      </c>
      <c r="B35" s="66" t="str">
        <f ca="1">IFERROR(__xludf.DUMMYFUNCTION("""COMPUTED_VALUE"""),"MN Việt Mỹ Anh")</f>
        <v>MN Việt Mỹ Anh</v>
      </c>
      <c r="C35" s="66" t="str">
        <f ca="1">IFERROR(__xludf.DUMMYFUNCTION("""COMPUTED_VALUE"""),"MN")</f>
        <v>MN</v>
      </c>
      <c r="D35" s="66">
        <f ca="1">IFERROR(__xludf.DUMMYFUNCTION("""COMPUTED_VALUE"""),11)</f>
        <v>11</v>
      </c>
      <c r="E35" s="67">
        <f ca="1">IFERROR(__xludf.DUMMYFUNCTION("""COMPUTED_VALUE"""),11)</f>
        <v>11</v>
      </c>
      <c r="F35" s="67">
        <f ca="1">IFERROR(__xludf.DUMMYFUNCTION("""COMPUTED_VALUE"""),11)</f>
        <v>11</v>
      </c>
      <c r="G35" s="51">
        <f t="shared" ca="1" si="0"/>
        <v>1</v>
      </c>
      <c r="H35" s="67">
        <f ca="1">IFERROR(__xludf.DUMMYFUNCTION("""COMPUTED_VALUE"""),11)</f>
        <v>11</v>
      </c>
      <c r="I35" s="51">
        <f t="shared" ca="1" si="1"/>
        <v>1</v>
      </c>
      <c r="J35" s="67">
        <f ca="1">IFERROR(__xludf.DUMMYFUNCTION("""COMPUTED_VALUE"""),10)</f>
        <v>10</v>
      </c>
      <c r="K35" s="51">
        <f t="shared" ca="1" si="2"/>
        <v>0.90909090909090906</v>
      </c>
      <c r="L35" s="67">
        <f ca="1">IFERROR(__xludf.DUMMYFUNCTION("""COMPUTED_VALUE"""),3)</f>
        <v>3</v>
      </c>
      <c r="M35" s="51">
        <f t="shared" ca="1" si="3"/>
        <v>0.27272727272727271</v>
      </c>
      <c r="N35" s="67">
        <f ca="1">IFERROR(__xludf.DUMMYFUNCTION("""COMPUTED_VALUE"""),46)</f>
        <v>46</v>
      </c>
      <c r="O35" s="67">
        <f ca="1">IFERROR(__xludf.DUMMYFUNCTION("""COMPUTED_VALUE"""),1)</f>
        <v>1</v>
      </c>
      <c r="P35" s="51">
        <f t="shared" ca="1" si="4"/>
        <v>2.1739130434782608E-2</v>
      </c>
      <c r="Q35" s="67">
        <f ca="1">IFERROR(__xludf.DUMMYFUNCTION("""COMPUTED_VALUE"""),0)</f>
        <v>0</v>
      </c>
      <c r="R35" s="51">
        <f t="shared" ca="1" si="5"/>
        <v>0</v>
      </c>
      <c r="S35" s="66"/>
      <c r="T35" s="66"/>
      <c r="U35" s="51" t="str">
        <f t="shared" si="6"/>
        <v/>
      </c>
      <c r="V35" s="66"/>
      <c r="W35" s="51" t="str">
        <f t="shared" si="7"/>
        <v/>
      </c>
      <c r="X35" s="66"/>
      <c r="Y35" s="51" t="str">
        <f t="shared" si="8"/>
        <v/>
      </c>
      <c r="Z35" s="2"/>
      <c r="AA35" s="2"/>
      <c r="AB35" s="2"/>
      <c r="AC35" s="2"/>
      <c r="AD35" s="2"/>
      <c r="AE35" s="2"/>
    </row>
    <row r="36" spans="1:31" ht="12.75" x14ac:dyDescent="0.2">
      <c r="A36" s="53">
        <f ca="1">IFERROR(__xludf.DUMMYFUNCTION("""COMPUTED_VALUE"""),31)</f>
        <v>31</v>
      </c>
      <c r="B36" s="66" t="str">
        <f ca="1">IFERROR(__xludf.DUMMYFUNCTION("""COMPUTED_VALUE"""),"Ngôi Nhà Sao Sáng")</f>
        <v>Ngôi Nhà Sao Sáng</v>
      </c>
      <c r="C36" s="66" t="str">
        <f ca="1">IFERROR(__xludf.DUMMYFUNCTION("""COMPUTED_VALUE"""),"MN")</f>
        <v>MN</v>
      </c>
      <c r="D36" s="66">
        <f ca="1">IFERROR(__xludf.DUMMYFUNCTION("""COMPUTED_VALUE"""),11)</f>
        <v>11</v>
      </c>
      <c r="E36" s="67">
        <f ca="1">IFERROR(__xludf.DUMMYFUNCTION("""COMPUTED_VALUE"""),23)</f>
        <v>23</v>
      </c>
      <c r="F36" s="67">
        <f ca="1">IFERROR(__xludf.DUMMYFUNCTION("""COMPUTED_VALUE"""),23)</f>
        <v>23</v>
      </c>
      <c r="G36" s="51">
        <f t="shared" ca="1" si="0"/>
        <v>1</v>
      </c>
      <c r="H36" s="67">
        <f ca="1">IFERROR(__xludf.DUMMYFUNCTION("""COMPUTED_VALUE"""),23)</f>
        <v>23</v>
      </c>
      <c r="I36" s="51">
        <f t="shared" ca="1" si="1"/>
        <v>1</v>
      </c>
      <c r="J36" s="67">
        <f ca="1">IFERROR(__xludf.DUMMYFUNCTION("""COMPUTED_VALUE"""),22)</f>
        <v>22</v>
      </c>
      <c r="K36" s="51">
        <f t="shared" ca="1" si="2"/>
        <v>0.95652173913043481</v>
      </c>
      <c r="L36" s="67">
        <f ca="1">IFERROR(__xludf.DUMMYFUNCTION("""COMPUTED_VALUE"""),14)</f>
        <v>14</v>
      </c>
      <c r="M36" s="51">
        <f t="shared" ca="1" si="3"/>
        <v>0.60869565217391308</v>
      </c>
      <c r="N36" s="67">
        <f ca="1">IFERROR(__xludf.DUMMYFUNCTION("""COMPUTED_VALUE"""),8)</f>
        <v>8</v>
      </c>
      <c r="O36" s="67">
        <f ca="1">IFERROR(__xludf.DUMMYFUNCTION("""COMPUTED_VALUE"""),1)</f>
        <v>1</v>
      </c>
      <c r="P36" s="51">
        <f t="shared" ca="1" si="4"/>
        <v>0.125</v>
      </c>
      <c r="Q36" s="67">
        <f ca="1">IFERROR(__xludf.DUMMYFUNCTION("""COMPUTED_VALUE"""),1)</f>
        <v>1</v>
      </c>
      <c r="R36" s="51">
        <f t="shared" ca="1" si="5"/>
        <v>0.125</v>
      </c>
      <c r="S36" s="66"/>
      <c r="T36" s="66"/>
      <c r="U36" s="51" t="str">
        <f t="shared" si="6"/>
        <v/>
      </c>
      <c r="V36" s="66"/>
      <c r="W36" s="51" t="str">
        <f t="shared" si="7"/>
        <v/>
      </c>
      <c r="X36" s="66"/>
      <c r="Y36" s="51" t="str">
        <f t="shared" si="8"/>
        <v/>
      </c>
      <c r="Z36" s="2"/>
      <c r="AA36" s="2"/>
      <c r="AB36" s="2"/>
      <c r="AC36" s="2"/>
      <c r="AD36" s="2"/>
      <c r="AE36" s="2"/>
    </row>
    <row r="37" spans="1:31" ht="12.75" x14ac:dyDescent="0.2">
      <c r="A37" s="53">
        <f ca="1">IFERROR(__xludf.DUMMYFUNCTION("""COMPUTED_VALUE"""),32)</f>
        <v>32</v>
      </c>
      <c r="B37" s="66" t="str">
        <f ca="1">IFERROR(__xludf.DUMMYFUNCTION("""COMPUTED_VALUE"""),"MN Việt Mỹ")</f>
        <v>MN Việt Mỹ</v>
      </c>
      <c r="C37" s="66" t="str">
        <f ca="1">IFERROR(__xludf.DUMMYFUNCTION("""COMPUTED_VALUE"""),"MN")</f>
        <v>MN</v>
      </c>
      <c r="D37" s="66">
        <f ca="1">IFERROR(__xludf.DUMMYFUNCTION("""COMPUTED_VALUE"""),11)</f>
        <v>11</v>
      </c>
      <c r="E37" s="67">
        <f ca="1">IFERROR(__xludf.DUMMYFUNCTION("""COMPUTED_VALUE"""),100)</f>
        <v>100</v>
      </c>
      <c r="F37" s="67">
        <f ca="1">IFERROR(__xludf.DUMMYFUNCTION("""COMPUTED_VALUE"""),100)</f>
        <v>100</v>
      </c>
      <c r="G37" s="51">
        <f t="shared" ca="1" si="0"/>
        <v>1</v>
      </c>
      <c r="H37" s="67">
        <f ca="1">IFERROR(__xludf.DUMMYFUNCTION("""COMPUTED_VALUE"""),99)</f>
        <v>99</v>
      </c>
      <c r="I37" s="51">
        <f t="shared" ca="1" si="1"/>
        <v>0.99</v>
      </c>
      <c r="J37" s="67">
        <f ca="1">IFERROR(__xludf.DUMMYFUNCTION("""COMPUTED_VALUE"""),82)</f>
        <v>82</v>
      </c>
      <c r="K37" s="51">
        <f t="shared" ca="1" si="2"/>
        <v>0.82</v>
      </c>
      <c r="L37" s="67">
        <f ca="1">IFERROR(__xludf.DUMMYFUNCTION("""COMPUTED_VALUE"""),29)</f>
        <v>29</v>
      </c>
      <c r="M37" s="51">
        <f t="shared" ca="1" si="3"/>
        <v>0.28999999999999998</v>
      </c>
      <c r="N37" s="67">
        <f ca="1">IFERROR(__xludf.DUMMYFUNCTION("""COMPUTED_VALUE"""),69)</f>
        <v>69</v>
      </c>
      <c r="O37" s="67">
        <f ca="1">IFERROR(__xludf.DUMMYFUNCTION("""COMPUTED_VALUE"""),1)</f>
        <v>1</v>
      </c>
      <c r="P37" s="51">
        <f t="shared" ca="1" si="4"/>
        <v>1.4492753623188406E-2</v>
      </c>
      <c r="Q37" s="67">
        <f ca="1">IFERROR(__xludf.DUMMYFUNCTION("""COMPUTED_VALUE"""),1)</f>
        <v>1</v>
      </c>
      <c r="R37" s="51">
        <f t="shared" ca="1" si="5"/>
        <v>1.4492753623188406E-2</v>
      </c>
      <c r="S37" s="66"/>
      <c r="T37" s="66"/>
      <c r="U37" s="51" t="str">
        <f t="shared" si="6"/>
        <v/>
      </c>
      <c r="V37" s="66"/>
      <c r="W37" s="51" t="str">
        <f t="shared" si="7"/>
        <v/>
      </c>
      <c r="X37" s="66"/>
      <c r="Y37" s="51" t="str">
        <f t="shared" si="8"/>
        <v/>
      </c>
      <c r="Z37" s="2"/>
      <c r="AA37" s="2"/>
      <c r="AB37" s="2"/>
      <c r="AC37" s="2"/>
      <c r="AD37" s="2"/>
      <c r="AE37" s="2"/>
    </row>
    <row r="38" spans="1:31" ht="12.75" x14ac:dyDescent="0.2">
      <c r="A38" s="53">
        <f ca="1">IFERROR(__xludf.DUMMYFUNCTION("""COMPUTED_VALUE"""),33)</f>
        <v>33</v>
      </c>
      <c r="B38" s="66" t="str">
        <f ca="1">IFERROR(__xludf.DUMMYFUNCTION("""COMPUTED_VALUE"""),"Táo Hồng")</f>
        <v>Táo Hồng</v>
      </c>
      <c r="C38" s="66" t="str">
        <f ca="1">IFERROR(__xludf.DUMMYFUNCTION("""COMPUTED_VALUE"""),"MN")</f>
        <v>MN</v>
      </c>
      <c r="D38" s="66">
        <f ca="1">IFERROR(__xludf.DUMMYFUNCTION("""COMPUTED_VALUE"""),11)</f>
        <v>11</v>
      </c>
      <c r="E38" s="67">
        <f ca="1">IFERROR(__xludf.DUMMYFUNCTION("""COMPUTED_VALUE"""),5)</f>
        <v>5</v>
      </c>
      <c r="F38" s="67">
        <f ca="1">IFERROR(__xludf.DUMMYFUNCTION("""COMPUTED_VALUE"""),5)</f>
        <v>5</v>
      </c>
      <c r="G38" s="51">
        <f t="shared" ca="1" si="0"/>
        <v>1</v>
      </c>
      <c r="H38" s="67">
        <f ca="1">IFERROR(__xludf.DUMMYFUNCTION("""COMPUTED_VALUE"""),5)</f>
        <v>5</v>
      </c>
      <c r="I38" s="51">
        <f t="shared" ca="1" si="1"/>
        <v>1</v>
      </c>
      <c r="J38" s="67">
        <f ca="1">IFERROR(__xludf.DUMMYFUNCTION("""COMPUTED_VALUE"""),2)</f>
        <v>2</v>
      </c>
      <c r="K38" s="51">
        <f t="shared" ca="1" si="2"/>
        <v>0.4</v>
      </c>
      <c r="L38" s="67">
        <f ca="1">IFERROR(__xludf.DUMMYFUNCTION("""COMPUTED_VALUE"""),3)</f>
        <v>3</v>
      </c>
      <c r="M38" s="51">
        <f t="shared" ca="1" si="3"/>
        <v>0.6</v>
      </c>
      <c r="N38" s="67">
        <f ca="1">IFERROR(__xludf.DUMMYFUNCTION("""COMPUTED_VALUE"""),17)</f>
        <v>17</v>
      </c>
      <c r="O38" s="67">
        <f ca="1">IFERROR(__xludf.DUMMYFUNCTION("""COMPUTED_VALUE"""),0)</f>
        <v>0</v>
      </c>
      <c r="P38" s="51">
        <f t="shared" ca="1" si="4"/>
        <v>0</v>
      </c>
      <c r="Q38" s="67">
        <f ca="1">IFERROR(__xludf.DUMMYFUNCTION("""COMPUTED_VALUE"""),0)</f>
        <v>0</v>
      </c>
      <c r="R38" s="51">
        <f t="shared" ca="1" si="5"/>
        <v>0</v>
      </c>
      <c r="S38" s="66"/>
      <c r="T38" s="66"/>
      <c r="U38" s="51" t="str">
        <f t="shared" si="6"/>
        <v/>
      </c>
      <c r="V38" s="66"/>
      <c r="W38" s="51" t="str">
        <f t="shared" si="7"/>
        <v/>
      </c>
      <c r="X38" s="66"/>
      <c r="Y38" s="51" t="str">
        <f t="shared" si="8"/>
        <v/>
      </c>
      <c r="Z38" s="2"/>
      <c r="AA38" s="2"/>
      <c r="AB38" s="2"/>
      <c r="AC38" s="2"/>
      <c r="AD38" s="2"/>
      <c r="AE38" s="2"/>
    </row>
    <row r="39" spans="1:31" ht="12.75" x14ac:dyDescent="0.2">
      <c r="A39" s="53">
        <f ca="1">IFERROR(__xludf.DUMMYFUNCTION("""COMPUTED_VALUE"""),34)</f>
        <v>34</v>
      </c>
      <c r="B39" s="66" t="str">
        <f ca="1">IFERROR(__xludf.DUMMYFUNCTION("""COMPUTED_VALUE"""),"MN Lữ Gia")</f>
        <v>MN Lữ Gia</v>
      </c>
      <c r="C39" s="66" t="str">
        <f ca="1">IFERROR(__xludf.DUMMYFUNCTION("""COMPUTED_VALUE"""),"MN")</f>
        <v>MN</v>
      </c>
      <c r="D39" s="66">
        <f ca="1">IFERROR(__xludf.DUMMYFUNCTION("""COMPUTED_VALUE"""),11)</f>
        <v>11</v>
      </c>
      <c r="E39" s="67">
        <f ca="1">IFERROR(__xludf.DUMMYFUNCTION("""COMPUTED_VALUE"""),11)</f>
        <v>11</v>
      </c>
      <c r="F39" s="67">
        <f ca="1">IFERROR(__xludf.DUMMYFUNCTION("""COMPUTED_VALUE"""),11)</f>
        <v>11</v>
      </c>
      <c r="G39" s="51">
        <f t="shared" ca="1" si="0"/>
        <v>1</v>
      </c>
      <c r="H39" s="67">
        <f ca="1">IFERROR(__xludf.DUMMYFUNCTION("""COMPUTED_VALUE"""),11)</f>
        <v>11</v>
      </c>
      <c r="I39" s="51">
        <f t="shared" ca="1" si="1"/>
        <v>1</v>
      </c>
      <c r="J39" s="67">
        <f ca="1">IFERROR(__xludf.DUMMYFUNCTION("""COMPUTED_VALUE"""),11)</f>
        <v>11</v>
      </c>
      <c r="K39" s="51">
        <f t="shared" ca="1" si="2"/>
        <v>1</v>
      </c>
      <c r="L39" s="67">
        <f ca="1">IFERROR(__xludf.DUMMYFUNCTION("""COMPUTED_VALUE"""),5)</f>
        <v>5</v>
      </c>
      <c r="M39" s="51">
        <f t="shared" ca="1" si="3"/>
        <v>0.45454545454545453</v>
      </c>
      <c r="N39" s="67">
        <f ca="1">IFERROR(__xludf.DUMMYFUNCTION("""COMPUTED_VALUE"""),18)</f>
        <v>18</v>
      </c>
      <c r="O39" s="67">
        <f ca="1">IFERROR(__xludf.DUMMYFUNCTION("""COMPUTED_VALUE"""),1)</f>
        <v>1</v>
      </c>
      <c r="P39" s="51">
        <f t="shared" ca="1" si="4"/>
        <v>5.5555555555555552E-2</v>
      </c>
      <c r="Q39" s="67">
        <f ca="1">IFERROR(__xludf.DUMMYFUNCTION("""COMPUTED_VALUE"""),0)</f>
        <v>0</v>
      </c>
      <c r="R39" s="51">
        <f t="shared" ca="1" si="5"/>
        <v>0</v>
      </c>
      <c r="S39" s="66"/>
      <c r="T39" s="66"/>
      <c r="U39" s="51" t="str">
        <f t="shared" si="6"/>
        <v/>
      </c>
      <c r="V39" s="66"/>
      <c r="W39" s="51" t="str">
        <f t="shared" si="7"/>
        <v/>
      </c>
      <c r="X39" s="66"/>
      <c r="Y39" s="51" t="str">
        <f t="shared" si="8"/>
        <v/>
      </c>
      <c r="Z39" s="2"/>
      <c r="AA39" s="2"/>
      <c r="AB39" s="2"/>
      <c r="AC39" s="2"/>
      <c r="AD39" s="2"/>
      <c r="AE39" s="2"/>
    </row>
    <row r="40" spans="1:31" ht="12.75" x14ac:dyDescent="0.2">
      <c r="A40" s="53">
        <f ca="1">IFERROR(__xludf.DUMMYFUNCTION("""COMPUTED_VALUE"""),35)</f>
        <v>35</v>
      </c>
      <c r="B40" s="66" t="str">
        <f ca="1">IFERROR(__xludf.DUMMYFUNCTION("""COMPUTED_VALUE"""),"Thành Phố Tuổi Thơ")</f>
        <v>Thành Phố Tuổi Thơ</v>
      </c>
      <c r="C40" s="66" t="str">
        <f ca="1">IFERROR(__xludf.DUMMYFUNCTION("""COMPUTED_VALUE"""),"MN")</f>
        <v>MN</v>
      </c>
      <c r="D40" s="66">
        <f ca="1">IFERROR(__xludf.DUMMYFUNCTION("""COMPUTED_VALUE"""),11)</f>
        <v>11</v>
      </c>
      <c r="E40" s="67">
        <f ca="1">IFERROR(__xludf.DUMMYFUNCTION("""COMPUTED_VALUE"""),22)</f>
        <v>22</v>
      </c>
      <c r="F40" s="67">
        <f ca="1">IFERROR(__xludf.DUMMYFUNCTION("""COMPUTED_VALUE"""),22)</f>
        <v>22</v>
      </c>
      <c r="G40" s="51">
        <f t="shared" ca="1" si="0"/>
        <v>1</v>
      </c>
      <c r="H40" s="67">
        <f ca="1">IFERROR(__xludf.DUMMYFUNCTION("""COMPUTED_VALUE"""),22)</f>
        <v>22</v>
      </c>
      <c r="I40" s="51">
        <f t="shared" ca="1" si="1"/>
        <v>1</v>
      </c>
      <c r="J40" s="67">
        <f ca="1">IFERROR(__xludf.DUMMYFUNCTION("""COMPUTED_VALUE"""),22)</f>
        <v>22</v>
      </c>
      <c r="K40" s="51">
        <f t="shared" ca="1" si="2"/>
        <v>1</v>
      </c>
      <c r="L40" s="67">
        <f ca="1">IFERROR(__xludf.DUMMYFUNCTION("""COMPUTED_VALUE"""),8)</f>
        <v>8</v>
      </c>
      <c r="M40" s="51">
        <f t="shared" ca="1" si="3"/>
        <v>0.36363636363636365</v>
      </c>
      <c r="N40" s="67">
        <f ca="1">IFERROR(__xludf.DUMMYFUNCTION("""COMPUTED_VALUE"""),15)</f>
        <v>15</v>
      </c>
      <c r="O40" s="67">
        <f ca="1">IFERROR(__xludf.DUMMYFUNCTION("""COMPUTED_VALUE"""),0)</f>
        <v>0</v>
      </c>
      <c r="P40" s="51">
        <f t="shared" ca="1" si="4"/>
        <v>0</v>
      </c>
      <c r="Q40" s="67">
        <f ca="1">IFERROR(__xludf.DUMMYFUNCTION("""COMPUTED_VALUE"""),2)</f>
        <v>2</v>
      </c>
      <c r="R40" s="51">
        <f t="shared" ca="1" si="5"/>
        <v>0.13333333333333333</v>
      </c>
      <c r="S40" s="66"/>
      <c r="T40" s="66"/>
      <c r="U40" s="51" t="str">
        <f t="shared" si="6"/>
        <v/>
      </c>
      <c r="V40" s="66"/>
      <c r="W40" s="51" t="str">
        <f t="shared" si="7"/>
        <v/>
      </c>
      <c r="X40" s="66"/>
      <c r="Y40" s="51" t="str">
        <f t="shared" si="8"/>
        <v/>
      </c>
      <c r="Z40" s="2"/>
      <c r="AA40" s="2"/>
      <c r="AB40" s="2"/>
      <c r="AC40" s="2"/>
      <c r="AD40" s="2"/>
      <c r="AE40" s="2"/>
    </row>
    <row r="41" spans="1:31" ht="12.75" x14ac:dyDescent="0.2">
      <c r="A41" s="53">
        <f ca="1">IFERROR(__xludf.DUMMYFUNCTION("""COMPUTED_VALUE"""),36)</f>
        <v>36</v>
      </c>
      <c r="B41" s="66" t="str">
        <f ca="1">IFERROR(__xludf.DUMMYFUNCTION("""COMPUTED_VALUE"""),"Minh Anh")</f>
        <v>Minh Anh</v>
      </c>
      <c r="C41" s="66" t="str">
        <f ca="1">IFERROR(__xludf.DUMMYFUNCTION("""COMPUTED_VALUE"""),"MN")</f>
        <v>MN</v>
      </c>
      <c r="D41" s="66">
        <f ca="1">IFERROR(__xludf.DUMMYFUNCTION("""COMPUTED_VALUE"""),11)</f>
        <v>11</v>
      </c>
      <c r="E41" s="67">
        <f ca="1">IFERROR(__xludf.DUMMYFUNCTION("""COMPUTED_VALUE"""),12)</f>
        <v>12</v>
      </c>
      <c r="F41" s="67">
        <f ca="1">IFERROR(__xludf.DUMMYFUNCTION("""COMPUTED_VALUE"""),12)</f>
        <v>12</v>
      </c>
      <c r="G41" s="51">
        <f t="shared" ca="1" si="0"/>
        <v>1</v>
      </c>
      <c r="H41" s="67">
        <f ca="1">IFERROR(__xludf.DUMMYFUNCTION("""COMPUTED_VALUE"""),12)</f>
        <v>12</v>
      </c>
      <c r="I41" s="51">
        <f t="shared" ca="1" si="1"/>
        <v>1</v>
      </c>
      <c r="J41" s="67">
        <f ca="1">IFERROR(__xludf.DUMMYFUNCTION("""COMPUTED_VALUE"""),12)</f>
        <v>12</v>
      </c>
      <c r="K41" s="51">
        <f t="shared" ca="1" si="2"/>
        <v>1</v>
      </c>
      <c r="L41" s="67">
        <f ca="1">IFERROR(__xludf.DUMMYFUNCTION("""COMPUTED_VALUE"""),3)</f>
        <v>3</v>
      </c>
      <c r="M41" s="51">
        <f t="shared" ca="1" si="3"/>
        <v>0.25</v>
      </c>
      <c r="N41" s="67">
        <f ca="1">IFERROR(__xludf.DUMMYFUNCTION("""COMPUTED_VALUE"""),24)</f>
        <v>24</v>
      </c>
      <c r="O41" s="67">
        <f ca="1">IFERROR(__xludf.DUMMYFUNCTION("""COMPUTED_VALUE"""),7)</f>
        <v>7</v>
      </c>
      <c r="P41" s="51">
        <f t="shared" ca="1" si="4"/>
        <v>0.29166666666666669</v>
      </c>
      <c r="Q41" s="67">
        <f ca="1">IFERROR(__xludf.DUMMYFUNCTION("""COMPUTED_VALUE"""),4)</f>
        <v>4</v>
      </c>
      <c r="R41" s="51">
        <f t="shared" ca="1" si="5"/>
        <v>0.16666666666666666</v>
      </c>
      <c r="S41" s="66"/>
      <c r="T41" s="66"/>
      <c r="U41" s="51" t="str">
        <f t="shared" si="6"/>
        <v/>
      </c>
      <c r="V41" s="66"/>
      <c r="W41" s="51" t="str">
        <f t="shared" si="7"/>
        <v/>
      </c>
      <c r="X41" s="66"/>
      <c r="Y41" s="51" t="str">
        <f t="shared" si="8"/>
        <v/>
      </c>
      <c r="Z41" s="2"/>
      <c r="AA41" s="2"/>
      <c r="AB41" s="2"/>
      <c r="AC41" s="2"/>
      <c r="AD41" s="2"/>
      <c r="AE41" s="2"/>
    </row>
    <row r="42" spans="1:31" ht="12.75" x14ac:dyDescent="0.2">
      <c r="A42" s="53">
        <f ca="1">IFERROR(__xludf.DUMMYFUNCTION("""COMPUTED_VALUE"""),37)</f>
        <v>37</v>
      </c>
      <c r="B42" s="66" t="str">
        <f ca="1">IFERROR(__xludf.DUMMYFUNCTION("""COMPUTED_VALUE"""),"Mai Anh")</f>
        <v>Mai Anh</v>
      </c>
      <c r="C42" s="66" t="str">
        <f ca="1">IFERROR(__xludf.DUMMYFUNCTION("""COMPUTED_VALUE"""),"MN")</f>
        <v>MN</v>
      </c>
      <c r="D42" s="66">
        <f ca="1">IFERROR(__xludf.DUMMYFUNCTION("""COMPUTED_VALUE"""),11)</f>
        <v>11</v>
      </c>
      <c r="E42" s="67">
        <f ca="1">IFERROR(__xludf.DUMMYFUNCTION("""COMPUTED_VALUE"""),3)</f>
        <v>3</v>
      </c>
      <c r="F42" s="67">
        <f ca="1">IFERROR(__xludf.DUMMYFUNCTION("""COMPUTED_VALUE"""),3)</f>
        <v>3</v>
      </c>
      <c r="G42" s="51">
        <f t="shared" ca="1" si="0"/>
        <v>1</v>
      </c>
      <c r="H42" s="67">
        <f ca="1">IFERROR(__xludf.DUMMYFUNCTION("""COMPUTED_VALUE"""),3)</f>
        <v>3</v>
      </c>
      <c r="I42" s="51">
        <f t="shared" ca="1" si="1"/>
        <v>1</v>
      </c>
      <c r="J42" s="67">
        <f ca="1">IFERROR(__xludf.DUMMYFUNCTION("""COMPUTED_VALUE"""),3)</f>
        <v>3</v>
      </c>
      <c r="K42" s="51">
        <f t="shared" ca="1" si="2"/>
        <v>1</v>
      </c>
      <c r="L42" s="67">
        <f ca="1">IFERROR(__xludf.DUMMYFUNCTION("""COMPUTED_VALUE"""),2)</f>
        <v>2</v>
      </c>
      <c r="M42" s="51">
        <f t="shared" ca="1" si="3"/>
        <v>0.66666666666666663</v>
      </c>
      <c r="N42" s="66"/>
      <c r="O42" s="66"/>
      <c r="P42" s="51" t="str">
        <f t="shared" si="4"/>
        <v/>
      </c>
      <c r="Q42" s="66"/>
      <c r="R42" s="51" t="str">
        <f t="shared" si="5"/>
        <v/>
      </c>
      <c r="S42" s="66"/>
      <c r="T42" s="66"/>
      <c r="U42" s="51" t="str">
        <f t="shared" si="6"/>
        <v/>
      </c>
      <c r="V42" s="66"/>
      <c r="W42" s="51" t="str">
        <f t="shared" si="7"/>
        <v/>
      </c>
      <c r="X42" s="66"/>
      <c r="Y42" s="51" t="str">
        <f t="shared" si="8"/>
        <v/>
      </c>
      <c r="Z42" s="2"/>
      <c r="AA42" s="2"/>
      <c r="AB42" s="2"/>
      <c r="AC42" s="2"/>
      <c r="AD42" s="2"/>
      <c r="AE42" s="2"/>
    </row>
    <row r="43" spans="1:31" ht="12.75" x14ac:dyDescent="0.2">
      <c r="A43" s="53">
        <f ca="1">IFERROR(__xludf.DUMMYFUNCTION("""COMPUTED_VALUE"""),38)</f>
        <v>38</v>
      </c>
      <c r="B43" s="66" t="str">
        <f ca="1">IFERROR(__xludf.DUMMYFUNCTION("""COMPUTED_VALUE"""),"Hạnh Phúc")</f>
        <v>Hạnh Phúc</v>
      </c>
      <c r="C43" s="66" t="str">
        <f ca="1">IFERROR(__xludf.DUMMYFUNCTION("""COMPUTED_VALUE"""),"MN")</f>
        <v>MN</v>
      </c>
      <c r="D43" s="66">
        <f ca="1">IFERROR(__xludf.DUMMYFUNCTION("""COMPUTED_VALUE"""),11)</f>
        <v>11</v>
      </c>
      <c r="E43" s="67">
        <f ca="1">IFERROR(__xludf.DUMMYFUNCTION("""COMPUTED_VALUE"""),9)</f>
        <v>9</v>
      </c>
      <c r="F43" s="67">
        <f ca="1">IFERROR(__xludf.DUMMYFUNCTION("""COMPUTED_VALUE"""),9)</f>
        <v>9</v>
      </c>
      <c r="G43" s="51">
        <f t="shared" ca="1" si="0"/>
        <v>1</v>
      </c>
      <c r="H43" s="67">
        <f ca="1">IFERROR(__xludf.DUMMYFUNCTION("""COMPUTED_VALUE"""),9)</f>
        <v>9</v>
      </c>
      <c r="I43" s="51">
        <f t="shared" ca="1" si="1"/>
        <v>1</v>
      </c>
      <c r="J43" s="67">
        <f ca="1">IFERROR(__xludf.DUMMYFUNCTION("""COMPUTED_VALUE"""),4)</f>
        <v>4</v>
      </c>
      <c r="K43" s="51">
        <f t="shared" ca="1" si="2"/>
        <v>0.44444444444444442</v>
      </c>
      <c r="L43" s="67">
        <f ca="1">IFERROR(__xludf.DUMMYFUNCTION("""COMPUTED_VALUE"""),5)</f>
        <v>5</v>
      </c>
      <c r="M43" s="51">
        <f t="shared" ca="1" si="3"/>
        <v>0.55555555555555558</v>
      </c>
      <c r="N43" s="67">
        <f ca="1">IFERROR(__xludf.DUMMYFUNCTION("""COMPUTED_VALUE"""),7)</f>
        <v>7</v>
      </c>
      <c r="O43" s="67">
        <f ca="1">IFERROR(__xludf.DUMMYFUNCTION("""COMPUTED_VALUE"""),2)</f>
        <v>2</v>
      </c>
      <c r="P43" s="51">
        <f t="shared" ca="1" si="4"/>
        <v>0.2857142857142857</v>
      </c>
      <c r="Q43" s="67">
        <f ca="1">IFERROR(__xludf.DUMMYFUNCTION("""COMPUTED_VALUE"""),1)</f>
        <v>1</v>
      </c>
      <c r="R43" s="51">
        <f t="shared" ca="1" si="5"/>
        <v>0.14285714285714285</v>
      </c>
      <c r="S43" s="66"/>
      <c r="T43" s="66"/>
      <c r="U43" s="51" t="str">
        <f t="shared" si="6"/>
        <v/>
      </c>
      <c r="V43" s="66"/>
      <c r="W43" s="51" t="str">
        <f t="shared" si="7"/>
        <v/>
      </c>
      <c r="X43" s="66"/>
      <c r="Y43" s="51" t="str">
        <f t="shared" si="8"/>
        <v/>
      </c>
      <c r="Z43" s="2"/>
      <c r="AA43" s="2"/>
      <c r="AB43" s="2"/>
      <c r="AC43" s="2"/>
      <c r="AD43" s="2"/>
      <c r="AE43" s="2"/>
    </row>
    <row r="44" spans="1:31" ht="12.75" x14ac:dyDescent="0.2">
      <c r="A44" s="53">
        <f ca="1">IFERROR(__xludf.DUMMYFUNCTION("""COMPUTED_VALUE"""),39)</f>
        <v>39</v>
      </c>
      <c r="B44" s="66" t="str">
        <f ca="1">IFERROR(__xludf.DUMMYFUNCTION("""COMPUTED_VALUE"""),"Táo Xanh")</f>
        <v>Táo Xanh</v>
      </c>
      <c r="C44" s="66" t="str">
        <f ca="1">IFERROR(__xludf.DUMMYFUNCTION("""COMPUTED_VALUE"""),"MN")</f>
        <v>MN</v>
      </c>
      <c r="D44" s="66">
        <f ca="1">IFERROR(__xludf.DUMMYFUNCTION("""COMPUTED_VALUE"""),11)</f>
        <v>11</v>
      </c>
      <c r="E44" s="67">
        <f ca="1">IFERROR(__xludf.DUMMYFUNCTION("""COMPUTED_VALUE"""),5)</f>
        <v>5</v>
      </c>
      <c r="F44" s="67">
        <f ca="1">IFERROR(__xludf.DUMMYFUNCTION("""COMPUTED_VALUE"""),5)</f>
        <v>5</v>
      </c>
      <c r="G44" s="51">
        <f t="shared" ca="1" si="0"/>
        <v>1</v>
      </c>
      <c r="H44" s="67">
        <f ca="1">IFERROR(__xludf.DUMMYFUNCTION("""COMPUTED_VALUE"""),5)</f>
        <v>5</v>
      </c>
      <c r="I44" s="51">
        <f t="shared" ca="1" si="1"/>
        <v>1</v>
      </c>
      <c r="J44" s="67">
        <f ca="1">IFERROR(__xludf.DUMMYFUNCTION("""COMPUTED_VALUE"""),5)</f>
        <v>5</v>
      </c>
      <c r="K44" s="51">
        <f t="shared" ca="1" si="2"/>
        <v>1</v>
      </c>
      <c r="L44" s="67">
        <f ca="1">IFERROR(__xludf.DUMMYFUNCTION("""COMPUTED_VALUE"""),2)</f>
        <v>2</v>
      </c>
      <c r="M44" s="51">
        <f t="shared" ca="1" si="3"/>
        <v>0.4</v>
      </c>
      <c r="N44" s="66"/>
      <c r="O44" s="66"/>
      <c r="P44" s="51" t="str">
        <f t="shared" si="4"/>
        <v/>
      </c>
      <c r="Q44" s="66"/>
      <c r="R44" s="51" t="str">
        <f t="shared" si="5"/>
        <v/>
      </c>
      <c r="S44" s="66"/>
      <c r="T44" s="66"/>
      <c r="U44" s="51" t="str">
        <f t="shared" si="6"/>
        <v/>
      </c>
      <c r="V44" s="66"/>
      <c r="W44" s="51" t="str">
        <f t="shared" si="7"/>
        <v/>
      </c>
      <c r="X44" s="66"/>
      <c r="Y44" s="51" t="str">
        <f t="shared" si="8"/>
        <v/>
      </c>
      <c r="Z44" s="2"/>
      <c r="AA44" s="2"/>
      <c r="AB44" s="2"/>
      <c r="AC44" s="2"/>
      <c r="AD44" s="2"/>
      <c r="AE44" s="2"/>
    </row>
    <row r="45" spans="1:31" ht="12.75" x14ac:dyDescent="0.2">
      <c r="A45" s="53">
        <f ca="1">IFERROR(__xludf.DUMMYFUNCTION("""COMPUTED_VALUE"""),40)</f>
        <v>40</v>
      </c>
      <c r="B45" s="66" t="str">
        <f ca="1">IFERROR(__xludf.DUMMYFUNCTION("""COMPUTED_VALUE"""),"MN Bình Thới")</f>
        <v>MN Bình Thới</v>
      </c>
      <c r="C45" s="66" t="str">
        <f ca="1">IFERROR(__xludf.DUMMYFUNCTION("""COMPUTED_VALUE"""),"MN")</f>
        <v>MN</v>
      </c>
      <c r="D45" s="66">
        <f ca="1">IFERROR(__xludf.DUMMYFUNCTION("""COMPUTED_VALUE"""),11)</f>
        <v>11</v>
      </c>
      <c r="E45" s="67">
        <f ca="1">IFERROR(__xludf.DUMMYFUNCTION("""COMPUTED_VALUE"""),5)</f>
        <v>5</v>
      </c>
      <c r="F45" s="67">
        <f ca="1">IFERROR(__xludf.DUMMYFUNCTION("""COMPUTED_VALUE"""),5)</f>
        <v>5</v>
      </c>
      <c r="G45" s="51">
        <f t="shared" ca="1" si="0"/>
        <v>1</v>
      </c>
      <c r="H45" s="67">
        <f ca="1">IFERROR(__xludf.DUMMYFUNCTION("""COMPUTED_VALUE"""),5)</f>
        <v>5</v>
      </c>
      <c r="I45" s="51">
        <f t="shared" ca="1" si="1"/>
        <v>1</v>
      </c>
      <c r="J45" s="67">
        <f ca="1">IFERROR(__xludf.DUMMYFUNCTION("""COMPUTED_VALUE"""),5)</f>
        <v>5</v>
      </c>
      <c r="K45" s="51">
        <f t="shared" ca="1" si="2"/>
        <v>1</v>
      </c>
      <c r="L45" s="67">
        <f ca="1">IFERROR(__xludf.DUMMYFUNCTION("""COMPUTED_VALUE"""),3)</f>
        <v>3</v>
      </c>
      <c r="M45" s="51">
        <f t="shared" ca="1" si="3"/>
        <v>0.6</v>
      </c>
      <c r="N45" s="67">
        <f ca="1">IFERROR(__xludf.DUMMYFUNCTION("""COMPUTED_VALUE"""),2)</f>
        <v>2</v>
      </c>
      <c r="O45" s="67">
        <f ca="1">IFERROR(__xludf.DUMMYFUNCTION("""COMPUTED_VALUE"""),1)</f>
        <v>1</v>
      </c>
      <c r="P45" s="51">
        <f t="shared" ca="1" si="4"/>
        <v>0.5</v>
      </c>
      <c r="Q45" s="67">
        <f ca="1">IFERROR(__xludf.DUMMYFUNCTION("""COMPUTED_VALUE"""),0)</f>
        <v>0</v>
      </c>
      <c r="R45" s="51">
        <f t="shared" ca="1" si="5"/>
        <v>0</v>
      </c>
      <c r="S45" s="66"/>
      <c r="T45" s="66"/>
      <c r="U45" s="51" t="str">
        <f t="shared" si="6"/>
        <v/>
      </c>
      <c r="V45" s="66"/>
      <c r="W45" s="51" t="str">
        <f t="shared" si="7"/>
        <v/>
      </c>
      <c r="X45" s="66"/>
      <c r="Y45" s="51" t="str">
        <f t="shared" si="8"/>
        <v/>
      </c>
      <c r="Z45" s="2"/>
      <c r="AA45" s="2"/>
      <c r="AB45" s="2"/>
      <c r="AC45" s="2"/>
      <c r="AD45" s="2"/>
      <c r="AE45" s="2"/>
    </row>
    <row r="46" spans="1:31" ht="12.75" x14ac:dyDescent="0.2">
      <c r="A46" s="53">
        <f ca="1">IFERROR(__xludf.DUMMYFUNCTION("""COMPUTED_VALUE"""),41)</f>
        <v>41</v>
      </c>
      <c r="B46" s="66" t="str">
        <f ca="1">IFERROR(__xludf.DUMMYFUNCTION("""COMPUTED_VALUE"""),"Hồng Nhung")</f>
        <v>Hồng Nhung</v>
      </c>
      <c r="C46" s="66" t="str">
        <f ca="1">IFERROR(__xludf.DUMMYFUNCTION("""COMPUTED_VALUE"""),"MN")</f>
        <v>MN</v>
      </c>
      <c r="D46" s="66">
        <f ca="1">IFERROR(__xludf.DUMMYFUNCTION("""COMPUTED_VALUE"""),11)</f>
        <v>11</v>
      </c>
      <c r="E46" s="67">
        <f ca="1">IFERROR(__xludf.DUMMYFUNCTION("""COMPUTED_VALUE"""),6)</f>
        <v>6</v>
      </c>
      <c r="F46" s="67">
        <f ca="1">IFERROR(__xludf.DUMMYFUNCTION("""COMPUTED_VALUE"""),6)</f>
        <v>6</v>
      </c>
      <c r="G46" s="51">
        <f t="shared" ca="1" si="0"/>
        <v>1</v>
      </c>
      <c r="H46" s="67">
        <f ca="1">IFERROR(__xludf.DUMMYFUNCTION("""COMPUTED_VALUE"""),5)</f>
        <v>5</v>
      </c>
      <c r="I46" s="51">
        <f t="shared" ca="1" si="1"/>
        <v>0.83333333333333337</v>
      </c>
      <c r="J46" s="67">
        <f ca="1">IFERROR(__xludf.DUMMYFUNCTION("""COMPUTED_VALUE"""),5)</f>
        <v>5</v>
      </c>
      <c r="K46" s="51">
        <f t="shared" ca="1" si="2"/>
        <v>0.83333333333333337</v>
      </c>
      <c r="L46" s="67">
        <f ca="1">IFERROR(__xludf.DUMMYFUNCTION("""COMPUTED_VALUE"""),0)</f>
        <v>0</v>
      </c>
      <c r="M46" s="51">
        <f t="shared" ca="1" si="3"/>
        <v>0</v>
      </c>
      <c r="N46" s="66"/>
      <c r="O46" s="66"/>
      <c r="P46" s="51" t="str">
        <f t="shared" si="4"/>
        <v/>
      </c>
      <c r="Q46" s="66"/>
      <c r="R46" s="51" t="str">
        <f t="shared" si="5"/>
        <v/>
      </c>
      <c r="S46" s="66"/>
      <c r="T46" s="66"/>
      <c r="U46" s="51" t="str">
        <f t="shared" si="6"/>
        <v/>
      </c>
      <c r="V46" s="66"/>
      <c r="W46" s="51" t="str">
        <f t="shared" si="7"/>
        <v/>
      </c>
      <c r="X46" s="66"/>
      <c r="Y46" s="51" t="str">
        <f t="shared" si="8"/>
        <v/>
      </c>
      <c r="Z46" s="2"/>
      <c r="AA46" s="2"/>
      <c r="AB46" s="2"/>
      <c r="AC46" s="2"/>
      <c r="AD46" s="2"/>
      <c r="AE46" s="2"/>
    </row>
    <row r="47" spans="1:31" ht="12.75" x14ac:dyDescent="0.2">
      <c r="A47" s="53">
        <f ca="1">IFERROR(__xludf.DUMMYFUNCTION("""COMPUTED_VALUE"""),42)</f>
        <v>42</v>
      </c>
      <c r="B47" s="66" t="str">
        <f ca="1">IFERROR(__xludf.DUMMYFUNCTION("""COMPUTED_VALUE"""),"Thế Giới Ngày Mai")</f>
        <v>Thế Giới Ngày Mai</v>
      </c>
      <c r="C47" s="66" t="str">
        <f ca="1">IFERROR(__xludf.DUMMYFUNCTION("""COMPUTED_VALUE"""),"MN")</f>
        <v>MN</v>
      </c>
      <c r="D47" s="66">
        <f ca="1">IFERROR(__xludf.DUMMYFUNCTION("""COMPUTED_VALUE"""),11)</f>
        <v>11</v>
      </c>
      <c r="E47" s="67">
        <f ca="1">IFERROR(__xludf.DUMMYFUNCTION("""COMPUTED_VALUE"""),12)</f>
        <v>12</v>
      </c>
      <c r="F47" s="67">
        <f ca="1">IFERROR(__xludf.DUMMYFUNCTION("""COMPUTED_VALUE"""),16)</f>
        <v>16</v>
      </c>
      <c r="G47" s="51">
        <f t="shared" ca="1" si="0"/>
        <v>1.3333333333333333</v>
      </c>
      <c r="H47" s="67">
        <f ca="1">IFERROR(__xludf.DUMMYFUNCTION("""COMPUTED_VALUE"""),16)</f>
        <v>16</v>
      </c>
      <c r="I47" s="51">
        <f t="shared" ca="1" si="1"/>
        <v>1.3333333333333333</v>
      </c>
      <c r="J47" s="67">
        <f ca="1">IFERROR(__xludf.DUMMYFUNCTION("""COMPUTED_VALUE"""),14)</f>
        <v>14</v>
      </c>
      <c r="K47" s="51">
        <f t="shared" ca="1" si="2"/>
        <v>1.1666666666666667</v>
      </c>
      <c r="L47" s="67">
        <f ca="1">IFERROR(__xludf.DUMMYFUNCTION("""COMPUTED_VALUE"""),4)</f>
        <v>4</v>
      </c>
      <c r="M47" s="51">
        <f t="shared" ca="1" si="3"/>
        <v>0.33333333333333331</v>
      </c>
      <c r="N47" s="66"/>
      <c r="O47" s="66"/>
      <c r="P47" s="51" t="str">
        <f t="shared" si="4"/>
        <v/>
      </c>
      <c r="Q47" s="66"/>
      <c r="R47" s="51" t="str">
        <f t="shared" si="5"/>
        <v/>
      </c>
      <c r="S47" s="66"/>
      <c r="T47" s="66"/>
      <c r="U47" s="51" t="str">
        <f t="shared" si="6"/>
        <v/>
      </c>
      <c r="V47" s="66"/>
      <c r="W47" s="51" t="str">
        <f t="shared" si="7"/>
        <v/>
      </c>
      <c r="X47" s="66"/>
      <c r="Y47" s="51" t="str">
        <f t="shared" si="8"/>
        <v/>
      </c>
      <c r="Z47" s="2"/>
      <c r="AA47" s="2"/>
      <c r="AB47" s="2"/>
      <c r="AC47" s="2"/>
      <c r="AD47" s="2"/>
      <c r="AE47" s="2"/>
    </row>
    <row r="48" spans="1:31" ht="12.75" x14ac:dyDescent="0.2">
      <c r="A48" s="53">
        <f ca="1">IFERROR(__xludf.DUMMYFUNCTION("""COMPUTED_VALUE"""),43)</f>
        <v>43</v>
      </c>
      <c r="B48" s="66" t="str">
        <f ca="1">IFERROR(__xludf.DUMMYFUNCTION("""COMPUTED_VALUE"""),"Hoa Sen")</f>
        <v>Hoa Sen</v>
      </c>
      <c r="C48" s="66" t="str">
        <f ca="1">IFERROR(__xludf.DUMMYFUNCTION("""COMPUTED_VALUE"""),"MN")</f>
        <v>MN</v>
      </c>
      <c r="D48" s="66">
        <f ca="1">IFERROR(__xludf.DUMMYFUNCTION("""COMPUTED_VALUE"""),11)</f>
        <v>11</v>
      </c>
      <c r="E48" s="67">
        <f ca="1">IFERROR(__xludf.DUMMYFUNCTION("""COMPUTED_VALUE"""),4)</f>
        <v>4</v>
      </c>
      <c r="F48" s="67">
        <f ca="1">IFERROR(__xludf.DUMMYFUNCTION("""COMPUTED_VALUE"""),4)</f>
        <v>4</v>
      </c>
      <c r="G48" s="51">
        <f t="shared" ca="1" si="0"/>
        <v>1</v>
      </c>
      <c r="H48" s="67">
        <f ca="1">IFERROR(__xludf.DUMMYFUNCTION("""COMPUTED_VALUE"""),4)</f>
        <v>4</v>
      </c>
      <c r="I48" s="51">
        <f t="shared" ca="1" si="1"/>
        <v>1</v>
      </c>
      <c r="J48" s="67">
        <f ca="1">IFERROR(__xludf.DUMMYFUNCTION("""COMPUTED_VALUE"""),4)</f>
        <v>4</v>
      </c>
      <c r="K48" s="51">
        <f t="shared" ca="1" si="2"/>
        <v>1</v>
      </c>
      <c r="L48" s="67">
        <f ca="1">IFERROR(__xludf.DUMMYFUNCTION("""COMPUTED_VALUE"""),4)</f>
        <v>4</v>
      </c>
      <c r="M48" s="51">
        <f t="shared" ca="1" si="3"/>
        <v>1</v>
      </c>
      <c r="N48" s="66"/>
      <c r="O48" s="66"/>
      <c r="P48" s="51" t="str">
        <f t="shared" si="4"/>
        <v/>
      </c>
      <c r="Q48" s="66"/>
      <c r="R48" s="51" t="str">
        <f t="shared" si="5"/>
        <v/>
      </c>
      <c r="S48" s="66"/>
      <c r="T48" s="66"/>
      <c r="U48" s="51" t="str">
        <f t="shared" si="6"/>
        <v/>
      </c>
      <c r="V48" s="66"/>
      <c r="W48" s="51" t="str">
        <f t="shared" si="7"/>
        <v/>
      </c>
      <c r="X48" s="66"/>
      <c r="Y48" s="51" t="str">
        <f t="shared" si="8"/>
        <v/>
      </c>
      <c r="Z48" s="2"/>
      <c r="AA48" s="2"/>
      <c r="AB48" s="2"/>
      <c r="AC48" s="2"/>
      <c r="AD48" s="2"/>
      <c r="AE48" s="2"/>
    </row>
    <row r="49" spans="1:31" ht="12.75" x14ac:dyDescent="0.2">
      <c r="A49" s="53">
        <f ca="1">IFERROR(__xludf.DUMMYFUNCTION("""COMPUTED_VALUE"""),44)</f>
        <v>44</v>
      </c>
      <c r="B49" s="66" t="str">
        <f ca="1">IFERROR(__xludf.DUMMYFUNCTION("""COMPUTED_VALUE"""),"Ngôi Sao Nhỏ")</f>
        <v>Ngôi Sao Nhỏ</v>
      </c>
      <c r="C49" s="66" t="str">
        <f ca="1">IFERROR(__xludf.DUMMYFUNCTION("""COMPUTED_VALUE"""),"MN")</f>
        <v>MN</v>
      </c>
      <c r="D49" s="66">
        <f ca="1">IFERROR(__xludf.DUMMYFUNCTION("""COMPUTED_VALUE"""),11)</f>
        <v>11</v>
      </c>
      <c r="E49" s="67">
        <f ca="1">IFERROR(__xludf.DUMMYFUNCTION("""COMPUTED_VALUE"""),7)</f>
        <v>7</v>
      </c>
      <c r="F49" s="67">
        <f ca="1">IFERROR(__xludf.DUMMYFUNCTION("""COMPUTED_VALUE"""),7)</f>
        <v>7</v>
      </c>
      <c r="G49" s="51">
        <f t="shared" ca="1" si="0"/>
        <v>1</v>
      </c>
      <c r="H49" s="67">
        <f ca="1">IFERROR(__xludf.DUMMYFUNCTION("""COMPUTED_VALUE"""),7)</f>
        <v>7</v>
      </c>
      <c r="I49" s="51">
        <f t="shared" ca="1" si="1"/>
        <v>1</v>
      </c>
      <c r="J49" s="67">
        <f ca="1">IFERROR(__xludf.DUMMYFUNCTION("""COMPUTED_VALUE"""),6)</f>
        <v>6</v>
      </c>
      <c r="K49" s="51">
        <f t="shared" ca="1" si="2"/>
        <v>0.8571428571428571</v>
      </c>
      <c r="L49" s="67">
        <f ca="1">IFERROR(__xludf.DUMMYFUNCTION("""COMPUTED_VALUE"""),4)</f>
        <v>4</v>
      </c>
      <c r="M49" s="51">
        <f t="shared" ca="1" si="3"/>
        <v>0.5714285714285714</v>
      </c>
      <c r="N49" s="66"/>
      <c r="O49" s="66"/>
      <c r="P49" s="51" t="str">
        <f t="shared" si="4"/>
        <v/>
      </c>
      <c r="Q49" s="66"/>
      <c r="R49" s="51" t="str">
        <f t="shared" si="5"/>
        <v/>
      </c>
      <c r="S49" s="66"/>
      <c r="T49" s="66"/>
      <c r="U49" s="51" t="str">
        <f t="shared" si="6"/>
        <v/>
      </c>
      <c r="V49" s="66"/>
      <c r="W49" s="51" t="str">
        <f t="shared" si="7"/>
        <v/>
      </c>
      <c r="X49" s="66"/>
      <c r="Y49" s="51" t="str">
        <f t="shared" si="8"/>
        <v/>
      </c>
      <c r="Z49" s="2"/>
      <c r="AA49" s="2"/>
      <c r="AB49" s="2"/>
      <c r="AC49" s="2"/>
      <c r="AD49" s="2"/>
      <c r="AE49" s="2"/>
    </row>
    <row r="50" spans="1:31" ht="12.75" x14ac:dyDescent="0.2">
      <c r="A50" s="53">
        <f ca="1">IFERROR(__xludf.DUMMYFUNCTION("""COMPUTED_VALUE"""),45)</f>
        <v>45</v>
      </c>
      <c r="B50" s="66" t="str">
        <f ca="1">IFERROR(__xludf.DUMMYFUNCTION("""COMPUTED_VALUE"""),"Thiên Thần Bé Thơ")</f>
        <v>Thiên Thần Bé Thơ</v>
      </c>
      <c r="C50" s="66" t="str">
        <f ca="1">IFERROR(__xludf.DUMMYFUNCTION("""COMPUTED_VALUE"""),"MN")</f>
        <v>MN</v>
      </c>
      <c r="D50" s="66">
        <f ca="1">IFERROR(__xludf.DUMMYFUNCTION("""COMPUTED_VALUE"""),11)</f>
        <v>11</v>
      </c>
      <c r="E50" s="67">
        <f ca="1">IFERROR(__xludf.DUMMYFUNCTION("""COMPUTED_VALUE"""),13)</f>
        <v>13</v>
      </c>
      <c r="F50" s="67">
        <f ca="1">IFERROR(__xludf.DUMMYFUNCTION("""COMPUTED_VALUE"""),13)</f>
        <v>13</v>
      </c>
      <c r="G50" s="51">
        <f t="shared" ca="1" si="0"/>
        <v>1</v>
      </c>
      <c r="H50" s="67">
        <f ca="1">IFERROR(__xludf.DUMMYFUNCTION("""COMPUTED_VALUE"""),13)</f>
        <v>13</v>
      </c>
      <c r="I50" s="51">
        <f t="shared" ca="1" si="1"/>
        <v>1</v>
      </c>
      <c r="J50" s="67">
        <f ca="1">IFERROR(__xludf.DUMMYFUNCTION("""COMPUTED_VALUE"""),13)</f>
        <v>13</v>
      </c>
      <c r="K50" s="51">
        <f t="shared" ca="1" si="2"/>
        <v>1</v>
      </c>
      <c r="L50" s="67">
        <f ca="1">IFERROR(__xludf.DUMMYFUNCTION("""COMPUTED_VALUE"""),2)</f>
        <v>2</v>
      </c>
      <c r="M50" s="51">
        <f t="shared" ca="1" si="3"/>
        <v>0.15384615384615385</v>
      </c>
      <c r="N50" s="66"/>
      <c r="O50" s="66"/>
      <c r="P50" s="51" t="str">
        <f t="shared" si="4"/>
        <v/>
      </c>
      <c r="Q50" s="66"/>
      <c r="R50" s="51" t="str">
        <f t="shared" si="5"/>
        <v/>
      </c>
      <c r="S50" s="66"/>
      <c r="T50" s="66"/>
      <c r="U50" s="51" t="str">
        <f t="shared" si="6"/>
        <v/>
      </c>
      <c r="V50" s="66"/>
      <c r="W50" s="51" t="str">
        <f t="shared" si="7"/>
        <v/>
      </c>
      <c r="X50" s="66"/>
      <c r="Y50" s="51" t="str">
        <f t="shared" si="8"/>
        <v/>
      </c>
      <c r="Z50" s="2"/>
      <c r="AA50" s="2"/>
      <c r="AB50" s="2"/>
      <c r="AC50" s="2"/>
      <c r="AD50" s="2"/>
      <c r="AE50" s="2"/>
    </row>
    <row r="51" spans="1:31" ht="12.75" x14ac:dyDescent="0.2">
      <c r="A51" s="53">
        <f ca="1">IFERROR(__xludf.DUMMYFUNCTION("""COMPUTED_VALUE"""),46)</f>
        <v>46</v>
      </c>
      <c r="B51" s="66" t="str">
        <f ca="1">IFERROR(__xludf.DUMMYFUNCTION("""COMPUTED_VALUE"""),"Đô Rê Mi")</f>
        <v>Đô Rê Mi</v>
      </c>
      <c r="C51" s="66" t="str">
        <f ca="1">IFERROR(__xludf.DUMMYFUNCTION("""COMPUTED_VALUE"""),"MN")</f>
        <v>MN</v>
      </c>
      <c r="D51" s="66">
        <f ca="1">IFERROR(__xludf.DUMMYFUNCTION("""COMPUTED_VALUE"""),11)</f>
        <v>11</v>
      </c>
      <c r="E51" s="67">
        <f ca="1">IFERROR(__xludf.DUMMYFUNCTION("""COMPUTED_VALUE"""),8)</f>
        <v>8</v>
      </c>
      <c r="F51" s="67">
        <f ca="1">IFERROR(__xludf.DUMMYFUNCTION("""COMPUTED_VALUE"""),8)</f>
        <v>8</v>
      </c>
      <c r="G51" s="51">
        <f t="shared" ca="1" si="0"/>
        <v>1</v>
      </c>
      <c r="H51" s="67">
        <f ca="1">IFERROR(__xludf.DUMMYFUNCTION("""COMPUTED_VALUE"""),8)</f>
        <v>8</v>
      </c>
      <c r="I51" s="51">
        <f t="shared" ca="1" si="1"/>
        <v>1</v>
      </c>
      <c r="J51" s="67">
        <f ca="1">IFERROR(__xludf.DUMMYFUNCTION("""COMPUTED_VALUE"""),7)</f>
        <v>7</v>
      </c>
      <c r="K51" s="51">
        <f t="shared" ca="1" si="2"/>
        <v>0.875</v>
      </c>
      <c r="L51" s="67">
        <f ca="1">IFERROR(__xludf.DUMMYFUNCTION("""COMPUTED_VALUE"""),6)</f>
        <v>6</v>
      </c>
      <c r="M51" s="51">
        <f t="shared" ca="1" si="3"/>
        <v>0.75</v>
      </c>
      <c r="N51" s="67">
        <f ca="1">IFERROR(__xludf.DUMMYFUNCTION("""COMPUTED_VALUE"""),6)</f>
        <v>6</v>
      </c>
      <c r="O51" s="66"/>
      <c r="P51" s="51">
        <f t="shared" ca="1" si="4"/>
        <v>0</v>
      </c>
      <c r="Q51" s="66"/>
      <c r="R51" s="51">
        <f t="shared" ca="1" si="5"/>
        <v>0</v>
      </c>
      <c r="S51" s="66"/>
      <c r="T51" s="66"/>
      <c r="U51" s="51" t="str">
        <f t="shared" si="6"/>
        <v/>
      </c>
      <c r="V51" s="66"/>
      <c r="W51" s="51" t="str">
        <f t="shared" si="7"/>
        <v/>
      </c>
      <c r="X51" s="66"/>
      <c r="Y51" s="51" t="str">
        <f t="shared" si="8"/>
        <v/>
      </c>
      <c r="Z51" s="2"/>
      <c r="AA51" s="2"/>
      <c r="AB51" s="2"/>
      <c r="AC51" s="2"/>
      <c r="AD51" s="2"/>
      <c r="AE51" s="2"/>
    </row>
    <row r="52" spans="1:31" ht="12.75" x14ac:dyDescent="0.2">
      <c r="A52" s="53">
        <f ca="1">IFERROR(__xludf.DUMMYFUNCTION("""COMPUTED_VALUE"""),47)</f>
        <v>47</v>
      </c>
      <c r="B52" s="66" t="str">
        <f ca="1">IFERROR(__xludf.DUMMYFUNCTION("""COMPUTED_VALUE"""),"Bam Bo")</f>
        <v>Bam Bo</v>
      </c>
      <c r="C52" s="66" t="str">
        <f ca="1">IFERROR(__xludf.DUMMYFUNCTION("""COMPUTED_VALUE"""),"MN")</f>
        <v>MN</v>
      </c>
      <c r="D52" s="66">
        <f ca="1">IFERROR(__xludf.DUMMYFUNCTION("""COMPUTED_VALUE"""),11)</f>
        <v>11</v>
      </c>
      <c r="E52" s="67">
        <f ca="1">IFERROR(__xludf.DUMMYFUNCTION("""COMPUTED_VALUE"""),7)</f>
        <v>7</v>
      </c>
      <c r="F52" s="67">
        <f ca="1">IFERROR(__xludf.DUMMYFUNCTION("""COMPUTED_VALUE"""),7)</f>
        <v>7</v>
      </c>
      <c r="G52" s="51">
        <f t="shared" ca="1" si="0"/>
        <v>1</v>
      </c>
      <c r="H52" s="67">
        <f ca="1">IFERROR(__xludf.DUMMYFUNCTION("""COMPUTED_VALUE"""),7)</f>
        <v>7</v>
      </c>
      <c r="I52" s="51">
        <f t="shared" ca="1" si="1"/>
        <v>1</v>
      </c>
      <c r="J52" s="67">
        <f ca="1">IFERROR(__xludf.DUMMYFUNCTION("""COMPUTED_VALUE"""),7)</f>
        <v>7</v>
      </c>
      <c r="K52" s="51">
        <f t="shared" ca="1" si="2"/>
        <v>1</v>
      </c>
      <c r="L52" s="67">
        <f ca="1">IFERROR(__xludf.DUMMYFUNCTION("""COMPUTED_VALUE"""),0)</f>
        <v>0</v>
      </c>
      <c r="M52" s="51">
        <f t="shared" ca="1" si="3"/>
        <v>0</v>
      </c>
      <c r="N52" s="66"/>
      <c r="O52" s="66"/>
      <c r="P52" s="51" t="str">
        <f t="shared" si="4"/>
        <v/>
      </c>
      <c r="Q52" s="66"/>
      <c r="R52" s="51" t="str">
        <f t="shared" si="5"/>
        <v/>
      </c>
      <c r="S52" s="66"/>
      <c r="T52" s="66"/>
      <c r="U52" s="51" t="str">
        <f t="shared" si="6"/>
        <v/>
      </c>
      <c r="V52" s="66"/>
      <c r="W52" s="51" t="str">
        <f t="shared" si="7"/>
        <v/>
      </c>
      <c r="X52" s="66"/>
      <c r="Y52" s="51" t="str">
        <f t="shared" si="8"/>
        <v/>
      </c>
      <c r="Z52" s="2"/>
      <c r="AA52" s="2"/>
      <c r="AB52" s="2"/>
      <c r="AC52" s="2"/>
      <c r="AD52" s="2"/>
      <c r="AE52" s="2"/>
    </row>
    <row r="53" spans="1:31" ht="12.75" x14ac:dyDescent="0.2">
      <c r="A53" s="53">
        <f ca="1">IFERROR(__xludf.DUMMYFUNCTION("""COMPUTED_VALUE"""),48)</f>
        <v>48</v>
      </c>
      <c r="B53" s="66" t="str">
        <f ca="1">IFERROR(__xludf.DUMMYFUNCTION("""COMPUTED_VALUE"""),"Gia Bảo")</f>
        <v>Gia Bảo</v>
      </c>
      <c r="C53" s="66" t="str">
        <f ca="1">IFERROR(__xludf.DUMMYFUNCTION("""COMPUTED_VALUE"""),"MN")</f>
        <v>MN</v>
      </c>
      <c r="D53" s="66">
        <f ca="1">IFERROR(__xludf.DUMMYFUNCTION("""COMPUTED_VALUE"""),11)</f>
        <v>11</v>
      </c>
      <c r="E53" s="67">
        <f ca="1">IFERROR(__xludf.DUMMYFUNCTION("""COMPUTED_VALUE"""),10)</f>
        <v>10</v>
      </c>
      <c r="F53" s="67">
        <f ca="1">IFERROR(__xludf.DUMMYFUNCTION("""COMPUTED_VALUE"""),10)</f>
        <v>10</v>
      </c>
      <c r="G53" s="51">
        <f t="shared" ca="1" si="0"/>
        <v>1</v>
      </c>
      <c r="H53" s="67">
        <f ca="1">IFERROR(__xludf.DUMMYFUNCTION("""COMPUTED_VALUE"""),10)</f>
        <v>10</v>
      </c>
      <c r="I53" s="51">
        <f t="shared" ca="1" si="1"/>
        <v>1</v>
      </c>
      <c r="J53" s="67">
        <f ca="1">IFERROR(__xludf.DUMMYFUNCTION("""COMPUTED_VALUE"""),9)</f>
        <v>9</v>
      </c>
      <c r="K53" s="51">
        <f t="shared" ca="1" si="2"/>
        <v>0.9</v>
      </c>
      <c r="L53" s="67">
        <f ca="1">IFERROR(__xludf.DUMMYFUNCTION("""COMPUTED_VALUE"""),1)</f>
        <v>1</v>
      </c>
      <c r="M53" s="51">
        <f t="shared" ca="1" si="3"/>
        <v>0.1</v>
      </c>
      <c r="N53" s="66"/>
      <c r="O53" s="66"/>
      <c r="P53" s="51" t="str">
        <f t="shared" si="4"/>
        <v/>
      </c>
      <c r="Q53" s="66"/>
      <c r="R53" s="51" t="str">
        <f t="shared" si="5"/>
        <v/>
      </c>
      <c r="S53" s="66"/>
      <c r="T53" s="66"/>
      <c r="U53" s="51" t="str">
        <f t="shared" si="6"/>
        <v/>
      </c>
      <c r="V53" s="66"/>
      <c r="W53" s="51" t="str">
        <f t="shared" si="7"/>
        <v/>
      </c>
      <c r="X53" s="66"/>
      <c r="Y53" s="51" t="str">
        <f t="shared" si="8"/>
        <v/>
      </c>
      <c r="Z53" s="2"/>
      <c r="AA53" s="2"/>
      <c r="AB53" s="2"/>
      <c r="AC53" s="2"/>
      <c r="AD53" s="2"/>
      <c r="AE53" s="2"/>
    </row>
    <row r="54" spans="1:31" ht="12.75" x14ac:dyDescent="0.2">
      <c r="A54" s="52"/>
      <c r="B54" s="68" t="str">
        <f ca="1">IFERROR(__xludf.DUMMYFUNCTION("""COMPUTED_VALUE"""),"Cộng Mầm non")</f>
        <v>Cộng Mầm non</v>
      </c>
      <c r="C54" s="68"/>
      <c r="D54" s="68"/>
      <c r="E54" s="69">
        <f ca="1">IFERROR(__xludf.DUMMYFUNCTION("""COMPUTED_VALUE"""),1037)</f>
        <v>1037</v>
      </c>
      <c r="F54" s="69">
        <f ca="1">IFERROR(__xludf.DUMMYFUNCTION("""COMPUTED_VALUE"""),1031)</f>
        <v>1031</v>
      </c>
      <c r="G54" s="51">
        <f t="shared" ca="1" si="0"/>
        <v>0.99421407907425263</v>
      </c>
      <c r="H54" s="69">
        <f ca="1">IFERROR(__xludf.DUMMYFUNCTION("""COMPUTED_VALUE"""),1028)</f>
        <v>1028</v>
      </c>
      <c r="I54" s="51">
        <f t="shared" ca="1" si="1"/>
        <v>0.99132111861137895</v>
      </c>
      <c r="J54" s="69">
        <f ca="1">IFERROR(__xludf.DUMMYFUNCTION("""COMPUTED_VALUE"""),962)</f>
        <v>962</v>
      </c>
      <c r="K54" s="51">
        <f t="shared" ca="1" si="2"/>
        <v>0.92767598842815813</v>
      </c>
      <c r="L54" s="69">
        <f ca="1">IFERROR(__xludf.DUMMYFUNCTION("""COMPUTED_VALUE"""),737)</f>
        <v>737</v>
      </c>
      <c r="M54" s="51">
        <f t="shared" ca="1" si="3"/>
        <v>0.71070395371263262</v>
      </c>
      <c r="N54" s="69">
        <f ca="1">IFERROR(__xludf.DUMMYFUNCTION("""COMPUTED_VALUE"""),1685)</f>
        <v>1685</v>
      </c>
      <c r="O54" s="69">
        <f ca="1">IFERROR(__xludf.DUMMYFUNCTION("""COMPUTED_VALUE"""),166)</f>
        <v>166</v>
      </c>
      <c r="P54" s="51">
        <f t="shared" ca="1" si="4"/>
        <v>9.8516320474777444E-2</v>
      </c>
      <c r="Q54" s="69">
        <f ca="1">IFERROR(__xludf.DUMMYFUNCTION("""COMPUTED_VALUE"""),101)</f>
        <v>101</v>
      </c>
      <c r="R54" s="51">
        <f t="shared" ca="1" si="5"/>
        <v>5.9940652818991101E-2</v>
      </c>
      <c r="S54" s="68"/>
      <c r="T54" s="68"/>
      <c r="U54" s="51" t="str">
        <f t="shared" si="6"/>
        <v/>
      </c>
      <c r="V54" s="68"/>
      <c r="W54" s="51" t="str">
        <f t="shared" si="7"/>
        <v/>
      </c>
      <c r="X54" s="68"/>
      <c r="Y54" s="51" t="str">
        <f t="shared" si="8"/>
        <v/>
      </c>
      <c r="Z54" s="1"/>
      <c r="AA54" s="1"/>
      <c r="AB54" s="1"/>
      <c r="AC54" s="1"/>
      <c r="AD54" s="1"/>
      <c r="AE54" s="1"/>
    </row>
    <row r="55" spans="1:31" ht="12.75" x14ac:dyDescent="0.2">
      <c r="A55" s="53">
        <f ca="1">IFERROR(__xludf.DUMMYFUNCTION("""COMPUTED_VALUE"""),49)</f>
        <v>49</v>
      </c>
      <c r="B55" s="66" t="str">
        <f ca="1">IFERROR(__xludf.DUMMYFUNCTION("""COMPUTED_VALUE"""),"Hưng Việt")</f>
        <v>Hưng Việt</v>
      </c>
      <c r="C55" s="66" t="str">
        <f ca="1">IFERROR(__xludf.DUMMYFUNCTION("""COMPUTED_VALUE"""),"TH")</f>
        <v>TH</v>
      </c>
      <c r="D55" s="66">
        <f ca="1">IFERROR(__xludf.DUMMYFUNCTION("""COMPUTED_VALUE"""),11)</f>
        <v>11</v>
      </c>
      <c r="E55" s="67">
        <f ca="1">IFERROR(__xludf.DUMMYFUNCTION("""COMPUTED_VALUE"""),54)</f>
        <v>54</v>
      </c>
      <c r="F55" s="67">
        <f ca="1">IFERROR(__xludf.DUMMYFUNCTION("""COMPUTED_VALUE"""),54)</f>
        <v>54</v>
      </c>
      <c r="G55" s="51">
        <f t="shared" ca="1" si="0"/>
        <v>1</v>
      </c>
      <c r="H55" s="67">
        <f ca="1">IFERROR(__xludf.DUMMYFUNCTION("""COMPUTED_VALUE"""),54)</f>
        <v>54</v>
      </c>
      <c r="I55" s="51">
        <f t="shared" ca="1" si="1"/>
        <v>1</v>
      </c>
      <c r="J55" s="67">
        <f ca="1">IFERROR(__xludf.DUMMYFUNCTION("""COMPUTED_VALUE"""),47)</f>
        <v>47</v>
      </c>
      <c r="K55" s="51">
        <f t="shared" ca="1" si="2"/>
        <v>0.87037037037037035</v>
      </c>
      <c r="L55" s="67">
        <f ca="1">IFERROR(__xludf.DUMMYFUNCTION("""COMPUTED_VALUE"""),36)</f>
        <v>36</v>
      </c>
      <c r="M55" s="51">
        <f t="shared" ca="1" si="3"/>
        <v>0.66666666666666663</v>
      </c>
      <c r="N55" s="67">
        <f ca="1">IFERROR(__xludf.DUMMYFUNCTION("""COMPUTED_VALUE"""),923)</f>
        <v>923</v>
      </c>
      <c r="O55" s="67">
        <f ca="1">IFERROR(__xludf.DUMMYFUNCTION("""COMPUTED_VALUE"""),586)</f>
        <v>586</v>
      </c>
      <c r="P55" s="51">
        <f t="shared" ca="1" si="4"/>
        <v>0.63488624052004339</v>
      </c>
      <c r="Q55" s="67">
        <f ca="1">IFERROR(__xludf.DUMMYFUNCTION("""COMPUTED_VALUE"""),335)</f>
        <v>335</v>
      </c>
      <c r="R55" s="51">
        <f t="shared" ca="1" si="5"/>
        <v>0.36294691224268688</v>
      </c>
      <c r="S55" s="66"/>
      <c r="T55" s="66"/>
      <c r="U55" s="51" t="str">
        <f t="shared" si="6"/>
        <v/>
      </c>
      <c r="V55" s="66"/>
      <c r="W55" s="51" t="str">
        <f t="shared" si="7"/>
        <v/>
      </c>
      <c r="X55" s="66"/>
      <c r="Y55" s="51" t="str">
        <f t="shared" si="8"/>
        <v/>
      </c>
      <c r="Z55" s="2"/>
      <c r="AA55" s="2"/>
      <c r="AB55" s="2"/>
      <c r="AC55" s="2"/>
      <c r="AD55" s="2"/>
      <c r="AE55" s="2"/>
    </row>
    <row r="56" spans="1:31" ht="12.75" x14ac:dyDescent="0.2">
      <c r="A56" s="53">
        <f ca="1">IFERROR(__xludf.DUMMYFUNCTION("""COMPUTED_VALUE"""),50)</f>
        <v>50</v>
      </c>
      <c r="B56" s="66" t="str">
        <f ca="1">IFERROR(__xludf.DUMMYFUNCTION("""COMPUTED_VALUE"""),"Nguyễn Thi")</f>
        <v>Nguyễn Thi</v>
      </c>
      <c r="C56" s="66" t="str">
        <f ca="1">IFERROR(__xludf.DUMMYFUNCTION("""COMPUTED_VALUE"""),"TH")</f>
        <v>TH</v>
      </c>
      <c r="D56" s="66">
        <f ca="1">IFERROR(__xludf.DUMMYFUNCTION("""COMPUTED_VALUE"""),11)</f>
        <v>11</v>
      </c>
      <c r="E56" s="67">
        <f ca="1">IFERROR(__xludf.DUMMYFUNCTION("""COMPUTED_VALUE"""),31)</f>
        <v>31</v>
      </c>
      <c r="F56" s="67">
        <f ca="1">IFERROR(__xludf.DUMMYFUNCTION("""COMPUTED_VALUE"""),31)</f>
        <v>31</v>
      </c>
      <c r="G56" s="51">
        <f t="shared" ca="1" si="0"/>
        <v>1</v>
      </c>
      <c r="H56" s="67">
        <f ca="1">IFERROR(__xludf.DUMMYFUNCTION("""COMPUTED_VALUE"""),31)</f>
        <v>31</v>
      </c>
      <c r="I56" s="51">
        <f t="shared" ca="1" si="1"/>
        <v>1</v>
      </c>
      <c r="J56" s="67">
        <f ca="1">IFERROR(__xludf.DUMMYFUNCTION("""COMPUTED_VALUE"""),31)</f>
        <v>31</v>
      </c>
      <c r="K56" s="51">
        <f t="shared" ca="1" si="2"/>
        <v>1</v>
      </c>
      <c r="L56" s="67">
        <f ca="1">IFERROR(__xludf.DUMMYFUNCTION("""COMPUTED_VALUE"""),17)</f>
        <v>17</v>
      </c>
      <c r="M56" s="51">
        <f t="shared" ca="1" si="3"/>
        <v>0.54838709677419351</v>
      </c>
      <c r="N56" s="67">
        <f ca="1">IFERROR(__xludf.DUMMYFUNCTION("""COMPUTED_VALUE"""),485)</f>
        <v>485</v>
      </c>
      <c r="O56" s="67">
        <f ca="1">IFERROR(__xludf.DUMMYFUNCTION("""COMPUTED_VALUE"""),275)</f>
        <v>275</v>
      </c>
      <c r="P56" s="51">
        <f t="shared" ca="1" si="4"/>
        <v>0.5670103092783505</v>
      </c>
      <c r="Q56" s="67">
        <f ca="1">IFERROR(__xludf.DUMMYFUNCTION("""COMPUTED_VALUE"""),170)</f>
        <v>170</v>
      </c>
      <c r="R56" s="51">
        <f t="shared" ca="1" si="5"/>
        <v>0.35051546391752575</v>
      </c>
      <c r="S56" s="66"/>
      <c r="T56" s="66"/>
      <c r="U56" s="51" t="str">
        <f t="shared" si="6"/>
        <v/>
      </c>
      <c r="V56" s="66"/>
      <c r="W56" s="51" t="str">
        <f t="shared" si="7"/>
        <v/>
      </c>
      <c r="X56" s="66"/>
      <c r="Y56" s="51" t="str">
        <f t="shared" si="8"/>
        <v/>
      </c>
      <c r="Z56" s="2"/>
      <c r="AA56" s="2"/>
      <c r="AB56" s="2"/>
      <c r="AC56" s="2"/>
      <c r="AD56" s="2"/>
      <c r="AE56" s="2"/>
    </row>
    <row r="57" spans="1:31" ht="12.75" x14ac:dyDescent="0.2">
      <c r="A57" s="53">
        <f ca="1">IFERROR(__xludf.DUMMYFUNCTION("""COMPUTED_VALUE"""),51)</f>
        <v>51</v>
      </c>
      <c r="B57" s="66" t="str">
        <f ca="1">IFERROR(__xludf.DUMMYFUNCTION("""COMPUTED_VALUE"""),"Phạm Văn Hai")</f>
        <v>Phạm Văn Hai</v>
      </c>
      <c r="C57" s="66" t="str">
        <f ca="1">IFERROR(__xludf.DUMMYFUNCTION("""COMPUTED_VALUE"""),"TH")</f>
        <v>TH</v>
      </c>
      <c r="D57" s="66">
        <f ca="1">IFERROR(__xludf.DUMMYFUNCTION("""COMPUTED_VALUE"""),11)</f>
        <v>11</v>
      </c>
      <c r="E57" s="67">
        <f ca="1">IFERROR(__xludf.DUMMYFUNCTION("""COMPUTED_VALUE"""),32)</f>
        <v>32</v>
      </c>
      <c r="F57" s="67">
        <f ca="1">IFERROR(__xludf.DUMMYFUNCTION("""COMPUTED_VALUE"""),32)</f>
        <v>32</v>
      </c>
      <c r="G57" s="51">
        <f t="shared" ca="1" si="0"/>
        <v>1</v>
      </c>
      <c r="H57" s="67">
        <f ca="1">IFERROR(__xludf.DUMMYFUNCTION("""COMPUTED_VALUE"""),32)</f>
        <v>32</v>
      </c>
      <c r="I57" s="51">
        <f t="shared" ca="1" si="1"/>
        <v>1</v>
      </c>
      <c r="J57" s="67">
        <f ca="1">IFERROR(__xludf.DUMMYFUNCTION("""COMPUTED_VALUE"""),32)</f>
        <v>32</v>
      </c>
      <c r="K57" s="51">
        <f t="shared" ca="1" si="2"/>
        <v>1</v>
      </c>
      <c r="L57" s="67">
        <f ca="1">IFERROR(__xludf.DUMMYFUNCTION("""COMPUTED_VALUE"""),28)</f>
        <v>28</v>
      </c>
      <c r="M57" s="51">
        <f t="shared" ca="1" si="3"/>
        <v>0.875</v>
      </c>
      <c r="N57" s="67">
        <f ca="1">IFERROR(__xludf.DUMMYFUNCTION("""COMPUTED_VALUE"""),549)</f>
        <v>549</v>
      </c>
      <c r="O57" s="67">
        <f ca="1">IFERROR(__xludf.DUMMYFUNCTION("""COMPUTED_VALUE"""),346)</f>
        <v>346</v>
      </c>
      <c r="P57" s="51">
        <f t="shared" ca="1" si="4"/>
        <v>0.63023679417122036</v>
      </c>
      <c r="Q57" s="67">
        <f ca="1">IFERROR(__xludf.DUMMYFUNCTION("""COMPUTED_VALUE"""),230)</f>
        <v>230</v>
      </c>
      <c r="R57" s="51">
        <f t="shared" ca="1" si="5"/>
        <v>0.41894353369763204</v>
      </c>
      <c r="S57" s="66"/>
      <c r="T57" s="66"/>
      <c r="U57" s="51" t="str">
        <f t="shared" si="6"/>
        <v/>
      </c>
      <c r="V57" s="66"/>
      <c r="W57" s="51" t="str">
        <f t="shared" si="7"/>
        <v/>
      </c>
      <c r="X57" s="66"/>
      <c r="Y57" s="51" t="str">
        <f t="shared" si="8"/>
        <v/>
      </c>
      <c r="Z57" s="2"/>
      <c r="AA57" s="2"/>
      <c r="AB57" s="2"/>
      <c r="AC57" s="2"/>
      <c r="AD57" s="2"/>
      <c r="AE57" s="2"/>
    </row>
    <row r="58" spans="1:31" ht="12.75" x14ac:dyDescent="0.2">
      <c r="A58" s="53">
        <f ca="1">IFERROR(__xludf.DUMMYFUNCTION("""COMPUTED_VALUE"""),52)</f>
        <v>52</v>
      </c>
      <c r="B58" s="66" t="str">
        <f ca="1">IFERROR(__xludf.DUMMYFUNCTION("""COMPUTED_VALUE"""),"Hòa Bình")</f>
        <v>Hòa Bình</v>
      </c>
      <c r="C58" s="66" t="str">
        <f ca="1">IFERROR(__xludf.DUMMYFUNCTION("""COMPUTED_VALUE"""),"TH")</f>
        <v>TH</v>
      </c>
      <c r="D58" s="66">
        <f ca="1">IFERROR(__xludf.DUMMYFUNCTION("""COMPUTED_VALUE"""),11)</f>
        <v>11</v>
      </c>
      <c r="E58" s="67">
        <f ca="1">IFERROR(__xludf.DUMMYFUNCTION("""COMPUTED_VALUE"""),48)</f>
        <v>48</v>
      </c>
      <c r="F58" s="67">
        <f ca="1">IFERROR(__xludf.DUMMYFUNCTION("""COMPUTED_VALUE"""),48)</f>
        <v>48</v>
      </c>
      <c r="G58" s="51">
        <f t="shared" ca="1" si="0"/>
        <v>1</v>
      </c>
      <c r="H58" s="67">
        <f ca="1">IFERROR(__xludf.DUMMYFUNCTION("""COMPUTED_VALUE"""),48)</f>
        <v>48</v>
      </c>
      <c r="I58" s="51">
        <f t="shared" ca="1" si="1"/>
        <v>1</v>
      </c>
      <c r="J58" s="67">
        <f ca="1">IFERROR(__xludf.DUMMYFUNCTION("""COMPUTED_VALUE"""),48)</f>
        <v>48</v>
      </c>
      <c r="K58" s="51">
        <f t="shared" ca="1" si="2"/>
        <v>1</v>
      </c>
      <c r="L58" s="67" t="str">
        <f ca="1">IFERROR(__xludf.DUMMYFUNCTION("""COMPUTED_VALUE"""),"44")</f>
        <v>44</v>
      </c>
      <c r="M58" s="51">
        <f t="shared" ca="1" si="3"/>
        <v>0.91666666666666663</v>
      </c>
      <c r="N58" s="67">
        <f ca="1">IFERROR(__xludf.DUMMYFUNCTION("""COMPUTED_VALUE"""),739)</f>
        <v>739</v>
      </c>
      <c r="O58" s="67">
        <f ca="1">IFERROR(__xludf.DUMMYFUNCTION("""COMPUTED_VALUE"""),406)</f>
        <v>406</v>
      </c>
      <c r="P58" s="51">
        <f t="shared" ca="1" si="4"/>
        <v>0.5493910690121786</v>
      </c>
      <c r="Q58" s="67">
        <f ca="1">IFERROR(__xludf.DUMMYFUNCTION("""COMPUTED_VALUE"""),207)</f>
        <v>207</v>
      </c>
      <c r="R58" s="51">
        <f t="shared" ca="1" si="5"/>
        <v>0.28010825439783493</v>
      </c>
      <c r="S58" s="66"/>
      <c r="T58" s="66"/>
      <c r="U58" s="51" t="str">
        <f t="shared" si="6"/>
        <v/>
      </c>
      <c r="V58" s="66"/>
      <c r="W58" s="51" t="str">
        <f t="shared" si="7"/>
        <v/>
      </c>
      <c r="X58" s="66"/>
      <c r="Y58" s="51" t="str">
        <f t="shared" si="8"/>
        <v/>
      </c>
      <c r="Z58" s="2"/>
      <c r="AA58" s="2"/>
      <c r="AB58" s="2"/>
      <c r="AC58" s="2"/>
      <c r="AD58" s="2"/>
      <c r="AE58" s="2"/>
    </row>
    <row r="59" spans="1:31" ht="12.75" x14ac:dyDescent="0.2">
      <c r="A59" s="53">
        <f ca="1">IFERROR(__xludf.DUMMYFUNCTION("""COMPUTED_VALUE"""),53)</f>
        <v>53</v>
      </c>
      <c r="B59" s="66" t="str">
        <f ca="1">IFERROR(__xludf.DUMMYFUNCTION("""COMPUTED_VALUE"""),"Trần Văn Ơn")</f>
        <v>Trần Văn Ơn</v>
      </c>
      <c r="C59" s="66" t="str">
        <f ca="1">IFERROR(__xludf.DUMMYFUNCTION("""COMPUTED_VALUE"""),"TH")</f>
        <v>TH</v>
      </c>
      <c r="D59" s="66">
        <f ca="1">IFERROR(__xludf.DUMMYFUNCTION("""COMPUTED_VALUE"""),11)</f>
        <v>11</v>
      </c>
      <c r="E59" s="67">
        <f ca="1">IFERROR(__xludf.DUMMYFUNCTION("""COMPUTED_VALUE"""),60)</f>
        <v>60</v>
      </c>
      <c r="F59" s="67">
        <f ca="1">IFERROR(__xludf.DUMMYFUNCTION("""COMPUTED_VALUE"""),60)</f>
        <v>60</v>
      </c>
      <c r="G59" s="51">
        <f t="shared" ca="1" si="0"/>
        <v>1</v>
      </c>
      <c r="H59" s="67">
        <f ca="1">IFERROR(__xludf.DUMMYFUNCTION("""COMPUTED_VALUE"""),60)</f>
        <v>60</v>
      </c>
      <c r="I59" s="51">
        <f t="shared" ca="1" si="1"/>
        <v>1</v>
      </c>
      <c r="J59" s="67">
        <f ca="1">IFERROR(__xludf.DUMMYFUNCTION("""COMPUTED_VALUE"""),60)</f>
        <v>60</v>
      </c>
      <c r="K59" s="51">
        <f t="shared" ca="1" si="2"/>
        <v>1</v>
      </c>
      <c r="L59" s="67">
        <f ca="1">IFERROR(__xludf.DUMMYFUNCTION("""COMPUTED_VALUE"""),51)</f>
        <v>51</v>
      </c>
      <c r="M59" s="51">
        <f t="shared" ca="1" si="3"/>
        <v>0.85</v>
      </c>
      <c r="N59" s="67">
        <f ca="1">IFERROR(__xludf.DUMMYFUNCTION("""COMPUTED_VALUE"""),1031)</f>
        <v>1031</v>
      </c>
      <c r="O59" s="67">
        <f ca="1">IFERROR(__xludf.DUMMYFUNCTION("""COMPUTED_VALUE"""),470)</f>
        <v>470</v>
      </c>
      <c r="P59" s="51">
        <f t="shared" ca="1" si="4"/>
        <v>0.45586808923375366</v>
      </c>
      <c r="Q59" s="67">
        <f ca="1">IFERROR(__xludf.DUMMYFUNCTION("""COMPUTED_VALUE"""),238)</f>
        <v>238</v>
      </c>
      <c r="R59" s="51">
        <f t="shared" ca="1" si="5"/>
        <v>0.23084384093113483</v>
      </c>
      <c r="S59" s="66"/>
      <c r="T59" s="66"/>
      <c r="U59" s="51" t="str">
        <f t="shared" si="6"/>
        <v/>
      </c>
      <c r="V59" s="66"/>
      <c r="W59" s="51" t="str">
        <f t="shared" si="7"/>
        <v/>
      </c>
      <c r="X59" s="66"/>
      <c r="Y59" s="51" t="str">
        <f t="shared" si="8"/>
        <v/>
      </c>
      <c r="Z59" s="2"/>
      <c r="AA59" s="2"/>
      <c r="AB59" s="2"/>
      <c r="AC59" s="2"/>
      <c r="AD59" s="2"/>
      <c r="AE59" s="2"/>
    </row>
    <row r="60" spans="1:31" ht="12.75" x14ac:dyDescent="0.2">
      <c r="A60" s="53">
        <f ca="1">IFERROR(__xludf.DUMMYFUNCTION("""COMPUTED_VALUE"""),54)</f>
        <v>54</v>
      </c>
      <c r="B60" s="66" t="str">
        <f ca="1">IFERROR(__xludf.DUMMYFUNCTION("""COMPUTED_VALUE"""),"TH APU")</f>
        <v>TH APU</v>
      </c>
      <c r="C60" s="66" t="str">
        <f ca="1">IFERROR(__xludf.DUMMYFUNCTION("""COMPUTED_VALUE"""),"TH")</f>
        <v>TH</v>
      </c>
      <c r="D60" s="66">
        <f ca="1">IFERROR(__xludf.DUMMYFUNCTION("""COMPUTED_VALUE"""),11)</f>
        <v>11</v>
      </c>
      <c r="E60" s="67">
        <f ca="1">IFERROR(__xludf.DUMMYFUNCTION("""COMPUTED_VALUE"""),21)</f>
        <v>21</v>
      </c>
      <c r="F60" s="67">
        <f ca="1">IFERROR(__xludf.DUMMYFUNCTION("""COMPUTED_VALUE"""),21)</f>
        <v>21</v>
      </c>
      <c r="G60" s="51">
        <f t="shared" ca="1" si="0"/>
        <v>1</v>
      </c>
      <c r="H60" s="67">
        <f ca="1">IFERROR(__xludf.DUMMYFUNCTION("""COMPUTED_VALUE"""),21)</f>
        <v>21</v>
      </c>
      <c r="I60" s="51">
        <f t="shared" ca="1" si="1"/>
        <v>1</v>
      </c>
      <c r="J60" s="67">
        <f ca="1">IFERROR(__xludf.DUMMYFUNCTION("""COMPUTED_VALUE"""),18)</f>
        <v>18</v>
      </c>
      <c r="K60" s="51">
        <f t="shared" ca="1" si="2"/>
        <v>0.8571428571428571</v>
      </c>
      <c r="L60" s="67">
        <f ca="1">IFERROR(__xludf.DUMMYFUNCTION("""COMPUTED_VALUE"""),11)</f>
        <v>11</v>
      </c>
      <c r="M60" s="51">
        <f t="shared" ca="1" si="3"/>
        <v>0.52380952380952384</v>
      </c>
      <c r="N60" s="67">
        <f ca="1">IFERROR(__xludf.DUMMYFUNCTION("""COMPUTED_VALUE"""),31)</f>
        <v>31</v>
      </c>
      <c r="O60" s="67">
        <f ca="1">IFERROR(__xludf.DUMMYFUNCTION("""COMPUTED_VALUE"""),4)</f>
        <v>4</v>
      </c>
      <c r="P60" s="51">
        <f t="shared" ca="1" si="4"/>
        <v>0.12903225806451613</v>
      </c>
      <c r="Q60" s="67">
        <f ca="1">IFERROR(__xludf.DUMMYFUNCTION("""COMPUTED_VALUE"""),5)</f>
        <v>5</v>
      </c>
      <c r="R60" s="51">
        <f t="shared" ca="1" si="5"/>
        <v>0.16129032258064516</v>
      </c>
      <c r="S60" s="66"/>
      <c r="T60" s="66"/>
      <c r="U60" s="51" t="str">
        <f t="shared" si="6"/>
        <v/>
      </c>
      <c r="V60" s="66"/>
      <c r="W60" s="51" t="str">
        <f t="shared" si="7"/>
        <v/>
      </c>
      <c r="X60" s="66"/>
      <c r="Y60" s="51" t="str">
        <f t="shared" si="8"/>
        <v/>
      </c>
      <c r="Z60" s="2"/>
      <c r="AA60" s="2"/>
      <c r="AB60" s="2"/>
      <c r="AC60" s="2"/>
      <c r="AD60" s="2"/>
      <c r="AE60" s="2"/>
    </row>
    <row r="61" spans="1:31" ht="12.75" x14ac:dyDescent="0.2">
      <c r="A61" s="53">
        <f ca="1">IFERROR(__xludf.DUMMYFUNCTION("""COMPUTED_VALUE"""),55)</f>
        <v>55</v>
      </c>
      <c r="B61" s="66" t="str">
        <f ca="1">IFERROR(__xludf.DUMMYFUNCTION("""COMPUTED_VALUE"""),"Âu Cơ")</f>
        <v>Âu Cơ</v>
      </c>
      <c r="C61" s="66" t="str">
        <f ca="1">IFERROR(__xludf.DUMMYFUNCTION("""COMPUTED_VALUE"""),"TH")</f>
        <v>TH</v>
      </c>
      <c r="D61" s="66">
        <f ca="1">IFERROR(__xludf.DUMMYFUNCTION("""COMPUTED_VALUE"""),11)</f>
        <v>11</v>
      </c>
      <c r="E61" s="67">
        <f ca="1">IFERROR(__xludf.DUMMYFUNCTION("""COMPUTED_VALUE"""),34)</f>
        <v>34</v>
      </c>
      <c r="F61" s="67">
        <f ca="1">IFERROR(__xludf.DUMMYFUNCTION("""COMPUTED_VALUE"""),0)</f>
        <v>0</v>
      </c>
      <c r="G61" s="51">
        <f t="shared" ca="1" si="0"/>
        <v>0</v>
      </c>
      <c r="H61" s="67">
        <f ca="1">IFERROR(__xludf.DUMMYFUNCTION("""COMPUTED_VALUE"""),2)</f>
        <v>2</v>
      </c>
      <c r="I61" s="51">
        <f t="shared" ca="1" si="1"/>
        <v>5.8823529411764705E-2</v>
      </c>
      <c r="J61" s="67">
        <f ca="1">IFERROR(__xludf.DUMMYFUNCTION("""COMPUTED_VALUE"""),13)</f>
        <v>13</v>
      </c>
      <c r="K61" s="51">
        <f t="shared" ca="1" si="2"/>
        <v>0.38235294117647056</v>
      </c>
      <c r="L61" s="67">
        <f ca="1">IFERROR(__xludf.DUMMYFUNCTION("""COMPUTED_VALUE"""),19)</f>
        <v>19</v>
      </c>
      <c r="M61" s="51">
        <f t="shared" ca="1" si="3"/>
        <v>0.55882352941176472</v>
      </c>
      <c r="N61" s="67">
        <f ca="1">IFERROR(__xludf.DUMMYFUNCTION("""COMPUTED_VALUE"""),497)</f>
        <v>497</v>
      </c>
      <c r="O61" s="67">
        <f ca="1">IFERROR(__xludf.DUMMYFUNCTION("""COMPUTED_VALUE"""),139)</f>
        <v>139</v>
      </c>
      <c r="P61" s="51">
        <f t="shared" ca="1" si="4"/>
        <v>0.27967806841046278</v>
      </c>
      <c r="Q61" s="67">
        <f ca="1">IFERROR(__xludf.DUMMYFUNCTION("""COMPUTED_VALUE"""),189)</f>
        <v>189</v>
      </c>
      <c r="R61" s="51">
        <f t="shared" ca="1" si="5"/>
        <v>0.38028169014084506</v>
      </c>
      <c r="S61" s="66"/>
      <c r="T61" s="66"/>
      <c r="U61" s="51" t="str">
        <f t="shared" si="6"/>
        <v/>
      </c>
      <c r="V61" s="66"/>
      <c r="W61" s="51" t="str">
        <f t="shared" si="7"/>
        <v/>
      </c>
      <c r="X61" s="66"/>
      <c r="Y61" s="51" t="str">
        <f t="shared" si="8"/>
        <v/>
      </c>
      <c r="Z61" s="2"/>
      <c r="AA61" s="2"/>
      <c r="AB61" s="2"/>
      <c r="AC61" s="2"/>
      <c r="AD61" s="2"/>
      <c r="AE61" s="2"/>
    </row>
    <row r="62" spans="1:31" ht="12.75" x14ac:dyDescent="0.2">
      <c r="A62" s="53">
        <f ca="1">IFERROR(__xludf.DUMMYFUNCTION("""COMPUTED_VALUE"""),56)</f>
        <v>56</v>
      </c>
      <c r="B62" s="66" t="str">
        <f ca="1">IFERROR(__xludf.DUMMYFUNCTION("""COMPUTED_VALUE"""),"Đề Thám")</f>
        <v>Đề Thám</v>
      </c>
      <c r="C62" s="66" t="str">
        <f ca="1">IFERROR(__xludf.DUMMYFUNCTION("""COMPUTED_VALUE"""),"TH")</f>
        <v>TH</v>
      </c>
      <c r="D62" s="66">
        <f ca="1">IFERROR(__xludf.DUMMYFUNCTION("""COMPUTED_VALUE"""),11)</f>
        <v>11</v>
      </c>
      <c r="E62" s="67">
        <f ca="1">IFERROR(__xludf.DUMMYFUNCTION("""COMPUTED_VALUE"""),44)</f>
        <v>44</v>
      </c>
      <c r="F62" s="67">
        <f ca="1">IFERROR(__xludf.DUMMYFUNCTION("""COMPUTED_VALUE"""),44)</f>
        <v>44</v>
      </c>
      <c r="G62" s="51">
        <f t="shared" ca="1" si="0"/>
        <v>1</v>
      </c>
      <c r="H62" s="67">
        <f ca="1">IFERROR(__xludf.DUMMYFUNCTION("""COMPUTED_VALUE"""),44)</f>
        <v>44</v>
      </c>
      <c r="I62" s="51">
        <f t="shared" ca="1" si="1"/>
        <v>1</v>
      </c>
      <c r="J62" s="67">
        <f ca="1">IFERROR(__xludf.DUMMYFUNCTION("""COMPUTED_VALUE"""),43)</f>
        <v>43</v>
      </c>
      <c r="K62" s="51">
        <f t="shared" ca="1" si="2"/>
        <v>0.97727272727272729</v>
      </c>
      <c r="L62" s="67">
        <f ca="1">IFERROR(__xludf.DUMMYFUNCTION("""COMPUTED_VALUE"""),42)</f>
        <v>42</v>
      </c>
      <c r="M62" s="51">
        <f t="shared" ca="1" si="3"/>
        <v>0.95454545454545459</v>
      </c>
      <c r="N62" s="67">
        <f ca="1">IFERROR(__xludf.DUMMYFUNCTION("""COMPUTED_VALUE"""),500)</f>
        <v>500</v>
      </c>
      <c r="O62" s="67">
        <f ca="1">IFERROR(__xludf.DUMMYFUNCTION("""COMPUTED_VALUE"""),337)</f>
        <v>337</v>
      </c>
      <c r="P62" s="51">
        <f t="shared" ca="1" si="4"/>
        <v>0.67400000000000004</v>
      </c>
      <c r="Q62" s="67">
        <f ca="1">IFERROR(__xludf.DUMMYFUNCTION("""COMPUTED_VALUE"""),210)</f>
        <v>210</v>
      </c>
      <c r="R62" s="51">
        <f t="shared" ca="1" si="5"/>
        <v>0.42</v>
      </c>
      <c r="S62" s="66"/>
      <c r="T62" s="66"/>
      <c r="U62" s="51" t="str">
        <f t="shared" si="6"/>
        <v/>
      </c>
      <c r="V62" s="66"/>
      <c r="W62" s="51" t="str">
        <f t="shared" si="7"/>
        <v/>
      </c>
      <c r="X62" s="66"/>
      <c r="Y62" s="51" t="str">
        <f t="shared" si="8"/>
        <v/>
      </c>
      <c r="Z62" s="2"/>
      <c r="AA62" s="2"/>
      <c r="AB62" s="2"/>
      <c r="AC62" s="2"/>
      <c r="AD62" s="2"/>
      <c r="AE62" s="2"/>
    </row>
    <row r="63" spans="1:31" ht="12.75" x14ac:dyDescent="0.2">
      <c r="A63" s="53">
        <f ca="1">IFERROR(__xludf.DUMMYFUNCTION("""COMPUTED_VALUE"""),57)</f>
        <v>57</v>
      </c>
      <c r="B63" s="66" t="str">
        <f ca="1">IFERROR(__xludf.DUMMYFUNCTION("""COMPUTED_VALUE"""),"Lạc Long Quân")</f>
        <v>Lạc Long Quân</v>
      </c>
      <c r="C63" s="66" t="str">
        <f ca="1">IFERROR(__xludf.DUMMYFUNCTION("""COMPUTED_VALUE"""),"TH")</f>
        <v>TH</v>
      </c>
      <c r="D63" s="66">
        <f ca="1">IFERROR(__xludf.DUMMYFUNCTION("""COMPUTED_VALUE"""),11)</f>
        <v>11</v>
      </c>
      <c r="E63" s="67">
        <f ca="1">IFERROR(__xludf.DUMMYFUNCTION("""COMPUTED_VALUE"""),86)</f>
        <v>86</v>
      </c>
      <c r="F63" s="67">
        <f ca="1">IFERROR(__xludf.DUMMYFUNCTION("""COMPUTED_VALUE"""),86)</f>
        <v>86</v>
      </c>
      <c r="G63" s="51">
        <f t="shared" ca="1" si="0"/>
        <v>1</v>
      </c>
      <c r="H63" s="67">
        <f ca="1">IFERROR(__xludf.DUMMYFUNCTION("""COMPUTED_VALUE"""),86)</f>
        <v>86</v>
      </c>
      <c r="I63" s="51">
        <f t="shared" ca="1" si="1"/>
        <v>1</v>
      </c>
      <c r="J63" s="67">
        <f ca="1">IFERROR(__xludf.DUMMYFUNCTION("""COMPUTED_VALUE"""),85)</f>
        <v>85</v>
      </c>
      <c r="K63" s="51">
        <f t="shared" ca="1" si="2"/>
        <v>0.98837209302325579</v>
      </c>
      <c r="L63" s="67">
        <f ca="1">IFERROR(__xludf.DUMMYFUNCTION("""COMPUTED_VALUE"""),71)</f>
        <v>71</v>
      </c>
      <c r="M63" s="51">
        <f t="shared" ca="1" si="3"/>
        <v>0.82558139534883723</v>
      </c>
      <c r="N63" s="67">
        <f ca="1">IFERROR(__xludf.DUMMYFUNCTION("""COMPUTED_VALUE"""),1218)</f>
        <v>1218</v>
      </c>
      <c r="O63" s="67">
        <f ca="1">IFERROR(__xludf.DUMMYFUNCTION("""COMPUTED_VALUE"""),623)</f>
        <v>623</v>
      </c>
      <c r="P63" s="51">
        <f t="shared" ca="1" si="4"/>
        <v>0.5114942528735632</v>
      </c>
      <c r="Q63" s="67">
        <f ca="1">IFERROR(__xludf.DUMMYFUNCTION("""COMPUTED_VALUE"""),321)</f>
        <v>321</v>
      </c>
      <c r="R63" s="51">
        <f t="shared" ca="1" si="5"/>
        <v>0.26354679802955666</v>
      </c>
      <c r="S63" s="66"/>
      <c r="T63" s="66"/>
      <c r="U63" s="51" t="str">
        <f t="shared" si="6"/>
        <v/>
      </c>
      <c r="V63" s="66"/>
      <c r="W63" s="51" t="str">
        <f t="shared" si="7"/>
        <v/>
      </c>
      <c r="X63" s="66"/>
      <c r="Y63" s="51" t="str">
        <f t="shared" si="8"/>
        <v/>
      </c>
      <c r="Z63" s="2"/>
      <c r="AA63" s="2"/>
      <c r="AB63" s="2"/>
      <c r="AC63" s="2"/>
      <c r="AD63" s="2"/>
      <c r="AE63" s="2"/>
    </row>
    <row r="64" spans="1:31" ht="12.75" x14ac:dyDescent="0.2">
      <c r="A64" s="53">
        <f ca="1">IFERROR(__xludf.DUMMYFUNCTION("""COMPUTED_VALUE"""),58)</f>
        <v>58</v>
      </c>
      <c r="B64" s="66" t="str">
        <f ca="1">IFERROR(__xludf.DUMMYFUNCTION("""COMPUTED_VALUE"""),"Việt Mỹ Úc")</f>
        <v>Việt Mỹ Úc</v>
      </c>
      <c r="C64" s="66" t="str">
        <f ca="1">IFERROR(__xludf.DUMMYFUNCTION("""COMPUTED_VALUE"""),"TH")</f>
        <v>TH</v>
      </c>
      <c r="D64" s="66">
        <f ca="1">IFERROR(__xludf.DUMMYFUNCTION("""COMPUTED_VALUE"""),11)</f>
        <v>11</v>
      </c>
      <c r="E64" s="66">
        <f ca="1">IFERROR(__xludf.DUMMYFUNCTION("""COMPUTED_VALUE"""),11)</f>
        <v>11</v>
      </c>
      <c r="F64" s="66">
        <f ca="1">IFERROR(__xludf.DUMMYFUNCTION("""COMPUTED_VALUE"""),11)</f>
        <v>11</v>
      </c>
      <c r="G64" s="51">
        <f t="shared" ca="1" si="0"/>
        <v>1</v>
      </c>
      <c r="H64" s="66">
        <f ca="1">IFERROR(__xludf.DUMMYFUNCTION("""COMPUTED_VALUE"""),11)</f>
        <v>11</v>
      </c>
      <c r="I64" s="51">
        <f t="shared" ca="1" si="1"/>
        <v>1</v>
      </c>
      <c r="J64" s="66">
        <f ca="1">IFERROR(__xludf.DUMMYFUNCTION("""COMPUTED_VALUE"""),11)</f>
        <v>11</v>
      </c>
      <c r="K64" s="51">
        <f t="shared" ca="1" si="2"/>
        <v>1</v>
      </c>
      <c r="L64" s="66">
        <f ca="1">IFERROR(__xludf.DUMMYFUNCTION("""COMPUTED_VALUE"""),8)</f>
        <v>8</v>
      </c>
      <c r="M64" s="51">
        <f t="shared" ca="1" si="3"/>
        <v>0.72727272727272729</v>
      </c>
      <c r="N64" s="67">
        <f ca="1">IFERROR(__xludf.DUMMYFUNCTION("""COMPUTED_VALUE"""),42)</f>
        <v>42</v>
      </c>
      <c r="O64" s="67">
        <f ca="1">IFERROR(__xludf.DUMMYFUNCTION("""COMPUTED_VALUE"""),8)</f>
        <v>8</v>
      </c>
      <c r="P64" s="51">
        <f t="shared" ca="1" si="4"/>
        <v>0.19047619047619047</v>
      </c>
      <c r="Q64" s="67">
        <f ca="1">IFERROR(__xludf.DUMMYFUNCTION("""COMPUTED_VALUE"""),10)</f>
        <v>10</v>
      </c>
      <c r="R64" s="51">
        <f t="shared" ca="1" si="5"/>
        <v>0.23809523809523808</v>
      </c>
      <c r="S64" s="66"/>
      <c r="T64" s="66"/>
      <c r="U64" s="51" t="str">
        <f t="shared" si="6"/>
        <v/>
      </c>
      <c r="V64" s="66"/>
      <c r="W64" s="51" t="str">
        <f t="shared" si="7"/>
        <v/>
      </c>
      <c r="X64" s="66"/>
      <c r="Y64" s="51" t="str">
        <f t="shared" si="8"/>
        <v/>
      </c>
      <c r="Z64" s="2"/>
      <c r="AA64" s="2"/>
      <c r="AB64" s="2"/>
      <c r="AC64" s="2"/>
      <c r="AD64" s="2"/>
      <c r="AE64" s="2"/>
    </row>
    <row r="65" spans="1:31" ht="12.75" x14ac:dyDescent="0.2">
      <c r="A65" s="53">
        <f ca="1">IFERROR(__xludf.DUMMYFUNCTION("""COMPUTED_VALUE"""),59)</f>
        <v>59</v>
      </c>
      <c r="B65" s="66" t="str">
        <f ca="1">IFERROR(__xludf.DUMMYFUNCTION("""COMPUTED_VALUE"""),"Hàn Hải Nguyên")</f>
        <v>Hàn Hải Nguyên</v>
      </c>
      <c r="C65" s="66" t="str">
        <f ca="1">IFERROR(__xludf.DUMMYFUNCTION("""COMPUTED_VALUE"""),"TH")</f>
        <v>TH</v>
      </c>
      <c r="D65" s="66">
        <f ca="1">IFERROR(__xludf.DUMMYFUNCTION("""COMPUTED_VALUE"""),11)</f>
        <v>11</v>
      </c>
      <c r="E65" s="67">
        <f ca="1">IFERROR(__xludf.DUMMYFUNCTION("""COMPUTED_VALUE"""),33)</f>
        <v>33</v>
      </c>
      <c r="F65" s="67">
        <f ca="1">IFERROR(__xludf.DUMMYFUNCTION("""COMPUTED_VALUE"""),33)</f>
        <v>33</v>
      </c>
      <c r="G65" s="51">
        <f t="shared" ca="1" si="0"/>
        <v>1</v>
      </c>
      <c r="H65" s="67">
        <f ca="1">IFERROR(__xludf.DUMMYFUNCTION("""COMPUTED_VALUE"""),33)</f>
        <v>33</v>
      </c>
      <c r="I65" s="51">
        <f t="shared" ca="1" si="1"/>
        <v>1</v>
      </c>
      <c r="J65" s="67">
        <f ca="1">IFERROR(__xludf.DUMMYFUNCTION("""COMPUTED_VALUE"""),33)</f>
        <v>33</v>
      </c>
      <c r="K65" s="51">
        <f t="shared" ca="1" si="2"/>
        <v>1</v>
      </c>
      <c r="L65" s="67">
        <f ca="1">IFERROR(__xludf.DUMMYFUNCTION("""COMPUTED_VALUE"""),29)</f>
        <v>29</v>
      </c>
      <c r="M65" s="51">
        <f t="shared" ca="1" si="3"/>
        <v>0.87878787878787878</v>
      </c>
      <c r="N65" s="67">
        <f ca="1">IFERROR(__xludf.DUMMYFUNCTION("""COMPUTED_VALUE"""),579)</f>
        <v>579</v>
      </c>
      <c r="O65" s="67">
        <f ca="1">IFERROR(__xludf.DUMMYFUNCTION("""COMPUTED_VALUE"""),248)</f>
        <v>248</v>
      </c>
      <c r="P65" s="51">
        <f t="shared" ca="1" si="4"/>
        <v>0.42832469775474957</v>
      </c>
      <c r="Q65" s="67">
        <f ca="1">IFERROR(__xludf.DUMMYFUNCTION("""COMPUTED_VALUE"""),222)</f>
        <v>222</v>
      </c>
      <c r="R65" s="51">
        <f t="shared" ca="1" si="5"/>
        <v>0.38341968911917096</v>
      </c>
      <c r="S65" s="66"/>
      <c r="T65" s="66"/>
      <c r="U65" s="51" t="str">
        <f t="shared" si="6"/>
        <v/>
      </c>
      <c r="V65" s="66"/>
      <c r="W65" s="51" t="str">
        <f t="shared" si="7"/>
        <v/>
      </c>
      <c r="X65" s="66"/>
      <c r="Y65" s="51" t="str">
        <f t="shared" si="8"/>
        <v/>
      </c>
      <c r="Z65" s="2"/>
      <c r="AA65" s="2"/>
      <c r="AB65" s="2"/>
      <c r="AC65" s="2"/>
      <c r="AD65" s="2"/>
      <c r="AE65" s="2"/>
    </row>
    <row r="66" spans="1:31" ht="12.75" x14ac:dyDescent="0.2">
      <c r="A66" s="53">
        <f ca="1">IFERROR(__xludf.DUMMYFUNCTION("""COMPUTED_VALUE"""),60)</f>
        <v>60</v>
      </c>
      <c r="B66" s="66" t="str">
        <f ca="1">IFERROR(__xludf.DUMMYFUNCTION("""COMPUTED_VALUE"""),"TH Bình Thới")</f>
        <v>TH Bình Thới</v>
      </c>
      <c r="C66" s="66" t="str">
        <f ca="1">IFERROR(__xludf.DUMMYFUNCTION("""COMPUTED_VALUE"""),"TH")</f>
        <v>TH</v>
      </c>
      <c r="D66" s="66">
        <f ca="1">IFERROR(__xludf.DUMMYFUNCTION("""COMPUTED_VALUE"""),11)</f>
        <v>11</v>
      </c>
      <c r="E66" s="67">
        <f ca="1">IFERROR(__xludf.DUMMYFUNCTION("""COMPUTED_VALUE"""),21)</f>
        <v>21</v>
      </c>
      <c r="F66" s="67">
        <f ca="1">IFERROR(__xludf.DUMMYFUNCTION("""COMPUTED_VALUE"""),21)</f>
        <v>21</v>
      </c>
      <c r="G66" s="51">
        <f t="shared" ca="1" si="0"/>
        <v>1</v>
      </c>
      <c r="H66" s="67">
        <f ca="1">IFERROR(__xludf.DUMMYFUNCTION("""COMPUTED_VALUE"""),21)</f>
        <v>21</v>
      </c>
      <c r="I66" s="51">
        <f t="shared" ca="1" si="1"/>
        <v>1</v>
      </c>
      <c r="J66" s="67">
        <f ca="1">IFERROR(__xludf.DUMMYFUNCTION("""COMPUTED_VALUE"""),20)</f>
        <v>20</v>
      </c>
      <c r="K66" s="51">
        <f t="shared" ca="1" si="2"/>
        <v>0.95238095238095233</v>
      </c>
      <c r="L66" s="67">
        <f ca="1">IFERROR(__xludf.DUMMYFUNCTION("""COMPUTED_VALUE"""),13)</f>
        <v>13</v>
      </c>
      <c r="M66" s="51">
        <f t="shared" ca="1" si="3"/>
        <v>0.61904761904761907</v>
      </c>
      <c r="N66" s="67">
        <f ca="1">IFERROR(__xludf.DUMMYFUNCTION("""COMPUTED_VALUE"""),112)</f>
        <v>112</v>
      </c>
      <c r="O66" s="67">
        <f ca="1">IFERROR(__xludf.DUMMYFUNCTION("""COMPUTED_VALUE"""),53)</f>
        <v>53</v>
      </c>
      <c r="P66" s="51">
        <f t="shared" ca="1" si="4"/>
        <v>0.4732142857142857</v>
      </c>
      <c r="Q66" s="67">
        <f ca="1">IFERROR(__xludf.DUMMYFUNCTION("""COMPUTED_VALUE"""),30)</f>
        <v>30</v>
      </c>
      <c r="R66" s="51">
        <f t="shared" ca="1" si="5"/>
        <v>0.26785714285714285</v>
      </c>
      <c r="S66" s="66"/>
      <c r="T66" s="66"/>
      <c r="U66" s="51" t="str">
        <f t="shared" si="6"/>
        <v/>
      </c>
      <c r="V66" s="66"/>
      <c r="W66" s="51" t="str">
        <f t="shared" si="7"/>
        <v/>
      </c>
      <c r="X66" s="66"/>
      <c r="Y66" s="51" t="str">
        <f t="shared" si="8"/>
        <v/>
      </c>
      <c r="Z66" s="2"/>
      <c r="AA66" s="2"/>
      <c r="AB66" s="2"/>
      <c r="AC66" s="2"/>
      <c r="AD66" s="2"/>
      <c r="AE66" s="2"/>
    </row>
    <row r="67" spans="1:31" ht="12.75" x14ac:dyDescent="0.2">
      <c r="A67" s="53">
        <f ca="1">IFERROR(__xludf.DUMMYFUNCTION("""COMPUTED_VALUE"""),61)</f>
        <v>61</v>
      </c>
      <c r="B67" s="66" t="str">
        <f ca="1">IFERROR(__xludf.DUMMYFUNCTION("""COMPUTED_VALUE"""),"Nguyễn Bá Ngọc")</f>
        <v>Nguyễn Bá Ngọc</v>
      </c>
      <c r="C67" s="66" t="str">
        <f ca="1">IFERROR(__xludf.DUMMYFUNCTION("""COMPUTED_VALUE"""),"TH")</f>
        <v>TH</v>
      </c>
      <c r="D67" s="66">
        <f ca="1">IFERROR(__xludf.DUMMYFUNCTION("""COMPUTED_VALUE"""),11)</f>
        <v>11</v>
      </c>
      <c r="E67" s="67">
        <f ca="1">IFERROR(__xludf.DUMMYFUNCTION("""COMPUTED_VALUE"""),41)</f>
        <v>41</v>
      </c>
      <c r="F67" s="67">
        <f ca="1">IFERROR(__xludf.DUMMYFUNCTION("""COMPUTED_VALUE"""),41)</f>
        <v>41</v>
      </c>
      <c r="G67" s="51">
        <f t="shared" ca="1" si="0"/>
        <v>1</v>
      </c>
      <c r="H67" s="67">
        <f ca="1">IFERROR(__xludf.DUMMYFUNCTION("""COMPUTED_VALUE"""),41)</f>
        <v>41</v>
      </c>
      <c r="I67" s="51">
        <f t="shared" ca="1" si="1"/>
        <v>1</v>
      </c>
      <c r="J67" s="67">
        <f ca="1">IFERROR(__xludf.DUMMYFUNCTION("""COMPUTED_VALUE"""),41)</f>
        <v>41</v>
      </c>
      <c r="K67" s="51">
        <f t="shared" ca="1" si="2"/>
        <v>1</v>
      </c>
      <c r="L67" s="67">
        <f ca="1">IFERROR(__xludf.DUMMYFUNCTION("""COMPUTED_VALUE"""),30)</f>
        <v>30</v>
      </c>
      <c r="M67" s="51">
        <f t="shared" ca="1" si="3"/>
        <v>0.73170731707317072</v>
      </c>
      <c r="N67" s="67">
        <f ca="1">IFERROR(__xludf.DUMMYFUNCTION("""COMPUTED_VALUE"""),661)</f>
        <v>661</v>
      </c>
      <c r="O67" s="67">
        <f ca="1">IFERROR(__xludf.DUMMYFUNCTION("""COMPUTED_VALUE"""),496)</f>
        <v>496</v>
      </c>
      <c r="P67" s="51">
        <f t="shared" ca="1" si="4"/>
        <v>0.75037821482602118</v>
      </c>
      <c r="Q67" s="67">
        <f ca="1">IFERROR(__xludf.DUMMYFUNCTION("""COMPUTED_VALUE"""),383)</f>
        <v>383</v>
      </c>
      <c r="R67" s="51">
        <f t="shared" ca="1" si="5"/>
        <v>0.57942511346444781</v>
      </c>
      <c r="S67" s="66"/>
      <c r="T67" s="66"/>
      <c r="U67" s="51" t="str">
        <f t="shared" si="6"/>
        <v/>
      </c>
      <c r="V67" s="66"/>
      <c r="W67" s="51" t="str">
        <f t="shared" si="7"/>
        <v/>
      </c>
      <c r="X67" s="66"/>
      <c r="Y67" s="51" t="str">
        <f t="shared" si="8"/>
        <v/>
      </c>
      <c r="Z67" s="2"/>
      <c r="AA67" s="2"/>
      <c r="AB67" s="2"/>
      <c r="AC67" s="2"/>
      <c r="AD67" s="2"/>
      <c r="AE67" s="2"/>
    </row>
    <row r="68" spans="1:31" ht="12.75" x14ac:dyDescent="0.2">
      <c r="A68" s="53">
        <f ca="1">IFERROR(__xludf.DUMMYFUNCTION("""COMPUTED_VALUE"""),62)</f>
        <v>62</v>
      </c>
      <c r="B68" s="66" t="str">
        <f ca="1">IFERROR(__xludf.DUMMYFUNCTION("""COMPUTED_VALUE"""),"Phùng Hưng")</f>
        <v>Phùng Hưng</v>
      </c>
      <c r="C68" s="66" t="str">
        <f ca="1">IFERROR(__xludf.DUMMYFUNCTION("""COMPUTED_VALUE"""),"TH")</f>
        <v>TH</v>
      </c>
      <c r="D68" s="66">
        <f ca="1">IFERROR(__xludf.DUMMYFUNCTION("""COMPUTED_VALUE"""),11)</f>
        <v>11</v>
      </c>
      <c r="E68" s="67">
        <f ca="1">IFERROR(__xludf.DUMMYFUNCTION("""COMPUTED_VALUE"""),52)</f>
        <v>52</v>
      </c>
      <c r="F68" s="67">
        <f ca="1">IFERROR(__xludf.DUMMYFUNCTION("""COMPUTED_VALUE"""),52)</f>
        <v>52</v>
      </c>
      <c r="G68" s="51">
        <f t="shared" ca="1" si="0"/>
        <v>1</v>
      </c>
      <c r="H68" s="67">
        <f ca="1">IFERROR(__xludf.DUMMYFUNCTION("""COMPUTED_VALUE"""),52)</f>
        <v>52</v>
      </c>
      <c r="I68" s="51">
        <f t="shared" ca="1" si="1"/>
        <v>1</v>
      </c>
      <c r="J68" s="67">
        <f ca="1">IFERROR(__xludf.DUMMYFUNCTION("""COMPUTED_VALUE"""),52)</f>
        <v>52</v>
      </c>
      <c r="K68" s="51">
        <f t="shared" ca="1" si="2"/>
        <v>1</v>
      </c>
      <c r="L68" s="67">
        <f ca="1">IFERROR(__xludf.DUMMYFUNCTION("""COMPUTED_VALUE"""),41)</f>
        <v>41</v>
      </c>
      <c r="M68" s="51">
        <f t="shared" ca="1" si="3"/>
        <v>0.78846153846153844</v>
      </c>
      <c r="N68" s="67">
        <f ca="1">IFERROR(__xludf.DUMMYFUNCTION("""COMPUTED_VALUE"""),1180)</f>
        <v>1180</v>
      </c>
      <c r="O68" s="67">
        <f ca="1">IFERROR(__xludf.DUMMYFUNCTION("""COMPUTED_VALUE"""),514)</f>
        <v>514</v>
      </c>
      <c r="P68" s="51">
        <f t="shared" ca="1" si="4"/>
        <v>0.43559322033898307</v>
      </c>
      <c r="Q68" s="67">
        <f ca="1">IFERROR(__xludf.DUMMYFUNCTION("""COMPUTED_VALUE"""),329)</f>
        <v>329</v>
      </c>
      <c r="R68" s="51">
        <f t="shared" ca="1" si="5"/>
        <v>0.27881355932203389</v>
      </c>
      <c r="S68" s="66"/>
      <c r="T68" s="66"/>
      <c r="U68" s="51" t="str">
        <f t="shared" si="6"/>
        <v/>
      </c>
      <c r="V68" s="66"/>
      <c r="W68" s="51" t="str">
        <f t="shared" si="7"/>
        <v/>
      </c>
      <c r="X68" s="66"/>
      <c r="Y68" s="51" t="str">
        <f t="shared" si="8"/>
        <v/>
      </c>
      <c r="Z68" s="2"/>
      <c r="AA68" s="2"/>
      <c r="AB68" s="2"/>
      <c r="AC68" s="2"/>
      <c r="AD68" s="2"/>
      <c r="AE68" s="2"/>
    </row>
    <row r="69" spans="1:31" ht="12.75" x14ac:dyDescent="0.2">
      <c r="A69" s="53">
        <f ca="1">IFERROR(__xludf.DUMMYFUNCTION("""COMPUTED_VALUE"""),63)</f>
        <v>63</v>
      </c>
      <c r="B69" s="66" t="str">
        <f ca="1">IFERROR(__xludf.DUMMYFUNCTION("""COMPUTED_VALUE"""),"Thái Phiên")</f>
        <v>Thái Phiên</v>
      </c>
      <c r="C69" s="66" t="str">
        <f ca="1">IFERROR(__xludf.DUMMYFUNCTION("""COMPUTED_VALUE"""),"TH")</f>
        <v>TH</v>
      </c>
      <c r="D69" s="66">
        <f ca="1">IFERROR(__xludf.DUMMYFUNCTION("""COMPUTED_VALUE"""),11)</f>
        <v>11</v>
      </c>
      <c r="E69" s="67">
        <f ca="1">IFERROR(__xludf.DUMMYFUNCTION("""COMPUTED_VALUE"""),25)</f>
        <v>25</v>
      </c>
      <c r="F69" s="67">
        <f ca="1">IFERROR(__xludf.DUMMYFUNCTION("""COMPUTED_VALUE"""),25)</f>
        <v>25</v>
      </c>
      <c r="G69" s="51">
        <f t="shared" ca="1" si="0"/>
        <v>1</v>
      </c>
      <c r="H69" s="67">
        <f ca="1">IFERROR(__xludf.DUMMYFUNCTION("""COMPUTED_VALUE"""),25)</f>
        <v>25</v>
      </c>
      <c r="I69" s="51">
        <f t="shared" ca="1" si="1"/>
        <v>1</v>
      </c>
      <c r="J69" s="67">
        <f ca="1">IFERROR(__xludf.DUMMYFUNCTION("""COMPUTED_VALUE"""),21)</f>
        <v>21</v>
      </c>
      <c r="K69" s="51">
        <f t="shared" ca="1" si="2"/>
        <v>0.84</v>
      </c>
      <c r="L69" s="67">
        <f ca="1">IFERROR(__xludf.DUMMYFUNCTION("""COMPUTED_VALUE"""),8)</f>
        <v>8</v>
      </c>
      <c r="M69" s="51">
        <f t="shared" ca="1" si="3"/>
        <v>0.32</v>
      </c>
      <c r="N69" s="67">
        <f ca="1">IFERROR(__xludf.DUMMYFUNCTION("""COMPUTED_VALUE"""),359)</f>
        <v>359</v>
      </c>
      <c r="O69" s="67">
        <f ca="1">IFERROR(__xludf.DUMMYFUNCTION("""COMPUTED_VALUE"""),52)</f>
        <v>52</v>
      </c>
      <c r="P69" s="51">
        <f t="shared" ca="1" si="4"/>
        <v>0.14484679665738162</v>
      </c>
      <c r="Q69" s="67">
        <f ca="1">IFERROR(__xludf.DUMMYFUNCTION("""COMPUTED_VALUE"""),147)</f>
        <v>147</v>
      </c>
      <c r="R69" s="51">
        <f t="shared" ca="1" si="5"/>
        <v>0.40947075208913647</v>
      </c>
      <c r="S69" s="66"/>
      <c r="T69" s="66"/>
      <c r="U69" s="51" t="str">
        <f t="shared" si="6"/>
        <v/>
      </c>
      <c r="V69" s="66"/>
      <c r="W69" s="51" t="str">
        <f t="shared" si="7"/>
        <v/>
      </c>
      <c r="X69" s="66"/>
      <c r="Y69" s="51" t="str">
        <f t="shared" si="8"/>
        <v/>
      </c>
      <c r="Z69" s="2"/>
      <c r="AA69" s="2"/>
      <c r="AB69" s="2"/>
      <c r="AC69" s="2"/>
      <c r="AD69" s="2"/>
      <c r="AE69" s="2"/>
    </row>
    <row r="70" spans="1:31" ht="12.75" x14ac:dyDescent="0.2">
      <c r="A70" s="53">
        <f ca="1">IFERROR(__xludf.DUMMYFUNCTION("""COMPUTED_VALUE"""),64)</f>
        <v>64</v>
      </c>
      <c r="B70" s="66" t="str">
        <f ca="1">IFERROR(__xludf.DUMMYFUNCTION("""COMPUTED_VALUE"""),"TH Việt Mỹ")</f>
        <v>TH Việt Mỹ</v>
      </c>
      <c r="C70" s="66" t="str">
        <f ca="1">IFERROR(__xludf.DUMMYFUNCTION("""COMPUTED_VALUE"""),"TH")</f>
        <v>TH</v>
      </c>
      <c r="D70" s="66">
        <f ca="1">IFERROR(__xludf.DUMMYFUNCTION("""COMPUTED_VALUE"""),11)</f>
        <v>11</v>
      </c>
      <c r="E70" s="67">
        <f ca="1">IFERROR(__xludf.DUMMYFUNCTION("""COMPUTED_VALUE"""),182)</f>
        <v>182</v>
      </c>
      <c r="F70" s="67">
        <f ca="1">IFERROR(__xludf.DUMMYFUNCTION("""COMPUTED_VALUE"""),180)</f>
        <v>180</v>
      </c>
      <c r="G70" s="51">
        <f t="shared" ref="G70:G78" ca="1" si="9">IFERROR(F70/E70,"")</f>
        <v>0.98901098901098905</v>
      </c>
      <c r="H70" s="67">
        <f ca="1">IFERROR(__xludf.DUMMYFUNCTION("""COMPUTED_VALUE"""),177)</f>
        <v>177</v>
      </c>
      <c r="I70" s="51">
        <f t="shared" ref="I70:I78" ca="1" si="10">IFERROR(H70/E70,"")</f>
        <v>0.97252747252747251</v>
      </c>
      <c r="J70" s="67">
        <f ca="1">IFERROR(__xludf.DUMMYFUNCTION("""COMPUTED_VALUE"""),152)</f>
        <v>152</v>
      </c>
      <c r="K70" s="51">
        <f t="shared" ref="K70:K78" ca="1" si="11">IFERROR(J70/E70,"")</f>
        <v>0.8351648351648352</v>
      </c>
      <c r="L70" s="67">
        <f ca="1">IFERROR(__xludf.DUMMYFUNCTION("""COMPUTED_VALUE"""),56)</f>
        <v>56</v>
      </c>
      <c r="M70" s="51">
        <f t="shared" ref="M70:M78" ca="1" si="12">IFERROR(L70/E70,"")</f>
        <v>0.30769230769230771</v>
      </c>
      <c r="N70" s="67">
        <f ca="1">IFERROR(__xludf.DUMMYFUNCTION("""COMPUTED_VALUE"""),808)</f>
        <v>808</v>
      </c>
      <c r="O70" s="67">
        <f ca="1">IFERROR(__xludf.DUMMYFUNCTION("""COMPUTED_VALUE"""),233)</f>
        <v>233</v>
      </c>
      <c r="P70" s="51">
        <f t="shared" ref="P70:P78" ca="1" si="13">IFERROR(O70/N70,"")</f>
        <v>0.28836633663366334</v>
      </c>
      <c r="Q70" s="67">
        <f ca="1">IFERROR(__xludf.DUMMYFUNCTION("""COMPUTED_VALUE"""),81)</f>
        <v>81</v>
      </c>
      <c r="R70" s="51">
        <f t="shared" ref="R70:R78" ca="1" si="14">IFERROR(Q70/N70,"")</f>
        <v>0.10024752475247525</v>
      </c>
      <c r="S70" s="66"/>
      <c r="T70" s="66"/>
      <c r="U70" s="51" t="str">
        <f t="shared" ref="U70:U78" si="15">IFERROR(T70/S70,"")</f>
        <v/>
      </c>
      <c r="V70" s="66"/>
      <c r="W70" s="51" t="str">
        <f t="shared" ref="W70:W78" si="16">IFERROR(V70/S70,"")</f>
        <v/>
      </c>
      <c r="X70" s="66"/>
      <c r="Y70" s="51" t="str">
        <f t="shared" ref="Y70:Y78" si="17">IFERROR(X70/S70,"")</f>
        <v/>
      </c>
      <c r="Z70" s="2"/>
      <c r="AA70" s="2"/>
      <c r="AB70" s="2"/>
      <c r="AC70" s="2"/>
      <c r="AD70" s="2"/>
      <c r="AE70" s="2"/>
    </row>
    <row r="71" spans="1:31" ht="12.75" x14ac:dyDescent="0.2">
      <c r="A71" s="53">
        <f ca="1">IFERROR(__xludf.DUMMYFUNCTION("""COMPUTED_VALUE"""),65)</f>
        <v>65</v>
      </c>
      <c r="B71" s="66" t="str">
        <f ca="1">IFERROR(__xludf.DUMMYFUNCTION("""COMPUTED_VALUE"""),"Quyết Thắng")</f>
        <v>Quyết Thắng</v>
      </c>
      <c r="C71" s="66" t="str">
        <f ca="1">IFERROR(__xludf.DUMMYFUNCTION("""COMPUTED_VALUE"""),"TH")</f>
        <v>TH</v>
      </c>
      <c r="D71" s="66">
        <f ca="1">IFERROR(__xludf.DUMMYFUNCTION("""COMPUTED_VALUE"""),11)</f>
        <v>11</v>
      </c>
      <c r="E71" s="67">
        <f ca="1">IFERROR(__xludf.DUMMYFUNCTION("""COMPUTED_VALUE"""),25)</f>
        <v>25</v>
      </c>
      <c r="F71" s="67">
        <f ca="1">IFERROR(__xludf.DUMMYFUNCTION("""COMPUTED_VALUE"""),25)</f>
        <v>25</v>
      </c>
      <c r="G71" s="51">
        <f t="shared" ca="1" si="9"/>
        <v>1</v>
      </c>
      <c r="H71" s="67">
        <f ca="1">IFERROR(__xludf.DUMMYFUNCTION("""COMPUTED_VALUE"""),25)</f>
        <v>25</v>
      </c>
      <c r="I71" s="51">
        <f t="shared" ca="1" si="10"/>
        <v>1</v>
      </c>
      <c r="J71" s="67">
        <f ca="1">IFERROR(__xludf.DUMMYFUNCTION("""COMPUTED_VALUE"""),25)</f>
        <v>25</v>
      </c>
      <c r="K71" s="51">
        <f t="shared" ca="1" si="11"/>
        <v>1</v>
      </c>
      <c r="L71" s="67">
        <f ca="1">IFERROR(__xludf.DUMMYFUNCTION("""COMPUTED_VALUE"""),18)</f>
        <v>18</v>
      </c>
      <c r="M71" s="51">
        <f t="shared" ca="1" si="12"/>
        <v>0.72</v>
      </c>
      <c r="N71" s="67">
        <f ca="1">IFERROR(__xludf.DUMMYFUNCTION("""COMPUTED_VALUE"""),472)</f>
        <v>472</v>
      </c>
      <c r="O71" s="67">
        <f ca="1">IFERROR(__xludf.DUMMYFUNCTION("""COMPUTED_VALUE"""),247)</f>
        <v>247</v>
      </c>
      <c r="P71" s="51">
        <f t="shared" ca="1" si="13"/>
        <v>0.52330508474576276</v>
      </c>
      <c r="Q71" s="67">
        <f ca="1">IFERROR(__xludf.DUMMYFUNCTION("""COMPUTED_VALUE"""),139)</f>
        <v>139</v>
      </c>
      <c r="R71" s="51">
        <f t="shared" ca="1" si="14"/>
        <v>0.29449152542372881</v>
      </c>
      <c r="S71" s="66"/>
      <c r="T71" s="66"/>
      <c r="U71" s="51" t="str">
        <f t="shared" si="15"/>
        <v/>
      </c>
      <c r="V71" s="66"/>
      <c r="W71" s="51" t="str">
        <f t="shared" si="16"/>
        <v/>
      </c>
      <c r="X71" s="66"/>
      <c r="Y71" s="51" t="str">
        <f t="shared" si="17"/>
        <v/>
      </c>
      <c r="Z71" s="2"/>
      <c r="AA71" s="2"/>
      <c r="AB71" s="2"/>
      <c r="AC71" s="2"/>
      <c r="AD71" s="2"/>
      <c r="AE71" s="2"/>
    </row>
    <row r="72" spans="1:31" ht="12.75" x14ac:dyDescent="0.2">
      <c r="A72" s="53">
        <f ca="1">IFERROR(__xludf.DUMMYFUNCTION("""COMPUTED_VALUE"""),66)</f>
        <v>66</v>
      </c>
      <c r="B72" s="66" t="str">
        <f ca="1">IFERROR(__xludf.DUMMYFUNCTION("""COMPUTED_VALUE"""),"TH Phú Thọ")</f>
        <v>TH Phú Thọ</v>
      </c>
      <c r="C72" s="66" t="str">
        <f ca="1">IFERROR(__xludf.DUMMYFUNCTION("""COMPUTED_VALUE"""),"TH")</f>
        <v>TH</v>
      </c>
      <c r="D72" s="66">
        <f ca="1">IFERROR(__xludf.DUMMYFUNCTION("""COMPUTED_VALUE"""),11)</f>
        <v>11</v>
      </c>
      <c r="E72" s="67">
        <f ca="1">IFERROR(__xludf.DUMMYFUNCTION("""COMPUTED_VALUE"""),71)</f>
        <v>71</v>
      </c>
      <c r="F72" s="67">
        <f ca="1">IFERROR(__xludf.DUMMYFUNCTION("""COMPUTED_VALUE"""),71)</f>
        <v>71</v>
      </c>
      <c r="G72" s="51">
        <f t="shared" ca="1" si="9"/>
        <v>1</v>
      </c>
      <c r="H72" s="67">
        <f ca="1">IFERROR(__xludf.DUMMYFUNCTION("""COMPUTED_VALUE"""),71)</f>
        <v>71</v>
      </c>
      <c r="I72" s="51">
        <f t="shared" ca="1" si="10"/>
        <v>1</v>
      </c>
      <c r="J72" s="67">
        <f ca="1">IFERROR(__xludf.DUMMYFUNCTION("""COMPUTED_VALUE"""),71)</f>
        <v>71</v>
      </c>
      <c r="K72" s="51">
        <f t="shared" ca="1" si="11"/>
        <v>1</v>
      </c>
      <c r="L72" s="67">
        <f ca="1">IFERROR(__xludf.DUMMYFUNCTION("""COMPUTED_VALUE"""),51)</f>
        <v>51</v>
      </c>
      <c r="M72" s="51">
        <f t="shared" ca="1" si="12"/>
        <v>0.71830985915492962</v>
      </c>
      <c r="N72" s="67">
        <f ca="1">IFERROR(__xludf.DUMMYFUNCTION("""COMPUTED_VALUE"""),1139)</f>
        <v>1139</v>
      </c>
      <c r="O72" s="67">
        <f ca="1">IFERROR(__xludf.DUMMYFUNCTION("""COMPUTED_VALUE"""),707)</f>
        <v>707</v>
      </c>
      <c r="P72" s="51">
        <f t="shared" ca="1" si="13"/>
        <v>0.62071992976294998</v>
      </c>
      <c r="Q72" s="67">
        <f ca="1">IFERROR(__xludf.DUMMYFUNCTION("""COMPUTED_VALUE"""),516)</f>
        <v>516</v>
      </c>
      <c r="R72" s="51">
        <f t="shared" ca="1" si="14"/>
        <v>0.45302897278314314</v>
      </c>
      <c r="S72" s="66"/>
      <c r="T72" s="66"/>
      <c r="U72" s="51" t="str">
        <f t="shared" si="15"/>
        <v/>
      </c>
      <c r="V72" s="66"/>
      <c r="W72" s="51" t="str">
        <f t="shared" si="16"/>
        <v/>
      </c>
      <c r="X72" s="66"/>
      <c r="Y72" s="51" t="str">
        <f t="shared" si="17"/>
        <v/>
      </c>
      <c r="Z72" s="2"/>
      <c r="AA72" s="2"/>
      <c r="AB72" s="2"/>
      <c r="AC72" s="2"/>
      <c r="AD72" s="2"/>
      <c r="AE72" s="2"/>
    </row>
    <row r="73" spans="1:31" ht="12.75" x14ac:dyDescent="0.2">
      <c r="A73" s="53">
        <f ca="1">IFERROR(__xludf.DUMMYFUNCTION("""COMPUTED_VALUE"""),67)</f>
        <v>67</v>
      </c>
      <c r="B73" s="66" t="str">
        <f ca="1">IFERROR(__xludf.DUMMYFUNCTION("""COMPUTED_VALUE"""),"Đại Thành")</f>
        <v>Đại Thành</v>
      </c>
      <c r="C73" s="66" t="str">
        <f ca="1">IFERROR(__xludf.DUMMYFUNCTION("""COMPUTED_VALUE"""),"TH")</f>
        <v>TH</v>
      </c>
      <c r="D73" s="66">
        <f ca="1">IFERROR(__xludf.DUMMYFUNCTION("""COMPUTED_VALUE"""),11)</f>
        <v>11</v>
      </c>
      <c r="E73" s="67">
        <f ca="1">IFERROR(__xludf.DUMMYFUNCTION("""COMPUTED_VALUE"""),35)</f>
        <v>35</v>
      </c>
      <c r="F73" s="67">
        <f ca="1">IFERROR(__xludf.DUMMYFUNCTION("""COMPUTED_VALUE"""),35)</f>
        <v>35</v>
      </c>
      <c r="G73" s="51">
        <f t="shared" ca="1" si="9"/>
        <v>1</v>
      </c>
      <c r="H73" s="67">
        <f ca="1">IFERROR(__xludf.DUMMYFUNCTION("""COMPUTED_VALUE"""),35)</f>
        <v>35</v>
      </c>
      <c r="I73" s="51">
        <f t="shared" ca="1" si="10"/>
        <v>1</v>
      </c>
      <c r="J73" s="67">
        <f ca="1">IFERROR(__xludf.DUMMYFUNCTION("""COMPUTED_VALUE"""),35)</f>
        <v>35</v>
      </c>
      <c r="K73" s="51">
        <f t="shared" ca="1" si="11"/>
        <v>1</v>
      </c>
      <c r="L73" s="67">
        <f ca="1">IFERROR(__xludf.DUMMYFUNCTION("""COMPUTED_VALUE"""),26)</f>
        <v>26</v>
      </c>
      <c r="M73" s="51">
        <f t="shared" ca="1" si="12"/>
        <v>0.74285714285714288</v>
      </c>
      <c r="N73" s="67">
        <f ca="1">IFERROR(__xludf.DUMMYFUNCTION("""COMPUTED_VALUE"""),542)</f>
        <v>542</v>
      </c>
      <c r="O73" s="67">
        <f ca="1">IFERROR(__xludf.DUMMYFUNCTION("""COMPUTED_VALUE"""),139)</f>
        <v>139</v>
      </c>
      <c r="P73" s="51">
        <f t="shared" ca="1" si="13"/>
        <v>0.25645756457564578</v>
      </c>
      <c r="Q73" s="67">
        <f ca="1">IFERROR(__xludf.DUMMYFUNCTION("""COMPUTED_VALUE"""),150)</f>
        <v>150</v>
      </c>
      <c r="R73" s="51">
        <f t="shared" ca="1" si="14"/>
        <v>0.2767527675276753</v>
      </c>
      <c r="S73" s="66"/>
      <c r="T73" s="66"/>
      <c r="U73" s="51" t="str">
        <f t="shared" si="15"/>
        <v/>
      </c>
      <c r="V73" s="66"/>
      <c r="W73" s="51" t="str">
        <f t="shared" si="16"/>
        <v/>
      </c>
      <c r="X73" s="66"/>
      <c r="Y73" s="51" t="str">
        <f t="shared" si="17"/>
        <v/>
      </c>
      <c r="Z73" s="2"/>
      <c r="AA73" s="2"/>
      <c r="AB73" s="2"/>
      <c r="AC73" s="2"/>
      <c r="AD73" s="2"/>
      <c r="AE73" s="2"/>
    </row>
    <row r="74" spans="1:31" ht="12.75" x14ac:dyDescent="0.2">
      <c r="A74" s="53">
        <f ca="1">IFERROR(__xludf.DUMMYFUNCTION("""COMPUTED_VALUE"""),68)</f>
        <v>68</v>
      </c>
      <c r="B74" s="66" t="str">
        <f ca="1">IFERROR(__xludf.DUMMYFUNCTION("""COMPUTED_VALUE"""),"Nguyễn Thị Nhỏ")</f>
        <v>Nguyễn Thị Nhỏ</v>
      </c>
      <c r="C74" s="66" t="str">
        <f ca="1">IFERROR(__xludf.DUMMYFUNCTION("""COMPUTED_VALUE"""),"TH")</f>
        <v>TH</v>
      </c>
      <c r="D74" s="66">
        <f ca="1">IFERROR(__xludf.DUMMYFUNCTION("""COMPUTED_VALUE"""),11)</f>
        <v>11</v>
      </c>
      <c r="E74" s="67">
        <f ca="1">IFERROR(__xludf.DUMMYFUNCTION("""COMPUTED_VALUE"""),40)</f>
        <v>40</v>
      </c>
      <c r="F74" s="67">
        <f ca="1">IFERROR(__xludf.DUMMYFUNCTION("""COMPUTED_VALUE"""),40)</f>
        <v>40</v>
      </c>
      <c r="G74" s="51">
        <f t="shared" ca="1" si="9"/>
        <v>1</v>
      </c>
      <c r="H74" s="67">
        <f ca="1">IFERROR(__xludf.DUMMYFUNCTION("""COMPUTED_VALUE"""),40)</f>
        <v>40</v>
      </c>
      <c r="I74" s="51">
        <f t="shared" ca="1" si="10"/>
        <v>1</v>
      </c>
      <c r="J74" s="67">
        <f ca="1">IFERROR(__xludf.DUMMYFUNCTION("""COMPUTED_VALUE"""),39)</f>
        <v>39</v>
      </c>
      <c r="K74" s="51">
        <f t="shared" ca="1" si="11"/>
        <v>0.97499999999999998</v>
      </c>
      <c r="L74" s="67">
        <f ca="1">IFERROR(__xludf.DUMMYFUNCTION("""COMPUTED_VALUE"""),37)</f>
        <v>37</v>
      </c>
      <c r="M74" s="51">
        <f t="shared" ca="1" si="12"/>
        <v>0.92500000000000004</v>
      </c>
      <c r="N74" s="67">
        <f ca="1">IFERROR(__xludf.DUMMYFUNCTION("""COMPUTED_VALUE"""),587)</f>
        <v>587</v>
      </c>
      <c r="O74" s="67">
        <f ca="1">IFERROR(__xludf.DUMMYFUNCTION("""COMPUTED_VALUE"""),180)</f>
        <v>180</v>
      </c>
      <c r="P74" s="51">
        <f t="shared" ca="1" si="13"/>
        <v>0.30664395229982966</v>
      </c>
      <c r="Q74" s="67">
        <f ca="1">IFERROR(__xludf.DUMMYFUNCTION("""COMPUTED_VALUE"""),129)</f>
        <v>129</v>
      </c>
      <c r="R74" s="51">
        <f t="shared" ca="1" si="14"/>
        <v>0.21976149914821125</v>
      </c>
      <c r="S74" s="66"/>
      <c r="T74" s="66"/>
      <c r="U74" s="51" t="str">
        <f t="shared" si="15"/>
        <v/>
      </c>
      <c r="V74" s="66"/>
      <c r="W74" s="51" t="str">
        <f t="shared" si="16"/>
        <v/>
      </c>
      <c r="X74" s="66"/>
      <c r="Y74" s="51" t="str">
        <f t="shared" si="17"/>
        <v/>
      </c>
      <c r="Z74" s="2"/>
      <c r="AA74" s="2"/>
      <c r="AB74" s="2"/>
      <c r="AC74" s="2"/>
      <c r="AD74" s="2"/>
      <c r="AE74" s="2"/>
    </row>
    <row r="75" spans="1:31" ht="12.75" x14ac:dyDescent="0.2">
      <c r="A75" s="53">
        <f ca="1">IFERROR(__xludf.DUMMYFUNCTION("""COMPUTED_VALUE"""),69)</f>
        <v>69</v>
      </c>
      <c r="B75" s="66" t="str">
        <f ca="1">IFERROR(__xludf.DUMMYFUNCTION("""COMPUTED_VALUE"""),"Trưng Trắc")</f>
        <v>Trưng Trắc</v>
      </c>
      <c r="C75" s="66" t="str">
        <f ca="1">IFERROR(__xludf.DUMMYFUNCTION("""COMPUTED_VALUE"""),"TH")</f>
        <v>TH</v>
      </c>
      <c r="D75" s="66">
        <f ca="1">IFERROR(__xludf.DUMMYFUNCTION("""COMPUTED_VALUE"""),11)</f>
        <v>11</v>
      </c>
      <c r="E75" s="67">
        <f ca="1">IFERROR(__xludf.DUMMYFUNCTION("""COMPUTED_VALUE"""),91)</f>
        <v>91</v>
      </c>
      <c r="F75" s="67">
        <f ca="1">IFERROR(__xludf.DUMMYFUNCTION("""COMPUTED_VALUE"""),91)</f>
        <v>91</v>
      </c>
      <c r="G75" s="51">
        <f t="shared" ca="1" si="9"/>
        <v>1</v>
      </c>
      <c r="H75" s="67">
        <f ca="1">IFERROR(__xludf.DUMMYFUNCTION("""COMPUTED_VALUE"""),91)</f>
        <v>91</v>
      </c>
      <c r="I75" s="51">
        <f t="shared" ca="1" si="10"/>
        <v>1</v>
      </c>
      <c r="J75" s="67">
        <f ca="1">IFERROR(__xludf.DUMMYFUNCTION("""COMPUTED_VALUE"""),91)</f>
        <v>91</v>
      </c>
      <c r="K75" s="51">
        <f t="shared" ca="1" si="11"/>
        <v>1</v>
      </c>
      <c r="L75" s="67">
        <f ca="1">IFERROR(__xludf.DUMMYFUNCTION("""COMPUTED_VALUE"""),83)</f>
        <v>83</v>
      </c>
      <c r="M75" s="51">
        <f t="shared" ca="1" si="12"/>
        <v>0.91208791208791207</v>
      </c>
      <c r="N75" s="67">
        <f ca="1">IFERROR(__xludf.DUMMYFUNCTION("""COMPUTED_VALUE"""),1328)</f>
        <v>1328</v>
      </c>
      <c r="O75" s="67">
        <f ca="1">IFERROR(__xludf.DUMMYFUNCTION("""COMPUTED_VALUE"""),425)</f>
        <v>425</v>
      </c>
      <c r="P75" s="51">
        <f t="shared" ca="1" si="13"/>
        <v>0.32003012048192769</v>
      </c>
      <c r="Q75" s="67">
        <f ca="1">IFERROR(__xludf.DUMMYFUNCTION("""COMPUTED_VALUE"""),367)</f>
        <v>367</v>
      </c>
      <c r="R75" s="51">
        <f t="shared" ca="1" si="14"/>
        <v>0.27635542168674698</v>
      </c>
      <c r="S75" s="66"/>
      <c r="T75" s="66"/>
      <c r="U75" s="51" t="str">
        <f t="shared" si="15"/>
        <v/>
      </c>
      <c r="V75" s="66"/>
      <c r="W75" s="51" t="str">
        <f t="shared" si="16"/>
        <v/>
      </c>
      <c r="X75" s="66"/>
      <c r="Y75" s="51" t="str">
        <f t="shared" si="17"/>
        <v/>
      </c>
      <c r="Z75" s="2"/>
      <c r="AA75" s="2"/>
      <c r="AB75" s="2"/>
      <c r="AC75" s="2"/>
      <c r="AD75" s="2"/>
      <c r="AE75" s="2"/>
    </row>
    <row r="76" spans="1:31" ht="12.75" x14ac:dyDescent="0.2">
      <c r="A76" s="53">
        <f ca="1">IFERROR(__xludf.DUMMYFUNCTION("""COMPUTED_VALUE"""),70)</f>
        <v>70</v>
      </c>
      <c r="B76" s="66" t="str">
        <f ca="1">IFERROR(__xludf.DUMMYFUNCTION("""COMPUTED_VALUE"""),"Lê Đình Chinh")</f>
        <v>Lê Đình Chinh</v>
      </c>
      <c r="C76" s="66" t="str">
        <f ca="1">IFERROR(__xludf.DUMMYFUNCTION("""COMPUTED_VALUE"""),"TH")</f>
        <v>TH</v>
      </c>
      <c r="D76" s="66">
        <f ca="1">IFERROR(__xludf.DUMMYFUNCTION("""COMPUTED_VALUE"""),11)</f>
        <v>11</v>
      </c>
      <c r="E76" s="67">
        <f ca="1">IFERROR(__xludf.DUMMYFUNCTION("""COMPUTED_VALUE"""),66)</f>
        <v>66</v>
      </c>
      <c r="F76" s="67">
        <f ca="1">IFERROR(__xludf.DUMMYFUNCTION("""COMPUTED_VALUE"""),66)</f>
        <v>66</v>
      </c>
      <c r="G76" s="51">
        <f t="shared" ca="1" si="9"/>
        <v>1</v>
      </c>
      <c r="H76" s="67">
        <f ca="1">IFERROR(__xludf.DUMMYFUNCTION("""COMPUTED_VALUE"""),66)</f>
        <v>66</v>
      </c>
      <c r="I76" s="51">
        <f t="shared" ca="1" si="10"/>
        <v>1</v>
      </c>
      <c r="J76" s="67">
        <f ca="1">IFERROR(__xludf.DUMMYFUNCTION("""COMPUTED_VALUE"""),66)</f>
        <v>66</v>
      </c>
      <c r="K76" s="51">
        <f t="shared" ca="1" si="11"/>
        <v>1</v>
      </c>
      <c r="L76" s="67">
        <f ca="1">IFERROR(__xludf.DUMMYFUNCTION("""COMPUTED_VALUE"""),59)</f>
        <v>59</v>
      </c>
      <c r="M76" s="51">
        <f t="shared" ca="1" si="12"/>
        <v>0.89393939393939392</v>
      </c>
      <c r="N76" s="67">
        <f ca="1">IFERROR(__xludf.DUMMYFUNCTION("""COMPUTED_VALUE"""),1073)</f>
        <v>1073</v>
      </c>
      <c r="O76" s="67">
        <f ca="1">IFERROR(__xludf.DUMMYFUNCTION("""COMPUTED_VALUE"""),570)</f>
        <v>570</v>
      </c>
      <c r="P76" s="51">
        <f t="shared" ca="1" si="13"/>
        <v>0.53122087604846224</v>
      </c>
      <c r="Q76" s="67">
        <f ca="1">IFERROR(__xludf.DUMMYFUNCTION("""COMPUTED_VALUE"""),330)</f>
        <v>330</v>
      </c>
      <c r="R76" s="51">
        <f t="shared" ca="1" si="14"/>
        <v>0.30754892823858343</v>
      </c>
      <c r="S76" s="66"/>
      <c r="T76" s="66"/>
      <c r="U76" s="51" t="str">
        <f t="shared" si="15"/>
        <v/>
      </c>
      <c r="V76" s="66"/>
      <c r="W76" s="51" t="str">
        <f t="shared" si="16"/>
        <v/>
      </c>
      <c r="X76" s="66"/>
      <c r="Y76" s="51" t="str">
        <f t="shared" si="17"/>
        <v/>
      </c>
      <c r="Z76" s="2"/>
      <c r="AA76" s="2"/>
      <c r="AB76" s="2"/>
      <c r="AC76" s="2"/>
      <c r="AD76" s="2"/>
      <c r="AE76" s="2"/>
    </row>
    <row r="77" spans="1:31" ht="12.75" x14ac:dyDescent="0.2">
      <c r="A77" s="52"/>
      <c r="B77" s="68" t="str">
        <f ca="1">IFERROR(__xludf.DUMMYFUNCTION("""COMPUTED_VALUE"""),"Cộng Tiểu học")</f>
        <v>Cộng Tiểu học</v>
      </c>
      <c r="C77" s="68"/>
      <c r="D77" s="68"/>
      <c r="E77" s="69">
        <f ca="1">IFERROR(__xludf.DUMMYFUNCTION("""COMPUTED_VALUE"""),1103)</f>
        <v>1103</v>
      </c>
      <c r="F77" s="69">
        <f ca="1">IFERROR(__xludf.DUMMYFUNCTION("""COMPUTED_VALUE"""),1067)</f>
        <v>1067</v>
      </c>
      <c r="G77" s="51">
        <f t="shared" ca="1" si="9"/>
        <v>0.9673617407071623</v>
      </c>
      <c r="H77" s="69">
        <f ca="1">IFERROR(__xludf.DUMMYFUNCTION("""COMPUTED_VALUE"""),1066)</f>
        <v>1066</v>
      </c>
      <c r="I77" s="51">
        <f t="shared" ca="1" si="10"/>
        <v>0.96645512239347231</v>
      </c>
      <c r="J77" s="69">
        <f ca="1">IFERROR(__xludf.DUMMYFUNCTION("""COMPUTED_VALUE"""),1034)</f>
        <v>1034</v>
      </c>
      <c r="K77" s="51">
        <f t="shared" ca="1" si="11"/>
        <v>0.93744333635539434</v>
      </c>
      <c r="L77" s="69">
        <f ca="1">IFERROR(__xludf.DUMMYFUNCTION("""COMPUTED_VALUE"""),734)</f>
        <v>734</v>
      </c>
      <c r="M77" s="51">
        <f t="shared" ca="1" si="12"/>
        <v>0.66545784224841342</v>
      </c>
      <c r="N77" s="69">
        <f ca="1">IFERROR(__xludf.DUMMYFUNCTION("""COMPUTED_VALUE"""),14855)</f>
        <v>14855</v>
      </c>
      <c r="O77" s="69">
        <f ca="1">IFERROR(__xludf.DUMMYFUNCTION("""COMPUTED_VALUE"""),7058)</f>
        <v>7058</v>
      </c>
      <c r="P77" s="51">
        <f t="shared" ca="1" si="13"/>
        <v>0.47512622012790307</v>
      </c>
      <c r="Q77" s="69">
        <f ca="1">IFERROR(__xludf.DUMMYFUNCTION("""COMPUTED_VALUE"""),4738)</f>
        <v>4738</v>
      </c>
      <c r="R77" s="51">
        <f t="shared" ca="1" si="14"/>
        <v>0.31894984853584651</v>
      </c>
      <c r="S77" s="68"/>
      <c r="T77" s="68"/>
      <c r="U77" s="51" t="str">
        <f t="shared" si="15"/>
        <v/>
      </c>
      <c r="V77" s="68"/>
      <c r="W77" s="51" t="str">
        <f t="shared" si="16"/>
        <v/>
      </c>
      <c r="X77" s="68"/>
      <c r="Y77" s="51" t="str">
        <f t="shared" si="17"/>
        <v/>
      </c>
      <c r="Z77" s="1"/>
      <c r="AA77" s="1"/>
      <c r="AB77" s="1"/>
      <c r="AC77" s="1"/>
      <c r="AD77" s="1"/>
      <c r="AE77" s="1"/>
    </row>
    <row r="78" spans="1:31" ht="12.75" x14ac:dyDescent="0.2">
      <c r="A78" s="53">
        <f ca="1">IFERROR(__xludf.DUMMYFUNCTION("""COMPUTED_VALUE"""),71)</f>
        <v>71</v>
      </c>
      <c r="B78" s="66" t="str">
        <f ca="1">IFERROR(__xludf.DUMMYFUNCTION("""COMPUTED_VALUE"""),"Lê Anh Xuân")</f>
        <v>Lê Anh Xuân</v>
      </c>
      <c r="C78" s="66" t="str">
        <f ca="1">IFERROR(__xludf.DUMMYFUNCTION("""COMPUTED_VALUE"""),"THCS")</f>
        <v>THCS</v>
      </c>
      <c r="D78" s="66">
        <f ca="1">IFERROR(__xludf.DUMMYFUNCTION("""COMPUTED_VALUE"""),11)</f>
        <v>11</v>
      </c>
      <c r="E78" s="67">
        <f ca="1">IFERROR(__xludf.DUMMYFUNCTION("""COMPUTED_VALUE"""),77)</f>
        <v>77</v>
      </c>
      <c r="F78" s="67">
        <f ca="1">IFERROR(__xludf.DUMMYFUNCTION("""COMPUTED_VALUE"""),76)</f>
        <v>76</v>
      </c>
      <c r="G78" s="51">
        <f t="shared" ca="1" si="9"/>
        <v>0.98701298701298701</v>
      </c>
      <c r="H78" s="67">
        <f ca="1">IFERROR(__xludf.DUMMYFUNCTION("""COMPUTED_VALUE"""),76)</f>
        <v>76</v>
      </c>
      <c r="I78" s="51">
        <f t="shared" ca="1" si="10"/>
        <v>0.98701298701298701</v>
      </c>
      <c r="J78" s="67">
        <f ca="1">IFERROR(__xludf.DUMMYFUNCTION("""COMPUTED_VALUE"""),74)</f>
        <v>74</v>
      </c>
      <c r="K78" s="51">
        <f t="shared" ca="1" si="11"/>
        <v>0.96103896103896103</v>
      </c>
      <c r="L78" s="67">
        <f ca="1">IFERROR(__xludf.DUMMYFUNCTION("""COMPUTED_VALUE"""),60)</f>
        <v>60</v>
      </c>
      <c r="M78" s="51">
        <f t="shared" ca="1" si="12"/>
        <v>0.77922077922077926</v>
      </c>
      <c r="N78" s="67">
        <f ca="1">IFERROR(__xludf.DUMMYFUNCTION("""COMPUTED_VALUE"""),355)</f>
        <v>355</v>
      </c>
      <c r="O78" s="67">
        <f ca="1">IFERROR(__xludf.DUMMYFUNCTION("""COMPUTED_VALUE"""),82)</f>
        <v>82</v>
      </c>
      <c r="P78" s="51">
        <f t="shared" ca="1" si="13"/>
        <v>0.23098591549295774</v>
      </c>
      <c r="Q78" s="67">
        <f ca="1">IFERROR(__xludf.DUMMYFUNCTION("""COMPUTED_VALUE"""),200)</f>
        <v>200</v>
      </c>
      <c r="R78" s="51">
        <f t="shared" ca="1" si="14"/>
        <v>0.56338028169014087</v>
      </c>
      <c r="S78" s="66">
        <f ca="1">IFERROR(__xludf.DUMMYFUNCTION("""COMPUTED_VALUE"""),923)</f>
        <v>923</v>
      </c>
      <c r="T78" s="66">
        <f ca="1">IFERROR(__xludf.DUMMYFUNCTION("""COMPUTED_VALUE"""),20)</f>
        <v>20</v>
      </c>
      <c r="U78" s="51">
        <f t="shared" ca="1" si="15"/>
        <v>2.1668472372697724E-2</v>
      </c>
      <c r="V78" s="66">
        <f ca="1">IFERROR(__xludf.DUMMYFUNCTION("""COMPUTED_VALUE"""),322)</f>
        <v>322</v>
      </c>
      <c r="W78" s="51">
        <f t="shared" ca="1" si="16"/>
        <v>0.34886240520043338</v>
      </c>
      <c r="X78" s="66">
        <f ca="1">IFERROR(__xludf.DUMMYFUNCTION("""COMPUTED_VALUE"""),543)</f>
        <v>543</v>
      </c>
      <c r="Y78" s="51">
        <f t="shared" ca="1" si="17"/>
        <v>0.5882990249187432</v>
      </c>
      <c r="Z78" s="2"/>
      <c r="AA78" s="2"/>
      <c r="AB78" s="2"/>
      <c r="AC78" s="2"/>
      <c r="AD78" s="2"/>
      <c r="AE78" s="2"/>
    </row>
    <row r="79" spans="1:31" ht="12.75" x14ac:dyDescent="0.2">
      <c r="A79" s="53">
        <f ca="1">IFERROR(__xludf.DUMMYFUNCTION("""COMPUTED_VALUE"""),72)</f>
        <v>72</v>
      </c>
      <c r="B79" s="66" t="str">
        <f ca="1">IFERROR(__xludf.DUMMYFUNCTION("""COMPUTED_VALUE"""),"Nguyễn Văn Phú")</f>
        <v>Nguyễn Văn Phú</v>
      </c>
      <c r="C79" s="66" t="str">
        <f ca="1">IFERROR(__xludf.DUMMYFUNCTION("""COMPUTED_VALUE"""),"THCS")</f>
        <v>THCS</v>
      </c>
      <c r="D79" s="66">
        <f ca="1">IFERROR(__xludf.DUMMYFUNCTION("""COMPUTED_VALUE"""),11)</f>
        <v>11</v>
      </c>
      <c r="E79" s="67">
        <f ca="1">IFERROR(__xludf.DUMMYFUNCTION("""COMPUTED_VALUE"""),74)</f>
        <v>74</v>
      </c>
      <c r="F79" s="67">
        <f ca="1">IFERROR(__xludf.DUMMYFUNCTION("""COMPUTED_VALUE"""),74)</f>
        <v>74</v>
      </c>
      <c r="G79" s="67"/>
      <c r="H79" s="67">
        <f ca="1">IFERROR(__xludf.DUMMYFUNCTION("""COMPUTED_VALUE"""),74)</f>
        <v>74</v>
      </c>
      <c r="I79" s="67"/>
      <c r="J79" s="67">
        <f ca="1">IFERROR(__xludf.DUMMYFUNCTION("""COMPUTED_VALUE"""),74)</f>
        <v>74</v>
      </c>
      <c r="K79" s="67"/>
      <c r="L79" s="67">
        <f ca="1">IFERROR(__xludf.DUMMYFUNCTION("""COMPUTED_VALUE"""),61)</f>
        <v>61</v>
      </c>
      <c r="M79" s="67"/>
      <c r="N79" s="67">
        <f ca="1">IFERROR(__xludf.DUMMYFUNCTION("""COMPUTED_VALUE"""),292)</f>
        <v>292</v>
      </c>
      <c r="O79" s="67">
        <f ca="1">IFERROR(__xludf.DUMMYFUNCTION("""COMPUTED_VALUE"""),203)</f>
        <v>203</v>
      </c>
      <c r="P79" s="67"/>
      <c r="Q79" s="67">
        <f ca="1">IFERROR(__xludf.DUMMYFUNCTION("""COMPUTED_VALUE"""),117)</f>
        <v>117</v>
      </c>
      <c r="R79" s="67"/>
      <c r="S79" s="67">
        <f ca="1">IFERROR(__xludf.DUMMYFUNCTION("""COMPUTED_VALUE"""),846)</f>
        <v>846</v>
      </c>
      <c r="T79" s="66">
        <f ca="1">IFERROR(__xludf.DUMMYFUNCTION("""COMPUTED_VALUE"""),792)</f>
        <v>792</v>
      </c>
      <c r="U79" s="66"/>
      <c r="V79" s="67">
        <f ca="1">IFERROR(__xludf.DUMMYFUNCTION("""COMPUTED_VALUE"""),745)</f>
        <v>745</v>
      </c>
      <c r="W79" s="67"/>
      <c r="X79" s="67">
        <f ca="1">IFERROR(__xludf.DUMMYFUNCTION("""COMPUTED_VALUE"""),422)</f>
        <v>422</v>
      </c>
      <c r="Y79" s="67"/>
      <c r="Z79" s="2"/>
      <c r="AA79" s="2"/>
      <c r="AB79" s="2"/>
      <c r="AC79" s="2"/>
      <c r="AD79" s="2"/>
      <c r="AE79" s="2"/>
    </row>
    <row r="80" spans="1:31" ht="12.75" x14ac:dyDescent="0.2">
      <c r="A80" s="53">
        <f ca="1">IFERROR(__xludf.DUMMYFUNCTION("""COMPUTED_VALUE"""),73)</f>
        <v>73</v>
      </c>
      <c r="B80" s="66" t="str">
        <f ca="1">IFERROR(__xludf.DUMMYFUNCTION("""COMPUTED_VALUE"""),"Lê Quý Đôn")</f>
        <v>Lê Quý Đôn</v>
      </c>
      <c r="C80" s="66" t="str">
        <f ca="1">IFERROR(__xludf.DUMMYFUNCTION("""COMPUTED_VALUE"""),"THCS")</f>
        <v>THCS</v>
      </c>
      <c r="D80" s="66">
        <f ca="1">IFERROR(__xludf.DUMMYFUNCTION("""COMPUTED_VALUE"""),11)</f>
        <v>11</v>
      </c>
      <c r="E80" s="67">
        <f ca="1">IFERROR(__xludf.DUMMYFUNCTION("""COMPUTED_VALUE"""),85)</f>
        <v>85</v>
      </c>
      <c r="F80" s="67">
        <f ca="1">IFERROR(__xludf.DUMMYFUNCTION("""COMPUTED_VALUE"""),85)</f>
        <v>85</v>
      </c>
      <c r="G80" s="67"/>
      <c r="H80" s="67">
        <f ca="1">IFERROR(__xludf.DUMMYFUNCTION("""COMPUTED_VALUE"""),84)</f>
        <v>84</v>
      </c>
      <c r="I80" s="67"/>
      <c r="J80" s="67">
        <f ca="1">IFERROR(__xludf.DUMMYFUNCTION("""COMPUTED_VALUE"""),82)</f>
        <v>82</v>
      </c>
      <c r="K80" s="67"/>
      <c r="L80" s="67">
        <f ca="1">IFERROR(__xludf.DUMMYFUNCTION("""COMPUTED_VALUE"""),63)</f>
        <v>63</v>
      </c>
      <c r="M80" s="67"/>
      <c r="N80" s="67">
        <f ca="1">IFERROR(__xludf.DUMMYFUNCTION("""COMPUTED_VALUE"""),420)</f>
        <v>420</v>
      </c>
      <c r="O80" s="67">
        <f ca="1">IFERROR(__xludf.DUMMYFUNCTION("""COMPUTED_VALUE"""),329)</f>
        <v>329</v>
      </c>
      <c r="P80" s="67"/>
      <c r="Q80" s="67">
        <f ca="1">IFERROR(__xludf.DUMMYFUNCTION("""COMPUTED_VALUE"""),183)</f>
        <v>183</v>
      </c>
      <c r="R80" s="67"/>
      <c r="S80" s="67">
        <f ca="1">IFERROR(__xludf.DUMMYFUNCTION("""COMPUTED_VALUE"""),1217)</f>
        <v>1217</v>
      </c>
      <c r="T80" s="67">
        <f ca="1">IFERROR(__xludf.DUMMYFUNCTION("""COMPUTED_VALUE"""),1151)</f>
        <v>1151</v>
      </c>
      <c r="U80" s="67"/>
      <c r="V80" s="67">
        <f ca="1">IFERROR(__xludf.DUMMYFUNCTION("""COMPUTED_VALUE"""),954)</f>
        <v>954</v>
      </c>
      <c r="W80" s="67"/>
      <c r="X80" s="67">
        <f ca="1">IFERROR(__xludf.DUMMYFUNCTION("""COMPUTED_VALUE"""),289)</f>
        <v>289</v>
      </c>
      <c r="Y80" s="67"/>
      <c r="Z80" s="2"/>
      <c r="AA80" s="2"/>
      <c r="AB80" s="2"/>
      <c r="AC80" s="2"/>
      <c r="AD80" s="2"/>
      <c r="AE80" s="2"/>
    </row>
    <row r="81" spans="1:31" ht="12.75" x14ac:dyDescent="0.2">
      <c r="A81" s="53">
        <f ca="1">IFERROR(__xludf.DUMMYFUNCTION("""COMPUTED_VALUE"""),74)</f>
        <v>74</v>
      </c>
      <c r="B81" s="66" t="str">
        <f ca="1">IFERROR(__xludf.DUMMYFUNCTION("""COMPUTED_VALUE"""),"Nguyễn Huệ")</f>
        <v>Nguyễn Huệ</v>
      </c>
      <c r="C81" s="66" t="str">
        <f ca="1">IFERROR(__xludf.DUMMYFUNCTION("""COMPUTED_VALUE"""),"THCS")</f>
        <v>THCS</v>
      </c>
      <c r="D81" s="66">
        <f ca="1">IFERROR(__xludf.DUMMYFUNCTION("""COMPUTED_VALUE"""),11)</f>
        <v>11</v>
      </c>
      <c r="E81" s="67">
        <f ca="1">IFERROR(__xludf.DUMMYFUNCTION("""COMPUTED_VALUE"""),41)</f>
        <v>41</v>
      </c>
      <c r="F81" s="67">
        <f ca="1">IFERROR(__xludf.DUMMYFUNCTION("""COMPUTED_VALUE"""),41)</f>
        <v>41</v>
      </c>
      <c r="G81" s="67"/>
      <c r="H81" s="67">
        <f ca="1">IFERROR(__xludf.DUMMYFUNCTION("""COMPUTED_VALUE"""),41)</f>
        <v>41</v>
      </c>
      <c r="I81" s="67"/>
      <c r="J81" s="67">
        <f ca="1">IFERROR(__xludf.DUMMYFUNCTION("""COMPUTED_VALUE"""),41)</f>
        <v>41</v>
      </c>
      <c r="K81" s="67"/>
      <c r="L81" s="67">
        <f ca="1">IFERROR(__xludf.DUMMYFUNCTION("""COMPUTED_VALUE"""),35)</f>
        <v>35</v>
      </c>
      <c r="M81" s="67"/>
      <c r="N81" s="67">
        <f ca="1">IFERROR(__xludf.DUMMYFUNCTION("""COMPUTED_VALUE"""),161)</f>
        <v>161</v>
      </c>
      <c r="O81" s="67">
        <f ca="1">IFERROR(__xludf.DUMMYFUNCTION("""COMPUTED_VALUE"""),135)</f>
        <v>135</v>
      </c>
      <c r="P81" s="67"/>
      <c r="Q81" s="67">
        <f ca="1">IFERROR(__xludf.DUMMYFUNCTION("""COMPUTED_VALUE"""),91)</f>
        <v>91</v>
      </c>
      <c r="R81" s="67"/>
      <c r="S81" s="67">
        <f ca="1">IFERROR(__xludf.DUMMYFUNCTION("""COMPUTED_VALUE"""),366)</f>
        <v>366</v>
      </c>
      <c r="T81" s="66">
        <f ca="1">IFERROR(__xludf.DUMMYFUNCTION("""COMPUTED_VALUE"""),340)</f>
        <v>340</v>
      </c>
      <c r="U81" s="66"/>
      <c r="V81" s="67">
        <f ca="1">IFERROR(__xludf.DUMMYFUNCTION("""COMPUTED_VALUE"""),320)</f>
        <v>320</v>
      </c>
      <c r="W81" s="67"/>
      <c r="X81" s="67">
        <f ca="1">IFERROR(__xludf.DUMMYFUNCTION("""COMPUTED_VALUE"""),165)</f>
        <v>165</v>
      </c>
      <c r="Y81" s="67"/>
      <c r="Z81" s="2"/>
      <c r="AA81" s="2"/>
      <c r="AB81" s="2"/>
      <c r="AC81" s="2"/>
      <c r="AD81" s="2"/>
      <c r="AE81" s="2"/>
    </row>
    <row r="82" spans="1:31" ht="12.75" x14ac:dyDescent="0.2">
      <c r="A82" s="53">
        <f ca="1">IFERROR(__xludf.DUMMYFUNCTION("""COMPUTED_VALUE"""),75)</f>
        <v>75</v>
      </c>
      <c r="B82" s="66" t="str">
        <f ca="1">IFERROR(__xludf.DUMMYFUNCTION("""COMPUTED_VALUE"""),"Nguyễn Minh Hoàng")</f>
        <v>Nguyễn Minh Hoàng</v>
      </c>
      <c r="C82" s="66" t="str">
        <f ca="1">IFERROR(__xludf.DUMMYFUNCTION("""COMPUTED_VALUE"""),"THCS")</f>
        <v>THCS</v>
      </c>
      <c r="D82" s="66">
        <f ca="1">IFERROR(__xludf.DUMMYFUNCTION("""COMPUTED_VALUE"""),11)</f>
        <v>11</v>
      </c>
      <c r="E82" s="67">
        <f ca="1">IFERROR(__xludf.DUMMYFUNCTION("""COMPUTED_VALUE"""),35)</f>
        <v>35</v>
      </c>
      <c r="F82" s="67">
        <f ca="1">IFERROR(__xludf.DUMMYFUNCTION("""COMPUTED_VALUE"""),35)</f>
        <v>35</v>
      </c>
      <c r="G82" s="67"/>
      <c r="H82" s="67">
        <f ca="1">IFERROR(__xludf.DUMMYFUNCTION("""COMPUTED_VALUE"""),35)</f>
        <v>35</v>
      </c>
      <c r="I82" s="67"/>
      <c r="J82" s="67">
        <f ca="1">IFERROR(__xludf.DUMMYFUNCTION("""COMPUTED_VALUE"""),34)</f>
        <v>34</v>
      </c>
      <c r="K82" s="67"/>
      <c r="L82" s="67">
        <f ca="1">IFERROR(__xludf.DUMMYFUNCTION("""COMPUTED_VALUE"""),29)</f>
        <v>29</v>
      </c>
      <c r="M82" s="67"/>
      <c r="N82" s="67">
        <f ca="1">IFERROR(__xludf.DUMMYFUNCTION("""COMPUTED_VALUE"""),120)</f>
        <v>120</v>
      </c>
      <c r="O82" s="67">
        <f ca="1">IFERROR(__xludf.DUMMYFUNCTION("""COMPUTED_VALUE"""),94)</f>
        <v>94</v>
      </c>
      <c r="P82" s="67"/>
      <c r="Q82" s="67">
        <f ca="1">IFERROR(__xludf.DUMMYFUNCTION("""COMPUTED_VALUE"""),68)</f>
        <v>68</v>
      </c>
      <c r="R82" s="67"/>
      <c r="S82" s="67">
        <f ca="1">IFERROR(__xludf.DUMMYFUNCTION("""COMPUTED_VALUE"""),261)</f>
        <v>261</v>
      </c>
      <c r="T82" s="66">
        <f ca="1">IFERROR(__xludf.DUMMYFUNCTION("""COMPUTED_VALUE"""),259)</f>
        <v>259</v>
      </c>
      <c r="U82" s="66"/>
      <c r="V82" s="67">
        <f ca="1">IFERROR(__xludf.DUMMYFUNCTION("""COMPUTED_VALUE"""),239)</f>
        <v>239</v>
      </c>
      <c r="W82" s="67"/>
      <c r="X82" s="67">
        <f ca="1">IFERROR(__xludf.DUMMYFUNCTION("""COMPUTED_VALUE"""),174)</f>
        <v>174</v>
      </c>
      <c r="Y82" s="67"/>
      <c r="Z82" s="2"/>
      <c r="AA82" s="2"/>
      <c r="AB82" s="2"/>
      <c r="AC82" s="2"/>
      <c r="AD82" s="2"/>
      <c r="AE82" s="2"/>
    </row>
    <row r="83" spans="1:31" ht="12.75" x14ac:dyDescent="0.2">
      <c r="A83" s="53">
        <f ca="1">IFERROR(__xludf.DUMMYFUNCTION("""COMPUTED_VALUE"""),76)</f>
        <v>76</v>
      </c>
      <c r="B83" s="66" t="str">
        <f ca="1">IFERROR(__xludf.DUMMYFUNCTION("""COMPUTED_VALUE"""),"Chu Văn An")</f>
        <v>Chu Văn An</v>
      </c>
      <c r="C83" s="66" t="str">
        <f ca="1">IFERROR(__xludf.DUMMYFUNCTION("""COMPUTED_VALUE"""),"THCS")</f>
        <v>THCS</v>
      </c>
      <c r="D83" s="66">
        <f ca="1">IFERROR(__xludf.DUMMYFUNCTION("""COMPUTED_VALUE"""),11)</f>
        <v>11</v>
      </c>
      <c r="E83" s="67">
        <f ca="1">IFERROR(__xludf.DUMMYFUNCTION("""COMPUTED_VALUE"""),87)</f>
        <v>87</v>
      </c>
      <c r="F83" s="67">
        <f ca="1">IFERROR(__xludf.DUMMYFUNCTION("""COMPUTED_VALUE"""),87)</f>
        <v>87</v>
      </c>
      <c r="G83" s="67"/>
      <c r="H83" s="67">
        <f ca="1">IFERROR(__xludf.DUMMYFUNCTION("""COMPUTED_VALUE"""),87)</f>
        <v>87</v>
      </c>
      <c r="I83" s="67"/>
      <c r="J83" s="67">
        <f ca="1">IFERROR(__xludf.DUMMYFUNCTION("""COMPUTED_VALUE"""),85)</f>
        <v>85</v>
      </c>
      <c r="K83" s="67"/>
      <c r="L83" s="67">
        <f ca="1">IFERROR(__xludf.DUMMYFUNCTION("""COMPUTED_VALUE"""),51)</f>
        <v>51</v>
      </c>
      <c r="M83" s="67"/>
      <c r="N83" s="67">
        <f ca="1">IFERROR(__xludf.DUMMYFUNCTION("""COMPUTED_VALUE"""),404)</f>
        <v>404</v>
      </c>
      <c r="O83" s="67">
        <f ca="1">IFERROR(__xludf.DUMMYFUNCTION("""COMPUTED_VALUE"""),265)</f>
        <v>265</v>
      </c>
      <c r="P83" s="67"/>
      <c r="Q83" s="67">
        <f ca="1">IFERROR(__xludf.DUMMYFUNCTION("""COMPUTED_VALUE"""),192)</f>
        <v>192</v>
      </c>
      <c r="R83" s="67"/>
      <c r="S83" s="67">
        <f ca="1">IFERROR(__xludf.DUMMYFUNCTION("""COMPUTED_VALUE"""),884)</f>
        <v>884</v>
      </c>
      <c r="T83" s="66">
        <f ca="1">IFERROR(__xludf.DUMMYFUNCTION("""COMPUTED_VALUE"""),826)</f>
        <v>826</v>
      </c>
      <c r="U83" s="66"/>
      <c r="V83" s="67">
        <f ca="1">IFERROR(__xludf.DUMMYFUNCTION("""COMPUTED_VALUE"""),783)</f>
        <v>783</v>
      </c>
      <c r="W83" s="67"/>
      <c r="X83" s="67">
        <f ca="1">IFERROR(__xludf.DUMMYFUNCTION("""COMPUTED_VALUE"""),329)</f>
        <v>329</v>
      </c>
      <c r="Y83" s="67"/>
      <c r="Z83" s="2"/>
      <c r="AA83" s="2"/>
      <c r="AB83" s="2"/>
      <c r="AC83" s="2"/>
      <c r="AD83" s="2"/>
      <c r="AE83" s="2"/>
    </row>
    <row r="84" spans="1:31" ht="12.75" x14ac:dyDescent="0.2">
      <c r="A84" s="53">
        <f ca="1">IFERROR(__xludf.DUMMYFUNCTION("""COMPUTED_VALUE"""),77)</f>
        <v>77</v>
      </c>
      <c r="B84" s="66" t="str">
        <f ca="1">IFERROR(__xludf.DUMMYFUNCTION("""COMPUTED_VALUE"""),"THCS Việt Mỹ")</f>
        <v>THCS Việt Mỹ</v>
      </c>
      <c r="C84" s="66" t="str">
        <f ca="1">IFERROR(__xludf.DUMMYFUNCTION("""COMPUTED_VALUE"""),"THCS")</f>
        <v>THCS</v>
      </c>
      <c r="D84" s="66">
        <f ca="1">IFERROR(__xludf.DUMMYFUNCTION("""COMPUTED_VALUE"""),11)</f>
        <v>11</v>
      </c>
      <c r="E84" s="67">
        <f ca="1">IFERROR(__xludf.DUMMYFUNCTION("""COMPUTED_VALUE"""),74)</f>
        <v>74</v>
      </c>
      <c r="F84" s="67">
        <f ca="1">IFERROR(__xludf.DUMMYFUNCTION("""COMPUTED_VALUE"""),74)</f>
        <v>74</v>
      </c>
      <c r="G84" s="67"/>
      <c r="H84" s="67">
        <f ca="1">IFERROR(__xludf.DUMMYFUNCTION("""COMPUTED_VALUE"""),73)</f>
        <v>73</v>
      </c>
      <c r="I84" s="67"/>
      <c r="J84" s="67">
        <f ca="1">IFERROR(__xludf.DUMMYFUNCTION("""COMPUTED_VALUE"""),61)</f>
        <v>61</v>
      </c>
      <c r="K84" s="67"/>
      <c r="L84" s="67">
        <f ca="1">IFERROR(__xludf.DUMMYFUNCTION("""COMPUTED_VALUE"""),16)</f>
        <v>16</v>
      </c>
      <c r="M84" s="67"/>
      <c r="N84" s="67">
        <f ca="1">IFERROR(__xludf.DUMMYFUNCTION("""COMPUTED_VALUE"""),121)</f>
        <v>121</v>
      </c>
      <c r="O84" s="67">
        <f ca="1">IFERROR(__xludf.DUMMYFUNCTION("""COMPUTED_VALUE"""),38)</f>
        <v>38</v>
      </c>
      <c r="P84" s="67"/>
      <c r="Q84" s="67">
        <f ca="1">IFERROR(__xludf.DUMMYFUNCTION("""COMPUTED_VALUE"""),24)</f>
        <v>24</v>
      </c>
      <c r="R84" s="67"/>
      <c r="S84" s="67">
        <f ca="1">IFERROR(__xludf.DUMMYFUNCTION("""COMPUTED_VALUE"""),469)</f>
        <v>469</v>
      </c>
      <c r="T84" s="67">
        <f ca="1">IFERROR(__xludf.DUMMYFUNCTION("""COMPUTED_VALUE"""),199)</f>
        <v>199</v>
      </c>
      <c r="U84" s="67"/>
      <c r="V84" s="67">
        <f ca="1">IFERROR(__xludf.DUMMYFUNCTION("""COMPUTED_VALUE"""),194)</f>
        <v>194</v>
      </c>
      <c r="W84" s="67"/>
      <c r="X84" s="67">
        <f ca="1">IFERROR(__xludf.DUMMYFUNCTION("""COMPUTED_VALUE"""),55)</f>
        <v>55</v>
      </c>
      <c r="Y84" s="67"/>
      <c r="Z84" s="2"/>
      <c r="AA84" s="2"/>
      <c r="AB84" s="2"/>
      <c r="AC84" s="2"/>
      <c r="AD84" s="2"/>
      <c r="AE84" s="2"/>
    </row>
    <row r="85" spans="1:31" ht="12.75" x14ac:dyDescent="0.2">
      <c r="A85" s="53">
        <f ca="1">IFERROR(__xludf.DUMMYFUNCTION("""COMPUTED_VALUE"""),78)</f>
        <v>78</v>
      </c>
      <c r="B85" s="66" t="str">
        <f ca="1">IFERROR(__xludf.DUMMYFUNCTION("""COMPUTED_VALUE"""),"THCS Phú Thọ")</f>
        <v>THCS Phú Thọ</v>
      </c>
      <c r="C85" s="66" t="str">
        <f ca="1">IFERROR(__xludf.DUMMYFUNCTION("""COMPUTED_VALUE"""),"THCS")</f>
        <v>THCS</v>
      </c>
      <c r="D85" s="66">
        <f ca="1">IFERROR(__xludf.DUMMYFUNCTION("""COMPUTED_VALUE"""),11)</f>
        <v>11</v>
      </c>
      <c r="E85" s="67">
        <f ca="1">IFERROR(__xludf.DUMMYFUNCTION("""COMPUTED_VALUE"""),74)</f>
        <v>74</v>
      </c>
      <c r="F85" s="67">
        <f ca="1">IFERROR(__xludf.DUMMYFUNCTION("""COMPUTED_VALUE"""),74)</f>
        <v>74</v>
      </c>
      <c r="G85" s="67"/>
      <c r="H85" s="67">
        <f ca="1">IFERROR(__xludf.DUMMYFUNCTION("""COMPUTED_VALUE"""),74)</f>
        <v>74</v>
      </c>
      <c r="I85" s="67"/>
      <c r="J85" s="67">
        <f ca="1">IFERROR(__xludf.DUMMYFUNCTION("""COMPUTED_VALUE"""),74)</f>
        <v>74</v>
      </c>
      <c r="K85" s="67"/>
      <c r="L85" s="67">
        <f ca="1">IFERROR(__xludf.DUMMYFUNCTION("""COMPUTED_VALUE"""),44)</f>
        <v>44</v>
      </c>
      <c r="M85" s="67"/>
      <c r="N85" s="67">
        <f ca="1">IFERROR(__xludf.DUMMYFUNCTION("""COMPUTED_VALUE"""),53)</f>
        <v>53</v>
      </c>
      <c r="O85" s="67">
        <f ca="1">IFERROR(__xludf.DUMMYFUNCTION("""COMPUTED_VALUE"""),53)</f>
        <v>53</v>
      </c>
      <c r="P85" s="67"/>
      <c r="Q85" s="67">
        <f ca="1">IFERROR(__xludf.DUMMYFUNCTION("""COMPUTED_VALUE"""),50)</f>
        <v>50</v>
      </c>
      <c r="R85" s="67"/>
      <c r="S85" s="67">
        <f ca="1">IFERROR(__xludf.DUMMYFUNCTION("""COMPUTED_VALUE"""),1300)</f>
        <v>1300</v>
      </c>
      <c r="T85" s="66">
        <f ca="1">IFERROR(__xludf.DUMMYFUNCTION("""COMPUTED_VALUE"""),1300)</f>
        <v>1300</v>
      </c>
      <c r="U85" s="66"/>
      <c r="V85" s="67">
        <f ca="1">IFERROR(__xludf.DUMMYFUNCTION("""COMPUTED_VALUE"""),1290)</f>
        <v>1290</v>
      </c>
      <c r="W85" s="67"/>
      <c r="X85" s="67">
        <f ca="1">IFERROR(__xludf.DUMMYFUNCTION("""COMPUTED_VALUE"""),1285)</f>
        <v>1285</v>
      </c>
      <c r="Y85" s="67"/>
      <c r="Z85" s="2"/>
      <c r="AA85" s="2"/>
      <c r="AB85" s="2"/>
      <c r="AC85" s="2"/>
      <c r="AD85" s="2"/>
      <c r="AE85" s="2"/>
    </row>
    <row r="86" spans="1:31" ht="12.75" x14ac:dyDescent="0.2">
      <c r="A86" s="53">
        <f ca="1">IFERROR(__xludf.DUMMYFUNCTION("""COMPUTED_VALUE"""),79)</f>
        <v>79</v>
      </c>
      <c r="B86" s="66" t="str">
        <f ca="1">IFERROR(__xludf.DUMMYFUNCTION("""COMPUTED_VALUE"""),"THCS Lữ Gia")</f>
        <v>THCS Lữ Gia</v>
      </c>
      <c r="C86" s="66" t="str">
        <f ca="1">IFERROR(__xludf.DUMMYFUNCTION("""COMPUTED_VALUE"""),"THCS")</f>
        <v>THCS</v>
      </c>
      <c r="D86" s="66">
        <f ca="1">IFERROR(__xludf.DUMMYFUNCTION("""COMPUTED_VALUE"""),11)</f>
        <v>11</v>
      </c>
      <c r="E86" s="67">
        <f ca="1">IFERROR(__xludf.DUMMYFUNCTION("""COMPUTED_VALUE"""),82)</f>
        <v>82</v>
      </c>
      <c r="F86" s="67">
        <f ca="1">IFERROR(__xludf.DUMMYFUNCTION("""COMPUTED_VALUE"""),81)</f>
        <v>81</v>
      </c>
      <c r="G86" s="67"/>
      <c r="H86" s="67">
        <f ca="1">IFERROR(__xludf.DUMMYFUNCTION("""COMPUTED_VALUE"""),81)</f>
        <v>81</v>
      </c>
      <c r="I86" s="67"/>
      <c r="J86" s="67">
        <f ca="1">IFERROR(__xludf.DUMMYFUNCTION("""COMPUTED_VALUE"""),81)</f>
        <v>81</v>
      </c>
      <c r="K86" s="67"/>
      <c r="L86" s="67">
        <f ca="1">IFERROR(__xludf.DUMMYFUNCTION("""COMPUTED_VALUE"""),70)</f>
        <v>70</v>
      </c>
      <c r="M86" s="67"/>
      <c r="N86" s="67">
        <f ca="1">IFERROR(__xludf.DUMMYFUNCTION("""COMPUTED_VALUE"""),451)</f>
        <v>451</v>
      </c>
      <c r="O86" s="67">
        <f ca="1">IFERROR(__xludf.DUMMYFUNCTION("""COMPUTED_VALUE"""),173)</f>
        <v>173</v>
      </c>
      <c r="P86" s="67"/>
      <c r="Q86" s="67">
        <f ca="1">IFERROR(__xludf.DUMMYFUNCTION("""COMPUTED_VALUE"""),123)</f>
        <v>123</v>
      </c>
      <c r="R86" s="67"/>
      <c r="S86" s="67">
        <f ca="1">IFERROR(__xludf.DUMMYFUNCTION("""COMPUTED_VALUE"""),1062)</f>
        <v>1062</v>
      </c>
      <c r="T86" s="67">
        <f ca="1">IFERROR(__xludf.DUMMYFUNCTION("""COMPUTED_VALUE"""),889)</f>
        <v>889</v>
      </c>
      <c r="U86" s="67"/>
      <c r="V86" s="67">
        <f ca="1">IFERROR(__xludf.DUMMYFUNCTION("""COMPUTED_VALUE"""),850)</f>
        <v>850</v>
      </c>
      <c r="W86" s="67"/>
      <c r="X86" s="67">
        <f ca="1">IFERROR(__xludf.DUMMYFUNCTION("""COMPUTED_VALUE"""),416)</f>
        <v>416</v>
      </c>
      <c r="Y86" s="67"/>
      <c r="Z86" s="2"/>
      <c r="AA86" s="2"/>
      <c r="AB86" s="2"/>
      <c r="AC86" s="2"/>
      <c r="AD86" s="2"/>
      <c r="AE86" s="2"/>
    </row>
    <row r="87" spans="1:31" ht="12.75" x14ac:dyDescent="0.2">
      <c r="A87" s="53">
        <f ca="1">IFERROR(__xludf.DUMMYFUNCTION("""COMPUTED_VALUE"""),80)</f>
        <v>80</v>
      </c>
      <c r="B87" s="66" t="str">
        <f ca="1">IFERROR(__xludf.DUMMYFUNCTION("""COMPUTED_VALUE"""),"Hậu Giang")</f>
        <v>Hậu Giang</v>
      </c>
      <c r="C87" s="66" t="str">
        <f ca="1">IFERROR(__xludf.DUMMYFUNCTION("""COMPUTED_VALUE"""),"THCS")</f>
        <v>THCS</v>
      </c>
      <c r="D87" s="66">
        <f ca="1">IFERROR(__xludf.DUMMYFUNCTION("""COMPUTED_VALUE"""),11)</f>
        <v>11</v>
      </c>
      <c r="E87" s="67">
        <f ca="1">IFERROR(__xludf.DUMMYFUNCTION("""COMPUTED_VALUE"""),83)</f>
        <v>83</v>
      </c>
      <c r="F87" s="67">
        <f ca="1">IFERROR(__xludf.DUMMYFUNCTION("""COMPUTED_VALUE"""),83)</f>
        <v>83</v>
      </c>
      <c r="G87" s="67"/>
      <c r="H87" s="67">
        <f ca="1">IFERROR(__xludf.DUMMYFUNCTION("""COMPUTED_VALUE"""),83)</f>
        <v>83</v>
      </c>
      <c r="I87" s="67"/>
      <c r="J87" s="67">
        <f ca="1">IFERROR(__xludf.DUMMYFUNCTION("""COMPUTED_VALUE"""),82)</f>
        <v>82</v>
      </c>
      <c r="K87" s="67"/>
      <c r="L87" s="67">
        <f ca="1">IFERROR(__xludf.DUMMYFUNCTION("""COMPUTED_VALUE"""),68)</f>
        <v>68</v>
      </c>
      <c r="M87" s="67"/>
      <c r="N87" s="67">
        <f ca="1">IFERROR(__xludf.DUMMYFUNCTION("""COMPUTED_VALUE"""),592)</f>
        <v>592</v>
      </c>
      <c r="O87" s="67">
        <f ca="1">IFERROR(__xludf.DUMMYFUNCTION("""COMPUTED_VALUE"""),413)</f>
        <v>413</v>
      </c>
      <c r="P87" s="67"/>
      <c r="Q87" s="67">
        <f ca="1">IFERROR(__xludf.DUMMYFUNCTION("""COMPUTED_VALUE"""),305)</f>
        <v>305</v>
      </c>
      <c r="R87" s="67"/>
      <c r="S87" s="66">
        <f ca="1">IFERROR(__xludf.DUMMYFUNCTION("""COMPUTED_VALUE"""),1148)</f>
        <v>1148</v>
      </c>
      <c r="T87" s="66">
        <f ca="1">IFERROR(__xludf.DUMMYFUNCTION("""COMPUTED_VALUE"""),1098)</f>
        <v>1098</v>
      </c>
      <c r="U87" s="66"/>
      <c r="V87" s="66">
        <f ca="1">IFERROR(__xludf.DUMMYFUNCTION("""COMPUTED_VALUE"""),1037)</f>
        <v>1037</v>
      </c>
      <c r="W87" s="66"/>
      <c r="X87" s="66">
        <f ca="1">IFERROR(__xludf.DUMMYFUNCTION("""COMPUTED_VALUE"""),400)</f>
        <v>400</v>
      </c>
      <c r="Y87" s="66"/>
      <c r="Z87" s="2"/>
      <c r="AA87" s="2"/>
      <c r="AB87" s="2"/>
      <c r="AC87" s="2"/>
      <c r="AD87" s="2"/>
      <c r="AE87" s="2"/>
    </row>
    <row r="88" spans="1:31" ht="12.75" x14ac:dyDescent="0.2">
      <c r="A88" s="52"/>
      <c r="B88" s="68" t="str">
        <f ca="1">IFERROR(__xludf.DUMMYFUNCTION("""COMPUTED_VALUE"""),"Cộng Trung học cơ sở")</f>
        <v>Cộng Trung học cơ sở</v>
      </c>
      <c r="C88" s="68"/>
      <c r="D88" s="68"/>
      <c r="E88" s="69">
        <f ca="1">IFERROR(__xludf.DUMMYFUNCTION("""COMPUTED_VALUE"""),712)</f>
        <v>712</v>
      </c>
      <c r="F88" s="69">
        <f ca="1">IFERROR(__xludf.DUMMYFUNCTION("""COMPUTED_VALUE"""),710)</f>
        <v>710</v>
      </c>
      <c r="G88" s="69"/>
      <c r="H88" s="69">
        <f ca="1">IFERROR(__xludf.DUMMYFUNCTION("""COMPUTED_VALUE"""),708)</f>
        <v>708</v>
      </c>
      <c r="I88" s="69"/>
      <c r="J88" s="69">
        <f ca="1">IFERROR(__xludf.DUMMYFUNCTION("""COMPUTED_VALUE"""),688)</f>
        <v>688</v>
      </c>
      <c r="K88" s="69"/>
      <c r="L88" s="69">
        <f ca="1">IFERROR(__xludf.DUMMYFUNCTION("""COMPUTED_VALUE"""),497)</f>
        <v>497</v>
      </c>
      <c r="M88" s="69"/>
      <c r="N88" s="69">
        <f ca="1">IFERROR(__xludf.DUMMYFUNCTION("""COMPUTED_VALUE"""),2969)</f>
        <v>2969</v>
      </c>
      <c r="O88" s="69">
        <f ca="1">IFERROR(__xludf.DUMMYFUNCTION("""COMPUTED_VALUE"""),1785)</f>
        <v>1785</v>
      </c>
      <c r="P88" s="69"/>
      <c r="Q88" s="69">
        <f ca="1">IFERROR(__xludf.DUMMYFUNCTION("""COMPUTED_VALUE"""),1353)</f>
        <v>1353</v>
      </c>
      <c r="R88" s="69"/>
      <c r="S88" s="69">
        <f ca="1">IFERROR(__xludf.DUMMYFUNCTION("""COMPUTED_VALUE"""),8476)</f>
        <v>8476</v>
      </c>
      <c r="T88" s="68">
        <f ca="1">IFERROR(__xludf.DUMMYFUNCTION("""COMPUTED_VALUE"""),6874)</f>
        <v>6874</v>
      </c>
      <c r="U88" s="68"/>
      <c r="V88" s="69">
        <f ca="1">IFERROR(__xludf.DUMMYFUNCTION("""COMPUTED_VALUE"""),6734)</f>
        <v>6734</v>
      </c>
      <c r="W88" s="69"/>
      <c r="X88" s="69">
        <f ca="1">IFERROR(__xludf.DUMMYFUNCTION("""COMPUTED_VALUE"""),4078)</f>
        <v>4078</v>
      </c>
      <c r="Y88" s="69"/>
      <c r="Z88" s="1"/>
      <c r="AA88" s="1"/>
      <c r="AB88" s="1"/>
      <c r="AC88" s="1"/>
      <c r="AD88" s="1"/>
      <c r="AE88" s="1"/>
    </row>
    <row r="89" spans="1:31" ht="12.75" x14ac:dyDescent="0.2">
      <c r="A89" s="53">
        <f ca="1">IFERROR(__xludf.DUMMYFUNCTION("""COMPUTED_VALUE"""),81)</f>
        <v>81</v>
      </c>
      <c r="B89" s="66" t="str">
        <f ca="1">IFERROR(__xludf.DUMMYFUNCTION("""COMPUTED_VALUE"""),"Trần Quang Khải")</f>
        <v>Trần Quang Khải</v>
      </c>
      <c r="C89" s="66" t="str">
        <f ca="1">IFERROR(__xludf.DUMMYFUNCTION("""COMPUTED_VALUE"""),"THPT")</f>
        <v>THPT</v>
      </c>
      <c r="D89" s="66">
        <f ca="1">IFERROR(__xludf.DUMMYFUNCTION("""COMPUTED_VALUE"""),11)</f>
        <v>11</v>
      </c>
      <c r="E89" s="67">
        <f ca="1">IFERROR(__xludf.DUMMYFUNCTION("""COMPUTED_VALUE"""),139)</f>
        <v>139</v>
      </c>
      <c r="F89" s="67">
        <f ca="1">IFERROR(__xludf.DUMMYFUNCTION("""COMPUTED_VALUE"""),139)</f>
        <v>139</v>
      </c>
      <c r="G89" s="67"/>
      <c r="H89" s="67">
        <f ca="1">IFERROR(__xludf.DUMMYFUNCTION("""COMPUTED_VALUE"""),139)</f>
        <v>139</v>
      </c>
      <c r="I89" s="67"/>
      <c r="J89" s="67">
        <f ca="1">IFERROR(__xludf.DUMMYFUNCTION("""COMPUTED_VALUE"""),139)</f>
        <v>139</v>
      </c>
      <c r="K89" s="67"/>
      <c r="L89" s="67">
        <f ca="1">IFERROR(__xludf.DUMMYFUNCTION("""COMPUTED_VALUE"""),76)</f>
        <v>76</v>
      </c>
      <c r="M89" s="67"/>
      <c r="N89" s="66"/>
      <c r="O89" s="66"/>
      <c r="P89" s="66"/>
      <c r="Q89" s="66"/>
      <c r="R89" s="66"/>
      <c r="S89" s="67">
        <f ca="1">IFERROR(__xludf.DUMMYFUNCTION("""COMPUTED_VALUE"""),2257)</f>
        <v>2257</v>
      </c>
      <c r="T89" s="67">
        <f ca="1">IFERROR(__xludf.DUMMYFUNCTION("""COMPUTED_VALUE"""),2257)</f>
        <v>2257</v>
      </c>
      <c r="U89" s="67"/>
      <c r="V89" s="67">
        <f ca="1">IFERROR(__xludf.DUMMYFUNCTION("""COMPUTED_VALUE"""),2257)</f>
        <v>2257</v>
      </c>
      <c r="W89" s="67"/>
      <c r="X89" s="67">
        <f ca="1">IFERROR(__xludf.DUMMYFUNCTION("""COMPUTED_VALUE"""),800)</f>
        <v>800</v>
      </c>
      <c r="Y89" s="67"/>
      <c r="Z89" s="2"/>
      <c r="AA89" s="2"/>
      <c r="AB89" s="2"/>
      <c r="AC89" s="2"/>
      <c r="AD89" s="2"/>
      <c r="AE89" s="2"/>
    </row>
    <row r="90" spans="1:31" ht="12.75" x14ac:dyDescent="0.2">
      <c r="A90" s="53">
        <f ca="1">IFERROR(__xludf.DUMMYFUNCTION("""COMPUTED_VALUE"""),82)</f>
        <v>82</v>
      </c>
      <c r="B90" s="66" t="str">
        <f ca="1">IFERROR(__xludf.DUMMYFUNCTION("""COMPUTED_VALUE"""),"Trường Vĩnh Ký")</f>
        <v>Trường Vĩnh Ký</v>
      </c>
      <c r="C90" s="66" t="str">
        <f ca="1">IFERROR(__xludf.DUMMYFUNCTION("""COMPUTED_VALUE"""),"THPT")</f>
        <v>THPT</v>
      </c>
      <c r="D90" s="66">
        <f ca="1">IFERROR(__xludf.DUMMYFUNCTION("""COMPUTED_VALUE"""),11)</f>
        <v>11</v>
      </c>
      <c r="E90" s="67">
        <f ca="1">IFERROR(__xludf.DUMMYFUNCTION("""COMPUTED_VALUE"""),330)</f>
        <v>330</v>
      </c>
      <c r="F90" s="67">
        <f ca="1">IFERROR(__xludf.DUMMYFUNCTION("""COMPUTED_VALUE"""),330)</f>
        <v>330</v>
      </c>
      <c r="G90" s="67"/>
      <c r="H90" s="67">
        <f ca="1">IFERROR(__xludf.DUMMYFUNCTION("""COMPUTED_VALUE"""),330)</f>
        <v>330</v>
      </c>
      <c r="I90" s="67"/>
      <c r="J90" s="67">
        <f ca="1">IFERROR(__xludf.DUMMYFUNCTION("""COMPUTED_VALUE"""),330)</f>
        <v>330</v>
      </c>
      <c r="K90" s="67"/>
      <c r="L90" s="67">
        <f ca="1">IFERROR(__xludf.DUMMYFUNCTION("""COMPUTED_VALUE"""),108)</f>
        <v>108</v>
      </c>
      <c r="M90" s="67"/>
      <c r="N90" s="67">
        <f ca="1">IFERROR(__xludf.DUMMYFUNCTION("""COMPUTED_VALUE"""),707)</f>
        <v>707</v>
      </c>
      <c r="O90" s="67">
        <f ca="1">IFERROR(__xludf.DUMMYFUNCTION("""COMPUTED_VALUE"""),303)</f>
        <v>303</v>
      </c>
      <c r="P90" s="67"/>
      <c r="Q90" s="67">
        <f ca="1">IFERROR(__xludf.DUMMYFUNCTION("""COMPUTED_VALUE"""),118)</f>
        <v>118</v>
      </c>
      <c r="R90" s="67"/>
      <c r="S90" s="67">
        <f ca="1">IFERROR(__xludf.DUMMYFUNCTION("""COMPUTED_VALUE"""),2219)</f>
        <v>2219</v>
      </c>
      <c r="T90" s="67">
        <f ca="1">IFERROR(__xludf.DUMMYFUNCTION("""COMPUTED_VALUE"""),2036)</f>
        <v>2036</v>
      </c>
      <c r="U90" s="67"/>
      <c r="V90" s="67">
        <f ca="1">IFERROR(__xludf.DUMMYFUNCTION("""COMPUTED_VALUE"""),2032)</f>
        <v>2032</v>
      </c>
      <c r="W90" s="67"/>
      <c r="X90" s="67">
        <f ca="1">IFERROR(__xludf.DUMMYFUNCTION("""COMPUTED_VALUE"""),1131)</f>
        <v>1131</v>
      </c>
      <c r="Y90" s="67"/>
      <c r="Z90" s="2"/>
      <c r="AA90" s="2"/>
      <c r="AB90" s="2"/>
      <c r="AC90" s="2"/>
      <c r="AD90" s="2"/>
      <c r="AE90" s="2"/>
    </row>
    <row r="91" spans="1:31" ht="12.75" x14ac:dyDescent="0.2">
      <c r="A91" s="53">
        <f ca="1">IFERROR(__xludf.DUMMYFUNCTION("""COMPUTED_VALUE"""),83)</f>
        <v>83</v>
      </c>
      <c r="B91" s="66" t="str">
        <f ca="1">IFERROR(__xludf.DUMMYFUNCTION("""COMPUTED_VALUE"""),"Nguyễn Hiền")</f>
        <v>Nguyễn Hiền</v>
      </c>
      <c r="C91" s="66" t="str">
        <f ca="1">IFERROR(__xludf.DUMMYFUNCTION("""COMPUTED_VALUE"""),"THPT")</f>
        <v>THPT</v>
      </c>
      <c r="D91" s="66">
        <f ca="1">IFERROR(__xludf.DUMMYFUNCTION("""COMPUTED_VALUE"""),11)</f>
        <v>11</v>
      </c>
      <c r="E91" s="67">
        <f ca="1">IFERROR(__xludf.DUMMYFUNCTION("""COMPUTED_VALUE"""),101)</f>
        <v>101</v>
      </c>
      <c r="F91" s="67">
        <f ca="1">IFERROR(__xludf.DUMMYFUNCTION("""COMPUTED_VALUE"""),101)</f>
        <v>101</v>
      </c>
      <c r="G91" s="67"/>
      <c r="H91" s="67">
        <f ca="1">IFERROR(__xludf.DUMMYFUNCTION("""COMPUTED_VALUE"""),101)</f>
        <v>101</v>
      </c>
      <c r="I91" s="67"/>
      <c r="J91" s="67">
        <f ca="1">IFERROR(__xludf.DUMMYFUNCTION("""COMPUTED_VALUE"""),95)</f>
        <v>95</v>
      </c>
      <c r="K91" s="67"/>
      <c r="L91" s="67">
        <f ca="1">IFERROR(__xludf.DUMMYFUNCTION("""COMPUTED_VALUE"""),58)</f>
        <v>58</v>
      </c>
      <c r="M91" s="67"/>
      <c r="N91" s="66"/>
      <c r="O91" s="66"/>
      <c r="P91" s="66"/>
      <c r="Q91" s="66"/>
      <c r="R91" s="66"/>
      <c r="S91" s="66">
        <f ca="1">IFERROR(__xludf.DUMMYFUNCTION("""COMPUTED_VALUE"""),1297)</f>
        <v>1297</v>
      </c>
      <c r="T91" s="66">
        <f ca="1">IFERROR(__xludf.DUMMYFUNCTION("""COMPUTED_VALUE"""),1286)</f>
        <v>1286</v>
      </c>
      <c r="U91" s="66"/>
      <c r="V91" s="66">
        <f ca="1">IFERROR(__xludf.DUMMYFUNCTION("""COMPUTED_VALUE"""),1286)</f>
        <v>1286</v>
      </c>
      <c r="W91" s="66"/>
      <c r="X91" s="66">
        <f ca="1">IFERROR(__xludf.DUMMYFUNCTION("""COMPUTED_VALUE"""),670)</f>
        <v>670</v>
      </c>
      <c r="Y91" s="66"/>
      <c r="Z91" s="2"/>
      <c r="AA91" s="2"/>
      <c r="AB91" s="2"/>
      <c r="AC91" s="2"/>
      <c r="AD91" s="2"/>
      <c r="AE91" s="2"/>
    </row>
    <row r="92" spans="1:31" ht="12.75" x14ac:dyDescent="0.2">
      <c r="A92" s="53">
        <f ca="1">IFERROR(__xludf.DUMMYFUNCTION("""COMPUTED_VALUE"""),84)</f>
        <v>84</v>
      </c>
      <c r="B92" s="66" t="str">
        <f ca="1">IFERROR(__xludf.DUMMYFUNCTION("""COMPUTED_VALUE"""),"Trần Quốc Tuấn")</f>
        <v>Trần Quốc Tuấn</v>
      </c>
      <c r="C92" s="66" t="str">
        <f ca="1">IFERROR(__xludf.DUMMYFUNCTION("""COMPUTED_VALUE"""),"THPT")</f>
        <v>THPT</v>
      </c>
      <c r="D92" s="66">
        <f ca="1">IFERROR(__xludf.DUMMYFUNCTION("""COMPUTED_VALUE"""),11)</f>
        <v>11</v>
      </c>
      <c r="E92" s="67">
        <f ca="1">IFERROR(__xludf.DUMMYFUNCTION("""COMPUTED_VALUE"""),11)</f>
        <v>11</v>
      </c>
      <c r="F92" s="67">
        <f ca="1">IFERROR(__xludf.DUMMYFUNCTION("""COMPUTED_VALUE"""),11)</f>
        <v>11</v>
      </c>
      <c r="G92" s="67"/>
      <c r="H92" s="67">
        <f ca="1">IFERROR(__xludf.DUMMYFUNCTION("""COMPUTED_VALUE"""),11)</f>
        <v>11</v>
      </c>
      <c r="I92" s="67"/>
      <c r="J92" s="67">
        <f ca="1">IFERROR(__xludf.DUMMYFUNCTION("""COMPUTED_VALUE"""),11)</f>
        <v>11</v>
      </c>
      <c r="K92" s="67"/>
      <c r="L92" s="67">
        <f ca="1">IFERROR(__xludf.DUMMYFUNCTION("""COMPUTED_VALUE"""),8)</f>
        <v>8</v>
      </c>
      <c r="M92" s="67"/>
      <c r="N92" s="66"/>
      <c r="O92" s="66"/>
      <c r="P92" s="66"/>
      <c r="Q92" s="66"/>
      <c r="R92" s="66"/>
      <c r="S92" s="66">
        <f ca="1">IFERROR(__xludf.DUMMYFUNCTION("""COMPUTED_VALUE"""),272)</f>
        <v>272</v>
      </c>
      <c r="T92" s="66">
        <f ca="1">IFERROR(__xludf.DUMMYFUNCTION("""COMPUTED_VALUE"""),272)</f>
        <v>272</v>
      </c>
      <c r="U92" s="66"/>
      <c r="V92" s="66">
        <f ca="1">IFERROR(__xludf.DUMMYFUNCTION("""COMPUTED_VALUE"""),272)</f>
        <v>272</v>
      </c>
      <c r="W92" s="66"/>
      <c r="X92" s="66">
        <f ca="1">IFERROR(__xludf.DUMMYFUNCTION("""COMPUTED_VALUE"""),83)</f>
        <v>83</v>
      </c>
      <c r="Y92" s="66"/>
      <c r="Z92" s="2"/>
      <c r="AA92" s="2"/>
      <c r="AB92" s="2"/>
      <c r="AC92" s="2"/>
      <c r="AD92" s="2"/>
      <c r="AE92" s="2"/>
    </row>
    <row r="93" spans="1:31" ht="12.75" x14ac:dyDescent="0.2">
      <c r="A93" s="53">
        <f ca="1">IFERROR(__xludf.DUMMYFUNCTION("""COMPUTED_VALUE"""),85)</f>
        <v>85</v>
      </c>
      <c r="B93" s="66" t="str">
        <f ca="1">IFERROR(__xludf.DUMMYFUNCTION("""COMPUTED_VALUE"""),"THPT Việt Mỹ Anh")</f>
        <v>THPT Việt Mỹ Anh</v>
      </c>
      <c r="C93" s="66" t="str">
        <f ca="1">IFERROR(__xludf.DUMMYFUNCTION("""COMPUTED_VALUE"""),"THPT")</f>
        <v>THPT</v>
      </c>
      <c r="D93" s="66">
        <f ca="1">IFERROR(__xludf.DUMMYFUNCTION("""COMPUTED_VALUE"""),11)</f>
        <v>11</v>
      </c>
      <c r="E93" s="67">
        <f ca="1">IFERROR(__xludf.DUMMYFUNCTION("""COMPUTED_VALUE"""),22)</f>
        <v>22</v>
      </c>
      <c r="F93" s="67">
        <f ca="1">IFERROR(__xludf.DUMMYFUNCTION("""COMPUTED_VALUE"""),22)</f>
        <v>22</v>
      </c>
      <c r="G93" s="67"/>
      <c r="H93" s="67">
        <f ca="1">IFERROR(__xludf.DUMMYFUNCTION("""COMPUTED_VALUE"""),21)</f>
        <v>21</v>
      </c>
      <c r="I93" s="67"/>
      <c r="J93" s="67">
        <f ca="1">IFERROR(__xludf.DUMMYFUNCTION("""COMPUTED_VALUE"""),20)</f>
        <v>20</v>
      </c>
      <c r="K93" s="67"/>
      <c r="L93" s="67">
        <f ca="1">IFERROR(__xludf.DUMMYFUNCTION("""COMPUTED_VALUE"""),3)</f>
        <v>3</v>
      </c>
      <c r="M93" s="67"/>
      <c r="N93" s="67">
        <f ca="1">IFERROR(__xludf.DUMMYFUNCTION("""COMPUTED_VALUE"""),0)</f>
        <v>0</v>
      </c>
      <c r="O93" s="67">
        <f ca="1">IFERROR(__xludf.DUMMYFUNCTION("""COMPUTED_VALUE"""),0)</f>
        <v>0</v>
      </c>
      <c r="P93" s="67"/>
      <c r="Q93" s="66">
        <f ca="1">IFERROR(__xludf.DUMMYFUNCTION("""COMPUTED_VALUE"""),0)</f>
        <v>0</v>
      </c>
      <c r="R93" s="66"/>
      <c r="S93" s="66">
        <f ca="1">IFERROR(__xludf.DUMMYFUNCTION("""COMPUTED_VALUE"""),167)</f>
        <v>167</v>
      </c>
      <c r="T93" s="66">
        <f ca="1">IFERROR(__xludf.DUMMYFUNCTION("""COMPUTED_VALUE"""),164)</f>
        <v>164</v>
      </c>
      <c r="U93" s="66"/>
      <c r="V93" s="66">
        <f ca="1">IFERROR(__xludf.DUMMYFUNCTION("""COMPUTED_VALUE"""),164)</f>
        <v>164</v>
      </c>
      <c r="W93" s="66"/>
      <c r="X93" s="66">
        <f ca="1">IFERROR(__xludf.DUMMYFUNCTION("""COMPUTED_VALUE"""),86)</f>
        <v>86</v>
      </c>
      <c r="Y93" s="66"/>
      <c r="Z93" s="2"/>
      <c r="AA93" s="2"/>
      <c r="AB93" s="2"/>
      <c r="AC93" s="2"/>
      <c r="AD93" s="2"/>
      <c r="AE93" s="2"/>
    </row>
    <row r="94" spans="1:31" ht="12.75" x14ac:dyDescent="0.2">
      <c r="A94" s="53">
        <f ca="1">IFERROR(__xludf.DUMMYFUNCTION("""COMPUTED_VALUE"""),86)</f>
        <v>86</v>
      </c>
      <c r="B94" s="66" t="str">
        <f ca="1">IFERROR(__xludf.DUMMYFUNCTION("""COMPUTED_VALUE"""),"THCS, THPT APU")</f>
        <v>THCS, THPT APU</v>
      </c>
      <c r="C94" s="66" t="str">
        <f ca="1">IFERROR(__xludf.DUMMYFUNCTION("""COMPUTED_VALUE"""),"THPT")</f>
        <v>THPT</v>
      </c>
      <c r="D94" s="66">
        <f ca="1">IFERROR(__xludf.DUMMYFUNCTION("""COMPUTED_VALUE"""),11)</f>
        <v>11</v>
      </c>
      <c r="E94" s="67">
        <f ca="1">IFERROR(__xludf.DUMMYFUNCTION("""COMPUTED_VALUE"""),59)</f>
        <v>59</v>
      </c>
      <c r="F94" s="67">
        <f ca="1">IFERROR(__xludf.DUMMYFUNCTION("""COMPUTED_VALUE"""),59)</f>
        <v>59</v>
      </c>
      <c r="G94" s="67"/>
      <c r="H94" s="67">
        <f ca="1">IFERROR(__xludf.DUMMYFUNCTION("""COMPUTED_VALUE"""),58)</f>
        <v>58</v>
      </c>
      <c r="I94" s="67"/>
      <c r="J94" s="67">
        <f ca="1">IFERROR(__xludf.DUMMYFUNCTION("""COMPUTED_VALUE"""),47)</f>
        <v>47</v>
      </c>
      <c r="K94" s="67"/>
      <c r="L94" s="67">
        <f ca="1">IFERROR(__xludf.DUMMYFUNCTION("""COMPUTED_VALUE"""),18)</f>
        <v>18</v>
      </c>
      <c r="M94" s="67"/>
      <c r="N94" s="67">
        <f ca="1">IFERROR(__xludf.DUMMYFUNCTION("""COMPUTED_VALUE"""),13)</f>
        <v>13</v>
      </c>
      <c r="O94" s="67">
        <f ca="1">IFERROR(__xludf.DUMMYFUNCTION("""COMPUTED_VALUE"""),4)</f>
        <v>4</v>
      </c>
      <c r="P94" s="67"/>
      <c r="Q94" s="67">
        <f ca="1">IFERROR(__xludf.DUMMYFUNCTION("""COMPUTED_VALUE"""),4)</f>
        <v>4</v>
      </c>
      <c r="R94" s="67"/>
      <c r="S94" s="67">
        <f ca="1">IFERROR(__xludf.DUMMYFUNCTION("""COMPUTED_VALUE"""),127)</f>
        <v>127</v>
      </c>
      <c r="T94" s="66">
        <f ca="1">IFERROR(__xludf.DUMMYFUNCTION("""COMPUTED_VALUE"""),125)</f>
        <v>125</v>
      </c>
      <c r="U94" s="66"/>
      <c r="V94" s="67">
        <f ca="1">IFERROR(__xludf.DUMMYFUNCTION("""COMPUTED_VALUE"""),125)</f>
        <v>125</v>
      </c>
      <c r="W94" s="67"/>
      <c r="X94" s="67">
        <f ca="1">IFERROR(__xludf.DUMMYFUNCTION("""COMPUTED_VALUE"""),28)</f>
        <v>28</v>
      </c>
      <c r="Y94" s="67"/>
      <c r="Z94" s="2"/>
      <c r="AA94" s="2"/>
      <c r="AB94" s="2"/>
      <c r="AC94" s="2"/>
      <c r="AD94" s="2"/>
      <c r="AE94" s="2"/>
    </row>
    <row r="95" spans="1:31" ht="12.75" x14ac:dyDescent="0.2">
      <c r="A95" s="53">
        <f ca="1">IFERROR(__xludf.DUMMYFUNCTION("""COMPUTED_VALUE"""),87)</f>
        <v>87</v>
      </c>
      <c r="B95" s="66" t="str">
        <f ca="1">IFERROR(__xludf.DUMMYFUNCTION("""COMPUTED_VALUE"""),"Nam Kỳ Khởi Nghĩa")</f>
        <v>Nam Kỳ Khởi Nghĩa</v>
      </c>
      <c r="C95" s="66" t="str">
        <f ca="1">IFERROR(__xludf.DUMMYFUNCTION("""COMPUTED_VALUE"""),"THPT")</f>
        <v>THPT</v>
      </c>
      <c r="D95" s="66">
        <f ca="1">IFERROR(__xludf.DUMMYFUNCTION("""COMPUTED_VALUE"""),11)</f>
        <v>11</v>
      </c>
      <c r="E95" s="67">
        <f ca="1">IFERROR(__xludf.DUMMYFUNCTION("""COMPUTED_VALUE"""),90)</f>
        <v>90</v>
      </c>
      <c r="F95" s="67">
        <f ca="1">IFERROR(__xludf.DUMMYFUNCTION("""COMPUTED_VALUE"""),90)</f>
        <v>90</v>
      </c>
      <c r="G95" s="67"/>
      <c r="H95" s="67">
        <f ca="1">IFERROR(__xludf.DUMMYFUNCTION("""COMPUTED_VALUE"""),86)</f>
        <v>86</v>
      </c>
      <c r="I95" s="67"/>
      <c r="J95" s="67">
        <f ca="1">IFERROR(__xludf.DUMMYFUNCTION("""COMPUTED_VALUE"""),86)</f>
        <v>86</v>
      </c>
      <c r="K95" s="67"/>
      <c r="L95" s="67">
        <f ca="1">IFERROR(__xludf.DUMMYFUNCTION("""COMPUTED_VALUE"""),36)</f>
        <v>36</v>
      </c>
      <c r="M95" s="67"/>
      <c r="N95" s="66"/>
      <c r="O95" s="66"/>
      <c r="P95" s="66"/>
      <c r="Q95" s="66"/>
      <c r="R95" s="66"/>
      <c r="S95" s="67">
        <f ca="1">IFERROR(__xludf.DUMMYFUNCTION("""COMPUTED_VALUE"""),2031)</f>
        <v>2031</v>
      </c>
      <c r="T95" s="67">
        <f ca="1">IFERROR(__xludf.DUMMYFUNCTION("""COMPUTED_VALUE"""),2031)</f>
        <v>2031</v>
      </c>
      <c r="U95" s="67"/>
      <c r="V95" s="67">
        <f ca="1">IFERROR(__xludf.DUMMYFUNCTION("""COMPUTED_VALUE"""),2031)</f>
        <v>2031</v>
      </c>
      <c r="W95" s="67"/>
      <c r="X95" s="67">
        <f ca="1">IFERROR(__xludf.DUMMYFUNCTION("""COMPUTED_VALUE"""),218)</f>
        <v>218</v>
      </c>
      <c r="Y95" s="67"/>
      <c r="Z95" s="2"/>
      <c r="AA95" s="2"/>
      <c r="AB95" s="2"/>
      <c r="AC95" s="2"/>
      <c r="AD95" s="2"/>
      <c r="AE95" s="2"/>
    </row>
    <row r="96" spans="1:31" ht="12.75" x14ac:dyDescent="0.2">
      <c r="A96" s="52"/>
      <c r="B96" s="68" t="str">
        <f ca="1">IFERROR(__xludf.DUMMYFUNCTION("""COMPUTED_VALUE"""),"Cộng Trung học phổ thông")</f>
        <v>Cộng Trung học phổ thông</v>
      </c>
      <c r="C96" s="68"/>
      <c r="D96" s="68"/>
      <c r="E96" s="69">
        <f ca="1">IFERROR(__xludf.DUMMYFUNCTION("""COMPUTED_VALUE"""),752)</f>
        <v>752</v>
      </c>
      <c r="F96" s="69">
        <f ca="1">IFERROR(__xludf.DUMMYFUNCTION("""COMPUTED_VALUE"""),752)</f>
        <v>752</v>
      </c>
      <c r="G96" s="69"/>
      <c r="H96" s="69">
        <f ca="1">IFERROR(__xludf.DUMMYFUNCTION("""COMPUTED_VALUE"""),746)</f>
        <v>746</v>
      </c>
      <c r="I96" s="69"/>
      <c r="J96" s="69">
        <f ca="1">IFERROR(__xludf.DUMMYFUNCTION("""COMPUTED_VALUE"""),728)</f>
        <v>728</v>
      </c>
      <c r="K96" s="69"/>
      <c r="L96" s="69">
        <f ca="1">IFERROR(__xludf.DUMMYFUNCTION("""COMPUTED_VALUE"""),307)</f>
        <v>307</v>
      </c>
      <c r="M96" s="69"/>
      <c r="N96" s="69">
        <f ca="1">IFERROR(__xludf.DUMMYFUNCTION("""COMPUTED_VALUE"""),720)</f>
        <v>720</v>
      </c>
      <c r="O96" s="69">
        <f ca="1">IFERROR(__xludf.DUMMYFUNCTION("""COMPUTED_VALUE"""),307)</f>
        <v>307</v>
      </c>
      <c r="P96" s="69"/>
      <c r="Q96" s="69">
        <f ca="1">IFERROR(__xludf.DUMMYFUNCTION("""COMPUTED_VALUE"""),122)</f>
        <v>122</v>
      </c>
      <c r="R96" s="69"/>
      <c r="S96" s="69">
        <f ca="1">IFERROR(__xludf.DUMMYFUNCTION("""COMPUTED_VALUE"""),8370)</f>
        <v>8370</v>
      </c>
      <c r="T96" s="69">
        <f ca="1">IFERROR(__xludf.DUMMYFUNCTION("""COMPUTED_VALUE"""),8171)</f>
        <v>8171</v>
      </c>
      <c r="U96" s="69"/>
      <c r="V96" s="69">
        <f ca="1">IFERROR(__xludf.DUMMYFUNCTION("""COMPUTED_VALUE"""),8167)</f>
        <v>8167</v>
      </c>
      <c r="W96" s="69"/>
      <c r="X96" s="69">
        <f ca="1">IFERROR(__xludf.DUMMYFUNCTION("""COMPUTED_VALUE"""),3016)</f>
        <v>3016</v>
      </c>
      <c r="Y96" s="69"/>
      <c r="Z96" s="1"/>
      <c r="AA96" s="1"/>
      <c r="AB96" s="1"/>
      <c r="AC96" s="1"/>
      <c r="AD96" s="1"/>
      <c r="AE96" s="1"/>
    </row>
    <row r="97" spans="1:31" ht="12.75" x14ac:dyDescent="0.2">
      <c r="A97" s="53">
        <f ca="1">IFERROR(__xludf.DUMMYFUNCTION("""COMPUTED_VALUE"""),88)</f>
        <v>88</v>
      </c>
      <c r="B97" s="66" t="str">
        <f ca="1">IFERROR(__xludf.DUMMYFUNCTION("""COMPUTED_VALUE"""),"GDCB 15 Tháng 5")</f>
        <v>GDCB 15 Tháng 5</v>
      </c>
      <c r="C97" s="66" t="str">
        <f ca="1">IFERROR(__xludf.DUMMYFUNCTION("""COMPUTED_VALUE"""),"CB")</f>
        <v>CB</v>
      </c>
      <c r="D97" s="66">
        <f ca="1">IFERROR(__xludf.DUMMYFUNCTION("""COMPUTED_VALUE"""),11)</f>
        <v>11</v>
      </c>
      <c r="E97" s="67">
        <f ca="1">IFERROR(__xludf.DUMMYFUNCTION("""COMPUTED_VALUE"""),15)</f>
        <v>15</v>
      </c>
      <c r="F97" s="67">
        <f ca="1">IFERROR(__xludf.DUMMYFUNCTION("""COMPUTED_VALUE"""),15)</f>
        <v>15</v>
      </c>
      <c r="G97" s="67"/>
      <c r="H97" s="67">
        <f ca="1">IFERROR(__xludf.DUMMYFUNCTION("""COMPUTED_VALUE"""),15)</f>
        <v>15</v>
      </c>
      <c r="I97" s="67"/>
      <c r="J97" s="67">
        <f ca="1">IFERROR(__xludf.DUMMYFUNCTION("""COMPUTED_VALUE"""),15)</f>
        <v>15</v>
      </c>
      <c r="K97" s="67"/>
      <c r="L97" s="67">
        <f ca="1">IFERROR(__xludf.DUMMYFUNCTION("""COMPUTED_VALUE"""),14)</f>
        <v>14</v>
      </c>
      <c r="M97" s="67"/>
      <c r="N97" s="67">
        <f ca="1">IFERROR(__xludf.DUMMYFUNCTION("""COMPUTED_VALUE"""),37)</f>
        <v>37</v>
      </c>
      <c r="O97" s="67">
        <f ca="1">IFERROR(__xludf.DUMMYFUNCTION("""COMPUTED_VALUE"""),32)</f>
        <v>32</v>
      </c>
      <c r="P97" s="67"/>
      <c r="Q97" s="67">
        <f ca="1">IFERROR(__xludf.DUMMYFUNCTION("""COMPUTED_VALUE"""),23)</f>
        <v>23</v>
      </c>
      <c r="R97" s="67"/>
      <c r="S97" s="67">
        <f ca="1">IFERROR(__xludf.DUMMYFUNCTION("""COMPUTED_VALUE"""),21)</f>
        <v>21</v>
      </c>
      <c r="T97" s="66">
        <f ca="1">IFERROR(__xludf.DUMMYFUNCTION("""COMPUTED_VALUE"""),18)</f>
        <v>18</v>
      </c>
      <c r="U97" s="66"/>
      <c r="V97" s="67">
        <f ca="1">IFERROR(__xludf.DUMMYFUNCTION("""COMPUTED_VALUE"""),18)</f>
        <v>18</v>
      </c>
      <c r="W97" s="67"/>
      <c r="X97" s="67">
        <f ca="1">IFERROR(__xludf.DUMMYFUNCTION("""COMPUTED_VALUE"""),16)</f>
        <v>16</v>
      </c>
      <c r="Y97" s="67"/>
      <c r="Z97" s="2"/>
      <c r="AA97" s="2"/>
      <c r="AB97" s="2"/>
      <c r="AC97" s="2"/>
      <c r="AD97" s="2"/>
      <c r="AE97" s="2"/>
    </row>
    <row r="98" spans="1:31" ht="12.75" x14ac:dyDescent="0.2">
      <c r="A98" s="53">
        <f ca="1">IFERROR(__xludf.DUMMYFUNCTION("""COMPUTED_VALUE"""),89)</f>
        <v>89</v>
      </c>
      <c r="B98" s="66" t="str">
        <f ca="1">IFERROR(__xludf.DUMMYFUNCTION("""COMPUTED_VALUE"""),"Giáo Dục Thường Xuyên")</f>
        <v>Giáo Dục Thường Xuyên</v>
      </c>
      <c r="C98" s="66" t="str">
        <f ca="1">IFERROR(__xludf.DUMMYFUNCTION("""COMPUTED_VALUE"""),"GDTX")</f>
        <v>GDTX</v>
      </c>
      <c r="D98" s="66">
        <f ca="1">IFERROR(__xludf.DUMMYFUNCTION("""COMPUTED_VALUE"""),11)</f>
        <v>11</v>
      </c>
      <c r="E98" s="67">
        <f ca="1">IFERROR(__xludf.DUMMYFUNCTION("""COMPUTED_VALUE"""),20)</f>
        <v>20</v>
      </c>
      <c r="F98" s="67">
        <f ca="1">IFERROR(__xludf.DUMMYFUNCTION("""COMPUTED_VALUE"""),20)</f>
        <v>20</v>
      </c>
      <c r="G98" s="67"/>
      <c r="H98" s="67">
        <f ca="1">IFERROR(__xludf.DUMMYFUNCTION("""COMPUTED_VALUE"""),20)</f>
        <v>20</v>
      </c>
      <c r="I98" s="67"/>
      <c r="J98" s="67">
        <f ca="1">IFERROR(__xludf.DUMMYFUNCTION("""COMPUTED_VALUE"""),20)</f>
        <v>20</v>
      </c>
      <c r="K98" s="67"/>
      <c r="L98" s="67">
        <f ca="1">IFERROR(__xludf.DUMMYFUNCTION("""COMPUTED_VALUE"""),14)</f>
        <v>14</v>
      </c>
      <c r="M98" s="67"/>
      <c r="N98" s="66"/>
      <c r="O98" s="66"/>
      <c r="P98" s="66"/>
      <c r="Q98" s="66"/>
      <c r="R98" s="66"/>
      <c r="S98" s="66">
        <f ca="1">IFERROR(__xludf.DUMMYFUNCTION("""COMPUTED_VALUE"""),112)</f>
        <v>112</v>
      </c>
      <c r="T98" s="66">
        <f ca="1">IFERROR(__xludf.DUMMYFUNCTION("""COMPUTED_VALUE"""),112)</f>
        <v>112</v>
      </c>
      <c r="U98" s="66"/>
      <c r="V98" s="66">
        <f ca="1">IFERROR(__xludf.DUMMYFUNCTION("""COMPUTED_VALUE"""),112)</f>
        <v>112</v>
      </c>
      <c r="W98" s="66"/>
      <c r="X98" s="66">
        <f ca="1">IFERROR(__xludf.DUMMYFUNCTION("""COMPUTED_VALUE"""),62)</f>
        <v>62</v>
      </c>
      <c r="Y98" s="66"/>
      <c r="Z98" s="2"/>
      <c r="AA98" s="2"/>
      <c r="AB98" s="2"/>
      <c r="AC98" s="2"/>
      <c r="AD98" s="2"/>
      <c r="AE98" s="2"/>
    </row>
    <row r="99" spans="1:31" ht="12.75" x14ac:dyDescent="0.2">
      <c r="A99" s="53">
        <f ca="1">IFERROR(__xludf.DUMMYFUNCTION("""COMPUTED_VALUE"""),90)</f>
        <v>90</v>
      </c>
      <c r="B99" s="66" t="str">
        <f ca="1">IFERROR(__xludf.DUMMYFUNCTION("""COMPUTED_VALUE"""),"TTHL-TĐ TDTT")</f>
        <v>TTHL-TĐ TDTT</v>
      </c>
      <c r="C99" s="66"/>
      <c r="D99" s="66">
        <f ca="1">IFERROR(__xludf.DUMMYFUNCTION("""COMPUTED_VALUE"""),11)</f>
        <v>11</v>
      </c>
      <c r="E99" s="67">
        <f ca="1">IFERROR(__xludf.DUMMYFUNCTION("""COMPUTED_VALUE"""),2)</f>
        <v>2</v>
      </c>
      <c r="F99" s="66"/>
      <c r="G99" s="66"/>
      <c r="H99" s="66"/>
      <c r="I99" s="66"/>
      <c r="J99" s="66"/>
      <c r="K99" s="66"/>
      <c r="L99" s="67">
        <f ca="1">IFERROR(__xludf.DUMMYFUNCTION("""COMPUTED_VALUE"""),2)</f>
        <v>2</v>
      </c>
      <c r="M99" s="67"/>
      <c r="N99" s="67">
        <f ca="1">IFERROR(__xludf.DUMMYFUNCTION("""COMPUTED_VALUE"""),8)</f>
        <v>8</v>
      </c>
      <c r="O99" s="67">
        <f ca="1">IFERROR(__xludf.DUMMYFUNCTION("""COMPUTED_VALUE"""),6)</f>
        <v>6</v>
      </c>
      <c r="P99" s="67"/>
      <c r="Q99" s="67">
        <f ca="1">IFERROR(__xludf.DUMMYFUNCTION("""COMPUTED_VALUE"""),8)</f>
        <v>8</v>
      </c>
      <c r="R99" s="67"/>
      <c r="S99" s="67">
        <f ca="1">IFERROR(__xludf.DUMMYFUNCTION("""COMPUTED_VALUE"""),362)</f>
        <v>362</v>
      </c>
      <c r="T99" s="66"/>
      <c r="U99" s="66"/>
      <c r="V99" s="67">
        <f ca="1">IFERROR(__xludf.DUMMYFUNCTION("""COMPUTED_VALUE"""),362)</f>
        <v>362</v>
      </c>
      <c r="W99" s="67"/>
      <c r="X99" s="67">
        <f ca="1">IFERROR(__xludf.DUMMYFUNCTION("""COMPUTED_VALUE"""),142)</f>
        <v>142</v>
      </c>
      <c r="Y99" s="67"/>
      <c r="Z99" s="2"/>
      <c r="AA99" s="2"/>
      <c r="AB99" s="2"/>
      <c r="AC99" s="2"/>
      <c r="AD99" s="2"/>
      <c r="AE99" s="2"/>
    </row>
    <row r="100" spans="1:31" ht="12.75" x14ac:dyDescent="0.2">
      <c r="A100" s="52"/>
      <c r="B100" s="68" t="str">
        <f ca="1">IFERROR(__xludf.DUMMYFUNCTION("""COMPUTED_VALUE"""),"Cộng Đơn vị khác")</f>
        <v>Cộng Đơn vị khác</v>
      </c>
      <c r="C100" s="68"/>
      <c r="D100" s="68"/>
      <c r="E100" s="69">
        <f ca="1">IFERROR(__xludf.DUMMYFUNCTION("""COMPUTED_VALUE"""),37)</f>
        <v>37</v>
      </c>
      <c r="F100" s="69">
        <f ca="1">IFERROR(__xludf.DUMMYFUNCTION("""COMPUTED_VALUE"""),35)</f>
        <v>35</v>
      </c>
      <c r="G100" s="69"/>
      <c r="H100" s="69">
        <f ca="1">IFERROR(__xludf.DUMMYFUNCTION("""COMPUTED_VALUE"""),35)</f>
        <v>35</v>
      </c>
      <c r="I100" s="69"/>
      <c r="J100" s="69">
        <f ca="1">IFERROR(__xludf.DUMMYFUNCTION("""COMPUTED_VALUE"""),35)</f>
        <v>35</v>
      </c>
      <c r="K100" s="69"/>
      <c r="L100" s="69">
        <f ca="1">IFERROR(__xludf.DUMMYFUNCTION("""COMPUTED_VALUE"""),30)</f>
        <v>30</v>
      </c>
      <c r="M100" s="69"/>
      <c r="N100" s="69">
        <f ca="1">IFERROR(__xludf.DUMMYFUNCTION("""COMPUTED_VALUE"""),45)</f>
        <v>45</v>
      </c>
      <c r="O100" s="69">
        <f ca="1">IFERROR(__xludf.DUMMYFUNCTION("""COMPUTED_VALUE"""),38)</f>
        <v>38</v>
      </c>
      <c r="P100" s="69"/>
      <c r="Q100" s="69">
        <f ca="1">IFERROR(__xludf.DUMMYFUNCTION("""COMPUTED_VALUE"""),31)</f>
        <v>31</v>
      </c>
      <c r="R100" s="69"/>
      <c r="S100" s="69">
        <f ca="1">IFERROR(__xludf.DUMMYFUNCTION("""COMPUTED_VALUE"""),495)</f>
        <v>495</v>
      </c>
      <c r="T100" s="68">
        <f ca="1">IFERROR(__xludf.DUMMYFUNCTION("""COMPUTED_VALUE"""),130)</f>
        <v>130</v>
      </c>
      <c r="U100" s="68"/>
      <c r="V100" s="69">
        <f ca="1">IFERROR(__xludf.DUMMYFUNCTION("""COMPUTED_VALUE"""),492)</f>
        <v>492</v>
      </c>
      <c r="W100" s="69"/>
      <c r="X100" s="69">
        <f ca="1">IFERROR(__xludf.DUMMYFUNCTION("""COMPUTED_VALUE"""),220)</f>
        <v>220</v>
      </c>
      <c r="Y100" s="69"/>
      <c r="Z100" s="1"/>
      <c r="AA100" s="1"/>
      <c r="AB100" s="1"/>
      <c r="AC100" s="1"/>
      <c r="AD100" s="1"/>
      <c r="AE100" s="1"/>
    </row>
    <row r="101" spans="1:31" ht="12.75" x14ac:dyDescent="0.2">
      <c r="A101" s="52"/>
      <c r="B101" s="68" t="str">
        <f ca="1">IFERROR(__xludf.DUMMYFUNCTION("""COMPUTED_VALUE"""),"TỔNG CỘNG")</f>
        <v>TỔNG CỘNG</v>
      </c>
      <c r="C101" s="68"/>
      <c r="D101" s="68"/>
      <c r="E101" s="69">
        <f ca="1">IFERROR(__xludf.DUMMYFUNCTION("""COMPUTED_VALUE"""),3641)</f>
        <v>3641</v>
      </c>
      <c r="F101" s="69">
        <f ca="1">IFERROR(__xludf.DUMMYFUNCTION("""COMPUTED_VALUE"""),3595)</f>
        <v>3595</v>
      </c>
      <c r="G101" s="69"/>
      <c r="H101" s="69">
        <f ca="1">IFERROR(__xludf.DUMMYFUNCTION("""COMPUTED_VALUE"""),3583)</f>
        <v>3583</v>
      </c>
      <c r="I101" s="69"/>
      <c r="J101" s="69">
        <f ca="1">IFERROR(__xludf.DUMMYFUNCTION("""COMPUTED_VALUE"""),3447)</f>
        <v>3447</v>
      </c>
      <c r="K101" s="69"/>
      <c r="L101" s="69">
        <f ca="1">IFERROR(__xludf.DUMMYFUNCTION("""COMPUTED_VALUE"""),2305)</f>
        <v>2305</v>
      </c>
      <c r="M101" s="69"/>
      <c r="N101" s="69">
        <f ca="1">IFERROR(__xludf.DUMMYFUNCTION("""COMPUTED_VALUE"""),20274)</f>
        <v>20274</v>
      </c>
      <c r="O101" s="69">
        <f ca="1">IFERROR(__xludf.DUMMYFUNCTION("""COMPUTED_VALUE"""),9354)</f>
        <v>9354</v>
      </c>
      <c r="P101" s="69"/>
      <c r="Q101" s="69">
        <f ca="1">IFERROR(__xludf.DUMMYFUNCTION("""COMPUTED_VALUE"""),6345)</f>
        <v>6345</v>
      </c>
      <c r="R101" s="69"/>
      <c r="S101" s="70">
        <f ca="1">IFERROR(__xludf.DUMMYFUNCTION("""COMPUTED_VALUE"""),17341)</f>
        <v>17341</v>
      </c>
      <c r="T101" s="70">
        <f ca="1">IFERROR(__xludf.DUMMYFUNCTION("""COMPUTED_VALUE"""),15175)</f>
        <v>15175</v>
      </c>
      <c r="U101" s="70"/>
      <c r="V101" s="70">
        <f ca="1">IFERROR(__xludf.DUMMYFUNCTION("""COMPUTED_VALUE"""),15393)</f>
        <v>15393</v>
      </c>
      <c r="W101" s="70"/>
      <c r="X101" s="70">
        <f ca="1">IFERROR(__xludf.DUMMYFUNCTION("""COMPUTED_VALUE"""),7314)</f>
        <v>7314</v>
      </c>
      <c r="Y101" s="70"/>
      <c r="Z101" s="1"/>
      <c r="AA101" s="1"/>
      <c r="AB101" s="1"/>
      <c r="AC101" s="1"/>
      <c r="AD101" s="1"/>
      <c r="AE101" s="1"/>
    </row>
    <row r="102" spans="1:31" ht="12.75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1:31" ht="12.75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1:31" ht="12.75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1:31" ht="12.75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1:31" ht="12.75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1:31" ht="12.75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</row>
    <row r="108" spans="1:31" ht="12.75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1:31" ht="12.75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 spans="1:31" ht="12.75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1:31" ht="12.75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1:31" ht="12.75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:31" ht="12.75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 ht="12.75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 ht="12.75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 ht="12.75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 ht="12.75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 ht="12.75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 ht="12.75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 ht="12.75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 ht="12.75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 ht="12.75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 ht="12.75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 ht="12.75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 ht="12.75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ht="12.75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ht="12.75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ht="12.75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ht="12.75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ht="12.75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ht="12.75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ht="12.75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ht="12.75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ht="12.75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ht="12.75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ht="12.75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ht="12.75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ht="12.75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ht="12.75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ht="12.75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2.75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2.75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2.75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2.75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2.75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2.75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2.75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2.75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2.75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2.75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2.75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2.75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2.75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2.75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2.75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2.75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2.75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2.75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2.75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2.75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2.75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2.75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2.75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2.75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2.75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2.75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2.75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2.75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2.75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2.75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2.75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2.75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2.75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2.75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2.75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2.75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2.75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2.75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2.75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2.75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2.75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2.75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2.75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2.75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2.75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2.75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2.75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2.75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2.75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2.75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2.75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2.75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2.75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2.75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2.75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2.75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2.75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2.75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2.75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2.75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2.75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2.75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2.75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2.75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2.75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2.75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2.75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2.75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2.75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2.75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2.75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2.75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2.75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2.75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2.75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2.75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2.75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2.75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2.75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2.75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2.75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2.75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2.75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2.75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2.75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2.75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2.75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2.75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2.75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2.75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2.75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2.75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2.75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2.75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2.75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2.75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2.75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2.75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2.75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2.75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2.75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2.75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2.75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2.75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2.75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2.75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2.75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2.75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2.75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2.75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2.75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2.75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2.75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2.75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2.75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2.75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2.75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2.75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2.75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2.75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2.75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2.75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2.75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2.75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2.75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2.75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2.75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2.75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2.75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2.75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2.75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2.75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2.75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2.75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2.75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2.75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2.75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2.75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2.75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2.75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2.75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2.75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2.75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2.75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2.75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2.75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2.75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2.75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2.75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2.75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2.75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2.75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2.75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2.75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2.75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2.75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2.75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2.75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2.75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2.75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2.75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2.75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2.75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2.75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2.75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2.75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2.75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2.75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2.75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2.75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2.75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2.75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2.75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2.75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2.75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2.75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2.75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2.75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2.75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2.75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2.75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2.75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2.75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2.75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2.75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2.75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2.75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2.75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2.75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2.75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2.75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2.75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2.75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2.75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2.75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2.75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2.75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2.75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2.75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2.75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2.75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2.75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2.75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2.75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2.75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2.75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2.75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2.75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2.75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2.75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2.75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2.75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2.75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2.75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2.75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2.75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2.75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2.75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2.75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2.75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2.75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2.75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2.75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2.75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2.75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2.75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2.75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2.75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2.75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2.75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2.75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2.75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2.75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2.75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2.75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2.75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2.75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2.75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2.75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2.75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2.75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2.75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2.75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2.75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2.75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2.75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2.75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2.75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2.75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2.75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2.75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2.75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2.75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2.75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2.75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2.75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2.75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2.75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2.75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2.75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2.75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2.75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2.75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2.75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2.75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2.75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2.75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2.75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2.75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2.75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2.75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2.75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2.75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2.75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2.75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2.75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2.75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2.75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2.75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2.75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2.75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2.75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2.75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2.75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2.75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2.75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2.75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2.75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2.75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2.75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2.75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2.75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2.75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2.75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2.75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2.75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2.75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2.75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2.75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2.75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2.75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2.75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2.75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2.75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2.75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2.75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2.75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2.75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2.75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2.75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2.75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2.75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2.75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2.75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2.75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2.75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2.75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2.75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2.75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2.75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2.75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2.75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2.75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2.75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2.75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2.75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2.75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2.75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2.75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2.75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2.75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2.75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2.75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2.75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2.75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2.75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2.75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2.75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2.75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2.75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2.75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2.75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2.75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2.75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2.75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2.75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2.75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2.75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2.75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2.75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2.75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2.75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2.75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2.75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2.75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2.75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2.75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2.75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2.75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2.75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2.75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2.75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2.75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2.75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2.75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2.75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2.75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2.75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2.75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2.75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2.75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2.75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2.75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2.75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2.75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2.75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2.75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2.75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2.75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2.75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2.75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2.75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2.75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2.75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2.75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2.75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2.75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2.75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2.75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2.75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2.75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2.75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2.75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2.75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2.75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2.75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2.75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2.75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2.75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2.75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2.75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2.75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2.75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2.75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2.75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2.75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2.75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2.75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2.75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2.75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2.75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2.75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2.75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2.75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2.75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2.75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2.75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2.75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2.75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2.75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2.75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2.75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2.75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2.75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2.75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2.75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2.75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2.75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2.75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2.75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2.75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2.75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2.75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2.75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2.75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2.75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2.75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2.75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2.75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2.75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2.75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2.75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2.75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2.75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2.75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2.75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2.75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2.75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2.75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2.75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2.75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2.75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2.75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2.75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2.75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2.75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2.75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2.75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2.75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2.75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2.75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2.75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2.75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2.75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2.75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2.75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2.75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2.75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2.75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2.75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2.75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2.75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2.75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2.75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2.75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2.75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2.75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2.75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2.75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2.75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2.75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2.75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2.75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2.75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2.75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2.75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2.75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2.75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2.75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2.75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2.75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2.75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2.75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2.75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2.75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2.75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2.75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2.75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2.75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2.75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2.75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2.75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2.75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2.75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2.75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2.75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2.75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2.75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2.75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2.75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2.75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2.75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2.75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2.75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2.75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2.75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2.75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2.75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2.75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2.75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2.75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2.75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2.75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2.75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2.75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2.75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2.75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2.75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2.75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2.75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2.75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2.75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2.75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2.75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2.75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2.75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2.75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2.75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2.75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2.75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2.75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2.75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2.75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2.75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2.75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2.75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2.75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2.75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2.75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2.75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2.75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2.75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2.75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2.75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2.75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2.75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2.75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2.75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2.75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2.75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2.75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2.75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2.75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2.75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2.75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2.75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2.75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2.75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2.75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2.75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2.75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2.75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2.75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2.75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2.75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2.75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2.75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2.75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2.75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2.75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2.75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2.75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2.75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2.75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2.75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2.75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2.75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2.75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2.75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2.75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2.75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2.75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2.75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2.75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2.75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2.75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2.75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2.75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2.75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2.75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2.75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2.75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2.75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2.75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2.75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2.75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2.75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2.75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2.75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2.75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2.75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2.75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2.75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2.75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2.75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2.75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2.75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2.75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2.75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2.75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2.75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2.75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2.75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2.75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2.75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2.75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2.75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2.75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2.75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2.75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2.75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2.75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2.75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2.75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2.75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2.75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2.75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2.75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2.75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2.75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2.75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2.75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2.75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2.75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2.75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2.75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2.75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2.75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2.75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2.75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2.75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2.75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2.75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2.75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2.75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2.75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2.75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2.75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2.75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2.75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2.75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2.75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2.75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2.75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2.75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2.75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2.75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2.75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2.75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2.75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2.75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2.75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2.75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2.75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2.75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2.75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2.75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2.75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2.75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2.75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2.75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2.75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2.75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2.75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2.75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2.75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2.75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2.75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2.75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2.75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2.75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2.75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2.75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2.75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2.75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2.75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2.75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2.75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2.75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2.75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2.75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2.75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2.75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2.75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2.75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2.75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2.75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2.75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2.75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2.75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2.75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2.75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2.75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2.75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2.75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2.75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2.75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2.75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2.75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2.75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2.75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2.75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2.75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2.75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2.75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2.75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2.75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2.75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2.75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2.75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2.75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2.75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2.75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2.75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2.75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2.75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2.75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2.75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2.75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2.75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2.75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2.75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2.75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2.75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2.75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2.75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2.75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2.75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2.75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2.75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2.75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2.75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2.75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2.75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2.75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2.75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2.75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2.75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2.75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2.75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2.75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2.75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2.75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2.75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2.75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2.75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2.75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2.75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2.75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2.75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2.75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2.75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2.75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2.75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2.75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2.75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2.75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2.75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2.75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2.75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2.75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2.75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2.75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2.75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2.75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2.75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2.75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2.75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2.75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2.75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2.75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2.75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2.75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2.75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2.75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2.75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2.75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2.75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2.75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2.75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2.75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2.75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2.75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2.75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2.75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2.75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2.75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2.75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2.75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2.75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2.75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2.75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2.75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2.75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2.75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2.75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2.75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2.75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2.75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2.75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2.75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2.75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2.75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2.75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2.75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2.75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2.75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2.75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2.75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2.75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2.75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2.75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2.75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2.75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2.75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2.75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2.75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2.75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2.75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2.75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2.75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2.75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2.75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2.75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2.75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2.75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2.75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2.75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2.75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2.75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2.75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2.75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2.75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2.75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2.75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2.75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2.75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 ht="12.75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 ht="12.75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  <row r="1000" spans="1:31" ht="12.75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</row>
  </sheetData>
  <mergeCells count="16">
    <mergeCell ref="N3:R3"/>
    <mergeCell ref="S3:Y3"/>
    <mergeCell ref="F4:G4"/>
    <mergeCell ref="H4:I4"/>
    <mergeCell ref="J4:K4"/>
    <mergeCell ref="L4:M4"/>
    <mergeCell ref="O4:P4"/>
    <mergeCell ref="Q4:R4"/>
    <mergeCell ref="T4:U4"/>
    <mergeCell ref="V4:W4"/>
    <mergeCell ref="X4:Y4"/>
    <mergeCell ref="A3:A4"/>
    <mergeCell ref="B3:B4"/>
    <mergeCell ref="C3:C4"/>
    <mergeCell ref="D3:D4"/>
    <mergeCell ref="E3:M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Q1</vt:lpstr>
      <vt:lpstr>Q3</vt:lpstr>
      <vt:lpstr>Q4</vt:lpstr>
      <vt:lpstr>Q5</vt:lpstr>
      <vt:lpstr>Q6</vt:lpstr>
      <vt:lpstr>Q7</vt:lpstr>
      <vt:lpstr>Q8</vt:lpstr>
      <vt:lpstr>Q10</vt:lpstr>
      <vt:lpstr>Q11</vt:lpstr>
      <vt:lpstr>Q12</vt:lpstr>
      <vt:lpstr>TP</vt:lpstr>
      <vt:lpstr>TB</vt:lpstr>
      <vt:lpstr>BTh</vt:lpstr>
      <vt:lpstr>BTa</vt:lpstr>
      <vt:lpstr>GV</vt:lpstr>
      <vt:lpstr>PN</vt:lpstr>
      <vt:lpstr>NB</vt:lpstr>
      <vt:lpstr>CC</vt:lpstr>
      <vt:lpstr>BC</vt:lpstr>
      <vt:lpstr>HM</vt:lpstr>
      <vt:lpstr>CG</vt:lpstr>
      <vt:lpstr>Thủ Đức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vtdphuong.cangio@hcm.edu.vn</dc:creator>
  <cp:lastModifiedBy>Windows User</cp:lastModifiedBy>
  <dcterms:created xsi:type="dcterms:W3CDTF">2022-10-05T17:13:56Z</dcterms:created>
  <dcterms:modified xsi:type="dcterms:W3CDTF">2022-10-05T10:59:33Z</dcterms:modified>
</cp:coreProperties>
</file>